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11" codeName="{00000000-0000-0000-0000-000000000000}"/>
  <workbookPr showInkAnnotation="0" saveExternalLinkValues="0" updateLinks="never" codeName="ThisWorkbook"/>
  <mc:AlternateContent xmlns:mc="http://schemas.openxmlformats.org/markup-compatibility/2006">
    <mc:Choice Requires="x15">
      <x15ac:absPath xmlns:x15ac="http://schemas.microsoft.com/office/spreadsheetml/2010/11/ac" url="https://steinbeisconsulting.sharepoint.com/sites/SCMA/Server/01 - Projekte/Laufende Projekte/10347 - VIO Transport (VVO) - MH - BA/Vermarkten/FiMo/"/>
    </mc:Choice>
  </mc:AlternateContent>
  <xr:revisionPtr revIDLastSave="1046" documentId="8_{5DC047B3-12A1-4461-A520-67070CCC84B4}" xr6:coauthVersionLast="47" xr6:coauthVersionMax="47" xr10:uidLastSave="{F827BAA3-DC7A-49CE-A135-F92363F87346}"/>
  <bookViews>
    <workbookView xWindow="-120" yWindow="-120" windowWidth="29040" windowHeight="15720" tabRatio="890" firstSheet="17" activeTab="6" xr2:uid="{CFC61F5D-38F6-437B-BDA0-70C308F52B22}"/>
  </bookViews>
  <sheets>
    <sheet name="__snloffice" sheetId="154" state="veryHidden" r:id="rId1"/>
    <sheet name="Cover" sheetId="165" r:id="rId2"/>
    <sheet name="Übersicht" sheetId="164" r:id="rId3"/>
    <sheet name="Eckdaten" sheetId="92" r:id="rId4"/>
    <sheet name="FDB" sheetId="146" r:id="rId5"/>
    <sheet name="IS-IM" sheetId="147" r:id="rId6"/>
    <sheet name="G&amp;V" sheetId="106" r:id="rId7"/>
    <sheet name="Akt." sheetId="81" r:id="rId8"/>
    <sheet name="Pas." sheetId="82" r:id="rId9"/>
    <sheet name="CF" sheetId="84" r:id="rId10"/>
    <sheet name="Current Trading" sheetId="177" r:id="rId11"/>
    <sheet name="Planung" sheetId="110" r:id="rId12"/>
    <sheet name="WC&amp;ND" sheetId="94" r:id="rId13"/>
    <sheet name="Berein." sheetId="145" r:id="rId14"/>
    <sheet name="P&amp;L 22-24" sheetId="178" r:id="rId15"/>
    <sheet name="BS 22-24" sheetId="179" r:id="rId16"/>
    <sheet name="PB_CACHE" sheetId="184" state="veryHidden" r:id="rId17"/>
    <sheet name="Multiple" sheetId="176" r:id="rId18"/>
    <sheet name="Finance Multiples" sheetId="180" r:id="rId19"/>
    <sheet name="MultBew." sheetId="121" r:id="rId20"/>
    <sheet name="DCF" sheetId="109" r:id="rId21"/>
    <sheet name="EW" sheetId="98" r:id="rId22"/>
    <sheet name="LBO" sheetId="161" r:id="rId23"/>
    <sheet name="Input&gt;" sheetId="152" r:id="rId24"/>
    <sheet name="Mult.Aggr." sheetId="158" r:id="rId25"/>
    <sheet name="FM" sheetId="173" state="hidden" r:id="rId26"/>
    <sheet name="NYU" sheetId="159" state="hidden" r:id="rId27"/>
    <sheet name="Kroll" sheetId="172" state="hidden" r:id="rId28"/>
    <sheet name="DUB" sheetId="171" state="hidden" r:id="rId29"/>
    <sheet name="Lang." sheetId="160" r:id="rId30"/>
    <sheet name="HS" sheetId="153" state="hidden" r:id="rId31"/>
    <sheet name="TCDL" sheetId="150" r:id="rId32"/>
    <sheet name="Financials_Input" sheetId="170" r:id="rId33"/>
    <sheet name="PB_CACHE_JS" sheetId="174" state="veryHidden" r:id="rId34"/>
    <sheet name="CACHE_CHARTS_JS" sheetId="175" state="veryHidden" r:id="rId35"/>
  </sheets>
  <externalReferences>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s>
  <definedNames>
    <definedName name="____c" localSheetId="13" hidden="1">{"Übersicht Bilanzen",#N/A,TRUE,"Übersicht Bilanz";"Übersicht G+V",#N/A,TRUE,"Übersicht G+V";"GuV 1997",#N/A,TRUE,"GuV 1997";"GuV 1998",#N/A,TRUE,"GuV 1998";"GuV 1999",#N/A,TRUE,"GuV 1999";"GuV 2000",#N/A,TRUE,"GuV 2000";"Übersicht Bereinigungen",#N/A,TRUE,"Bereinigungen";"Ist+Plan",#N/A,TRUE,"Ist + Plan"}</definedName>
    <definedName name="____c" localSheetId="10" hidden="1">{"Übersicht Bilanzen",#N/A,TRUE,"Übersicht Bilanz";"Übersicht G+V",#N/A,TRUE,"Übersicht G+V";"GuV 1997",#N/A,TRUE,"GuV 1997";"GuV 1998",#N/A,TRUE,"GuV 1998";"GuV 1999",#N/A,TRUE,"GuV 1999";"GuV 2000",#N/A,TRUE,"GuV 2000";"Übersicht Bereinigungen",#N/A,TRUE,"Bereinigungen";"Ist+Plan",#N/A,TRUE,"Ist + Plan"}</definedName>
    <definedName name="____c" localSheetId="4" hidden="1">{"Übersicht Bilanzen",#N/A,TRUE,"Übersicht Bilanz";"Übersicht G+V",#N/A,TRUE,"Übersicht G+V";"GuV 1997",#N/A,TRUE,"GuV 1997";"GuV 1998",#N/A,TRUE,"GuV 1998";"GuV 1999",#N/A,TRUE,"GuV 1999";"GuV 2000",#N/A,TRUE,"GuV 2000";"Übersicht Bereinigungen",#N/A,TRUE,"Bereinigungen";"Ist+Plan",#N/A,TRUE,"Ist + Plan"}</definedName>
    <definedName name="____c" localSheetId="32" hidden="1">{"Übersicht Bilanzen",#N/A,TRUE,"Übersicht Bilanz";"Übersicht G+V",#N/A,TRUE,"Übersicht G+V";"GuV 1997",#N/A,TRUE,"GuV 1997";"GuV 1998",#N/A,TRUE,"GuV 1998";"GuV 1999",#N/A,TRUE,"GuV 1999";"GuV 2000",#N/A,TRUE,"GuV 2000";"Übersicht Bereinigungen",#N/A,TRUE,"Bereinigungen";"Ist+Plan",#N/A,TRUE,"Ist + Plan"}</definedName>
    <definedName name="____c" hidden="1">{"Übersicht Bilanzen",#N/A,TRUE,"Übersicht Bilanz";"Übersicht G+V",#N/A,TRUE,"Übersicht G+V";"GuV 1997",#N/A,TRUE,"GuV 1997";"GuV 1998",#N/A,TRUE,"GuV 1998";"GuV 1999",#N/A,TRUE,"GuV 1999";"GuV 2000",#N/A,TRUE,"GuV 2000";"Übersicht Bereinigungen",#N/A,TRUE,"Bereinigungen";"Ist+Plan",#N/A,TRUE,"Ist + Plan"}</definedName>
    <definedName name="___c" localSheetId="13" hidden="1">{"Übersicht Bilanzen",#N/A,TRUE,"Übersicht Bilanz";"Übersicht G+V",#N/A,TRUE,"Übersicht G+V";"GuV 1997",#N/A,TRUE,"GuV 1997";"GuV 1998",#N/A,TRUE,"GuV 1998";"GuV 1999",#N/A,TRUE,"GuV 1999";"GuV 2000",#N/A,TRUE,"GuV 2000";"Übersicht Bereinigungen",#N/A,TRUE,"Bereinigungen";"Ist+Plan",#N/A,TRUE,"Ist + Plan"}</definedName>
    <definedName name="___c" localSheetId="10" hidden="1">{"Übersicht Bilanzen",#N/A,TRUE,"Übersicht Bilanz";"Übersicht G+V",#N/A,TRUE,"Übersicht G+V";"GuV 1997",#N/A,TRUE,"GuV 1997";"GuV 1998",#N/A,TRUE,"GuV 1998";"GuV 1999",#N/A,TRUE,"GuV 1999";"GuV 2000",#N/A,TRUE,"GuV 2000";"Übersicht Bereinigungen",#N/A,TRUE,"Bereinigungen";"Ist+Plan",#N/A,TRUE,"Ist + Plan"}</definedName>
    <definedName name="___c" localSheetId="4" hidden="1">{"Übersicht Bilanzen",#N/A,TRUE,"Übersicht Bilanz";"Übersicht G+V",#N/A,TRUE,"Übersicht G+V";"GuV 1997",#N/A,TRUE,"GuV 1997";"GuV 1998",#N/A,TRUE,"GuV 1998";"GuV 1999",#N/A,TRUE,"GuV 1999";"GuV 2000",#N/A,TRUE,"GuV 2000";"Übersicht Bereinigungen",#N/A,TRUE,"Bereinigungen";"Ist+Plan",#N/A,TRUE,"Ist + Plan"}</definedName>
    <definedName name="___c" localSheetId="32" hidden="1">{"Übersicht Bilanzen",#N/A,TRUE,"Übersicht Bilanz";"Übersicht G+V",#N/A,TRUE,"Übersicht G+V";"GuV 1997",#N/A,TRUE,"GuV 1997";"GuV 1998",#N/A,TRUE,"GuV 1998";"GuV 1999",#N/A,TRUE,"GuV 1999";"GuV 2000",#N/A,TRUE,"GuV 2000";"Übersicht Bereinigungen",#N/A,TRUE,"Bereinigungen";"Ist+Plan",#N/A,TRUE,"Ist + Plan"}</definedName>
    <definedName name="___c" hidden="1">{"Übersicht Bilanzen",#N/A,TRUE,"Übersicht Bilanz";"Übersicht G+V",#N/A,TRUE,"Übersicht G+V";"GuV 1997",#N/A,TRUE,"GuV 1997";"GuV 1998",#N/A,TRUE,"GuV 1998";"GuV 1999",#N/A,TRUE,"GuV 1999";"GuV 2000",#N/A,TRUE,"GuV 2000";"Übersicht Bereinigungen",#N/A,TRUE,"Bereinigungen";"Ist+Plan",#N/A,TRUE,"Ist + Plan"}</definedName>
    <definedName name="___thinkcellVKEQAAAAAAAAAAAAAAAI525JTAM2KTSJVYRJSNNZOIM64" localSheetId="31" hidden="1">TCDL!$G$27:$N$29</definedName>
    <definedName name="___thinkcellWCEQAAAAAAAAAAAAAAAD5D2G5WXUCU2EWIIOYCZ4IMZRC" localSheetId="31" hidden="1">TCDL!$B$54:$L$57</definedName>
    <definedName name="___thinkcellWCEQAAAAAAAAAAAAAAADEQWHROUGVW2CSXPCTY3DHFRNW" localSheetId="31" hidden="1">TCDL!$B$93:$L$99</definedName>
    <definedName name="___thinkcellWCEQAAAAAAAAAAAAAAADLK2AY7BDJBKBQ6GDRZYOAPARO" localSheetId="31" hidden="1">TCDL!$B$101:$L$106</definedName>
    <definedName name="___thinkcellWCEQAAAAAAAAAAAAAAADO4B7TE7YHMSBRFWBFV72YKEFQ" localSheetId="31" hidden="1">TCDL!$B$85:$L$91</definedName>
    <definedName name="___thinkcellWCEQAAAAAAAAAAAAAAADWYTHAPRCY4CDSVBDIRYDLF77A" localSheetId="31" hidden="1">TCDL!$B$74:$L$77</definedName>
    <definedName name="___thinkcellWCEQAAAAAAAAAAAAAAAIS6OQWP3SSZSITXGYNEDO4B372" localSheetId="31" hidden="1">TCDL!$B$79:$L$82</definedName>
    <definedName name="___thinkcellWCEQAAAAAAAAAAAAAAAMAGWHROYSDECHXC65GT2W7QDCK" localSheetId="31" hidden="1">TCDL!$B$69:$L$72</definedName>
    <definedName name="___thinkcellWCEQAAAAAAAAAAAAAAAMWAFUG5PJ6KCEVQPQPVHYZDIHK" localSheetId="31" hidden="1">TCDL!$B$64:$L$67</definedName>
    <definedName name="___thinkcellWCEQAAAAAAAAAAAAAAAPBFXY5S62RJCMVJ6L4B2E7JX4M" localSheetId="31" hidden="1">TCDL!$B$45:$L$52</definedName>
    <definedName name="___thinkcellWCEQAAAAAAAAAAAAAAAPO53Y4WJB4ZSLVXZOJUOWBV22I" localSheetId="31" hidden="1">TCDL!$B$59:$L$62</definedName>
    <definedName name="___thinkcellWCEQAAAAAAAAAAYAAAAIS3YR4B2POWSNWNF2L2VANBJ5K" localSheetId="31" hidden="1">TCDL!$E$108:$F$113</definedName>
    <definedName name="___thinkcellWCEQAAAAAAAAAAYAAAAKBLMQGV7YU2SGU5LZYRZQUQ3TC" localSheetId="31" hidden="1">TCDL!$B$108:$C$117</definedName>
    <definedName name="___thinkcellWCEQAAABAAAAAAAAAAAEASY7NAKHMOCBRYPKYPAIY6TZG" localSheetId="31" hidden="1">TCDL!$B$26:$E$33</definedName>
    <definedName name="___thinkcellWCEQAAABAAAAAAAAAAAI2H5BS4HGYGCDSDPVK3PW62ABS" localSheetId="31" hidden="1">TCDL!$B$35:$E$42</definedName>
    <definedName name="__c" localSheetId="13" hidden="1">{"Übersicht Bilanzen",#N/A,TRUE,"Übersicht Bilanz";"Übersicht G+V",#N/A,TRUE,"Übersicht G+V";"GuV 1997",#N/A,TRUE,"GuV 1997";"GuV 1998",#N/A,TRUE,"GuV 1998";"GuV 1999",#N/A,TRUE,"GuV 1999";"GuV 2000",#N/A,TRUE,"GuV 2000";"Übersicht Bereinigungen",#N/A,TRUE,"Bereinigungen";"Ist+Plan",#N/A,TRUE,"Ist + Plan"}</definedName>
    <definedName name="__c" localSheetId="10" hidden="1">{"Übersicht Bilanzen",#N/A,TRUE,"Übersicht Bilanz";"Übersicht G+V",#N/A,TRUE,"Übersicht G+V";"GuV 1997",#N/A,TRUE,"GuV 1997";"GuV 1998",#N/A,TRUE,"GuV 1998";"GuV 1999",#N/A,TRUE,"GuV 1999";"GuV 2000",#N/A,TRUE,"GuV 2000";"Übersicht Bereinigungen",#N/A,TRUE,"Bereinigungen";"Ist+Plan",#N/A,TRUE,"Ist + Plan"}</definedName>
    <definedName name="__c" localSheetId="4" hidden="1">{"Übersicht Bilanzen",#N/A,TRUE,"Übersicht Bilanz";"Übersicht G+V",#N/A,TRUE,"Übersicht G+V";"GuV 1997",#N/A,TRUE,"GuV 1997";"GuV 1998",#N/A,TRUE,"GuV 1998";"GuV 1999",#N/A,TRUE,"GuV 1999";"GuV 2000",#N/A,TRUE,"GuV 2000";"Übersicht Bereinigungen",#N/A,TRUE,"Bereinigungen";"Ist+Plan",#N/A,TRUE,"Ist + Plan"}</definedName>
    <definedName name="__c" localSheetId="32" hidden="1">{"Übersicht Bilanzen",#N/A,TRUE,"Übersicht Bilanz";"Übersicht G+V",#N/A,TRUE,"Übersicht G+V";"GuV 1997",#N/A,TRUE,"GuV 1997";"GuV 1998",#N/A,TRUE,"GuV 1998";"GuV 1999",#N/A,TRUE,"GuV 1999";"GuV 2000",#N/A,TRUE,"GuV 2000";"Übersicht Bereinigungen",#N/A,TRUE,"Bereinigungen";"Ist+Plan",#N/A,TRUE,"Ist + Plan"}</definedName>
    <definedName name="__c" hidden="1">{"Übersicht Bilanzen",#N/A,TRUE,"Übersicht Bilanz";"Übersicht G+V",#N/A,TRUE,"Übersicht G+V";"GuV 1997",#N/A,TRUE,"GuV 1997";"GuV 1998",#N/A,TRUE,"GuV 1998";"GuV 1999",#N/A,TRUE,"GuV 1999";"GuV 2000",#N/A,TRUE,"GuV 2000";"Übersicht Bereinigungen",#N/A,TRUE,"Bereinigungen";"Ist+Plan",#N/A,TRUE,"Ist + Plan"}</definedName>
    <definedName name="__xlnm.Print_Area_1">#REF!</definedName>
    <definedName name="_c" localSheetId="13" hidden="1">{"Übersicht Bilanzen",#N/A,TRUE,"Übersicht Bilanz";"Übersicht G+V",#N/A,TRUE,"Übersicht G+V";"GuV 1997",#N/A,TRUE,"GuV 1997";"GuV 1998",#N/A,TRUE,"GuV 1998";"GuV 1999",#N/A,TRUE,"GuV 1999";"GuV 2000",#N/A,TRUE,"GuV 2000";"Übersicht Bereinigungen",#N/A,TRUE,"Bereinigungen";"Ist+Plan",#N/A,TRUE,"Ist + Plan"}</definedName>
    <definedName name="_c" localSheetId="10" hidden="1">{"Übersicht Bilanzen",#N/A,TRUE,"Übersicht Bilanz";"Übersicht G+V",#N/A,TRUE,"Übersicht G+V";"GuV 1997",#N/A,TRUE,"GuV 1997";"GuV 1998",#N/A,TRUE,"GuV 1998";"GuV 1999",#N/A,TRUE,"GuV 1999";"GuV 2000",#N/A,TRUE,"GuV 2000";"Übersicht Bereinigungen",#N/A,TRUE,"Bereinigungen";"Ist+Plan",#N/A,TRUE,"Ist + Plan"}</definedName>
    <definedName name="_c" localSheetId="4" hidden="1">{"Übersicht Bilanzen",#N/A,TRUE,"Übersicht Bilanz";"Übersicht G+V",#N/A,TRUE,"Übersicht G+V";"GuV 1997",#N/A,TRUE,"GuV 1997";"GuV 1998",#N/A,TRUE,"GuV 1998";"GuV 1999",#N/A,TRUE,"GuV 1999";"GuV 2000",#N/A,TRUE,"GuV 2000";"Übersicht Bereinigungen",#N/A,TRUE,"Bereinigungen";"Ist+Plan",#N/A,TRUE,"Ist + Plan"}</definedName>
    <definedName name="_c" localSheetId="32" hidden="1">{"Übersicht Bilanzen",#N/A,TRUE,"Übersicht Bilanz";"Übersicht G+V",#N/A,TRUE,"Übersicht G+V";"GuV 1997",#N/A,TRUE,"GuV 1997";"GuV 1998",#N/A,TRUE,"GuV 1998";"GuV 1999",#N/A,TRUE,"GuV 1999";"GuV 2000",#N/A,TRUE,"GuV 2000";"Übersicht Bereinigungen",#N/A,TRUE,"Bereinigungen";"Ist+Plan",#N/A,TRUE,"Ist + Plan"}</definedName>
    <definedName name="_c" hidden="1">{"Übersicht Bilanzen",#N/A,TRUE,"Übersicht Bilanz";"Übersicht G+V",#N/A,TRUE,"Übersicht G+V";"GuV 1997",#N/A,TRUE,"GuV 1997";"GuV 1998",#N/A,TRUE,"GuV 1998";"GuV 1999",#N/A,TRUE,"GuV 1999";"GuV 2000",#N/A,TRUE,"GuV 2000";"Übersicht Bereinigungen",#N/A,TRUE,"Bereinigungen";"Ist+Plan",#N/A,TRUE,"Ist + Plan"}</definedName>
    <definedName name="_xlchart.v1.0" hidden="1">TCDL!$H$6:$H$12</definedName>
    <definedName name="_xlchart.v1.1" hidden="1">TCDL!$I$6:$I$12</definedName>
    <definedName name="_xleta.OR" hidden="1" xlm="1">#NAME?</definedName>
    <definedName name="a" localSheetId="7" hidden="1">{"Übersicht Bilanzen",#N/A,TRUE,"Übersicht Bilanz";"Übersicht G+V",#N/A,TRUE,"Übersicht G+V";"GuV 1997",#N/A,TRUE,"GuV 1997";"GuV 1998",#N/A,TRUE,"GuV 1998";"GuV 1999",#N/A,TRUE,"GuV 1999";"GuV 2000",#N/A,TRUE,"GuV 2000";"Übersicht Bereinigungen",#N/A,TRUE,"Bereinigungen";"Ist+Plan",#N/A,TRUE,"Ist + Plan"}</definedName>
    <definedName name="a" localSheetId="13" hidden="1">{"Übersicht Bilanzen",#N/A,TRUE,"Übersicht Bilanz";"Übersicht G+V",#N/A,TRUE,"Übersicht G+V";"GuV 1997",#N/A,TRUE,"GuV 1997";"GuV 1998",#N/A,TRUE,"GuV 1998";"GuV 1999",#N/A,TRUE,"GuV 1999";"GuV 2000",#N/A,TRUE,"GuV 2000";"Übersicht Bereinigungen",#N/A,TRUE,"Bereinigungen";"Ist+Plan",#N/A,TRUE,"Ist + Plan"}</definedName>
    <definedName name="a" localSheetId="10" hidden="1">{"Übersicht Bilanzen",#N/A,TRUE,"Übersicht Bilanz";"Übersicht G+V",#N/A,TRUE,"Übersicht G+V";"GuV 1997",#N/A,TRUE,"GuV 1997";"GuV 1998",#N/A,TRUE,"GuV 1998";"GuV 1999",#N/A,TRUE,"GuV 1999";"GuV 2000",#N/A,TRUE,"GuV 2000";"Übersicht Bereinigungen",#N/A,TRUE,"Bereinigungen";"Ist+Plan",#N/A,TRUE,"Ist + Plan"}</definedName>
    <definedName name="a" localSheetId="21" hidden="1">{"Übersicht Bilanzen",#N/A,TRUE,"Übersicht Bilanz";"Übersicht G+V",#N/A,TRUE,"Übersicht G+V";"GuV 1997",#N/A,TRUE,"GuV 1997";"GuV 1998",#N/A,TRUE,"GuV 1998";"GuV 1999",#N/A,TRUE,"GuV 1999";"GuV 2000",#N/A,TRUE,"GuV 2000";"Übersicht Bereinigungen",#N/A,TRUE,"Bereinigungen";"Ist+Plan",#N/A,TRUE,"Ist + Plan"}</definedName>
    <definedName name="a" localSheetId="4" hidden="1">{"Übersicht Bilanzen",#N/A,TRUE,"Übersicht Bilanz";"Übersicht G+V",#N/A,TRUE,"Übersicht G+V";"GuV 1997",#N/A,TRUE,"GuV 1997";"GuV 1998",#N/A,TRUE,"GuV 1998";"GuV 1999",#N/A,TRUE,"GuV 1999";"GuV 2000",#N/A,TRUE,"GuV 2000";"Übersicht Bereinigungen",#N/A,TRUE,"Bereinigungen";"Ist+Plan",#N/A,TRUE,"Ist + Plan"}</definedName>
    <definedName name="a" localSheetId="32" hidden="1">{"Übersicht Bilanzen",#N/A,TRUE,"Übersicht Bilanz";"Übersicht G+V",#N/A,TRUE,"Übersicht G+V";"GuV 1997",#N/A,TRUE,"GuV 1997";"GuV 1998",#N/A,TRUE,"GuV 1998";"GuV 1999",#N/A,TRUE,"GuV 1999";"GuV 2000",#N/A,TRUE,"GuV 2000";"Übersicht Bereinigungen",#N/A,TRUE,"Bereinigungen";"Ist+Plan",#N/A,TRUE,"Ist + Plan"}</definedName>
    <definedName name="a" localSheetId="8" hidden="1">{"Übersicht Bilanzen",#N/A,TRUE,"Übersicht Bilanz";"Übersicht G+V",#N/A,TRUE,"Übersicht G+V";"GuV 1997",#N/A,TRUE,"GuV 1997";"GuV 1998",#N/A,TRUE,"GuV 1998";"GuV 1999",#N/A,TRUE,"GuV 1999";"GuV 2000",#N/A,TRUE,"GuV 2000";"Übersicht Bereinigungen",#N/A,TRUE,"Bereinigungen";"Ist+Plan",#N/A,TRUE,"Ist + Plan"}</definedName>
    <definedName name="a" hidden="1">{"Übersicht Bilanzen",#N/A,TRUE,"Übersicht Bilanz";"Übersicht G+V",#N/A,TRUE,"Übersicht G+V";"GuV 1997",#N/A,TRUE,"GuV 1997";"GuV 1998",#N/A,TRUE,"GuV 1998";"GuV 1999",#N/A,TRUE,"GuV 1999";"GuV 2000",#N/A,TRUE,"GuV 2000";"Übersicht Bereinigungen",#N/A,TRUE,"Bereinigungen";"Ist+Plan",#N/A,TRUE,"Ist + Plan"}</definedName>
    <definedName name="Adjustments" localSheetId="13">#REF!</definedName>
    <definedName name="Adjustments" localSheetId="4">#REF!</definedName>
    <definedName name="Adjustments" localSheetId="32">#REF!</definedName>
    <definedName name="Adjustments" localSheetId="19">#REF!</definedName>
    <definedName name="Adjustments">#REF!</definedName>
    <definedName name="alessandro" localSheetId="13" hidden="1">{"regression corrigées",#N/A,FALSE,"Regressions"}</definedName>
    <definedName name="alessandro" localSheetId="10" hidden="1">{"regression corrigées",#N/A,FALSE,"Regressions"}</definedName>
    <definedName name="alessandro" localSheetId="4" hidden="1">{"regression corrigées",#N/A,FALSE,"Regressions"}</definedName>
    <definedName name="alessandro" localSheetId="32" hidden="1">{"regression corrigées",#N/A,FALSE,"Regressions"}</definedName>
    <definedName name="alessandro" hidden="1">{"regression corrigées",#N/A,FALSE,"Regressions"}</definedName>
    <definedName name="Anlagevermögen" localSheetId="19">'[1]Model forecast'!#REF!</definedName>
    <definedName name="Anlagevermögen">'[1]Model forecast'!#REF!</definedName>
    <definedName name="Ausschüttung" localSheetId="19">[2]Kapitalkosten!#REF!</definedName>
    <definedName name="Ausschüttung">[2]Kapitalkosten!#REF!</definedName>
    <definedName name="Av._Common_Stock" localSheetId="13">#REF!</definedName>
    <definedName name="Av._Common_Stock" localSheetId="4">#REF!</definedName>
    <definedName name="Av._Common_Stock" localSheetId="32">#REF!</definedName>
    <definedName name="Av._Common_Stock" localSheetId="19">#REF!</definedName>
    <definedName name="Av._Common_Stock">#REF!</definedName>
    <definedName name="Av._Shares_Outstanding" localSheetId="4">#REF!</definedName>
    <definedName name="Av._Shares_Outstanding" localSheetId="32">#REF!</definedName>
    <definedName name="Av._Shares_Outstanding" localSheetId="19">#REF!</definedName>
    <definedName name="Av._Shares_Outstanding">#REF!</definedName>
    <definedName name="Average_Price" localSheetId="4">#REF!</definedName>
    <definedName name="Average_Price" localSheetId="32">#REF!</definedName>
    <definedName name="Average_Price" localSheetId="19">#REF!</definedName>
    <definedName name="Average_Price">#REF!</definedName>
    <definedName name="avg">[3]Parameters!$I$23</definedName>
    <definedName name="b" localSheetId="13" hidden="1">{"Übersicht Bilanzen",#N/A,TRUE,"Übersicht Bilanz";"Übersicht G+V",#N/A,TRUE,"Übersicht G+V";"GuV 1997",#N/A,TRUE,"GuV 1997";"GuV 1998",#N/A,TRUE,"GuV 1998";"GuV 1999",#N/A,TRUE,"GuV 1999";"GuV 2000",#N/A,TRUE,"GuV 2000";"Übersicht Bereinigungen",#N/A,TRUE,"Bereinigungen";"Ist+Plan",#N/A,TRUE,"Ist + Plan"}</definedName>
    <definedName name="b" localSheetId="10" hidden="1">{"Übersicht Bilanzen",#N/A,TRUE,"Übersicht Bilanz";"Übersicht G+V",#N/A,TRUE,"Übersicht G+V";"GuV 1997",#N/A,TRUE,"GuV 1997";"GuV 1998",#N/A,TRUE,"GuV 1998";"GuV 1999",#N/A,TRUE,"GuV 1999";"GuV 2000",#N/A,TRUE,"GuV 2000";"Übersicht Bereinigungen",#N/A,TRUE,"Bereinigungen";"Ist+Plan",#N/A,TRUE,"Ist + Plan"}</definedName>
    <definedName name="b" localSheetId="4" hidden="1">{"Übersicht Bilanzen",#N/A,TRUE,"Übersicht Bilanz";"Übersicht G+V",#N/A,TRUE,"Übersicht G+V";"GuV 1997",#N/A,TRUE,"GuV 1997";"GuV 1998",#N/A,TRUE,"GuV 1998";"GuV 1999",#N/A,TRUE,"GuV 1999";"GuV 2000",#N/A,TRUE,"GuV 2000";"Übersicht Bereinigungen",#N/A,TRUE,"Bereinigungen";"Ist+Plan",#N/A,TRUE,"Ist + Plan"}</definedName>
    <definedName name="b" localSheetId="32" hidden="1">{"Übersicht Bilanzen",#N/A,TRUE,"Übersicht Bilanz";"Übersicht G+V",#N/A,TRUE,"Übersicht G+V";"GuV 1997",#N/A,TRUE,"GuV 1997";"GuV 1998",#N/A,TRUE,"GuV 1998";"GuV 1999",#N/A,TRUE,"GuV 1999";"GuV 2000",#N/A,TRUE,"GuV 2000";"Übersicht Bereinigungen",#N/A,TRUE,"Bereinigungen";"Ist+Plan",#N/A,TRUE,"Ist + Plan"}</definedName>
    <definedName name="b" hidden="1">{"Übersicht Bilanzen",#N/A,TRUE,"Übersicht Bilanz";"Übersicht G+V",#N/A,TRUE,"Übersicht G+V";"GuV 1997",#N/A,TRUE,"GuV 1997";"GuV 1998",#N/A,TRUE,"GuV 1998";"GuV 1999",#N/A,TRUE,"GuV 1999";"GuV 2000",#N/A,TRUE,"GuV 2000";"Übersicht Bereinigungen",#N/A,TRUE,"Bereinigungen";"Ist+Plan",#N/A,TRUE,"Ist + Plan"}</definedName>
    <definedName name="bilan">'[3]Market Values'!$A$1:$A$18</definedName>
    <definedName name="Book_Value_of_Equity" localSheetId="4">#REF!</definedName>
    <definedName name="Book_Value_of_Equity" localSheetId="32">#REF!</definedName>
    <definedName name="Book_Value_of_Equity" localSheetId="19">#REF!</definedName>
    <definedName name="Book_Value_of_Equity">#REF!</definedName>
    <definedName name="BüromaschinenLeas">#REF!</definedName>
    <definedName name="cc" localSheetId="13" hidden="1">{"Übersicht Bilanzen",#N/A,TRUE,"Übersicht Bilanz";"Übersicht G+V",#N/A,TRUE,"Übersicht G+V";"GuV 1997",#N/A,TRUE,"GuV 1997";"GuV 1998",#N/A,TRUE,"GuV 1998";"GuV 1999",#N/A,TRUE,"GuV 1999";"GuV 2000",#N/A,TRUE,"GuV 2000";"Übersicht Bereinigungen",#N/A,TRUE,"Bereinigungen";"Ist+Plan",#N/A,TRUE,"Ist + Plan"}</definedName>
    <definedName name="cc" localSheetId="10" hidden="1">{"Übersicht Bilanzen",#N/A,TRUE,"Übersicht Bilanz";"Übersicht G+V",#N/A,TRUE,"Übersicht G+V";"GuV 1997",#N/A,TRUE,"GuV 1997";"GuV 1998",#N/A,TRUE,"GuV 1998";"GuV 1999",#N/A,TRUE,"GuV 1999";"GuV 2000",#N/A,TRUE,"GuV 2000";"Übersicht Bereinigungen",#N/A,TRUE,"Bereinigungen";"Ist+Plan",#N/A,TRUE,"Ist + Plan"}</definedName>
    <definedName name="cc" localSheetId="4" hidden="1">{"Übersicht Bilanzen",#N/A,TRUE,"Übersicht Bilanz";"Übersicht G+V",#N/A,TRUE,"Übersicht G+V";"GuV 1997",#N/A,TRUE,"GuV 1997";"GuV 1998",#N/A,TRUE,"GuV 1998";"GuV 1999",#N/A,TRUE,"GuV 1999";"GuV 2000",#N/A,TRUE,"GuV 2000";"Übersicht Bereinigungen",#N/A,TRUE,"Bereinigungen";"Ist+Plan",#N/A,TRUE,"Ist + Plan"}</definedName>
    <definedName name="cc" localSheetId="32" hidden="1">{"Übersicht Bilanzen",#N/A,TRUE,"Übersicht Bilanz";"Übersicht G+V",#N/A,TRUE,"Übersicht G+V";"GuV 1997",#N/A,TRUE,"GuV 1997";"GuV 1998",#N/A,TRUE,"GuV 1998";"GuV 1999",#N/A,TRUE,"GuV 1999";"GuV 2000",#N/A,TRUE,"GuV 2000";"Übersicht Bereinigungen",#N/A,TRUE,"Bereinigungen";"Ist+Plan",#N/A,TRUE,"Ist + Plan"}</definedName>
    <definedName name="cc" hidden="1">{"Übersicht Bilanzen",#N/A,TRUE,"Übersicht Bilanz";"Übersicht G+V",#N/A,TRUE,"Übersicht G+V";"GuV 1997",#N/A,TRUE,"GuV 1997";"GuV 1998",#N/A,TRUE,"GuV 1998";"GuV 1999",#N/A,TRUE,"GuV 1999";"GuV 2000",#N/A,TRUE,"GuV 2000";"Übersicht Bereinigungen",#N/A,TRUE,"Bereinigungen";"Ist+Plan",#N/A,TRUE,"Ist + Plan"}</definedName>
    <definedName name="CIQWBGuid" hidden="1">"67f0c109-92aa-449e-a014-cb4d9db92449"</definedName>
    <definedName name="CIRC" localSheetId="13">#REF!</definedName>
    <definedName name="CIRC" localSheetId="4">#REF!</definedName>
    <definedName name="CIRC" localSheetId="32">#REF!</definedName>
    <definedName name="CIRC" localSheetId="19">#REF!</definedName>
    <definedName name="CIRC">#REF!</definedName>
    <definedName name="Common_Stock" localSheetId="4">#REF!</definedName>
    <definedName name="Common_Stock" localSheetId="32">#REF!</definedName>
    <definedName name="Common_Stock" localSheetId="19">#REF!</definedName>
    <definedName name="Common_Stock">#REF!</definedName>
    <definedName name="Curr._Basic_EPS" localSheetId="4">#REF!</definedName>
    <definedName name="Curr._Basic_EPS" localSheetId="32">#REF!</definedName>
    <definedName name="Curr._Basic_EPS" localSheetId="19">#REF!</definedName>
    <definedName name="Curr._Basic_EPS">#REF!</definedName>
    <definedName name="Curr._Dil._EPS" localSheetId="4">#REF!</definedName>
    <definedName name="Curr._Dil._EPS" localSheetId="32">#REF!</definedName>
    <definedName name="Curr._Dil._EPS" localSheetId="19">#REF!</definedName>
    <definedName name="Curr._Dil._EPS">#REF!</definedName>
    <definedName name="Curr._Pref._Div." localSheetId="4">#REF!</definedName>
    <definedName name="Curr._Pref._Div." localSheetId="32">#REF!</definedName>
    <definedName name="Curr._Pref._Div." localSheetId="19">#REF!</definedName>
    <definedName name="Curr._Pref._Div.">#REF!</definedName>
    <definedName name="d" localSheetId="13" hidden="1">{"Übersicht Bilanzen",#N/A,TRUE,"Übersicht Bilanz";"Übersicht G+V",#N/A,TRUE,"Übersicht G+V";"GuV 1997",#N/A,TRUE,"GuV 1997";"GuV 1998",#N/A,TRUE,"GuV 1998";"GuV 1999",#N/A,TRUE,"GuV 1999";"GuV 2000",#N/A,TRUE,"GuV 2000";"Übersicht Bereinigungen",#N/A,TRUE,"Bereinigungen";"Ist+Plan",#N/A,TRUE,"Ist + Plan"}</definedName>
    <definedName name="d" localSheetId="10" hidden="1">{"Übersicht Bilanzen",#N/A,TRUE,"Übersicht Bilanz";"Übersicht G+V",#N/A,TRUE,"Übersicht G+V";"GuV 1997",#N/A,TRUE,"GuV 1997";"GuV 1998",#N/A,TRUE,"GuV 1998";"GuV 1999",#N/A,TRUE,"GuV 1999";"GuV 2000",#N/A,TRUE,"GuV 2000";"Übersicht Bereinigungen",#N/A,TRUE,"Bereinigungen";"Ist+Plan",#N/A,TRUE,"Ist + Plan"}</definedName>
    <definedName name="d" localSheetId="4" hidden="1">{"Übersicht Bilanzen",#N/A,TRUE,"Übersicht Bilanz";"Übersicht G+V",#N/A,TRUE,"Übersicht G+V";"GuV 1997",#N/A,TRUE,"GuV 1997";"GuV 1998",#N/A,TRUE,"GuV 1998";"GuV 1999",#N/A,TRUE,"GuV 1999";"GuV 2000",#N/A,TRUE,"GuV 2000";"Übersicht Bereinigungen",#N/A,TRUE,"Bereinigungen";"Ist+Plan",#N/A,TRUE,"Ist + Plan"}</definedName>
    <definedName name="d" localSheetId="32" hidden="1">{"Übersicht Bilanzen",#N/A,TRUE,"Übersicht Bilanz";"Übersicht G+V",#N/A,TRUE,"Übersicht G+V";"GuV 1997",#N/A,TRUE,"GuV 1997";"GuV 1998",#N/A,TRUE,"GuV 1998";"GuV 1999",#N/A,TRUE,"GuV 1999";"GuV 2000",#N/A,TRUE,"GuV 2000";"Übersicht Bereinigungen",#N/A,TRUE,"Bereinigungen";"Ist+Plan",#N/A,TRUE,"Ist + Plan"}</definedName>
    <definedName name="d" localSheetId="11">#REF!</definedName>
    <definedName name="d" hidden="1">{"Übersicht Bilanzen",#N/A,TRUE,"Übersicht Bilanz";"Übersicht G+V",#N/A,TRUE,"Übersicht G+V";"GuV 1997",#N/A,TRUE,"GuV 1997";"GuV 1998",#N/A,TRUE,"GuV 1998";"GuV 1999",#N/A,TRUE,"GuV 1999";"GuV 2000",#N/A,TRUE,"GuV 2000";"Übersicht Bereinigungen",#N/A,TRUE,"Bereinigungen";"Ist+Plan",#N/A,TRUE,"Ist + Plan"}</definedName>
    <definedName name="Date" localSheetId="4">'[4]Group DCF'!#REF!</definedName>
    <definedName name="Date" localSheetId="19">'[5]Group DCF'!#REF!</definedName>
    <definedName name="Date">'[5]Group DCF'!#REF!</definedName>
    <definedName name="DBA" localSheetId="13">#REF!</definedName>
    <definedName name="DBA" localSheetId="4">#REF!</definedName>
    <definedName name="DBA" localSheetId="32">#REF!</definedName>
    <definedName name="DBA">#REF!</definedName>
    <definedName name="DBB" localSheetId="4">#REF!</definedName>
    <definedName name="DBB" localSheetId="32">#REF!</definedName>
    <definedName name="DBB">#REF!</definedName>
    <definedName name="DBC" localSheetId="4">#REF!</definedName>
    <definedName name="DBC" localSheetId="32">#REF!</definedName>
    <definedName name="DBC">#REF!</definedName>
    <definedName name="DBD" localSheetId="4">#REF!</definedName>
    <definedName name="DBD" localSheetId="32">#REF!</definedName>
    <definedName name="DBD">#REF!</definedName>
    <definedName name="DBE" localSheetId="4">#REF!</definedName>
    <definedName name="DBE" localSheetId="32">#REF!</definedName>
    <definedName name="DBE">#REF!</definedName>
    <definedName name="Details" localSheetId="4">'[4]Group DCF'!#REF!</definedName>
    <definedName name="Details" localSheetId="32">'[5]Group DCF'!#REF!</definedName>
    <definedName name="Details" localSheetId="19">'[5]Group DCF'!#REF!</definedName>
    <definedName name="Details">'[5]Group DCF'!#REF!</definedName>
    <definedName name="dfsdfsdfdsfsd">#REF!</definedName>
    <definedName name="DNR_Departments">OFFSET([6]Lists!$N$2,0,0,COUNTA([6]Lists!$N:$N)-COUNTA([6]Lists!$N$1:$N$2)+1,1)</definedName>
    <definedName name="DNR_MonthlyCharts_Dates">OFFSET('[6]Charts - Support tables'!$G$16,,,'[6]Charts - Support tables'!$F$14,2)</definedName>
    <definedName name="DNR_MonthlyCharts_DPO">OFFSET('[6]Charts - Support tables'!$AR$16,,,'[6]Charts - Support tables'!$AM$14,1)</definedName>
    <definedName name="DNR_MonthlyCharts_DPO_Ø">OFFSET('[6]Charts - Support tables'!$AS$16,,,'[6]Charts - Support tables'!$AM$14,1)</definedName>
    <definedName name="DNR_MonthlyCharts_DSO">OFFSET('[6]Charts - Support tables'!$AP$16,,,'[6]Charts - Support tables'!$AM$14,1)</definedName>
    <definedName name="DNR_MonthlyCharts_DSO_Ø">OFFSET('[6]Charts - Support tables'!$AQ$16,,,'[6]Charts - Support tables'!$AM$14,1)</definedName>
    <definedName name="DNR_MonthlyCharts_NWC_Dates">OFFSET('[6]Charts - Support tables'!$AF$16,,,'[6]Charts - Support tables'!$AE$14,2)</definedName>
    <definedName name="DNR_MonthlyCharts_NWC_Ø">OFFSET('[6]Charts - Support tables'!$AJ$16,,,'[6]Charts - Support tables'!$AE$14,1)</definedName>
    <definedName name="DNR_MonthlyCharts_NWC_Values">OFFSET('[6]Charts - Support tables'!$AH$16,,,'[6]Charts - Support tables'!$AE$14,1)</definedName>
    <definedName name="DNR_MOnthlyCharts_TwoItem_Dates">OFFSET('[6]Charts - Support tables'!$Q$16,,,'[6]Charts - Support tables'!$P$14,2)</definedName>
    <definedName name="DNR_MonthlyCharts_TwoItems_Item1">OFFSET('[6]Charts - Support tables'!$S$16,,,'[6]Charts - Support tables'!$P$14,1)</definedName>
    <definedName name="DNR_MonthlyCharts_TwoItems_Item2">OFFSET('[6]Charts - Support tables'!$T$16,,,'[6]Charts - Support tables'!$P$14,1)</definedName>
    <definedName name="DNR_MonthlyCharts_Values">OFFSET('[6]Charts - Support tables'!$K$16,,,'[6]Charts - Support tables'!$F$14,1)</definedName>
    <definedName name="DNR_MonthlyCharts_WCRatios_Dates">OFFSET('[6]Charts - Support tables'!$AN$16,,,'[6]Charts - Support tables'!$AM$14,2)</definedName>
    <definedName name="DNR_MonthlyCharts_YoY">OFFSET('[6]Charts - Support tables'!$AA$17,,,12,'[6]Charts - Support tables'!$Z$15)</definedName>
    <definedName name="DNR_WC_BSItems">OFFSET([6]Lists!$AB$2,0,0,COUNTA([6]Lists!$AB:$AB)-COUNTA([6]Lists!$AB$1:$AB$2)+1,1)</definedName>
    <definedName name="_xlnm.Print_Area" localSheetId="7">Akt.!$B$1:$L$56</definedName>
    <definedName name="_xlnm.Print_Area" localSheetId="13">Berein.!$B$1:$G$55</definedName>
    <definedName name="_xlnm.Print_Area" localSheetId="9">CF!$A$1:$L$42</definedName>
    <definedName name="_xlnm.Print_Area" localSheetId="10">'Current Trading'!$B$1:$BP$36</definedName>
    <definedName name="_xlnm.Print_Area" localSheetId="20">DCF!$A$6:$M$49</definedName>
    <definedName name="_xlnm.Print_Area" localSheetId="3">Eckdaten!$B$4:$C$47</definedName>
    <definedName name="_xlnm.Print_Area" localSheetId="4">FDB!#REF!</definedName>
    <definedName name="_xlnm.Print_Area" localSheetId="6">'G&amp;V'!$B$1:$N$82</definedName>
    <definedName name="_xlnm.Print_Area" localSheetId="5">'IS-IM'!$B$4:$M$30</definedName>
    <definedName name="_xlnm.Print_Area" localSheetId="8">Pas.!$B$1:$L$34</definedName>
    <definedName name="_xlnm.Print_Area" localSheetId="11">Planung!$B$4:$L$166</definedName>
    <definedName name="_xlnm.Print_Area">'[13]für Januar 2003'!$A$4:$W$44</definedName>
    <definedName name="eatrh5z" localSheetId="13" hidden="1">{"Übersicht Bilanzen",#N/A,TRUE,"Übersicht Bilanz";"Übersicht G+V",#N/A,TRUE,"Übersicht G+V";"GuV 1997",#N/A,TRUE,"GuV 1997";"GuV 1998",#N/A,TRUE,"GuV 1998";"GuV 1999",#N/A,TRUE,"GuV 1999";"GuV 2000",#N/A,TRUE,"GuV 2000";"Übersicht Bereinigungen",#N/A,TRUE,"Bereinigungen";"Ist+Plan",#N/A,TRUE,"Ist + Plan"}</definedName>
    <definedName name="eatrh5z" localSheetId="10" hidden="1">{"Übersicht Bilanzen",#N/A,TRUE,"Übersicht Bilanz";"Übersicht G+V",#N/A,TRUE,"Übersicht G+V";"GuV 1997",#N/A,TRUE,"GuV 1997";"GuV 1998",#N/A,TRUE,"GuV 1998";"GuV 1999",#N/A,TRUE,"GuV 1999";"GuV 2000",#N/A,TRUE,"GuV 2000";"Übersicht Bereinigungen",#N/A,TRUE,"Bereinigungen";"Ist+Plan",#N/A,TRUE,"Ist + Plan"}</definedName>
    <definedName name="eatrh5z" localSheetId="4" hidden="1">{"Übersicht Bilanzen",#N/A,TRUE,"Übersicht Bilanz";"Übersicht G+V",#N/A,TRUE,"Übersicht G+V";"GuV 1997",#N/A,TRUE,"GuV 1997";"GuV 1998",#N/A,TRUE,"GuV 1998";"GuV 1999",#N/A,TRUE,"GuV 1999";"GuV 2000",#N/A,TRUE,"GuV 2000";"Übersicht Bereinigungen",#N/A,TRUE,"Bereinigungen";"Ist+Plan",#N/A,TRUE,"Ist + Plan"}</definedName>
    <definedName name="eatrh5z" localSheetId="32" hidden="1">{"Übersicht Bilanzen",#N/A,TRUE,"Übersicht Bilanz";"Übersicht G+V",#N/A,TRUE,"Übersicht G+V";"GuV 1997",#N/A,TRUE,"GuV 1997";"GuV 1998",#N/A,TRUE,"GuV 1998";"GuV 1999",#N/A,TRUE,"GuV 1999";"GuV 2000",#N/A,TRUE,"GuV 2000";"Übersicht Bereinigungen",#N/A,TRUE,"Bereinigungen";"Ist+Plan",#N/A,TRUE,"Ist + Plan"}</definedName>
    <definedName name="eatrh5z" hidden="1">{"Übersicht Bilanzen",#N/A,TRUE,"Übersicht Bilanz";"Übersicht G+V",#N/A,TRUE,"Übersicht G+V";"GuV 1997",#N/A,TRUE,"GuV 1997";"GuV 1998",#N/A,TRUE,"GuV 1998";"GuV 1999",#N/A,TRUE,"GuV 1999";"GuV 2000",#N/A,TRUE,"GuV 2000";"Übersicht Bereinigungen",#N/A,TRUE,"Bereinigungen";"Ist+Plan",#N/A,TRUE,"Ist + Plan"}</definedName>
    <definedName name="EBIT_margin" localSheetId="4">#REF!</definedName>
    <definedName name="EBIT_margin" localSheetId="32">#REF!</definedName>
    <definedName name="EBIT_margin" localSheetId="19">#REF!</definedName>
    <definedName name="EBIT_margin">#REF!</definedName>
    <definedName name="EBITD" localSheetId="4">#REF!</definedName>
    <definedName name="EBITD" localSheetId="32">#REF!</definedName>
    <definedName name="EBITD" localSheetId="19">#REF!</definedName>
    <definedName name="EBITD">#REF!</definedName>
    <definedName name="EBITDA" localSheetId="4">#REF!</definedName>
    <definedName name="EBITDA" localSheetId="32">#REF!</definedName>
    <definedName name="EBITDA" localSheetId="19">#REF!</definedName>
    <definedName name="EBITDA">#REF!</definedName>
    <definedName name="Ende">[7]Parameter!$B$9</definedName>
    <definedName name="er" localSheetId="13">Raten_pro_Jahr*Laufzeit</definedName>
    <definedName name="er" localSheetId="10">Raten_pro_Jahr*Laufzeit</definedName>
    <definedName name="er" localSheetId="4">Raten_pro_Jahr*Laufzeit</definedName>
    <definedName name="er" localSheetId="32">Raten_pro_Jahr*Laufzeit</definedName>
    <definedName name="er">Raten_pro_Jahr*Laufzeit</definedName>
    <definedName name="ere" localSheetId="13">IF('[8]1'!XFA1&lt;&gt;"",MIN('[8]1'!XFC1,Verwendete_Rate-'[8]1'!XFD1),"")</definedName>
    <definedName name="ere" localSheetId="10">IF('[8]1'!XFA1&lt;&gt;"",MIN('[8]1'!XFC1,Verwendete_Rate-'[8]1'!XFD1),"")</definedName>
    <definedName name="ere" localSheetId="4">IF('[8]1'!XFA1&lt;&gt;"",MIN('[8]1'!XFC1,Verwendete_Rate-'[8]1'!XFD1),"")</definedName>
    <definedName name="ere" localSheetId="32">IF('[8]1'!XFA1&lt;&gt;"",MIN('[8]1'!XFC1,Verwendete_Rate-'[8]1'!XFD1),"")</definedName>
    <definedName name="ere">IF('[8]1'!XFA1&lt;&gt;"",MIN('[8]1'!XFC1,Verwendete_Rate-'[8]1'!XFD1),"")</definedName>
    <definedName name="euro" localSheetId="13">#REF!</definedName>
    <definedName name="euro" localSheetId="4">#REF!</definedName>
    <definedName name="euro" localSheetId="32">#REF!</definedName>
    <definedName name="euro" localSheetId="19">#REF!</definedName>
    <definedName name="euro">#REF!</definedName>
    <definedName name="export" localSheetId="13" hidden="1">{"données",#N/A,FALSE,"Input";"ratios",#N/A,FALSE,"Analyse";"multiples",#N/A,FALSE,"Analyse";"places",#N/A,FALSE,"Analyse";"res_travail",#N/A,FALSE,"Résultats";"reg_travail",#N/A,FALSE,"Regressions";"SYNTHESE",#N/A,FALSE,"Synthese"}</definedName>
    <definedName name="export" localSheetId="10" hidden="1">{"données",#N/A,FALSE,"Input";"ratios",#N/A,FALSE,"Analyse";"multiples",#N/A,FALSE,"Analyse";"places",#N/A,FALSE,"Analyse";"res_travail",#N/A,FALSE,"Résultats";"reg_travail",#N/A,FALSE,"Regressions";"SYNTHESE",#N/A,FALSE,"Synthese"}</definedName>
    <definedName name="export" localSheetId="4" hidden="1">{"données",#N/A,FALSE,"Input";"ratios",#N/A,FALSE,"Analyse";"multiples",#N/A,FALSE,"Analyse";"places",#N/A,FALSE,"Analyse";"res_travail",#N/A,FALSE,"Résultats";"reg_travail",#N/A,FALSE,"Regressions";"SYNTHESE",#N/A,FALSE,"Synthese"}</definedName>
    <definedName name="export" localSheetId="32" hidden="1">{"données",#N/A,FALSE,"Input";"ratios",#N/A,FALSE,"Analyse";"multiples",#N/A,FALSE,"Analyse";"places",#N/A,FALSE,"Analyse";"res_travail",#N/A,FALSE,"Résultats";"reg_travail",#N/A,FALSE,"Regressions";"SYNTHESE",#N/A,FALSE,"Synthese"}</definedName>
    <definedName name="export" hidden="1">{"données",#N/A,FALSE,"Input";"ratios",#N/A,FALSE,"Analyse";"multiples",#N/A,FALSE,"Analyse";"places",#N/A,FALSE,"Analyse";"res_travail",#N/A,FALSE,"Résultats";"reg_travail",#N/A,FALSE,"Regressions";"SYNTHESE",#N/A,FALSE,"Synthese"}</definedName>
    <definedName name="Export_Ratio" localSheetId="13">#REF!</definedName>
    <definedName name="Export_Ratio" localSheetId="4">#REF!</definedName>
    <definedName name="Export_Ratio" localSheetId="32">#REF!</definedName>
    <definedName name="Export_Ratio" localSheetId="19">#REF!</definedName>
    <definedName name="Export_Ratio">#REF!</definedName>
    <definedName name="Finanzanlagen" localSheetId="4">#REF!</definedName>
    <definedName name="Finanzanlagen" localSheetId="32">#REF!</definedName>
    <definedName name="Finanzanlagen" localSheetId="19">#REF!</definedName>
    <definedName name="Finanzanlagen">#REF!</definedName>
    <definedName name="FK_Zins" localSheetId="4">#REF!</definedName>
    <definedName name="FK_Zins" localSheetId="32">#REF!</definedName>
    <definedName name="FK_Zins" localSheetId="19">#REF!</definedName>
    <definedName name="FK_Zins">#REF!</definedName>
    <definedName name="Forderungen_und_sonstige_Vermögensgegenstände" localSheetId="4">'[9]Model forecast'!#REF!</definedName>
    <definedName name="Forderungen_und_sonstige_Vermögensgegenstände" localSheetId="32">'[9]Model forecast'!#REF!</definedName>
    <definedName name="Forderungen_und_sonstige_Vermögensgegenstände" localSheetId="19">'[9]Model forecast'!#REF!</definedName>
    <definedName name="Forderungen_und_sonstige_Vermögensgegenstände">'[9]Model forecast'!#REF!</definedName>
    <definedName name="Fremdkapitalkostensatz" localSheetId="13">#REF!</definedName>
    <definedName name="Fremdkapitalkostensatz" localSheetId="4">#REF!</definedName>
    <definedName name="Fremdkapitalkostensatz" localSheetId="32">#REF!</definedName>
    <definedName name="Fremdkapitalkostensatz" localSheetId="19">#REF!</definedName>
    <definedName name="Fremdkapitalkostensatz">#REF!</definedName>
    <definedName name="Garantien">#REF!</definedName>
    <definedName name="GESt" localSheetId="4">#REF!</definedName>
    <definedName name="GESt" localSheetId="32">#REF!</definedName>
    <definedName name="GESt" localSheetId="19">#REF!</definedName>
    <definedName name="GESt">#REF!</definedName>
    <definedName name="Gewerbesteuerhebesatz" localSheetId="4">#REF!</definedName>
    <definedName name="Gewerbesteuerhebesatz" localSheetId="32">#REF!</definedName>
    <definedName name="Gewerbesteuerhebesatz" localSheetId="19">#REF!</definedName>
    <definedName name="Gewerbesteuerhebesatz">#REF!</definedName>
    <definedName name="Gewerbesteuermeßzahl" localSheetId="4">#REF!</definedName>
    <definedName name="Gewerbesteuermeßzahl" localSheetId="32">#REF!</definedName>
    <definedName name="Gewerbesteuermeßzahl" localSheetId="19">#REF!</definedName>
    <definedName name="Gewerbesteuermeßzahl">#REF!</definedName>
    <definedName name="gghgh">#REF!</definedName>
    <definedName name="GKSt" localSheetId="4">#REF!</definedName>
    <definedName name="GKSt" localSheetId="32">#REF!</definedName>
    <definedName name="GKSt" localSheetId="19">#REF!</definedName>
    <definedName name="GKSt">#REF!</definedName>
    <definedName name="GSt_Hebesatz" localSheetId="4">#REF!</definedName>
    <definedName name="GSt_Hebesatz" localSheetId="32">#REF!</definedName>
    <definedName name="GSt_Hebesatz" localSheetId="19">#REF!</definedName>
    <definedName name="GSt_Hebesatz">#REF!</definedName>
    <definedName name="GSt_Meßzahl" localSheetId="4">#REF!</definedName>
    <definedName name="GSt_Meßzahl" localSheetId="32">#REF!</definedName>
    <definedName name="GSt_Meßzahl" localSheetId="19">#REF!</definedName>
    <definedName name="GSt_Meßzahl">#REF!</definedName>
    <definedName name="HVAUSLAND">#REF!</definedName>
    <definedName name="HVOST">#REF!</definedName>
    <definedName name="HVWEST">#REF!</definedName>
    <definedName name="HVWEST2">#REF!</definedName>
    <definedName name="Input_Company">[6]Start!$E$9</definedName>
    <definedName name="Input_CurrencyDisplay">[6]Start!$E$21</definedName>
    <definedName name="Input_ModellName">[6]Start!$E$11</definedName>
    <definedName name="IQ_ADDIN" hidden="1">"AUTO"</definedName>
    <definedName name="IQ_CH" hidden="1">110000</definedName>
    <definedName name="IQ_COMPANY_NAME" hidden="1">"c215"</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40739.6210416667</definedName>
    <definedName name="IQ_NTM" hidden="1">6000</definedName>
    <definedName name="IQ_OPENED55" hidden="1">1</definedName>
    <definedName name="IQ_QTD" hidden="1">750000</definedName>
    <definedName name="IQ_TODAY" hidden="1">0</definedName>
    <definedName name="IQ_WEEK" hidden="1">50000</definedName>
    <definedName name="IQ_YTD" hidden="1">3000</definedName>
    <definedName name="IQ_YTDMONTH" hidden="1">130000</definedName>
    <definedName name="IQB_BOOKMARK_COUNT" hidden="1">1</definedName>
    <definedName name="IQB_BOOKMARK_LOCATION_0" hidden="1">Pas.!#REF!</definedName>
    <definedName name="jhhgffg">#REF!</definedName>
    <definedName name="KFZLeasingKosten">#REF!</definedName>
    <definedName name="Kontostand_Anfang">IF('[10]1'!XFC1&lt;&gt;"",'[10]1'!D1048576,"")</definedName>
    <definedName name="Kontostand_Ende">IF('[10]1'!XEZ1&lt;&gt;"",'[10]1'!XFB1-'[10]1'!XFD1,"")</definedName>
    <definedName name="KREDI" localSheetId="13" hidden="1">{"Übersicht Bilanzen",#N/A,TRUE,"Übersicht Bilanz";"Übersicht G+V",#N/A,TRUE,"Übersicht G+V";"GuV 1997",#N/A,TRUE,"GuV 1997";"GuV 1998",#N/A,TRUE,"GuV 1998";"GuV 1999",#N/A,TRUE,"GuV 1999";"GuV 2000",#N/A,TRUE,"GuV 2000";"Übersicht Bereinigungen",#N/A,TRUE,"Bereinigungen";"Ist+Plan",#N/A,TRUE,"Ist + Plan"}</definedName>
    <definedName name="KREDI" localSheetId="10" hidden="1">{"Übersicht Bilanzen",#N/A,TRUE,"Übersicht Bilanz";"Übersicht G+V",#N/A,TRUE,"Übersicht G+V";"GuV 1997",#N/A,TRUE,"GuV 1997";"GuV 1998",#N/A,TRUE,"GuV 1998";"GuV 1999",#N/A,TRUE,"GuV 1999";"GuV 2000",#N/A,TRUE,"GuV 2000";"Übersicht Bereinigungen",#N/A,TRUE,"Bereinigungen";"Ist+Plan",#N/A,TRUE,"Ist + Plan"}</definedName>
    <definedName name="KREDI" localSheetId="4" hidden="1">{"Übersicht Bilanzen",#N/A,TRUE,"Übersicht Bilanz";"Übersicht G+V",#N/A,TRUE,"Übersicht G+V";"GuV 1997",#N/A,TRUE,"GuV 1997";"GuV 1998",#N/A,TRUE,"GuV 1998";"GuV 1999",#N/A,TRUE,"GuV 1999";"GuV 2000",#N/A,TRUE,"GuV 2000";"Übersicht Bereinigungen",#N/A,TRUE,"Bereinigungen";"Ist+Plan",#N/A,TRUE,"Ist + Plan"}</definedName>
    <definedName name="KREDI" localSheetId="32" hidden="1">{"Übersicht Bilanzen",#N/A,TRUE,"Übersicht Bilanz";"Übersicht G+V",#N/A,TRUE,"Übersicht G+V";"GuV 1997",#N/A,TRUE,"GuV 1997";"GuV 1998",#N/A,TRUE,"GuV 1998";"GuV 1999",#N/A,TRUE,"GuV 1999";"GuV 2000",#N/A,TRUE,"GuV 2000";"Übersicht Bereinigungen",#N/A,TRUE,"Bereinigungen";"Ist+Plan",#N/A,TRUE,"Ist + Plan"}</definedName>
    <definedName name="KREDI" hidden="1">{"Übersicht Bilanzen",#N/A,TRUE,"Übersicht Bilanz";"Übersicht G+V",#N/A,TRUE,"Übersicht G+V";"GuV 1997",#N/A,TRUE,"GuV 1997";"GuV 1998",#N/A,TRUE,"GuV 1998";"GuV 1999",#N/A,TRUE,"GuV 1999";"GuV 2000",#N/A,TRUE,"GuV 2000";"Übersicht Bereinigungen",#N/A,TRUE,"Bereinigungen";"Ist+Plan",#N/A,TRUE,"Ist + Plan"}</definedName>
    <definedName name="KStA" localSheetId="13">#REF!</definedName>
    <definedName name="KStA" localSheetId="4">#REF!</definedName>
    <definedName name="KStA" localSheetId="32">#REF!</definedName>
    <definedName name="KStA" localSheetId="19">#REF!</definedName>
    <definedName name="KStA">#REF!</definedName>
    <definedName name="KStT" localSheetId="4">#REF!</definedName>
    <definedName name="KStT" localSheetId="32">#REF!</definedName>
    <definedName name="KStT" localSheetId="19">#REF!</definedName>
    <definedName name="KStT">#REF!</definedName>
    <definedName name="Kum.Zins">IF('[10]1'!XEY1&lt;&gt;"",'[10]1'!A1048576+'[10]1'!XFB1,"")</definedName>
    <definedName name="Kurs_VzA_Überkingen" localSheetId="13">#REF!</definedName>
    <definedName name="Kurs_VzA_Überkingen" localSheetId="4">#REF!</definedName>
    <definedName name="Kurs_VzA_Überkingen" localSheetId="32">#REF!</definedName>
    <definedName name="Kurs_VzA_Überkingen" localSheetId="19">#REF!</definedName>
    <definedName name="Kurs_VzA_Überkingen">#REF!</definedName>
    <definedName name="Laufzeit">'[10]1'!$C$9</definedName>
    <definedName name="List_FS">[6]Lists!$F$3:$F$6</definedName>
    <definedName name="List_Month">[6]Lists!$B$3:$B$14</definedName>
    <definedName name="List_MonthAbbr">[6]Lists!$C$3:$C$14</definedName>
    <definedName name="List_Overhead">[6]Lists!$L$2:$L$16</definedName>
    <definedName name="LohnGehalt">#REF!</definedName>
    <definedName name="Market_Value_of_Net_Debt" localSheetId="4">#REF!</definedName>
    <definedName name="Market_Value_of_Net_Debt" localSheetId="32">#REF!</definedName>
    <definedName name="Market_Value_of_Net_Debt" localSheetId="19">#REF!</definedName>
    <definedName name="Market_Value_of_Net_Debt">#REF!</definedName>
    <definedName name="Mieten">#REF!</definedName>
    <definedName name="Mino" localSheetId="4">[11]Multiples!#REF!</definedName>
    <definedName name="Mino" localSheetId="32">[11]Multiples!#REF!</definedName>
    <definedName name="Mino" localSheetId="19">[11]Multiples!#REF!</definedName>
    <definedName name="Mino">[11]Multiples!#REF!</definedName>
    <definedName name="n" localSheetId="13">#REF!</definedName>
    <definedName name="n" localSheetId="4">#REF!</definedName>
    <definedName name="n" localSheetId="32">#REF!</definedName>
    <definedName name="n" localSheetId="19">#REF!</definedName>
    <definedName name="n">#REF!</definedName>
    <definedName name="na">[12]Parameters!$M$3</definedName>
    <definedName name="Net_Operating_Assets" localSheetId="4">#REF!</definedName>
    <definedName name="Net_Operating_Assets" localSheetId="32">#REF!</definedName>
    <definedName name="Net_Operating_Assets" localSheetId="19">#REF!</definedName>
    <definedName name="Net_Operating_Assets">#REF!</definedName>
    <definedName name="Periodische_Rate" localSheetId="13">#N/A/Raten_pro_Jahr</definedName>
    <definedName name="Periodische_Rate" localSheetId="10">#N/A/Raten_pro_Jahr</definedName>
    <definedName name="Periodische_Rate" localSheetId="4">#N/A/Raten_pro_Jahr</definedName>
    <definedName name="Periodische_Rate" localSheetId="32">#N/A/Raten_pro_Jahr</definedName>
    <definedName name="Periodische_Rate">#N/A/Raten_pro_Jahr</definedName>
    <definedName name="PPT_PLmonthly" localSheetId="32">'[6]FS - monthly'!#REF!</definedName>
    <definedName name="PPT_PLmonthly">'[6]FS - monthly'!#REF!</definedName>
    <definedName name="PrämissenFixkosten">#REF!</definedName>
    <definedName name="prev">[3]Forecast!$B$1:$B$72</definedName>
    <definedName name="Previous_year" localSheetId="13">#REF!</definedName>
    <definedName name="Previous_year" localSheetId="4">#REF!</definedName>
    <definedName name="Previous_year" localSheetId="32">#REF!</definedName>
    <definedName name="Previous_year" localSheetId="19">#REF!</definedName>
    <definedName name="Previous_year">#REF!</definedName>
    <definedName name="Price" localSheetId="4">#REF!</definedName>
    <definedName name="Price" localSheetId="32">#REF!</definedName>
    <definedName name="Price" localSheetId="19">#REF!</definedName>
    <definedName name="Price">#REF!</definedName>
    <definedName name="Proj_Name">[14]Cover!$C$7</definedName>
    <definedName name="Rate_fällig_am">'[10]1'!$C$11</definedName>
    <definedName name="Raten_pro_Jahr">'[10]1'!$C$10</definedName>
    <definedName name="Ratennummer" localSheetId="13">IF(OR('[10]1'!A1048576="",'[10]1'!A1048576=Berein.!Zahlungen),"",'[10]1'!A1048576+1)</definedName>
    <definedName name="Ratennummer" localSheetId="10">IF(OR('[10]1'!A1048576="",'[10]1'!A1048576='Current Trading'!Zahlungen),"",'[10]1'!A1048576+1)</definedName>
    <definedName name="Ratennummer" localSheetId="4">IF(OR('[10]1'!A1048576="",'[10]1'!A1048576=FDB!Zahlungen),"",'[10]1'!A1048576+1)</definedName>
    <definedName name="Ratennummer" localSheetId="32">IF(OR('[10]1'!A1048576="",'[10]1'!A1048576=Financials_Input!Zahlungen),"",'[10]1'!A1048576+1)</definedName>
    <definedName name="Ratennummer">IF(OR('[10]1'!A1048576="",'[10]1'!A1048576=Zahlungen),"",'[10]1'!A1048576+1)</definedName>
    <definedName name="Rechenblatt_konsol">#REF!</definedName>
    <definedName name="Shares_Outstanding" localSheetId="4">#REF!</definedName>
    <definedName name="Shares_Outstanding" localSheetId="32">#REF!</definedName>
    <definedName name="Shares_Outstanding" localSheetId="19">#REF!</definedName>
    <definedName name="Shares_Outstanding">#REF!</definedName>
    <definedName name="solver_rel1" hidden="1">1</definedName>
    <definedName name="solver_rel2" hidden="1">1</definedName>
    <definedName name="solver_rel3" hidden="1">1</definedName>
    <definedName name="solver_rhs1" hidden="1">1</definedName>
    <definedName name="solver_rhs2" hidden="1">1</definedName>
    <definedName name="solver_rhs3" hidden="1">1</definedName>
    <definedName name="ss" localSheetId="13" hidden="1">{"reg_edition client",#N/A,FALSE,"Regressions"}</definedName>
    <definedName name="ss" localSheetId="10" hidden="1">{"reg_edition client",#N/A,FALSE,"Regressions"}</definedName>
    <definedName name="ss" localSheetId="4" hidden="1">{"reg_edition client",#N/A,FALSE,"Regressions"}</definedName>
    <definedName name="ss" localSheetId="32" hidden="1">{"reg_edition client",#N/A,FALSE,"Regressions"}</definedName>
    <definedName name="ss" hidden="1">{"reg_edition client",#N/A,FALSE,"Regressions"}</definedName>
    <definedName name="Steuern" localSheetId="13">#REF!</definedName>
    <definedName name="Steuern" localSheetId="4">#REF!</definedName>
    <definedName name="Steuern" localSheetId="32">#REF!</definedName>
    <definedName name="Steuern" localSheetId="19">#REF!</definedName>
    <definedName name="Steuern">#REF!</definedName>
    <definedName name="_xlnm.Criteria">#REF!</definedName>
    <definedName name="tax" localSheetId="4">#REF!</definedName>
    <definedName name="tax" localSheetId="32">#REF!</definedName>
    <definedName name="tax" localSheetId="19">#REF!</definedName>
    <definedName name="tax">#REF!</definedName>
    <definedName name="Tilgung" localSheetId="13">IF('[10]1'!XFA1&lt;&gt;"",MIN('[10]1'!XFC1,Verwendete_Rate-'[10]1'!XFD1),"")</definedName>
    <definedName name="Tilgung" localSheetId="10">IF('[10]1'!XFA1&lt;&gt;"",MIN('[10]1'!XFC1,Verwendete_Rate-'[10]1'!XFD1),"")</definedName>
    <definedName name="Tilgung" localSheetId="4">IF('[10]1'!XFA1&lt;&gt;"",MIN('[10]1'!XFC1,Verwendete_Rate-'[10]1'!XFD1),"")</definedName>
    <definedName name="Tilgung" localSheetId="32">IF('[10]1'!XFA1&lt;&gt;"",MIN('[10]1'!XFC1,Verwendete_Rate-'[10]1'!XFD1),"")</definedName>
    <definedName name="Tilgung">IF('[10]1'!XFA1&lt;&gt;"",MIN('[10]1'!XFC1,Verwendete_Rate-'[10]1'!XFD1),"")</definedName>
    <definedName name="UK">[3]Parameters!$M$2</definedName>
    <definedName name="VarKostErkl">#REF!</definedName>
    <definedName name="Verwendete_Rate">'[10]1'!$C$16</definedName>
    <definedName name="Vorräte" localSheetId="13">#REF!</definedName>
    <definedName name="Vorräte" localSheetId="4">#REF!</definedName>
    <definedName name="Vorräte" localSheetId="32">#REF!</definedName>
    <definedName name="Vorräte" localSheetId="19">#REF!</definedName>
    <definedName name="Vorräte">#REF!</definedName>
    <definedName name="VSt" localSheetId="4">#REF!</definedName>
    <definedName name="VSt" localSheetId="32">#REF!</definedName>
    <definedName name="VSt" localSheetId="19">#REF!</definedName>
    <definedName name="VSt">#REF!</definedName>
    <definedName name="w" localSheetId="4">#REF!</definedName>
    <definedName name="w" localSheetId="32">#REF!</definedName>
    <definedName name="w" localSheetId="19">#REF!</definedName>
    <definedName name="w">#REF!</definedName>
    <definedName name="Währung">[15]Hauptmenue!$F$51</definedName>
    <definedName name="wrn.Analysis." localSheetId="13" hidden="1">{"ratios",#N/A,FALSE,"Analyse";"multiples",#N/A,FALSE,"Analyse";"places",#N/A,FALSE,"Analyse"}</definedName>
    <definedName name="wrn.Analysis." localSheetId="10" hidden="1">{"ratios",#N/A,FALSE,"Analyse";"multiples",#N/A,FALSE,"Analyse";"places",#N/A,FALSE,"Analyse"}</definedName>
    <definedName name="wrn.Analysis." localSheetId="4" hidden="1">{"ratios",#N/A,FALSE,"Analyse";"multiples",#N/A,FALSE,"Analyse";"places",#N/A,FALSE,"Analyse"}</definedName>
    <definedName name="wrn.Analysis." localSheetId="32" hidden="1">{"ratios",#N/A,FALSE,"Analyse";"multiples",#N/A,FALSE,"Analyse";"places",#N/A,FALSE,"Analyse"}</definedName>
    <definedName name="wrn.Analysis." hidden="1">{"ratios",#N/A,FALSE,"Analyse";"multiples",#N/A,FALSE,"Analyse";"places",#N/A,FALSE,"Analyse"}</definedName>
    <definedName name="wrn.Ensemble_client." localSheetId="13" hidden="1">{"ratios",#N/A,FALSE,"Analyse";"multiples",#N/A,FALSE,"Analyse";"places",#N/A,FALSE,"Analyse";"résultats_édition client",#N/A,FALSE,"Résultats";"reg_edition client",#N/A,FALSE,"Regressions";"SYNTHESE",#N/A,FALSE,"Synthese"}</definedName>
    <definedName name="wrn.Ensemble_client." localSheetId="10" hidden="1">{"ratios",#N/A,FALSE,"Analyse";"multiples",#N/A,FALSE,"Analyse";"places",#N/A,FALSE,"Analyse";"résultats_édition client",#N/A,FALSE,"Résultats";"reg_edition client",#N/A,FALSE,"Regressions";"SYNTHESE",#N/A,FALSE,"Synthese"}</definedName>
    <definedName name="wrn.Ensemble_client." localSheetId="4" hidden="1">{"ratios",#N/A,FALSE,"Analyse";"multiples",#N/A,FALSE,"Analyse";"places",#N/A,FALSE,"Analyse";"résultats_édition client",#N/A,FALSE,"Résultats";"reg_edition client",#N/A,FALSE,"Regressions";"SYNTHESE",#N/A,FALSE,"Synthese"}</definedName>
    <definedName name="wrn.Ensemble_client." localSheetId="32" hidden="1">{"ratios",#N/A,FALSE,"Analyse";"multiples",#N/A,FALSE,"Analyse";"places",#N/A,FALSE,"Analyse";"résultats_édition client",#N/A,FALSE,"Résultats";"reg_edition client",#N/A,FALSE,"Regressions";"SYNTHESE",#N/A,FALSE,"Synthese"}</definedName>
    <definedName name="wrn.Ensemble_client." hidden="1">{"ratios",#N/A,FALSE,"Analyse";"multiples",#N/A,FALSE,"Analyse";"places",#N/A,FALSE,"Analyse";"résultats_édition client",#N/A,FALSE,"Résultats";"reg_edition client",#N/A,FALSE,"Regressions";"SYNTHESE",#N/A,FALSE,"Synthese"}</definedName>
    <definedName name="wrn.Ensemble_travail." localSheetId="13" hidden="1">{"données",#N/A,FALSE,"Input";"ratios",#N/A,FALSE,"Analyse";"multiples",#N/A,FALSE,"Analyse";"places",#N/A,FALSE,"Analyse";"res_travail",#N/A,FALSE,"Résultats";"reg_travail",#N/A,FALSE,"Regressions";"SYNTHESE",#N/A,FALSE,"Synthese"}</definedName>
    <definedName name="wrn.Ensemble_travail." localSheetId="10" hidden="1">{"données",#N/A,FALSE,"Input";"ratios",#N/A,FALSE,"Analyse";"multiples",#N/A,FALSE,"Analyse";"places",#N/A,FALSE,"Analyse";"res_travail",#N/A,FALSE,"Résultats";"reg_travail",#N/A,FALSE,"Regressions";"SYNTHESE",#N/A,FALSE,"Synthese"}</definedName>
    <definedName name="wrn.Ensemble_travail." localSheetId="4" hidden="1">{"données",#N/A,FALSE,"Input";"ratios",#N/A,FALSE,"Analyse";"multiples",#N/A,FALSE,"Analyse";"places",#N/A,FALSE,"Analyse";"res_travail",#N/A,FALSE,"Résultats";"reg_travail",#N/A,FALSE,"Regressions";"SYNTHESE",#N/A,FALSE,"Synthese"}</definedName>
    <definedName name="wrn.Ensemble_travail." localSheetId="32" hidden="1">{"données",#N/A,FALSE,"Input";"ratios",#N/A,FALSE,"Analyse";"multiples",#N/A,FALSE,"Analyse";"places",#N/A,FALSE,"Analyse";"res_travail",#N/A,FALSE,"Résultats";"reg_travail",#N/A,FALSE,"Regressions";"SYNTHESE",#N/A,FALSE,"Synthese"}</definedName>
    <definedName name="wrn.Ensemble_travail." hidden="1">{"données",#N/A,FALSE,"Input";"ratios",#N/A,FALSE,"Analyse";"multiples",#N/A,FALSE,"Analyse";"places",#N/A,FALSE,"Analyse";"res_travail",#N/A,FALSE,"Résultats";"reg_travail",#N/A,FALSE,"Regressions";"SYNTHESE",#N/A,FALSE,"Synthese"}</definedName>
    <definedName name="wrn.Input." localSheetId="13" hidden="1">{"données",#N/A,FALSE,"Input"}</definedName>
    <definedName name="wrn.Input." localSheetId="10" hidden="1">{"données",#N/A,FALSE,"Input"}</definedName>
    <definedName name="wrn.Input." localSheetId="4" hidden="1">{"données",#N/A,FALSE,"Input"}</definedName>
    <definedName name="wrn.Input." localSheetId="32" hidden="1">{"données",#N/A,FALSE,"Input"}</definedName>
    <definedName name="wrn.Input." hidden="1">{"données",#N/A,FALSE,"Input"}</definedName>
    <definedName name="wrn.Kenngb." localSheetId="13" hidden="1">{#N/A,#N/A,FALSE,"SKG_SC";#N/A,#N/A,FALSE,"SKG_KP";#N/A,#N/A,FALSE,"SCG_KC";#N/A,#N/A,FALSE,"SKG_PM";#N/A,#N/A,FALSE,"SKG_Asta";#N/A,#N/A,FALSE,"SKG_DE";#N/A,#N/A,FALSE,"SKG_FA";#N/A,#N/A,FALSE,"SKG_EM";#N/A,#N/A,FALSE,"SKG_AK";#N/A,#N/A,FALSE,"SKG_CER";#N/A,#N/A,FALSE,"SKG_BA";#N/A,#N/A,FALSE,"SKG_KO"}</definedName>
    <definedName name="wrn.Kenngb." localSheetId="10" hidden="1">{#N/A,#N/A,FALSE,"SKG_SC";#N/A,#N/A,FALSE,"SKG_KP";#N/A,#N/A,FALSE,"SCG_KC";#N/A,#N/A,FALSE,"SKG_PM";#N/A,#N/A,FALSE,"SKG_Asta";#N/A,#N/A,FALSE,"SKG_DE";#N/A,#N/A,FALSE,"SKG_FA";#N/A,#N/A,FALSE,"SKG_EM";#N/A,#N/A,FALSE,"SKG_AK";#N/A,#N/A,FALSE,"SKG_CER";#N/A,#N/A,FALSE,"SKG_BA";#N/A,#N/A,FALSE,"SKG_KO"}</definedName>
    <definedName name="wrn.Kenngb." localSheetId="4" hidden="1">{#N/A,#N/A,FALSE,"SKG_SC";#N/A,#N/A,FALSE,"SKG_KP";#N/A,#N/A,FALSE,"SCG_KC";#N/A,#N/A,FALSE,"SKG_PM";#N/A,#N/A,FALSE,"SKG_Asta";#N/A,#N/A,FALSE,"SKG_DE";#N/A,#N/A,FALSE,"SKG_FA";#N/A,#N/A,FALSE,"SKG_EM";#N/A,#N/A,FALSE,"SKG_AK";#N/A,#N/A,FALSE,"SKG_CER";#N/A,#N/A,FALSE,"SKG_BA";#N/A,#N/A,FALSE,"SKG_KO"}</definedName>
    <definedName name="wrn.Kenngb." localSheetId="32" hidden="1">{#N/A,#N/A,FALSE,"SKG_SC";#N/A,#N/A,FALSE,"SKG_KP";#N/A,#N/A,FALSE,"SCG_KC";#N/A,#N/A,FALSE,"SKG_PM";#N/A,#N/A,FALSE,"SKG_Asta";#N/A,#N/A,FALSE,"SKG_DE";#N/A,#N/A,FALSE,"SKG_FA";#N/A,#N/A,FALSE,"SKG_EM";#N/A,#N/A,FALSE,"SKG_AK";#N/A,#N/A,FALSE,"SKG_CER";#N/A,#N/A,FALSE,"SKG_BA";#N/A,#N/A,FALSE,"SKG_KO"}</definedName>
    <definedName name="wrn.Kenngb." hidden="1">{#N/A,#N/A,FALSE,"SKG_SC";#N/A,#N/A,FALSE,"SKG_KP";#N/A,#N/A,FALSE,"SCG_KC";#N/A,#N/A,FALSE,"SKG_PM";#N/A,#N/A,FALSE,"SKG_Asta";#N/A,#N/A,FALSE,"SKG_DE";#N/A,#N/A,FALSE,"SKG_FA";#N/A,#N/A,FALSE,"SKG_EM";#N/A,#N/A,FALSE,"SKG_AK";#N/A,#N/A,FALSE,"SKG_CER";#N/A,#N/A,FALSE,"SKG_BA";#N/A,#N/A,FALSE,"SKG_KO"}</definedName>
    <definedName name="wrn.Régression_client." localSheetId="13" hidden="1">{"reg_edition client",#N/A,FALSE,"Regressions"}</definedName>
    <definedName name="wrn.Régression_client." localSheetId="10" hidden="1">{"reg_edition client",#N/A,FALSE,"Regressions"}</definedName>
    <definedName name="wrn.Régression_client." localSheetId="4" hidden="1">{"reg_edition client",#N/A,FALSE,"Regressions"}</definedName>
    <definedName name="wrn.Régression_client." localSheetId="32" hidden="1">{"reg_edition client",#N/A,FALSE,"Regressions"}</definedName>
    <definedName name="wrn.Régression_client." hidden="1">{"reg_edition client",#N/A,FALSE,"Regressions"}</definedName>
    <definedName name="wrn.Régression_travail." localSheetId="13" hidden="1">{"reg_travail",#N/A,FALSE,"Regressions"}</definedName>
    <definedName name="wrn.Régression_travail." localSheetId="10" hidden="1">{"reg_travail",#N/A,FALSE,"Regressions"}</definedName>
    <definedName name="wrn.Régression_travail." localSheetId="4" hidden="1">{"reg_travail",#N/A,FALSE,"Regressions"}</definedName>
    <definedName name="wrn.Régression_travail." localSheetId="32" hidden="1">{"reg_travail",#N/A,FALSE,"Regressions"}</definedName>
    <definedName name="wrn.Régression_travail." hidden="1">{"reg_travail",#N/A,FALSE,"Regressions"}</definedName>
    <definedName name="wrn.régressions._.corrigées." localSheetId="13" hidden="1">{"regression corrigées",#N/A,FALSE,"Regressions"}</definedName>
    <definedName name="wrn.régressions._.corrigées." localSheetId="10" hidden="1">{"regression corrigées",#N/A,FALSE,"Regressions"}</definedName>
    <definedName name="wrn.régressions._.corrigées." localSheetId="4" hidden="1">{"regression corrigées",#N/A,FALSE,"Regressions"}</definedName>
    <definedName name="wrn.régressions._.corrigées." localSheetId="32" hidden="1">{"regression corrigées",#N/A,FALSE,"Regressions"}</definedName>
    <definedName name="wrn.régressions._.corrigées." hidden="1">{"regression corrigées",#N/A,FALSE,"Regressions"}</definedName>
    <definedName name="wrn.Résultats_édition._.client." localSheetId="13" hidden="1">{"résultats_édition client",#N/A,FALSE,"Résultats"}</definedName>
    <definedName name="wrn.Résultats_édition._.client." localSheetId="10" hidden="1">{"résultats_édition client",#N/A,FALSE,"Résultats"}</definedName>
    <definedName name="wrn.Résultats_édition._.client." localSheetId="4" hidden="1">{"résultats_édition client",#N/A,FALSE,"Résultats"}</definedName>
    <definedName name="wrn.Résultats_édition._.client." localSheetId="32" hidden="1">{"résultats_édition client",#N/A,FALSE,"Résultats"}</definedName>
    <definedName name="wrn.Résultats_édition._.client." hidden="1">{"résultats_édition client",#N/A,FALSE,"Résultats"}</definedName>
    <definedName name="wrn.Résultats_travail." localSheetId="13" hidden="1">{"res_travail",#N/A,FALSE,"Résultats"}</definedName>
    <definedName name="wrn.Résultats_travail." localSheetId="10" hidden="1">{"res_travail",#N/A,FALSE,"Résultats"}</definedName>
    <definedName name="wrn.Résultats_travail." localSheetId="4" hidden="1">{"res_travail",#N/A,FALSE,"Résultats"}</definedName>
    <definedName name="wrn.Résultats_travail." localSheetId="32" hidden="1">{"res_travail",#N/A,FALSE,"Résultats"}</definedName>
    <definedName name="wrn.Résultats_travail." hidden="1">{"res_travail",#N/A,FALSE,"Résultats"}</definedName>
    <definedName name="wrn.Summary." localSheetId="13" hidden="1">{"SYNTHESE",#N/A,FALSE,"Synthese"}</definedName>
    <definedName name="wrn.Summary." localSheetId="10" hidden="1">{"SYNTHESE",#N/A,FALSE,"Synthese"}</definedName>
    <definedName name="wrn.Summary." localSheetId="4" hidden="1">{"SYNTHESE",#N/A,FALSE,"Synthese"}</definedName>
    <definedName name="wrn.Summary." localSheetId="32" hidden="1">{"SYNTHESE",#N/A,FALSE,"Synthese"}</definedName>
    <definedName name="wrn.Summary." hidden="1">{"SYNTHESE",#N/A,FALSE,"Synthese"}</definedName>
    <definedName name="wrn.Zahlenwerk." localSheetId="7"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13"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10"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21"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4"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32"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6"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8" hidden="1">{"Übersicht Bilanzen",#N/A,TRUE,"Übersicht Bilanz";"Übersicht G+V",#N/A,TRUE,"Übersicht G+V";"GuV 1997",#N/A,TRUE,"GuV 1997";"GuV 1998",#N/A,TRUE,"GuV 1998";"GuV 1999",#N/A,TRUE,"GuV 1999";"GuV 2000",#N/A,TRUE,"GuV 2000";"Übersicht Bereinigungen",#N/A,TRUE,"Bereinigungen";"Ist+Plan",#N/A,TRUE,"Ist + Plan"}</definedName>
    <definedName name="wrn.Zahlenwerk." hidden="1">{"Übersicht Bilanzen",#N/A,TRUE,"Übersicht Bilanz";"Übersicht G+V",#N/A,TRUE,"Übersicht G+V";"GuV 1997",#N/A,TRUE,"GuV 1997";"GuV 1998",#N/A,TRUE,"GuV 1998";"GuV 1999",#N/A,TRUE,"GuV 1999";"GuV 2000",#N/A,TRUE,"GuV 2000";"Übersicht Bereinigungen",#N/A,TRUE,"Bereinigungen";"Ist+Plan",#N/A,TRUE,"Ist + Plan"}</definedName>
    <definedName name="wrn2.Kenngb." localSheetId="13" hidden="1">{#N/A,#N/A,FALSE,"SKG_SC";#N/A,#N/A,FALSE,"SKG_KP";#N/A,#N/A,FALSE,"SCG_KC";#N/A,#N/A,FALSE,"SKG_PM";#N/A,#N/A,FALSE,"SKG_Asta";#N/A,#N/A,FALSE,"SKG_DE";#N/A,#N/A,FALSE,"SKG_FA";#N/A,#N/A,FALSE,"SKG_EM";#N/A,#N/A,FALSE,"SKG_AK";#N/A,#N/A,FALSE,"SKG_CER";#N/A,#N/A,FALSE,"SKG_BA";#N/A,#N/A,FALSE,"SKG_KO"}</definedName>
    <definedName name="wrn2.Kenngb." localSheetId="10" hidden="1">{#N/A,#N/A,FALSE,"SKG_SC";#N/A,#N/A,FALSE,"SKG_KP";#N/A,#N/A,FALSE,"SCG_KC";#N/A,#N/A,FALSE,"SKG_PM";#N/A,#N/A,FALSE,"SKG_Asta";#N/A,#N/A,FALSE,"SKG_DE";#N/A,#N/A,FALSE,"SKG_FA";#N/A,#N/A,FALSE,"SKG_EM";#N/A,#N/A,FALSE,"SKG_AK";#N/A,#N/A,FALSE,"SKG_CER";#N/A,#N/A,FALSE,"SKG_BA";#N/A,#N/A,FALSE,"SKG_KO"}</definedName>
    <definedName name="wrn2.Kenngb." localSheetId="4" hidden="1">{#N/A,#N/A,FALSE,"SKG_SC";#N/A,#N/A,FALSE,"SKG_KP";#N/A,#N/A,FALSE,"SCG_KC";#N/A,#N/A,FALSE,"SKG_PM";#N/A,#N/A,FALSE,"SKG_Asta";#N/A,#N/A,FALSE,"SKG_DE";#N/A,#N/A,FALSE,"SKG_FA";#N/A,#N/A,FALSE,"SKG_EM";#N/A,#N/A,FALSE,"SKG_AK";#N/A,#N/A,FALSE,"SKG_CER";#N/A,#N/A,FALSE,"SKG_BA";#N/A,#N/A,FALSE,"SKG_KO"}</definedName>
    <definedName name="wrn2.Kenngb." localSheetId="32" hidden="1">{#N/A,#N/A,FALSE,"SKG_SC";#N/A,#N/A,FALSE,"SKG_KP";#N/A,#N/A,FALSE,"SCG_KC";#N/A,#N/A,FALSE,"SKG_PM";#N/A,#N/A,FALSE,"SKG_Asta";#N/A,#N/A,FALSE,"SKG_DE";#N/A,#N/A,FALSE,"SKG_FA";#N/A,#N/A,FALSE,"SKG_EM";#N/A,#N/A,FALSE,"SKG_AK";#N/A,#N/A,FALSE,"SKG_CER";#N/A,#N/A,FALSE,"SKG_BA";#N/A,#N/A,FALSE,"SKG_KO"}</definedName>
    <definedName name="wrn2.Kenngb." hidden="1">{#N/A,#N/A,FALSE,"SKG_SC";#N/A,#N/A,FALSE,"SKG_KP";#N/A,#N/A,FALSE,"SCG_KC";#N/A,#N/A,FALSE,"SKG_PM";#N/A,#N/A,FALSE,"SKG_Asta";#N/A,#N/A,FALSE,"SKG_DE";#N/A,#N/A,FALSE,"SKG_FA";#N/A,#N/A,FALSE,"SKG_EM";#N/A,#N/A,FALSE,"SKG_AK";#N/A,#N/A,FALSE,"SKG_CER";#N/A,#N/A,FALSE,"SKG_BA";#N/A,#N/A,FALSE,"SKG_KO"}</definedName>
    <definedName name="ww" localSheetId="13" hidden="1">{"Übersicht Bilanzen",#N/A,TRUE,"Übersicht Bilanz";"Übersicht G+V",#N/A,TRUE,"Übersicht G+V";"GuV 1997",#N/A,TRUE,"GuV 1997";"GuV 1998",#N/A,TRUE,"GuV 1998";"GuV 1999",#N/A,TRUE,"GuV 1999";"GuV 2000",#N/A,TRUE,"GuV 2000";"Übersicht Bereinigungen",#N/A,TRUE,"Bereinigungen";"Ist+Plan",#N/A,TRUE,"Ist + Plan"}</definedName>
    <definedName name="ww" localSheetId="10" hidden="1">{"Übersicht Bilanzen",#N/A,TRUE,"Übersicht Bilanz";"Übersicht G+V",#N/A,TRUE,"Übersicht G+V";"GuV 1997",#N/A,TRUE,"GuV 1997";"GuV 1998",#N/A,TRUE,"GuV 1998";"GuV 1999",#N/A,TRUE,"GuV 1999";"GuV 2000",#N/A,TRUE,"GuV 2000";"Übersicht Bereinigungen",#N/A,TRUE,"Bereinigungen";"Ist+Plan",#N/A,TRUE,"Ist + Plan"}</definedName>
    <definedName name="ww" localSheetId="4" hidden="1">{"Übersicht Bilanzen",#N/A,TRUE,"Übersicht Bilanz";"Übersicht G+V",#N/A,TRUE,"Übersicht G+V";"GuV 1997",#N/A,TRUE,"GuV 1997";"GuV 1998",#N/A,TRUE,"GuV 1998";"GuV 1999",#N/A,TRUE,"GuV 1999";"GuV 2000",#N/A,TRUE,"GuV 2000";"Übersicht Bereinigungen",#N/A,TRUE,"Bereinigungen";"Ist+Plan",#N/A,TRUE,"Ist + Plan"}</definedName>
    <definedName name="ww" localSheetId="32" hidden="1">{"Übersicht Bilanzen",#N/A,TRUE,"Übersicht Bilanz";"Übersicht G+V",#N/A,TRUE,"Übersicht G+V";"GuV 1997",#N/A,TRUE,"GuV 1997";"GuV 1998",#N/A,TRUE,"GuV 1998";"GuV 1999",#N/A,TRUE,"GuV 1999";"GuV 2000",#N/A,TRUE,"GuV 2000";"Übersicht Bereinigungen",#N/A,TRUE,"Bereinigungen";"Ist+Plan",#N/A,TRUE,"Ist + Plan"}</definedName>
    <definedName name="ww" hidden="1">{"Übersicht Bilanzen",#N/A,TRUE,"Übersicht Bilanz";"Übersicht G+V",#N/A,TRUE,"Übersicht G+V";"GuV 1997",#N/A,TRUE,"GuV 1997";"GuV 1998",#N/A,TRUE,"GuV 1998";"GuV 1999",#N/A,TRUE,"GuV 1999";"GuV 2000",#N/A,TRUE,"GuV 2000";"Übersicht Bereinigungen",#N/A,TRUE,"Bereinigungen";"Ist+Plan",#N/A,TRUE,"Ist + Plan"}</definedName>
    <definedName name="xxx">#REF!</definedName>
    <definedName name="XXXXX">#REF!</definedName>
    <definedName name="Year_1_Basic_EPS" localSheetId="13">#REF!</definedName>
    <definedName name="Year_1_Basic_EPS" localSheetId="4">#REF!</definedName>
    <definedName name="Year_1_Basic_EPS" localSheetId="32">#REF!</definedName>
    <definedName name="Year_1_Basic_EPS" localSheetId="19">#REF!</definedName>
    <definedName name="Year_1_Basic_EPS">#REF!</definedName>
    <definedName name="Year_1_Dil._EPS" localSheetId="4">#REF!</definedName>
    <definedName name="Year_1_Dil._EPS" localSheetId="32">#REF!</definedName>
    <definedName name="Year_1_Dil._EPS" localSheetId="19">#REF!</definedName>
    <definedName name="Year_1_Dil._EPS">#REF!</definedName>
    <definedName name="Year_1_Pref._Div." localSheetId="4">#REF!</definedName>
    <definedName name="Year_1_Pref._Div." localSheetId="32">#REF!</definedName>
    <definedName name="Year_1_Pref._Div." localSheetId="19">#REF!</definedName>
    <definedName name="Year_1_Pref._Div.">#REF!</definedName>
    <definedName name="Year_2_Basic_EPS" localSheetId="4">#REF!</definedName>
    <definedName name="Year_2_Basic_EPS" localSheetId="32">#REF!</definedName>
    <definedName name="Year_2_Basic_EPS" localSheetId="19">#REF!</definedName>
    <definedName name="Year_2_Basic_EPS">#REF!</definedName>
    <definedName name="Year_2_Dil._EPS" localSheetId="4">#REF!</definedName>
    <definedName name="Year_2_Dil._EPS" localSheetId="32">#REF!</definedName>
    <definedName name="Year_2_Dil._EPS" localSheetId="19">#REF!</definedName>
    <definedName name="Year_2_Dil._EPS">#REF!</definedName>
    <definedName name="Year_2_Pref._Div." localSheetId="4">#REF!</definedName>
    <definedName name="Year_2_Pref._Div." localSheetId="32">#REF!</definedName>
    <definedName name="Year_2_Pref._Div." localSheetId="19">#REF!</definedName>
    <definedName name="Year_2_Pref._Div.">#REF!</definedName>
    <definedName name="yy" localSheetId="13" hidden="1">{"Übersicht Bilanzen",#N/A,TRUE,"Übersicht Bilanz";"Übersicht G+V",#N/A,TRUE,"Übersicht G+V";"GuV 1997",#N/A,TRUE,"GuV 1997";"GuV 1998",#N/A,TRUE,"GuV 1998";"GuV 1999",#N/A,TRUE,"GuV 1999";"GuV 2000",#N/A,TRUE,"GuV 2000";"Übersicht Bereinigungen",#N/A,TRUE,"Bereinigungen";"Ist+Plan",#N/A,TRUE,"Ist + Plan"}</definedName>
    <definedName name="yy" localSheetId="10" hidden="1">{"Übersicht Bilanzen",#N/A,TRUE,"Übersicht Bilanz";"Übersicht G+V",#N/A,TRUE,"Übersicht G+V";"GuV 1997",#N/A,TRUE,"GuV 1997";"GuV 1998",#N/A,TRUE,"GuV 1998";"GuV 1999",#N/A,TRUE,"GuV 1999";"GuV 2000",#N/A,TRUE,"GuV 2000";"Übersicht Bereinigungen",#N/A,TRUE,"Bereinigungen";"Ist+Plan",#N/A,TRUE,"Ist + Plan"}</definedName>
    <definedName name="yy" localSheetId="4" hidden="1">{"Übersicht Bilanzen",#N/A,TRUE,"Übersicht Bilanz";"Übersicht G+V",#N/A,TRUE,"Übersicht G+V";"GuV 1997",#N/A,TRUE,"GuV 1997";"GuV 1998",#N/A,TRUE,"GuV 1998";"GuV 1999",#N/A,TRUE,"GuV 1999";"GuV 2000",#N/A,TRUE,"GuV 2000";"Übersicht Bereinigungen",#N/A,TRUE,"Bereinigungen";"Ist+Plan",#N/A,TRUE,"Ist + Plan"}</definedName>
    <definedName name="yy" localSheetId="32" hidden="1">{"Übersicht Bilanzen",#N/A,TRUE,"Übersicht Bilanz";"Übersicht G+V",#N/A,TRUE,"Übersicht G+V";"GuV 1997",#N/A,TRUE,"GuV 1997";"GuV 1998",#N/A,TRUE,"GuV 1998";"GuV 1999",#N/A,TRUE,"GuV 1999";"GuV 2000",#N/A,TRUE,"GuV 2000";"Übersicht Bereinigungen",#N/A,TRUE,"Bereinigungen";"Ist+Plan",#N/A,TRUE,"Ist + Plan"}</definedName>
    <definedName name="yy" hidden="1">{"Übersicht Bilanzen",#N/A,TRUE,"Übersicht Bilanz";"Übersicht G+V",#N/A,TRUE,"Übersicht G+V";"GuV 1997",#N/A,TRUE,"GuV 1997";"GuV 1998",#N/A,TRUE,"GuV 1998";"GuV 1999",#N/A,TRUE,"GuV 1999";"GuV 2000",#N/A,TRUE,"GuV 2000";"Übersicht Bereinigungen",#N/A,TRUE,"Bereinigungen";"Ist+Plan",#N/A,TRUE,"Ist + Plan"}</definedName>
    <definedName name="Z_0BDAF4BA_E9D7_4D1F_8F39_20B694270796_.wvu.PrintArea" localSheetId="6" hidden="1">'G&amp;V'!$B$4:$E$82</definedName>
    <definedName name="Z_0BDAF4BA_E9D7_4D1F_8F39_20B694270796_.wvu.PrintTitles" localSheetId="6" hidden="1">'G&amp;V'!$4:$5</definedName>
    <definedName name="Z_0BDAF4BA_E9D7_4D1F_8F39_20B694270796_.wvu.Rows" localSheetId="6" hidden="1">'G&amp;V'!#REF!,'G&amp;V'!#REF!,'G&amp;V'!#REF!,'G&amp;V'!#REF!,'G&amp;V'!#REF!,'G&amp;V'!#REF!,'G&amp;V'!$17:$17,'G&amp;V'!#REF!,'G&amp;V'!#REF!,'G&amp;V'!#REF!,'G&amp;V'!$27:$27,'G&amp;V'!#REF!,'G&amp;V'!#REF!,'G&amp;V'!#REF!,'G&amp;V'!$50:$50,'G&amp;V'!#REF!,'G&amp;V'!#REF!,'G&amp;V'!#REF!,'G&amp;V'!#REF!,'G&amp;V'!#REF!,'G&amp;V'!#REF!,'G&amp;V'!#REF!,'G&amp;V'!#REF!,'G&amp;V'!#REF!,'G&amp;V'!#REF!</definedName>
    <definedName name="Z_4C478277_0C0B_4423_B38A_0177FFE7E0D2_.wvu.PrintArea" localSheetId="6" hidden="1">'G&amp;V'!$B$4:$E$82</definedName>
    <definedName name="Z_4C478277_0C0B_4423_B38A_0177FFE7E0D2_.wvu.PrintTitles" localSheetId="6" hidden="1">'G&amp;V'!$4:$5</definedName>
    <definedName name="Z_4C478277_0C0B_4423_B38A_0177FFE7E0D2_.wvu.Rows" localSheetId="6" hidden="1">'G&amp;V'!#REF!,'G&amp;V'!#REF!,'G&amp;V'!#REF!,'G&amp;V'!#REF!,'G&amp;V'!#REF!,'G&amp;V'!#REF!,'G&amp;V'!$17:$17,'G&amp;V'!#REF!,'G&amp;V'!#REF!,'G&amp;V'!#REF!,'G&amp;V'!$27:$27,'G&amp;V'!#REF!,'G&amp;V'!#REF!,'G&amp;V'!#REF!,'G&amp;V'!$50:$50,'G&amp;V'!#REF!,'G&amp;V'!#REF!,'G&amp;V'!#REF!,'G&amp;V'!#REF!,'G&amp;V'!#REF!,'G&amp;V'!#REF!,'G&amp;V'!#REF!,'G&amp;V'!#REF!,'G&amp;V'!#REF!,'G&amp;V'!#REF!</definedName>
    <definedName name="Z_8F509EE8_E1FC_4DAA_8086_2CB871461EB7_.wvu.PrintArea" localSheetId="6" hidden="1">'G&amp;V'!$B$4:$E$82</definedName>
    <definedName name="Z_8F509EE8_E1FC_4DAA_8086_2CB871461EB7_.wvu.PrintTitles" localSheetId="6" hidden="1">'G&amp;V'!$4:$5</definedName>
    <definedName name="Z_8F509EE8_E1FC_4DAA_8086_2CB871461EB7_.wvu.Rows" localSheetId="6" hidden="1">'G&amp;V'!#REF!,'G&amp;V'!#REF!,'G&amp;V'!#REF!,'G&amp;V'!#REF!,'G&amp;V'!#REF!,'G&amp;V'!#REF!,'G&amp;V'!$17:$17,'G&amp;V'!#REF!,'G&amp;V'!#REF!,'G&amp;V'!#REF!,'G&amp;V'!$27:$27,'G&amp;V'!#REF!,'G&amp;V'!#REF!,'G&amp;V'!#REF!,'G&amp;V'!$50:$50,'G&amp;V'!#REF!,'G&amp;V'!#REF!,'G&amp;V'!#REF!,'G&amp;V'!#REF!,'G&amp;V'!#REF!,'G&amp;V'!#REF!,'G&amp;V'!#REF!,'G&amp;V'!#REF!,'G&amp;V'!#REF!,'G&amp;V'!#REF!</definedName>
    <definedName name="Z_A969141A_5D7F_4404_8E39_74C1CE96D29F_.wvu.PrintArea" localSheetId="6" hidden="1">'G&amp;V'!$B$4:$E$82</definedName>
    <definedName name="Z_A969141A_5D7F_4404_8E39_74C1CE96D29F_.wvu.PrintTitles" localSheetId="6" hidden="1">'G&amp;V'!$4:$5</definedName>
    <definedName name="Z_A969141A_5D7F_4404_8E39_74C1CE96D29F_.wvu.Rows" localSheetId="6" hidden="1">'G&amp;V'!#REF!,'G&amp;V'!#REF!,'G&amp;V'!#REF!,'G&amp;V'!#REF!,'G&amp;V'!#REF!,'G&amp;V'!#REF!,'G&amp;V'!$17:$17,'G&amp;V'!#REF!,'G&amp;V'!#REF!,'G&amp;V'!#REF!,'G&amp;V'!$27:$27,'G&amp;V'!#REF!,'G&amp;V'!#REF!,'G&amp;V'!#REF!,'G&amp;V'!$50:$50,'G&amp;V'!#REF!,'G&amp;V'!#REF!,'G&amp;V'!#REF!,'G&amp;V'!#REF!,'G&amp;V'!#REF!,'G&amp;V'!#REF!,'G&amp;V'!#REF!,'G&amp;V'!#REF!,'G&amp;V'!#REF!,'G&amp;V'!#REF!</definedName>
    <definedName name="Z_D3321DE2_5EAB_48C0_B6E5_9C236B5B6051_.wvu.PrintArea" localSheetId="6" hidden="1">'G&amp;V'!$B$4:$E$82</definedName>
    <definedName name="Z_D3321DE2_5EAB_48C0_B6E5_9C236B5B6051_.wvu.PrintTitles" localSheetId="6" hidden="1">'G&amp;V'!$4:$5</definedName>
    <definedName name="Z_D3321DE2_5EAB_48C0_B6E5_9C236B5B6051_.wvu.Rows" localSheetId="6" hidden="1">'G&amp;V'!#REF!,'G&amp;V'!#REF!,'G&amp;V'!#REF!,'G&amp;V'!#REF!,'G&amp;V'!#REF!,'G&amp;V'!#REF!,'G&amp;V'!$17:$17,'G&amp;V'!#REF!,'G&amp;V'!#REF!,'G&amp;V'!#REF!,'G&amp;V'!$27:$27,'G&amp;V'!#REF!,'G&amp;V'!#REF!,'G&amp;V'!#REF!,'G&amp;V'!$50:$50,'G&amp;V'!#REF!,'G&amp;V'!#REF!,'G&amp;V'!#REF!,'G&amp;V'!#REF!,'G&amp;V'!#REF!,'G&amp;V'!#REF!,'G&amp;V'!#REF!,'G&amp;V'!#REF!,'G&amp;V'!#REF!,'G&amp;V'!#REF!</definedName>
    <definedName name="Z_D684DB5E_AF6D_4572_98AF_506011F2B63D_.wvu.PrintArea" localSheetId="6" hidden="1">'G&amp;V'!$B$4:$E$82</definedName>
    <definedName name="Z_D684DB5E_AF6D_4572_98AF_506011F2B63D_.wvu.PrintTitles" localSheetId="6" hidden="1">'G&amp;V'!$4:$5</definedName>
    <definedName name="Z_D684DB5E_AF6D_4572_98AF_506011F2B63D_.wvu.Rows" localSheetId="6" hidden="1">'G&amp;V'!#REF!,'G&amp;V'!#REF!,'G&amp;V'!#REF!,'G&amp;V'!#REF!,'G&amp;V'!#REF!,'G&amp;V'!#REF!,'G&amp;V'!$17:$17,'G&amp;V'!#REF!,'G&amp;V'!#REF!,'G&amp;V'!#REF!,'G&amp;V'!$27:$27,'G&amp;V'!#REF!,'G&amp;V'!#REF!,'G&amp;V'!#REF!,'G&amp;V'!$50:$50,'G&amp;V'!#REF!,'G&amp;V'!#REF!,'G&amp;V'!#REF!,'G&amp;V'!#REF!,'G&amp;V'!#REF!,'G&amp;V'!#REF!,'G&amp;V'!#REF!,'G&amp;V'!#REF!,'G&amp;V'!#REF!,'G&amp;V'!#REF!</definedName>
    <definedName name="Z_EBD67FEC_E514_4A9C_8103_B5EFC82457B9_.wvu.PrintArea" localSheetId="6" hidden="1">'G&amp;V'!$B$4:$E$82</definedName>
    <definedName name="Z_EBD67FEC_E514_4A9C_8103_B5EFC82457B9_.wvu.PrintTitles" localSheetId="6" hidden="1">'G&amp;V'!$4:$5</definedName>
    <definedName name="Z_EBD67FEC_E514_4A9C_8103_B5EFC82457B9_.wvu.Rows" localSheetId="6" hidden="1">'G&amp;V'!#REF!,'G&amp;V'!#REF!,'G&amp;V'!#REF!,'G&amp;V'!#REF!,'G&amp;V'!#REF!,'G&amp;V'!#REF!,'G&amp;V'!$17:$17,'G&amp;V'!#REF!,'G&amp;V'!#REF!,'G&amp;V'!#REF!,'G&amp;V'!$27:$27,'G&amp;V'!#REF!,'G&amp;V'!#REF!,'G&amp;V'!#REF!,'G&amp;V'!$50:$50,'G&amp;V'!#REF!,'G&amp;V'!#REF!,'G&amp;V'!#REF!,'G&amp;V'!#REF!,'G&amp;V'!#REF!,'G&amp;V'!#REF!,'G&amp;V'!#REF!,'G&amp;V'!#REF!,'G&amp;V'!#REF!,'G&amp;V'!#REF!</definedName>
    <definedName name="Z_EF338549_4927_434F_86FC_3D97DBF9BE5B_.wvu.PrintArea" localSheetId="6" hidden="1">'G&amp;V'!$B$4:$E$82</definedName>
    <definedName name="Z_EF338549_4927_434F_86FC_3D97DBF9BE5B_.wvu.PrintTitles" localSheetId="6" hidden="1">'G&amp;V'!$4:$5</definedName>
    <definedName name="Z_EF338549_4927_434F_86FC_3D97DBF9BE5B_.wvu.Rows" localSheetId="6" hidden="1">'G&amp;V'!#REF!,'G&amp;V'!#REF!,'G&amp;V'!#REF!,'G&amp;V'!#REF!,'G&amp;V'!#REF!,'G&amp;V'!#REF!,'G&amp;V'!$17:$17,'G&amp;V'!#REF!,'G&amp;V'!#REF!,'G&amp;V'!#REF!,'G&amp;V'!$27:$27,'G&amp;V'!#REF!,'G&amp;V'!#REF!,'G&amp;V'!#REF!,'G&amp;V'!$50:$50,'G&amp;V'!#REF!,'G&amp;V'!#REF!,'G&amp;V'!#REF!,'G&amp;V'!#REF!,'G&amp;V'!#REF!,'G&amp;V'!#REF!,'G&amp;V'!#REF!,'G&amp;V'!#REF!,'G&amp;V'!#REF!,'G&amp;V'!#REF!</definedName>
    <definedName name="Zahl_VzA_Überkingen" localSheetId="13">#REF!</definedName>
    <definedName name="Zahl_VzA_Überkingen" localSheetId="4">#REF!</definedName>
    <definedName name="Zahl_VzA_Überkingen" localSheetId="32">#REF!</definedName>
    <definedName name="Zahl_VzA_Überkingen" localSheetId="19">#REF!</definedName>
    <definedName name="Zahl_VzA_Überkingen">#REF!</definedName>
    <definedName name="Zahlungen" localSheetId="13">Raten_pro_Jahr*Laufzeit</definedName>
    <definedName name="Zahlungen" localSheetId="10">Raten_pro_Jahr*Laufzeit</definedName>
    <definedName name="Zahlungen" localSheetId="4">Raten_pro_Jahr*Laufzeit</definedName>
    <definedName name="Zahlungen" localSheetId="32">Raten_pro_Jahr*Laufzeit</definedName>
    <definedName name="Zahlungen">Raten_pro_Jahr*Laufzeit</definedName>
    <definedName name="Zeige_Datum" localSheetId="13">IF('[10]1'!XFD1&lt;&gt;"",DATE(YEAR(Rate_fällig_am),MONTH(Rate_fällig_am)+('[10]1'!XFD1-1)*12/Raten_pro_Jahr,DAY(Rate_fällig_am)),"")</definedName>
    <definedName name="Zeige_Datum" localSheetId="10">IF('[10]1'!XFD1&lt;&gt;"",DATE(YEAR(Rate_fällig_am),MONTH(Rate_fällig_am)+('[10]1'!XFD1-1)*12/Raten_pro_Jahr,DAY(Rate_fällig_am)),"")</definedName>
    <definedName name="Zeige_Datum" localSheetId="4">IF('[10]1'!XFD1&lt;&gt;"",DATE(YEAR(Rate_fällig_am),MONTH(Rate_fällig_am)+('[10]1'!XFD1-1)*12/Raten_pro_Jahr,DAY(Rate_fällig_am)),"")</definedName>
    <definedName name="Zeige_Datum" localSheetId="32">IF('[10]1'!XFD1&lt;&gt;"",DATE(YEAR(Rate_fällig_am),MONTH(Rate_fällig_am)+('[10]1'!XFD1-1)*12/Raten_pro_Jahr,DAY(Rate_fällig_am)),"")</definedName>
    <definedName name="Zeige_Datum">IF('[10]1'!XFD1&lt;&gt;"",DATE(YEAR(Rate_fällig_am),MONTH(Rate_fällig_am)+('[10]1'!XFD1-1)*12/Raten_pro_Jahr,DAY(Rate_fällig_am)),"")</definedName>
    <definedName name="Zins" localSheetId="13">IF('[10]1'!XFB1&lt;&gt;"",'[10]1'!XFD1*Berein.!Periodische_Rate,"")</definedName>
    <definedName name="Zins" localSheetId="10">IF('[10]1'!XFB1&lt;&gt;"",'[10]1'!XFD1*'Current Trading'!Periodische_Rate,"")</definedName>
    <definedName name="Zins" localSheetId="4">IF('[10]1'!XFB1&lt;&gt;"",'[10]1'!XFD1*FDB!Periodische_Rate,"")</definedName>
    <definedName name="Zins" localSheetId="32">IF('[10]1'!XFB1&lt;&gt;"",'[10]1'!XFD1*Financials_Input!Periodische_Rate,"")</definedName>
    <definedName name="Zins">IF('[10]1'!XFB1&lt;&gt;"",'[10]1'!XFD1*Periodische_Rate,"")</definedName>
    <definedName name="Zinssatz">'[10]1'!$C$8</definedName>
    <definedName name="ZwischenlagerHV">#REF!</definedName>
    <definedName name="zz" localSheetId="13" hidden="1">{"Übersicht Bilanzen",#N/A,TRUE,"Übersicht Bilanz";"Übersicht G+V",#N/A,TRUE,"Übersicht G+V";"GuV 1997",#N/A,TRUE,"GuV 1997";"GuV 1998",#N/A,TRUE,"GuV 1998";"GuV 1999",#N/A,TRUE,"GuV 1999";"GuV 2000",#N/A,TRUE,"GuV 2000";"Übersicht Bereinigungen",#N/A,TRUE,"Bereinigungen";"Ist+Plan",#N/A,TRUE,"Ist + Plan"}</definedName>
    <definedName name="zz" localSheetId="10" hidden="1">{"Übersicht Bilanzen",#N/A,TRUE,"Übersicht Bilanz";"Übersicht G+V",#N/A,TRUE,"Übersicht G+V";"GuV 1997",#N/A,TRUE,"GuV 1997";"GuV 1998",#N/A,TRUE,"GuV 1998";"GuV 1999",#N/A,TRUE,"GuV 1999";"GuV 2000",#N/A,TRUE,"GuV 2000";"Übersicht Bereinigungen",#N/A,TRUE,"Bereinigungen";"Ist+Plan",#N/A,TRUE,"Ist + Plan"}</definedName>
    <definedName name="zz" localSheetId="4" hidden="1">{"Übersicht Bilanzen",#N/A,TRUE,"Übersicht Bilanz";"Übersicht G+V",#N/A,TRUE,"Übersicht G+V";"GuV 1997",#N/A,TRUE,"GuV 1997";"GuV 1998",#N/A,TRUE,"GuV 1998";"GuV 1999",#N/A,TRUE,"GuV 1999";"GuV 2000",#N/A,TRUE,"GuV 2000";"Übersicht Bereinigungen",#N/A,TRUE,"Bereinigungen";"Ist+Plan",#N/A,TRUE,"Ist + Plan"}</definedName>
    <definedName name="zz" localSheetId="32" hidden="1">{"Übersicht Bilanzen",#N/A,TRUE,"Übersicht Bilanz";"Übersicht G+V",#N/A,TRUE,"Übersicht G+V";"GuV 1997",#N/A,TRUE,"GuV 1997";"GuV 1998",#N/A,TRUE,"GuV 1998";"GuV 1999",#N/A,TRUE,"GuV 1999";"GuV 2000",#N/A,TRUE,"GuV 2000";"Übersicht Bereinigungen",#N/A,TRUE,"Bereinigungen";"Ist+Plan",#N/A,TRUE,"Ist + Plan"}</definedName>
    <definedName name="zz" hidden="1">{"Übersicht Bilanzen",#N/A,TRUE,"Übersicht Bilanz";"Übersicht G+V",#N/A,TRUE,"Übersicht G+V";"GuV 1997",#N/A,TRUE,"GuV 1997";"GuV 1998",#N/A,TRUE,"GuV 1998";"GuV 1999",#N/A,TRUE,"GuV 1999";"GuV 2000",#N/A,TRUE,"GuV 2000";"Übersicht Bereinigungen",#N/A,TRUE,"Bereinigungen";"Ist+Plan",#N/A,TRUE,"Ist + Plan"}</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6" i="84" l="1"/>
  <c r="F25" i="84"/>
  <c r="F35" i="84"/>
  <c r="F37" i="84"/>
  <c r="F12" i="84"/>
  <c r="F24" i="84"/>
  <c r="F26" i="84"/>
  <c r="F33" i="84"/>
  <c r="F32" i="84"/>
  <c r="F31" i="84"/>
  <c r="F30" i="84"/>
  <c r="F34" i="84"/>
  <c r="F38" i="84"/>
  <c r="F7" i="84"/>
  <c r="F9" i="84"/>
  <c r="F10" i="84"/>
  <c r="F11" i="84"/>
  <c r="F13" i="84"/>
  <c r="F14" i="84"/>
  <c r="F18" i="84"/>
  <c r="F19" i="84"/>
  <c r="F20" i="84"/>
  <c r="F21" i="84"/>
  <c r="G12" i="84"/>
  <c r="F26" i="81"/>
  <c r="G32" i="84"/>
  <c r="G33" i="84"/>
  <c r="G34" i="84"/>
  <c r="G35" i="84"/>
  <c r="G26" i="81"/>
  <c r="E49" i="81"/>
  <c r="G11" i="82"/>
  <c r="F11" i="82"/>
  <c r="G10" i="82"/>
  <c r="F10" i="82"/>
  <c r="E10" i="82"/>
  <c r="E11" i="82"/>
  <c r="E12" i="82"/>
  <c r="F12" i="82"/>
  <c r="G12" i="82"/>
  <c r="E141" i="179"/>
  <c r="C141" i="179"/>
  <c r="E143" i="179"/>
  <c r="C137" i="179"/>
  <c r="G9" i="82"/>
  <c r="F9" i="82"/>
  <c r="E9" i="82"/>
  <c r="G27" i="82"/>
  <c r="F27" i="82"/>
  <c r="E27" i="82"/>
  <c r="G26" i="82"/>
  <c r="F26" i="82"/>
  <c r="E26" i="82"/>
  <c r="G25" i="82"/>
  <c r="F25" i="82"/>
  <c r="E25" i="82"/>
  <c r="G23" i="82"/>
  <c r="F23" i="82"/>
  <c r="E23" i="82"/>
  <c r="C77" i="179"/>
  <c r="G43" i="81"/>
  <c r="F43" i="81"/>
  <c r="E43" i="81"/>
  <c r="G41" i="81"/>
  <c r="F41" i="81"/>
  <c r="E41" i="81"/>
  <c r="G53" i="179"/>
  <c r="G37" i="81"/>
  <c r="F37" i="81"/>
  <c r="E37" i="81"/>
  <c r="G36" i="81"/>
  <c r="F36" i="81"/>
  <c r="E36" i="81"/>
  <c r="G35" i="81"/>
  <c r="F35" i="81"/>
  <c r="E35" i="81"/>
  <c r="G32" i="81"/>
  <c r="F32" i="81"/>
  <c r="E32" i="81"/>
  <c r="G31" i="81"/>
  <c r="F31" i="81"/>
  <c r="E31" i="81"/>
  <c r="G30" i="81"/>
  <c r="F30" i="81"/>
  <c r="E30" i="81"/>
  <c r="G29" i="81"/>
  <c r="F29" i="81"/>
  <c r="E29" i="81"/>
  <c r="G24" i="81"/>
  <c r="G23" i="81"/>
  <c r="G21" i="81"/>
  <c r="F24" i="81"/>
  <c r="F23" i="81"/>
  <c r="F22" i="81"/>
  <c r="F21" i="81"/>
  <c r="E24" i="81"/>
  <c r="E23" i="81"/>
  <c r="E21" i="81"/>
  <c r="G18" i="81"/>
  <c r="G22" i="81"/>
  <c r="E22" i="81"/>
  <c r="F18" i="81"/>
  <c r="E18" i="81"/>
  <c r="G17" i="81"/>
  <c r="F17" i="81"/>
  <c r="E17" i="81"/>
  <c r="G16" i="81"/>
  <c r="F16" i="81"/>
  <c r="E16" i="81"/>
  <c r="G15" i="81"/>
  <c r="F15" i="81"/>
  <c r="E15" i="81"/>
  <c r="G10" i="81"/>
  <c r="F10" i="81"/>
  <c r="E10" i="81"/>
  <c r="G76" i="106"/>
  <c r="F76" i="106"/>
  <c r="E76" i="106"/>
  <c r="C85" i="178"/>
  <c r="E54" i="106"/>
  <c r="G57" i="106"/>
  <c r="F57" i="106"/>
  <c r="E57" i="106"/>
  <c r="G56" i="106"/>
  <c r="F56" i="106"/>
  <c r="E56" i="106"/>
  <c r="G36" i="106"/>
  <c r="F36" i="106"/>
  <c r="E36" i="106"/>
  <c r="G27" i="106"/>
  <c r="G26" i="106"/>
  <c r="F27" i="106"/>
  <c r="F26" i="106"/>
  <c r="E27" i="106"/>
  <c r="E26" i="106"/>
  <c r="C98" i="178"/>
  <c r="E100" i="178" s="1"/>
  <c r="C86" i="178"/>
  <c r="C82" i="178"/>
  <c r="C75" i="178"/>
  <c r="C63" i="178"/>
  <c r="G63" i="178"/>
  <c r="C43" i="178"/>
  <c r="C24" i="178"/>
  <c r="E24" i="178"/>
  <c r="F73" i="178" s="1"/>
  <c r="G24" i="178"/>
  <c r="H28" i="178" s="1"/>
  <c r="G31" i="106"/>
  <c r="F31" i="106"/>
  <c r="E31" i="106"/>
  <c r="G9" i="106"/>
  <c r="F9" i="106"/>
  <c r="E9" i="106"/>
  <c r="E10" i="106"/>
  <c r="G125" i="179"/>
  <c r="E125" i="179"/>
  <c r="C125" i="179"/>
  <c r="G117" i="179"/>
  <c r="G137" i="179" s="1"/>
  <c r="E117" i="179"/>
  <c r="E137" i="179" s="1"/>
  <c r="C117" i="179"/>
  <c r="G92" i="179"/>
  <c r="E92" i="179"/>
  <c r="C92" i="179"/>
  <c r="G77" i="179"/>
  <c r="E77" i="179"/>
  <c r="E53" i="179"/>
  <c r="E60" i="179" s="1"/>
  <c r="C53" i="179"/>
  <c r="G45" i="179"/>
  <c r="E45" i="179"/>
  <c r="C45" i="179"/>
  <c r="E37" i="179"/>
  <c r="C37" i="179"/>
  <c r="G35" i="179"/>
  <c r="G37" i="179" s="1"/>
  <c r="E35" i="179"/>
  <c r="C35" i="179"/>
  <c r="G27" i="179"/>
  <c r="E27" i="179"/>
  <c r="C27" i="179"/>
  <c r="G16" i="179"/>
  <c r="E16" i="179"/>
  <c r="C16" i="179"/>
  <c r="F12" i="179"/>
  <c r="C40" i="178"/>
  <c r="C8" i="178"/>
  <c r="G104" i="178"/>
  <c r="G106" i="178" s="1"/>
  <c r="G100" i="178"/>
  <c r="G98" i="178"/>
  <c r="E98" i="178"/>
  <c r="G82" i="178"/>
  <c r="E82" i="178"/>
  <c r="G75" i="178"/>
  <c r="E75" i="178"/>
  <c r="E63" i="178"/>
  <c r="E86" i="178" s="1"/>
  <c r="G43" i="178"/>
  <c r="E43" i="178"/>
  <c r="G40" i="178"/>
  <c r="E40" i="178"/>
  <c r="G36" i="178"/>
  <c r="E36" i="178"/>
  <c r="C36" i="178"/>
  <c r="G33" i="178"/>
  <c r="E33" i="178"/>
  <c r="C33" i="178"/>
  <c r="G8" i="178"/>
  <c r="G37" i="84"/>
  <c r="F39" i="84" l="1"/>
  <c r="G143" i="179"/>
  <c r="H79" i="179" s="1"/>
  <c r="C104" i="178"/>
  <c r="C106" i="178" s="1"/>
  <c r="C107" i="178" s="1"/>
  <c r="F8" i="178"/>
  <c r="F75" i="178"/>
  <c r="F34" i="178"/>
  <c r="F44" i="178"/>
  <c r="F12" i="178"/>
  <c r="F35" i="178"/>
  <c r="F81" i="178"/>
  <c r="F21" i="178"/>
  <c r="F84" i="178"/>
  <c r="F36" i="178"/>
  <c r="F82" i="178"/>
  <c r="F59" i="178"/>
  <c r="F27" i="178"/>
  <c r="F37" i="178"/>
  <c r="F86" i="178"/>
  <c r="E85" i="178"/>
  <c r="F85" i="178" s="1"/>
  <c r="F98" i="178"/>
  <c r="F43" i="178"/>
  <c r="F11" i="178"/>
  <c r="F79" i="178"/>
  <c r="F45" i="178"/>
  <c r="F48" i="178"/>
  <c r="F55" i="178"/>
  <c r="F26" i="178"/>
  <c r="F28" i="178"/>
  <c r="F40" i="178"/>
  <c r="F70" i="178"/>
  <c r="F88" i="178"/>
  <c r="F42" i="178"/>
  <c r="F33" i="178"/>
  <c r="F29" i="178"/>
  <c r="F71" i="178"/>
  <c r="F90" i="178"/>
  <c r="F31" i="178"/>
  <c r="F41" i="178"/>
  <c r="H43" i="178"/>
  <c r="H75" i="178"/>
  <c r="H44" i="178"/>
  <c r="H36" i="178"/>
  <c r="H11" i="178"/>
  <c r="G107" i="178"/>
  <c r="E66" i="179"/>
  <c r="G66" i="179"/>
  <c r="H53" i="179" s="1"/>
  <c r="D12" i="179"/>
  <c r="H12" i="179"/>
  <c r="C60" i="179"/>
  <c r="G141" i="179"/>
  <c r="C143" i="179"/>
  <c r="D137" i="179" s="1"/>
  <c r="F125" i="179"/>
  <c r="D81" i="178"/>
  <c r="D80" i="178"/>
  <c r="D29" i="178"/>
  <c r="D45" i="178"/>
  <c r="D37" i="178"/>
  <c r="D88" i="178"/>
  <c r="D12" i="178"/>
  <c r="D33" i="178"/>
  <c r="D82" i="178"/>
  <c r="D98" i="178"/>
  <c r="D40" i="178"/>
  <c r="D86" i="178"/>
  <c r="D63" i="178"/>
  <c r="H79" i="178"/>
  <c r="H71" i="178"/>
  <c r="H55" i="178"/>
  <c r="H27" i="178"/>
  <c r="H76" i="178"/>
  <c r="H70" i="178"/>
  <c r="H48" i="178"/>
  <c r="H35" i="178"/>
  <c r="H31" i="178"/>
  <c r="H26" i="178"/>
  <c r="H21" i="178"/>
  <c r="H90" i="178"/>
  <c r="G85" i="178"/>
  <c r="H85" i="178" s="1"/>
  <c r="H45" i="178"/>
  <c r="H42" i="178"/>
  <c r="H37" i="178"/>
  <c r="H34" i="178"/>
  <c r="H29" i="178"/>
  <c r="G25" i="178"/>
  <c r="H12" i="178"/>
  <c r="H24" i="178" s="1"/>
  <c r="H88" i="178"/>
  <c r="H81" i="178"/>
  <c r="H33" i="178"/>
  <c r="H40" i="178"/>
  <c r="D73" i="178"/>
  <c r="D59" i="178"/>
  <c r="D44" i="178"/>
  <c r="D41" i="178"/>
  <c r="D28" i="178"/>
  <c r="D11" i="178"/>
  <c r="D84" i="178"/>
  <c r="D79" i="178"/>
  <c r="C65" i="178"/>
  <c r="D65" i="178" s="1"/>
  <c r="D71" i="178"/>
  <c r="D55" i="178"/>
  <c r="D27" i="178"/>
  <c r="D22" i="178"/>
  <c r="D70" i="178"/>
  <c r="D48" i="178"/>
  <c r="D35" i="178"/>
  <c r="D31" i="178"/>
  <c r="D26" i="178"/>
  <c r="D21" i="178"/>
  <c r="D90" i="178"/>
  <c r="E25" i="178"/>
  <c r="D34" i="178"/>
  <c r="H41" i="178"/>
  <c r="H73" i="178"/>
  <c r="H82" i="178"/>
  <c r="H98" i="178"/>
  <c r="H8" i="178"/>
  <c r="D42" i="178"/>
  <c r="H59" i="178"/>
  <c r="H84" i="178"/>
  <c r="D36" i="178"/>
  <c r="H60" i="178"/>
  <c r="D75" i="178"/>
  <c r="D85" i="178"/>
  <c r="E104" i="178"/>
  <c r="F63" i="178"/>
  <c r="D8" i="178"/>
  <c r="G105" i="178"/>
  <c r="E65" i="178"/>
  <c r="H35" i="179" l="1"/>
  <c r="H16" i="179"/>
  <c r="H76" i="179"/>
  <c r="H112" i="179"/>
  <c r="H81" i="179"/>
  <c r="H125" i="179"/>
  <c r="H120" i="179"/>
  <c r="H122" i="179"/>
  <c r="G145" i="179"/>
  <c r="H71" i="179"/>
  <c r="H72" i="179"/>
  <c r="H134" i="179"/>
  <c r="H143" i="179"/>
  <c r="H85" i="179"/>
  <c r="H137" i="179"/>
  <c r="H92" i="179"/>
  <c r="H77" i="179"/>
  <c r="H141" i="179"/>
  <c r="H131" i="179"/>
  <c r="H124" i="179"/>
  <c r="H70" i="179"/>
  <c r="H117" i="179"/>
  <c r="H91" i="179"/>
  <c r="F117" i="179"/>
  <c r="F92" i="179"/>
  <c r="F141" i="179"/>
  <c r="C105" i="178"/>
  <c r="F24" i="178"/>
  <c r="F58" i="179"/>
  <c r="F48" i="179"/>
  <c r="F41" i="179"/>
  <c r="F63" i="179"/>
  <c r="F47" i="179"/>
  <c r="F34" i="179"/>
  <c r="F20" i="179"/>
  <c r="F62" i="179"/>
  <c r="F18" i="179"/>
  <c r="F50" i="179"/>
  <c r="F19" i="179"/>
  <c r="F35" i="179"/>
  <c r="F60" i="179"/>
  <c r="D125" i="179"/>
  <c r="D77" i="179"/>
  <c r="F45" i="179"/>
  <c r="F37" i="179"/>
  <c r="H58" i="179"/>
  <c r="H48" i="179"/>
  <c r="H41" i="179"/>
  <c r="H26" i="179"/>
  <c r="H63" i="179"/>
  <c r="H47" i="179"/>
  <c r="H34" i="179"/>
  <c r="H20" i="179"/>
  <c r="H62" i="179"/>
  <c r="H60" i="179"/>
  <c r="H45" i="179"/>
  <c r="G67" i="179"/>
  <c r="H19" i="179"/>
  <c r="H50" i="179"/>
  <c r="H18" i="179"/>
  <c r="H27" i="179"/>
  <c r="C66" i="179"/>
  <c r="D60" i="179"/>
  <c r="D129" i="179"/>
  <c r="D122" i="179"/>
  <c r="D112" i="179"/>
  <c r="D85" i="179"/>
  <c r="D72" i="179"/>
  <c r="D120" i="179"/>
  <c r="D81" i="179"/>
  <c r="D76" i="179"/>
  <c r="D71" i="179"/>
  <c r="D143" i="179"/>
  <c r="D75" i="179"/>
  <c r="C145" i="179"/>
  <c r="D124" i="179"/>
  <c r="D91" i="179"/>
  <c r="D70" i="179"/>
  <c r="D74" i="179"/>
  <c r="D73" i="179"/>
  <c r="D79" i="179"/>
  <c r="D134" i="179"/>
  <c r="D117" i="179"/>
  <c r="D141" i="179"/>
  <c r="E145" i="179"/>
  <c r="F131" i="179"/>
  <c r="F122" i="179"/>
  <c r="F112" i="179"/>
  <c r="F85" i="179"/>
  <c r="F72" i="179"/>
  <c r="F120" i="179"/>
  <c r="F81" i="179"/>
  <c r="F76" i="179"/>
  <c r="F71" i="179"/>
  <c r="F143" i="179"/>
  <c r="F75" i="179"/>
  <c r="F79" i="179"/>
  <c r="F70" i="179"/>
  <c r="F74" i="179"/>
  <c r="F124" i="179"/>
  <c r="F73" i="179"/>
  <c r="F91" i="179"/>
  <c r="F134" i="179"/>
  <c r="F77" i="179"/>
  <c r="D92" i="179"/>
  <c r="F137" i="179"/>
  <c r="F53" i="179"/>
  <c r="F16" i="179"/>
  <c r="H37" i="179"/>
  <c r="F27" i="179"/>
  <c r="D43" i="178"/>
  <c r="E106" i="178"/>
  <c r="E107" i="178" s="1"/>
  <c r="E105" i="178"/>
  <c r="D24" i="178"/>
  <c r="E69" i="178"/>
  <c r="F65" i="178"/>
  <c r="G86" i="178"/>
  <c r="H86" i="178" s="1"/>
  <c r="H63" i="178"/>
  <c r="G65" i="178"/>
  <c r="G7" i="82"/>
  <c r="F7" i="82"/>
  <c r="E7" i="82"/>
  <c r="E14" i="81"/>
  <c r="F14" i="81"/>
  <c r="G14" i="81"/>
  <c r="Z9" i="158" a="1"/>
  <c r="Z9" i="158" s="1"/>
  <c r="AA9" i="158" a="1"/>
  <c r="AA9" i="158" s="1"/>
  <c r="Z10" i="158" a="1"/>
  <c r="Z10" i="158" s="1"/>
  <c r="AA10" i="158" a="1"/>
  <c r="AA10" i="158" s="1"/>
  <c r="Z11" i="158" a="1"/>
  <c r="Z11" i="158" s="1"/>
  <c r="AA11" i="158" a="1"/>
  <c r="AA11" i="158" s="1"/>
  <c r="Z12" i="158" a="1"/>
  <c r="Z12" i="158" s="1"/>
  <c r="AA12" i="158" a="1"/>
  <c r="AA12" i="158" s="1"/>
  <c r="Z13" i="158" a="1"/>
  <c r="Z13" i="158" s="1"/>
  <c r="AA13" i="158" a="1"/>
  <c r="AA13" i="158" s="1"/>
  <c r="Z14" i="158" a="1"/>
  <c r="Z14" i="158" s="1"/>
  <c r="AA14" i="158" a="1"/>
  <c r="AA14" i="158" s="1"/>
  <c r="Z15" i="158" a="1"/>
  <c r="Z15" i="158" s="1"/>
  <c r="AA15" i="158" a="1"/>
  <c r="AA15" i="158" s="1"/>
  <c r="Z16" i="158" a="1"/>
  <c r="Z16" i="158" s="1"/>
  <c r="AA16" i="158" a="1"/>
  <c r="AA16" i="158" s="1"/>
  <c r="Z17" i="158" a="1"/>
  <c r="Z17" i="158" s="1"/>
  <c r="AA17" i="158" a="1"/>
  <c r="AA17" i="158" s="1"/>
  <c r="Z18" i="158" a="1"/>
  <c r="Z18" i="158" s="1"/>
  <c r="AA18" i="158" a="1"/>
  <c r="AA18" i="158" s="1"/>
  <c r="Z19" i="158" a="1"/>
  <c r="Z19" i="158" s="1"/>
  <c r="AA19" i="158" a="1"/>
  <c r="AA19" i="158" s="1"/>
  <c r="Z20" i="158" a="1"/>
  <c r="Z20" i="158" s="1"/>
  <c r="AA20" i="158" a="1"/>
  <c r="AA20" i="158" s="1"/>
  <c r="Z21" i="158" a="1"/>
  <c r="Z21" i="158" s="1"/>
  <c r="AA21" i="158" a="1"/>
  <c r="AA21" i="158" s="1"/>
  <c r="Z22" i="158" a="1"/>
  <c r="Z22" i="158" s="1"/>
  <c r="AA22" i="158" a="1"/>
  <c r="AA22" i="158" s="1"/>
  <c r="Z23" i="158" a="1"/>
  <c r="Z23" i="158" s="1"/>
  <c r="AA23" i="158" a="1"/>
  <c r="AA23" i="158" s="1"/>
  <c r="Z24" i="158" a="1"/>
  <c r="Z24" i="158" s="1"/>
  <c r="AA24" i="158" a="1"/>
  <c r="AA24" i="158" s="1"/>
  <c r="Z25" i="158" a="1"/>
  <c r="Z25" i="158" s="1"/>
  <c r="AA25" i="158" a="1"/>
  <c r="AA25" i="158" s="1"/>
  <c r="Z26" i="158" a="1"/>
  <c r="Z26" i="158" s="1"/>
  <c r="AA26" i="158" a="1"/>
  <c r="AA26" i="158" s="1"/>
  <c r="Z27" i="158" a="1"/>
  <c r="Z27" i="158" s="1"/>
  <c r="AA27" i="158" a="1"/>
  <c r="AA27" i="158" s="1"/>
  <c r="AA8" i="158" a="1"/>
  <c r="AA8" i="158" s="1"/>
  <c r="Z8" i="158" a="1"/>
  <c r="Z8" i="158" s="1"/>
  <c r="T9" i="158" a="1"/>
  <c r="T9" i="158" s="1"/>
  <c r="U9" i="158" a="1"/>
  <c r="U9" i="158" s="1"/>
  <c r="T10" i="158" a="1"/>
  <c r="T10" i="158" s="1"/>
  <c r="U10" i="158" a="1"/>
  <c r="U10" i="158" s="1"/>
  <c r="T11" i="158" a="1"/>
  <c r="T11" i="158" s="1"/>
  <c r="U11" i="158" a="1"/>
  <c r="U11" i="158" s="1"/>
  <c r="T12" i="158" a="1"/>
  <c r="T12" i="158" s="1"/>
  <c r="U12" i="158" a="1"/>
  <c r="U12" i="158" s="1"/>
  <c r="T13" i="158" a="1"/>
  <c r="T13" i="158" s="1"/>
  <c r="U13" i="158" a="1"/>
  <c r="U13" i="158" s="1"/>
  <c r="T14" i="158" a="1"/>
  <c r="T14" i="158" s="1"/>
  <c r="U14" i="158" a="1"/>
  <c r="U14" i="158" s="1"/>
  <c r="T15" i="158" a="1"/>
  <c r="T15" i="158" s="1"/>
  <c r="U15" i="158" a="1"/>
  <c r="U15" i="158"/>
  <c r="T16" i="158" a="1"/>
  <c r="T16" i="158" s="1"/>
  <c r="U16" i="158" a="1"/>
  <c r="U16" i="158" s="1"/>
  <c r="T17" i="158" a="1"/>
  <c r="T17" i="158" s="1"/>
  <c r="U17" i="158" a="1"/>
  <c r="U17" i="158" s="1"/>
  <c r="T18" i="158" a="1"/>
  <c r="T18" i="158" s="1"/>
  <c r="U18" i="158" a="1"/>
  <c r="U18" i="158" s="1"/>
  <c r="T19" i="158" a="1"/>
  <c r="T19" i="158" s="1"/>
  <c r="U19" i="158" a="1"/>
  <c r="U19" i="158" s="1"/>
  <c r="T20" i="158" a="1"/>
  <c r="T20" i="158" s="1"/>
  <c r="U20" i="158" a="1"/>
  <c r="U20" i="158" s="1"/>
  <c r="T21" i="158" a="1"/>
  <c r="T21" i="158" s="1"/>
  <c r="U21" i="158" a="1"/>
  <c r="U21" i="158" s="1"/>
  <c r="T22" i="158" a="1"/>
  <c r="T22" i="158" s="1"/>
  <c r="U22" i="158" a="1"/>
  <c r="U22" i="158" s="1"/>
  <c r="T23" i="158" a="1"/>
  <c r="T23" i="158" s="1"/>
  <c r="U23" i="158" a="1"/>
  <c r="U23" i="158" s="1"/>
  <c r="T24" i="158" a="1"/>
  <c r="T24" i="158" s="1"/>
  <c r="U24" i="158" a="1"/>
  <c r="U24" i="158" s="1"/>
  <c r="T25" i="158" a="1"/>
  <c r="T25" i="158" s="1"/>
  <c r="U25" i="158" a="1"/>
  <c r="U25" i="158" s="1"/>
  <c r="T26" i="158" a="1"/>
  <c r="T26" i="158" s="1"/>
  <c r="U26" i="158" a="1"/>
  <c r="U26" i="158" s="1"/>
  <c r="T27" i="158" a="1"/>
  <c r="T27" i="158" s="1"/>
  <c r="U27" i="158" a="1"/>
  <c r="U27" i="158" s="1"/>
  <c r="U8" i="158" a="1"/>
  <c r="U8" i="158" s="1"/>
  <c r="T8" i="158" a="1"/>
  <c r="T8" i="158" s="1"/>
  <c r="N9" i="158" a="1"/>
  <c r="N9" i="158"/>
  <c r="O9" i="158" a="1"/>
  <c r="O9" i="158" s="1"/>
  <c r="N10" i="158" a="1"/>
  <c r="N10" i="158" s="1"/>
  <c r="O10" i="158" a="1"/>
  <c r="O10" i="158" s="1"/>
  <c r="N11" i="158" a="1"/>
  <c r="N11" i="158" s="1"/>
  <c r="O11" i="158" a="1"/>
  <c r="O11" i="158" s="1"/>
  <c r="N12" i="158" a="1"/>
  <c r="N12" i="158" s="1"/>
  <c r="O12" i="158" a="1"/>
  <c r="O12" i="158" s="1"/>
  <c r="N13" i="158" a="1"/>
  <c r="N13" i="158" s="1"/>
  <c r="O13" i="158" a="1"/>
  <c r="O13" i="158" s="1"/>
  <c r="N14" i="158" a="1"/>
  <c r="N14" i="158" s="1"/>
  <c r="O14" i="158" a="1"/>
  <c r="O14" i="158" s="1"/>
  <c r="N15" i="158" a="1"/>
  <c r="N15" i="158" s="1"/>
  <c r="O15" i="158" a="1"/>
  <c r="O15" i="158" s="1"/>
  <c r="N16" i="158" a="1"/>
  <c r="N16" i="158" s="1"/>
  <c r="O16" i="158" a="1"/>
  <c r="O16" i="158" s="1"/>
  <c r="N17" i="158" a="1"/>
  <c r="N17" i="158" s="1"/>
  <c r="O17" i="158" a="1"/>
  <c r="O17" i="158" s="1"/>
  <c r="N18" i="158" a="1"/>
  <c r="N18" i="158" s="1"/>
  <c r="O18" i="158" a="1"/>
  <c r="O18" i="158" s="1"/>
  <c r="N19" i="158" a="1"/>
  <c r="N19" i="158" s="1"/>
  <c r="O19" i="158" a="1"/>
  <c r="O19" i="158" s="1"/>
  <c r="N20" i="158" a="1"/>
  <c r="N20" i="158" s="1"/>
  <c r="O20" i="158" a="1"/>
  <c r="O20" i="158" s="1"/>
  <c r="N21" i="158" a="1"/>
  <c r="N21" i="158" s="1"/>
  <c r="O21" i="158" a="1"/>
  <c r="O21" i="158" s="1"/>
  <c r="N22" i="158" a="1"/>
  <c r="N22" i="158" s="1"/>
  <c r="O22" i="158" a="1"/>
  <c r="O22" i="158" s="1"/>
  <c r="N23" i="158" a="1"/>
  <c r="N23" i="158"/>
  <c r="O23" i="158" a="1"/>
  <c r="O23" i="158" s="1"/>
  <c r="N24" i="158" a="1"/>
  <c r="N24" i="158" s="1"/>
  <c r="O24" i="158" a="1"/>
  <c r="O24" i="158" s="1"/>
  <c r="N25" i="158" a="1"/>
  <c r="N25" i="158" s="1"/>
  <c r="O25" i="158" a="1"/>
  <c r="O25" i="158" s="1"/>
  <c r="N26" i="158" a="1"/>
  <c r="N26" i="158" s="1"/>
  <c r="O26" i="158" a="1"/>
  <c r="O26" i="158" s="1"/>
  <c r="N27" i="158" a="1"/>
  <c r="N27" i="158" s="1"/>
  <c r="O27" i="158" a="1"/>
  <c r="O27" i="158" s="1"/>
  <c r="O8" i="158" a="1"/>
  <c r="O8" i="158" s="1"/>
  <c r="N8" i="158" a="1"/>
  <c r="N8" i="158" s="1"/>
  <c r="X9" i="158" a="1"/>
  <c r="X9" i="158" s="1"/>
  <c r="Y9" i="158" a="1"/>
  <c r="Y9" i="158" s="1"/>
  <c r="X10" i="158" a="1"/>
  <c r="X10" i="158" s="1"/>
  <c r="Y10" i="158" a="1"/>
  <c r="Y10" i="158" s="1"/>
  <c r="X11" i="158" a="1"/>
  <c r="X11" i="158" s="1"/>
  <c r="Y11" i="158" a="1"/>
  <c r="Y11" i="158" s="1"/>
  <c r="X12" i="158" a="1"/>
  <c r="X12" i="158" s="1"/>
  <c r="Y12" i="158" a="1"/>
  <c r="Y12" i="158" s="1"/>
  <c r="X13" i="158" a="1"/>
  <c r="X13" i="158" s="1"/>
  <c r="Y13" i="158" a="1"/>
  <c r="Y13" i="158" s="1"/>
  <c r="X14" i="158" a="1"/>
  <c r="X14" i="158" s="1"/>
  <c r="Y14" i="158" a="1"/>
  <c r="Y14" i="158" s="1"/>
  <c r="X15" i="158" a="1"/>
  <c r="X15" i="158" s="1"/>
  <c r="Y15" i="158" a="1"/>
  <c r="Y15" i="158" s="1"/>
  <c r="X16" i="158" a="1"/>
  <c r="X16" i="158" s="1"/>
  <c r="Y16" i="158" a="1"/>
  <c r="Y16" i="158" s="1"/>
  <c r="X17" i="158" a="1"/>
  <c r="X17" i="158" s="1"/>
  <c r="Y17" i="158" a="1"/>
  <c r="Y17" i="158" s="1"/>
  <c r="X18" i="158" a="1"/>
  <c r="X18" i="158" s="1"/>
  <c r="Y18" i="158" a="1"/>
  <c r="Y18" i="158" s="1"/>
  <c r="X19" i="158" a="1"/>
  <c r="X19" i="158" s="1"/>
  <c r="Y19" i="158" a="1"/>
  <c r="Y19" i="158" s="1"/>
  <c r="X20" i="158" a="1"/>
  <c r="X20" i="158" s="1"/>
  <c r="Y20" i="158" a="1"/>
  <c r="Y20" i="158" s="1"/>
  <c r="X21" i="158" a="1"/>
  <c r="X21" i="158" s="1"/>
  <c r="Y21" i="158" a="1"/>
  <c r="Y21" i="158" s="1"/>
  <c r="X22" i="158" a="1"/>
  <c r="X22" i="158" s="1"/>
  <c r="Y22" i="158" a="1"/>
  <c r="Y22" i="158" s="1"/>
  <c r="X23" i="158" a="1"/>
  <c r="X23" i="158" s="1"/>
  <c r="Y23" i="158" a="1"/>
  <c r="Y23" i="158" s="1"/>
  <c r="X24" i="158" a="1"/>
  <c r="X24" i="158" s="1"/>
  <c r="Y24" i="158" a="1"/>
  <c r="Y24" i="158" s="1"/>
  <c r="X25" i="158" a="1"/>
  <c r="X25" i="158" s="1"/>
  <c r="Y25" i="158" a="1"/>
  <c r="Y25" i="158" s="1"/>
  <c r="X26" i="158" a="1"/>
  <c r="X26" i="158" s="1"/>
  <c r="Y26" i="158" a="1"/>
  <c r="Y26" i="158" s="1"/>
  <c r="X27" i="158" a="1"/>
  <c r="X27" i="158" s="1"/>
  <c r="Y27" i="158" a="1"/>
  <c r="Y27" i="158" s="1"/>
  <c r="W27" i="158" a="1"/>
  <c r="W27" i="158" s="1"/>
  <c r="V27" i="158" a="1"/>
  <c r="V27" i="158" s="1"/>
  <c r="S27" i="158" a="1"/>
  <c r="S27" i="158" s="1"/>
  <c r="R27" i="158" a="1"/>
  <c r="R27" i="158" s="1"/>
  <c r="Q27" i="158" a="1"/>
  <c r="Q27" i="158" s="1"/>
  <c r="P27" i="158" a="1"/>
  <c r="P27" i="158" s="1"/>
  <c r="M27" i="158" a="1"/>
  <c r="M27" i="158" s="1"/>
  <c r="L27" i="158" a="1"/>
  <c r="L27" i="158" s="1"/>
  <c r="K27" i="158" a="1"/>
  <c r="K27" i="158" s="1"/>
  <c r="J27" i="158" a="1"/>
  <c r="J27" i="158" s="1"/>
  <c r="G27" i="158" a="1"/>
  <c r="G27" i="158" s="1"/>
  <c r="F27" i="158" a="1"/>
  <c r="F27" i="158" s="1"/>
  <c r="E27" i="158" a="1"/>
  <c r="E27" i="158" s="1"/>
  <c r="D27" i="158" a="1"/>
  <c r="D27" i="158" s="1"/>
  <c r="W26" i="158" a="1"/>
  <c r="W26" i="158" s="1"/>
  <c r="V26" i="158" a="1"/>
  <c r="V26" i="158" s="1"/>
  <c r="S26" i="158" a="1"/>
  <c r="S26" i="158" s="1"/>
  <c r="R26" i="158" a="1"/>
  <c r="R26" i="158" s="1"/>
  <c r="Q26" i="158" a="1"/>
  <c r="Q26" i="158" s="1"/>
  <c r="P26" i="158" a="1"/>
  <c r="P26" i="158" s="1"/>
  <c r="M26" i="158" a="1"/>
  <c r="M26" i="158" s="1"/>
  <c r="L26" i="158" a="1"/>
  <c r="L26" i="158" s="1"/>
  <c r="K26" i="158" a="1"/>
  <c r="K26" i="158" s="1"/>
  <c r="J26" i="158" a="1"/>
  <c r="J26" i="158" s="1"/>
  <c r="G26" i="158" a="1"/>
  <c r="G26" i="158" s="1"/>
  <c r="F26" i="158" a="1"/>
  <c r="F26" i="158" s="1"/>
  <c r="E26" i="158" a="1"/>
  <c r="E26" i="158" s="1"/>
  <c r="D26" i="158" a="1"/>
  <c r="D26" i="158" s="1"/>
  <c r="W25" i="158" a="1"/>
  <c r="W25" i="158" s="1"/>
  <c r="V25" i="158" a="1"/>
  <c r="V25" i="158" s="1"/>
  <c r="S25" i="158" a="1"/>
  <c r="S25" i="158" s="1"/>
  <c r="R25" i="158" a="1"/>
  <c r="R25" i="158" s="1"/>
  <c r="Q25" i="158" a="1"/>
  <c r="Q25" i="158" s="1"/>
  <c r="P25" i="158" a="1"/>
  <c r="P25" i="158" s="1"/>
  <c r="M25" i="158" a="1"/>
  <c r="M25" i="158" s="1"/>
  <c r="L25" i="158" a="1"/>
  <c r="L25" i="158" s="1"/>
  <c r="K25" i="158" a="1"/>
  <c r="K25" i="158" s="1"/>
  <c r="J25" i="158" a="1"/>
  <c r="J25" i="158" s="1"/>
  <c r="G25" i="158" a="1"/>
  <c r="G25" i="158" s="1"/>
  <c r="F25" i="158" a="1"/>
  <c r="F25" i="158" s="1"/>
  <c r="E25" i="158" a="1"/>
  <c r="E25" i="158" s="1"/>
  <c r="D25" i="158" a="1"/>
  <c r="D25" i="158" s="1"/>
  <c r="W24" i="158" a="1"/>
  <c r="W24" i="158" s="1"/>
  <c r="V24" i="158" a="1"/>
  <c r="V24" i="158" s="1"/>
  <c r="S24" i="158" a="1"/>
  <c r="S24" i="158" s="1"/>
  <c r="R24" i="158" a="1"/>
  <c r="R24" i="158" s="1"/>
  <c r="Q24" i="158" a="1"/>
  <c r="Q24" i="158" s="1"/>
  <c r="P24" i="158" a="1"/>
  <c r="P24" i="158" s="1"/>
  <c r="M24" i="158" a="1"/>
  <c r="M24" i="158" s="1"/>
  <c r="L24" i="158" a="1"/>
  <c r="L24" i="158" s="1"/>
  <c r="K24" i="158" a="1"/>
  <c r="K24" i="158" s="1"/>
  <c r="J24" i="158" a="1"/>
  <c r="J24" i="158" s="1"/>
  <c r="G24" i="158" a="1"/>
  <c r="G24" i="158" s="1"/>
  <c r="F24" i="158" a="1"/>
  <c r="F24" i="158" s="1"/>
  <c r="E24" i="158" a="1"/>
  <c r="E24" i="158" s="1"/>
  <c r="D24" i="158" a="1"/>
  <c r="D24" i="158" s="1"/>
  <c r="W23" i="158" a="1"/>
  <c r="W23" i="158" s="1"/>
  <c r="V23" i="158" a="1"/>
  <c r="V23" i="158" s="1"/>
  <c r="S23" i="158" a="1"/>
  <c r="S23" i="158" s="1"/>
  <c r="R23" i="158" a="1"/>
  <c r="R23" i="158" s="1"/>
  <c r="Q23" i="158" a="1"/>
  <c r="Q23" i="158" s="1"/>
  <c r="P23" i="158" a="1"/>
  <c r="P23" i="158" s="1"/>
  <c r="M23" i="158" a="1"/>
  <c r="M23" i="158" s="1"/>
  <c r="L23" i="158" a="1"/>
  <c r="L23" i="158" s="1"/>
  <c r="K23" i="158" a="1"/>
  <c r="K23" i="158" s="1"/>
  <c r="J23" i="158" a="1"/>
  <c r="J23" i="158" s="1"/>
  <c r="G23" i="158" a="1"/>
  <c r="G23" i="158" s="1"/>
  <c r="F23" i="158" a="1"/>
  <c r="F23" i="158" s="1"/>
  <c r="E23" i="158" a="1"/>
  <c r="E23" i="158" s="1"/>
  <c r="D23" i="158" a="1"/>
  <c r="D23" i="158" s="1"/>
  <c r="W22" i="158" a="1"/>
  <c r="W22" i="158" s="1"/>
  <c r="V22" i="158" a="1"/>
  <c r="V22" i="158" s="1"/>
  <c r="S22" i="158" a="1"/>
  <c r="S22" i="158" s="1"/>
  <c r="R22" i="158" a="1"/>
  <c r="R22" i="158" s="1"/>
  <c r="Q22" i="158" a="1"/>
  <c r="Q22" i="158" s="1"/>
  <c r="P22" i="158" a="1"/>
  <c r="P22" i="158" s="1"/>
  <c r="M22" i="158" a="1"/>
  <c r="M22" i="158" s="1"/>
  <c r="L22" i="158" a="1"/>
  <c r="L22" i="158" s="1"/>
  <c r="K22" i="158" a="1"/>
  <c r="K22" i="158" s="1"/>
  <c r="J22" i="158" a="1"/>
  <c r="J22" i="158" s="1"/>
  <c r="G22" i="158" a="1"/>
  <c r="G22" i="158" s="1"/>
  <c r="F22" i="158" a="1"/>
  <c r="F22" i="158" s="1"/>
  <c r="E22" i="158" a="1"/>
  <c r="E22" i="158" s="1"/>
  <c r="D22" i="158" a="1"/>
  <c r="D22" i="158" s="1"/>
  <c r="W21" i="158" a="1"/>
  <c r="W21" i="158" s="1"/>
  <c r="V21" i="158" a="1"/>
  <c r="V21" i="158" s="1"/>
  <c r="S21" i="158" a="1"/>
  <c r="S21" i="158" s="1"/>
  <c r="R21" i="158" a="1"/>
  <c r="R21" i="158" s="1"/>
  <c r="Q21" i="158" a="1"/>
  <c r="Q21" i="158" s="1"/>
  <c r="P21" i="158" a="1"/>
  <c r="P21" i="158" s="1"/>
  <c r="M21" i="158" a="1"/>
  <c r="M21" i="158" s="1"/>
  <c r="L21" i="158" a="1"/>
  <c r="L21" i="158" s="1"/>
  <c r="K21" i="158" a="1"/>
  <c r="K21" i="158" s="1"/>
  <c r="J21" i="158" a="1"/>
  <c r="J21" i="158" s="1"/>
  <c r="G21" i="158" a="1"/>
  <c r="G21" i="158" s="1"/>
  <c r="F21" i="158" a="1"/>
  <c r="F21" i="158" s="1"/>
  <c r="E21" i="158" a="1"/>
  <c r="E21" i="158" s="1"/>
  <c r="D21" i="158" a="1"/>
  <c r="D21" i="158" s="1"/>
  <c r="W20" i="158" a="1"/>
  <c r="W20" i="158" s="1"/>
  <c r="V20" i="158" a="1"/>
  <c r="V20" i="158" s="1"/>
  <c r="S20" i="158" a="1"/>
  <c r="S20" i="158" s="1"/>
  <c r="R20" i="158" a="1"/>
  <c r="R20" i="158" s="1"/>
  <c r="Q20" i="158" a="1"/>
  <c r="Q20" i="158" s="1"/>
  <c r="P20" i="158" a="1"/>
  <c r="P20" i="158" s="1"/>
  <c r="M20" i="158" a="1"/>
  <c r="M20" i="158" s="1"/>
  <c r="L20" i="158" a="1"/>
  <c r="L20" i="158" s="1"/>
  <c r="K20" i="158" a="1"/>
  <c r="K20" i="158" s="1"/>
  <c r="J20" i="158" a="1"/>
  <c r="J20" i="158" s="1"/>
  <c r="G20" i="158" a="1"/>
  <c r="G20" i="158" s="1"/>
  <c r="F20" i="158" a="1"/>
  <c r="F20" i="158" s="1"/>
  <c r="E20" i="158" a="1"/>
  <c r="E20" i="158" s="1"/>
  <c r="D20" i="158" a="1"/>
  <c r="D20" i="158" s="1"/>
  <c r="W19" i="158" a="1"/>
  <c r="W19" i="158" s="1"/>
  <c r="V19" i="158" a="1"/>
  <c r="V19" i="158" s="1"/>
  <c r="S19" i="158" a="1"/>
  <c r="S19" i="158" s="1"/>
  <c r="R19" i="158" a="1"/>
  <c r="R19" i="158" s="1"/>
  <c r="Q19" i="158" a="1"/>
  <c r="Q19" i="158" s="1"/>
  <c r="P19" i="158" a="1"/>
  <c r="P19" i="158" s="1"/>
  <c r="M19" i="158" a="1"/>
  <c r="M19" i="158" s="1"/>
  <c r="L19" i="158" a="1"/>
  <c r="L19" i="158" s="1"/>
  <c r="K19" i="158" a="1"/>
  <c r="K19" i="158" s="1"/>
  <c r="J19" i="158" a="1"/>
  <c r="J19" i="158" s="1"/>
  <c r="G19" i="158" a="1"/>
  <c r="G19" i="158" s="1"/>
  <c r="F19" i="158" a="1"/>
  <c r="F19" i="158" s="1"/>
  <c r="E19" i="158" a="1"/>
  <c r="E19" i="158" s="1"/>
  <c r="D19" i="158" a="1"/>
  <c r="D19" i="158" s="1"/>
  <c r="W18" i="158" a="1"/>
  <c r="W18" i="158" s="1"/>
  <c r="V18" i="158" a="1"/>
  <c r="V18" i="158" s="1"/>
  <c r="S18" i="158" a="1"/>
  <c r="S18" i="158" s="1"/>
  <c r="R18" i="158" a="1"/>
  <c r="R18" i="158" s="1"/>
  <c r="Q18" i="158" a="1"/>
  <c r="Q18" i="158" s="1"/>
  <c r="P18" i="158" a="1"/>
  <c r="P18" i="158" s="1"/>
  <c r="M18" i="158" a="1"/>
  <c r="M18" i="158" s="1"/>
  <c r="L18" i="158" a="1"/>
  <c r="L18" i="158" s="1"/>
  <c r="K18" i="158" a="1"/>
  <c r="K18" i="158" s="1"/>
  <c r="J18" i="158" a="1"/>
  <c r="J18" i="158" s="1"/>
  <c r="G18" i="158" a="1"/>
  <c r="G18" i="158" s="1"/>
  <c r="F18" i="158" a="1"/>
  <c r="F18" i="158" s="1"/>
  <c r="E18" i="158" a="1"/>
  <c r="E18" i="158" s="1"/>
  <c r="D18" i="158"/>
  <c r="D18" i="158" a="1"/>
  <c r="W17" i="158" a="1"/>
  <c r="W17" i="158" s="1"/>
  <c r="V17" i="158" a="1"/>
  <c r="V17" i="158" s="1"/>
  <c r="S17" i="158" a="1"/>
  <c r="S17" i="158" s="1"/>
  <c r="R17" i="158" a="1"/>
  <c r="R17" i="158" s="1"/>
  <c r="Q17" i="158" a="1"/>
  <c r="Q17" i="158" s="1"/>
  <c r="P17" i="158" a="1"/>
  <c r="P17" i="158" s="1"/>
  <c r="M17" i="158" a="1"/>
  <c r="M17" i="158" s="1"/>
  <c r="L17" i="158" a="1"/>
  <c r="L17" i="158" s="1"/>
  <c r="K17" i="158" a="1"/>
  <c r="K17" i="158" s="1"/>
  <c r="J17" i="158" a="1"/>
  <c r="J17" i="158" s="1"/>
  <c r="G17" i="158" a="1"/>
  <c r="G17" i="158" s="1"/>
  <c r="F17" i="158" a="1"/>
  <c r="F17" i="158" s="1"/>
  <c r="E17" i="158" a="1"/>
  <c r="E17" i="158" s="1"/>
  <c r="D17" i="158" a="1"/>
  <c r="D17" i="158" s="1"/>
  <c r="W16" i="158" a="1"/>
  <c r="W16" i="158" s="1"/>
  <c r="V16" i="158" a="1"/>
  <c r="V16" i="158" s="1"/>
  <c r="S16" i="158" a="1"/>
  <c r="S16" i="158" s="1"/>
  <c r="R16" i="158" a="1"/>
  <c r="R16" i="158" s="1"/>
  <c r="Q16" i="158" a="1"/>
  <c r="Q16" i="158" s="1"/>
  <c r="P16" i="158" a="1"/>
  <c r="P16" i="158" s="1"/>
  <c r="M16" i="158" a="1"/>
  <c r="M16" i="158" s="1"/>
  <c r="L16" i="158" a="1"/>
  <c r="L16" i="158" s="1"/>
  <c r="K16" i="158" a="1"/>
  <c r="K16" i="158" s="1"/>
  <c r="J16" i="158" a="1"/>
  <c r="J16" i="158" s="1"/>
  <c r="G16" i="158" a="1"/>
  <c r="G16" i="158" s="1"/>
  <c r="F16" i="158" a="1"/>
  <c r="F16" i="158" s="1"/>
  <c r="E16" i="158" a="1"/>
  <c r="E16" i="158" s="1"/>
  <c r="D16" i="158" a="1"/>
  <c r="D16" i="158" s="1"/>
  <c r="W15" i="158" a="1"/>
  <c r="W15" i="158" s="1"/>
  <c r="V15" i="158" a="1"/>
  <c r="V15" i="158" s="1"/>
  <c r="S15" i="158" a="1"/>
  <c r="S15" i="158" s="1"/>
  <c r="R15" i="158" a="1"/>
  <c r="R15" i="158" s="1"/>
  <c r="Q15" i="158" a="1"/>
  <c r="Q15" i="158" s="1"/>
  <c r="P15" i="158" a="1"/>
  <c r="P15" i="158" s="1"/>
  <c r="M15" i="158" a="1"/>
  <c r="M15" i="158" s="1"/>
  <c r="L15" i="158" a="1"/>
  <c r="L15" i="158" s="1"/>
  <c r="K15" i="158" a="1"/>
  <c r="K15" i="158" s="1"/>
  <c r="J15" i="158" a="1"/>
  <c r="J15" i="158" s="1"/>
  <c r="G15" i="158" a="1"/>
  <c r="G15" i="158" s="1"/>
  <c r="F15" i="158" a="1"/>
  <c r="F15" i="158" s="1"/>
  <c r="E15" i="158" a="1"/>
  <c r="E15" i="158" s="1"/>
  <c r="D15" i="158" a="1"/>
  <c r="D15" i="158" s="1"/>
  <c r="W14" i="158" a="1"/>
  <c r="W14" i="158" s="1"/>
  <c r="V14" i="158" a="1"/>
  <c r="V14" i="158" s="1"/>
  <c r="S14" i="158" a="1"/>
  <c r="S14" i="158" s="1"/>
  <c r="R14" i="158" a="1"/>
  <c r="R14" i="158" s="1"/>
  <c r="Q14" i="158" a="1"/>
  <c r="Q14" i="158" s="1"/>
  <c r="P14" i="158" a="1"/>
  <c r="P14" i="158" s="1"/>
  <c r="M14" i="158" a="1"/>
  <c r="M14" i="158" s="1"/>
  <c r="L14" i="158" a="1"/>
  <c r="L14" i="158" s="1"/>
  <c r="K14" i="158" a="1"/>
  <c r="K14" i="158" s="1"/>
  <c r="J14" i="158" a="1"/>
  <c r="J14" i="158" s="1"/>
  <c r="G14" i="158" a="1"/>
  <c r="G14" i="158" s="1"/>
  <c r="F14" i="158" a="1"/>
  <c r="F14" i="158" s="1"/>
  <c r="E14" i="158" a="1"/>
  <c r="E14" i="158" s="1"/>
  <c r="D14" i="158" a="1"/>
  <c r="D14" i="158" s="1"/>
  <c r="W13" i="158" a="1"/>
  <c r="W13" i="158" s="1"/>
  <c r="V13" i="158" a="1"/>
  <c r="V13" i="158" s="1"/>
  <c r="S13" i="158" a="1"/>
  <c r="S13" i="158" s="1"/>
  <c r="R13" i="158" a="1"/>
  <c r="R13" i="158" s="1"/>
  <c r="Q13" i="158" a="1"/>
  <c r="Q13" i="158" s="1"/>
  <c r="P13" i="158" a="1"/>
  <c r="P13" i="158" s="1"/>
  <c r="M13" i="158" a="1"/>
  <c r="M13" i="158" s="1"/>
  <c r="L13" i="158" a="1"/>
  <c r="L13" i="158" s="1"/>
  <c r="K13" i="158" a="1"/>
  <c r="K13" i="158" s="1"/>
  <c r="J13" i="158" a="1"/>
  <c r="J13" i="158" s="1"/>
  <c r="G13" i="158" a="1"/>
  <c r="G13" i="158" s="1"/>
  <c r="F13" i="158" a="1"/>
  <c r="F13" i="158" s="1"/>
  <c r="E13" i="158" a="1"/>
  <c r="E13" i="158" s="1"/>
  <c r="D13" i="158" a="1"/>
  <c r="D13" i="158" s="1"/>
  <c r="W12" i="158" a="1"/>
  <c r="W12" i="158" s="1"/>
  <c r="V12" i="158" a="1"/>
  <c r="V12" i="158" s="1"/>
  <c r="S12" i="158" a="1"/>
  <c r="S12" i="158" s="1"/>
  <c r="R12" i="158" a="1"/>
  <c r="R12" i="158" s="1"/>
  <c r="Q12" i="158" a="1"/>
  <c r="Q12" i="158" s="1"/>
  <c r="P12" i="158" a="1"/>
  <c r="P12" i="158" s="1"/>
  <c r="M12" i="158" a="1"/>
  <c r="M12" i="158" s="1"/>
  <c r="L12" i="158" a="1"/>
  <c r="L12" i="158" s="1"/>
  <c r="K12" i="158" a="1"/>
  <c r="K12" i="158" s="1"/>
  <c r="J12" i="158" a="1"/>
  <c r="J12" i="158" s="1"/>
  <c r="G12" i="158" a="1"/>
  <c r="G12" i="158" s="1"/>
  <c r="F12" i="158" a="1"/>
  <c r="F12" i="158" s="1"/>
  <c r="E12" i="158" a="1"/>
  <c r="E12" i="158" s="1"/>
  <c r="D12" i="158" a="1"/>
  <c r="D12" i="158" s="1"/>
  <c r="W11" i="158" a="1"/>
  <c r="W11" i="158" s="1"/>
  <c r="V11" i="158" a="1"/>
  <c r="V11" i="158" s="1"/>
  <c r="S11" i="158" a="1"/>
  <c r="S11" i="158" s="1"/>
  <c r="R11" i="158" a="1"/>
  <c r="R11" i="158" s="1"/>
  <c r="Q11" i="158" a="1"/>
  <c r="Q11" i="158" s="1"/>
  <c r="P11" i="158" a="1"/>
  <c r="P11" i="158" s="1"/>
  <c r="M11" i="158" a="1"/>
  <c r="M11" i="158" s="1"/>
  <c r="L11" i="158" a="1"/>
  <c r="L11" i="158" s="1"/>
  <c r="K11" i="158" a="1"/>
  <c r="K11" i="158" s="1"/>
  <c r="J11" i="158" a="1"/>
  <c r="J11" i="158" s="1"/>
  <c r="G11" i="158" a="1"/>
  <c r="G11" i="158" s="1"/>
  <c r="F11" i="158" a="1"/>
  <c r="F11" i="158" s="1"/>
  <c r="E11" i="158" a="1"/>
  <c r="E11" i="158" s="1"/>
  <c r="D11" i="158" a="1"/>
  <c r="D11" i="158" s="1"/>
  <c r="W10" i="158" a="1"/>
  <c r="W10" i="158" s="1"/>
  <c r="V10" i="158" a="1"/>
  <c r="V10" i="158" s="1"/>
  <c r="S10" i="158" a="1"/>
  <c r="S10" i="158" s="1"/>
  <c r="R10" i="158" a="1"/>
  <c r="R10" i="158" s="1"/>
  <c r="Q10" i="158" a="1"/>
  <c r="Q10" i="158" s="1"/>
  <c r="P10" i="158" a="1"/>
  <c r="P10" i="158" s="1"/>
  <c r="M10" i="158" a="1"/>
  <c r="M10" i="158" s="1"/>
  <c r="L10" i="158" a="1"/>
  <c r="L10" i="158" s="1"/>
  <c r="K10" i="158" a="1"/>
  <c r="K10" i="158" s="1"/>
  <c r="J10" i="158" a="1"/>
  <c r="J10" i="158" s="1"/>
  <c r="G10" i="158" a="1"/>
  <c r="G10" i="158" s="1"/>
  <c r="F10" i="158" a="1"/>
  <c r="F10" i="158" s="1"/>
  <c r="E10" i="158" a="1"/>
  <c r="E10" i="158" s="1"/>
  <c r="D10" i="158" a="1"/>
  <c r="D10" i="158" s="1"/>
  <c r="W9" i="158" a="1"/>
  <c r="W9" i="158" s="1"/>
  <c r="V9" i="158" a="1"/>
  <c r="V9" i="158" s="1"/>
  <c r="S9" i="158" a="1"/>
  <c r="S9" i="158" s="1"/>
  <c r="R9" i="158" a="1"/>
  <c r="R9" i="158" s="1"/>
  <c r="Q9" i="158" a="1"/>
  <c r="Q9" i="158" s="1"/>
  <c r="P9" i="158" a="1"/>
  <c r="P9" i="158" s="1"/>
  <c r="M9" i="158" a="1"/>
  <c r="M9" i="158" s="1"/>
  <c r="L9" i="158" a="1"/>
  <c r="L9" i="158" s="1"/>
  <c r="K9" i="158" a="1"/>
  <c r="K9" i="158" s="1"/>
  <c r="J9" i="158" a="1"/>
  <c r="J9" i="158" s="1"/>
  <c r="G9" i="158" a="1"/>
  <c r="G9" i="158" s="1"/>
  <c r="F9" i="158" a="1"/>
  <c r="F9" i="158" s="1"/>
  <c r="E9" i="158" a="1"/>
  <c r="E9" i="158" s="1"/>
  <c r="D9" i="158" a="1"/>
  <c r="D9" i="158" s="1"/>
  <c r="Y8" i="158" a="1"/>
  <c r="Y8" i="158" s="1"/>
  <c r="X8" i="158" a="1"/>
  <c r="X8" i="158" s="1"/>
  <c r="W8" i="158" a="1"/>
  <c r="W8" i="158" s="1"/>
  <c r="V8" i="158" a="1"/>
  <c r="V8" i="158" s="1"/>
  <c r="S8" i="158" a="1"/>
  <c r="S8" i="158" s="1"/>
  <c r="R8" i="158" a="1"/>
  <c r="R8" i="158" s="1"/>
  <c r="Q8" i="158" a="1"/>
  <c r="Q8" i="158" s="1"/>
  <c r="P8" i="158" a="1"/>
  <c r="P8" i="158" s="1"/>
  <c r="M8" i="158" a="1"/>
  <c r="M8" i="158" s="1"/>
  <c r="L8" i="158" a="1"/>
  <c r="L8" i="158" s="1"/>
  <c r="K8" i="158" a="1"/>
  <c r="K8" i="158" s="1"/>
  <c r="J8" i="158" a="1"/>
  <c r="J8" i="158" s="1"/>
  <c r="G8" i="158" a="1"/>
  <c r="G8" i="158" s="1"/>
  <c r="F8" i="158" a="1"/>
  <c r="F8" i="158" s="1"/>
  <c r="E8" i="158" a="1"/>
  <c r="E8" i="158" s="1"/>
  <c r="D8" i="158" a="1"/>
  <c r="D8" i="158" s="1"/>
  <c r="P6" i="177"/>
  <c r="P8" i="177" s="1"/>
  <c r="Q6" i="177"/>
  <c r="R6" i="177"/>
  <c r="S6" i="177"/>
  <c r="S9" i="177" s="1"/>
  <c r="S11" i="177" s="1"/>
  <c r="T6" i="177"/>
  <c r="U6" i="177"/>
  <c r="U8" i="177" s="1"/>
  <c r="V6" i="177"/>
  <c r="V8" i="177" s="1"/>
  <c r="W6" i="177"/>
  <c r="W8" i="177" s="1"/>
  <c r="X6" i="177"/>
  <c r="Y6" i="177"/>
  <c r="Z6" i="177"/>
  <c r="AA6" i="177"/>
  <c r="AA9" i="177" s="1"/>
  <c r="AA11" i="177" s="1"/>
  <c r="Q8" i="177"/>
  <c r="R8" i="177"/>
  <c r="S8" i="177"/>
  <c r="T8" i="177"/>
  <c r="X8" i="177"/>
  <c r="Y8" i="177"/>
  <c r="Z8" i="177"/>
  <c r="AA8" i="177"/>
  <c r="P9" i="177"/>
  <c r="P11" i="177" s="1"/>
  <c r="Q9" i="177"/>
  <c r="Q11" i="177" s="1"/>
  <c r="Q12" i="177" s="1"/>
  <c r="R9" i="177"/>
  <c r="R11" i="177" s="1"/>
  <c r="T9" i="177"/>
  <c r="X9" i="177"/>
  <c r="X11" i="177" s="1"/>
  <c r="Y9" i="177"/>
  <c r="Y11" i="177" s="1"/>
  <c r="Z9" i="177"/>
  <c r="T11" i="177"/>
  <c r="T12" i="177" s="1"/>
  <c r="Z11" i="177"/>
  <c r="Z12" i="177" s="1"/>
  <c r="P24" i="177"/>
  <c r="AP24" i="177" s="1"/>
  <c r="Q24" i="177"/>
  <c r="R24" i="177"/>
  <c r="S24" i="177"/>
  <c r="T24" i="177"/>
  <c r="U24" i="177"/>
  <c r="V24" i="177"/>
  <c r="W24" i="177"/>
  <c r="X24" i="177"/>
  <c r="Y24" i="177"/>
  <c r="Z24" i="177"/>
  <c r="AA24" i="177"/>
  <c r="P29" i="177"/>
  <c r="Q29" i="177"/>
  <c r="R29" i="177"/>
  <c r="S29" i="177"/>
  <c r="T29" i="177"/>
  <c r="U29" i="177"/>
  <c r="V29" i="177"/>
  <c r="W29" i="177"/>
  <c r="X29" i="177"/>
  <c r="Y29" i="177"/>
  <c r="Z29" i="177"/>
  <c r="AA29" i="177"/>
  <c r="P33" i="177"/>
  <c r="Q33" i="177"/>
  <c r="R33" i="177"/>
  <c r="S33" i="177"/>
  <c r="T33" i="177"/>
  <c r="U33" i="177"/>
  <c r="V33" i="177"/>
  <c r="W33" i="177"/>
  <c r="X33" i="177"/>
  <c r="Y33" i="177"/>
  <c r="Z33" i="177"/>
  <c r="AA33" i="177"/>
  <c r="BO35" i="177"/>
  <c r="BN35" i="177"/>
  <c r="BM35" i="177"/>
  <c r="BL35" i="177"/>
  <c r="BK35" i="177"/>
  <c r="BJ35" i="177"/>
  <c r="BI35" i="177"/>
  <c r="BH35" i="177"/>
  <c r="BG35" i="177"/>
  <c r="BF35" i="177"/>
  <c r="BE35" i="177"/>
  <c r="BD35" i="177"/>
  <c r="BA35" i="177"/>
  <c r="AZ35" i="177"/>
  <c r="AY35" i="177"/>
  <c r="AX35" i="177"/>
  <c r="AW35" i="177"/>
  <c r="AV35" i="177"/>
  <c r="AU35" i="177"/>
  <c r="AT35" i="177"/>
  <c r="AS35" i="177"/>
  <c r="AR35" i="177"/>
  <c r="AQ35" i="177"/>
  <c r="AP35" i="177"/>
  <c r="AO35" i="177"/>
  <c r="AN35" i="177"/>
  <c r="AM35" i="177"/>
  <c r="AL35" i="177"/>
  <c r="AK35" i="177"/>
  <c r="AJ35" i="177"/>
  <c r="AI35" i="177"/>
  <c r="AH35" i="177"/>
  <c r="AG35" i="177"/>
  <c r="AF35" i="177"/>
  <c r="AE35" i="177"/>
  <c r="AD35" i="177"/>
  <c r="O33" i="177"/>
  <c r="N33" i="177"/>
  <c r="M33" i="177"/>
  <c r="L33" i="177"/>
  <c r="K33" i="177"/>
  <c r="J33" i="177"/>
  <c r="I33" i="177"/>
  <c r="H33" i="177"/>
  <c r="G33" i="177"/>
  <c r="F33" i="177"/>
  <c r="E33" i="177"/>
  <c r="D33" i="177"/>
  <c r="BO32" i="177"/>
  <c r="BN32" i="177"/>
  <c r="BM32" i="177"/>
  <c r="BL32" i="177"/>
  <c r="BK32" i="177"/>
  <c r="BJ32" i="177"/>
  <c r="BI32" i="177"/>
  <c r="BH32" i="177"/>
  <c r="BG32" i="177"/>
  <c r="BF32" i="177"/>
  <c r="BE32" i="177"/>
  <c r="BD32" i="177"/>
  <c r="BA32" i="177"/>
  <c r="AZ32" i="177"/>
  <c r="AY32" i="177"/>
  <c r="AX32" i="177"/>
  <c r="AW32" i="177"/>
  <c r="AV32" i="177"/>
  <c r="AU32" i="177"/>
  <c r="AT32" i="177"/>
  <c r="AS32" i="177"/>
  <c r="AR32" i="177"/>
  <c r="AQ32" i="177"/>
  <c r="AP32" i="177"/>
  <c r="AO32" i="177"/>
  <c r="AN32" i="177"/>
  <c r="AM32" i="177"/>
  <c r="AL32" i="177"/>
  <c r="AK32" i="177"/>
  <c r="AJ32" i="177"/>
  <c r="AI32" i="177"/>
  <c r="AH32" i="177"/>
  <c r="AG32" i="177"/>
  <c r="AF32" i="177"/>
  <c r="AE32" i="177"/>
  <c r="AD32" i="177"/>
  <c r="BO31" i="177"/>
  <c r="BN31" i="177"/>
  <c r="BM31" i="177"/>
  <c r="BL31" i="177"/>
  <c r="BK31" i="177"/>
  <c r="BJ31" i="177"/>
  <c r="BI31" i="177"/>
  <c r="BH31" i="177"/>
  <c r="BG31" i="177"/>
  <c r="BF31" i="177"/>
  <c r="BE31" i="177"/>
  <c r="BD31" i="177"/>
  <c r="BA31" i="177"/>
  <c r="AZ31" i="177"/>
  <c r="AY31" i="177"/>
  <c r="AX31" i="177"/>
  <c r="AW31" i="177"/>
  <c r="AV31" i="177"/>
  <c r="AU31" i="177"/>
  <c r="AT31" i="177"/>
  <c r="AS31" i="177"/>
  <c r="AR31" i="177"/>
  <c r="AQ31" i="177"/>
  <c r="AP31" i="177"/>
  <c r="AO31" i="177"/>
  <c r="AN31" i="177"/>
  <c r="AM31" i="177"/>
  <c r="AL31" i="177"/>
  <c r="AK31" i="177"/>
  <c r="AJ31" i="177"/>
  <c r="AI31" i="177"/>
  <c r="AH31" i="177"/>
  <c r="AG31" i="177"/>
  <c r="AF31" i="177"/>
  <c r="AE31" i="177"/>
  <c r="AD31" i="177"/>
  <c r="BO30" i="177"/>
  <c r="BN30" i="177"/>
  <c r="BM30" i="177"/>
  <c r="BL30" i="177"/>
  <c r="BK30" i="177"/>
  <c r="BJ30" i="177"/>
  <c r="BI30" i="177"/>
  <c r="BH30" i="177"/>
  <c r="BG30" i="177"/>
  <c r="BF30" i="177"/>
  <c r="BE30" i="177"/>
  <c r="BD30" i="177"/>
  <c r="BA30" i="177"/>
  <c r="AZ30" i="177"/>
  <c r="AY30" i="177"/>
  <c r="AX30" i="177"/>
  <c r="AW30" i="177"/>
  <c r="AV30" i="177"/>
  <c r="AU30" i="177"/>
  <c r="AT30" i="177"/>
  <c r="AS30" i="177"/>
  <c r="AR30" i="177"/>
  <c r="AQ30" i="177"/>
  <c r="AP30" i="177"/>
  <c r="AO30" i="177"/>
  <c r="AN30" i="177"/>
  <c r="AM30" i="177"/>
  <c r="AL30" i="177"/>
  <c r="AK30" i="177"/>
  <c r="AJ30" i="177"/>
  <c r="AI30" i="177"/>
  <c r="AH30" i="177"/>
  <c r="AG30" i="177"/>
  <c r="AF30" i="177"/>
  <c r="AE30" i="177"/>
  <c r="AD30" i="177"/>
  <c r="O29" i="177"/>
  <c r="N29" i="177"/>
  <c r="M29" i="177"/>
  <c r="L29" i="177"/>
  <c r="K29" i="177"/>
  <c r="J29" i="177"/>
  <c r="I29" i="177"/>
  <c r="H29" i="177"/>
  <c r="G29" i="177"/>
  <c r="F29" i="177"/>
  <c r="E29" i="177"/>
  <c r="D29" i="177"/>
  <c r="BO28" i="177"/>
  <c r="BN28" i="177"/>
  <c r="BM28" i="177"/>
  <c r="BL28" i="177"/>
  <c r="BK28" i="177"/>
  <c r="BJ28" i="177"/>
  <c r="BI28" i="177"/>
  <c r="BH28" i="177"/>
  <c r="BG28" i="177"/>
  <c r="BF28" i="177"/>
  <c r="BE28" i="177"/>
  <c r="BD28" i="177"/>
  <c r="BA28" i="177"/>
  <c r="AZ28" i="177"/>
  <c r="AY28" i="177"/>
  <c r="AX28" i="177"/>
  <c r="AW28" i="177"/>
  <c r="AV28" i="177"/>
  <c r="AU28" i="177"/>
  <c r="AT28" i="177"/>
  <c r="AS28" i="177"/>
  <c r="AR28" i="177"/>
  <c r="AQ28" i="177"/>
  <c r="AP28" i="177"/>
  <c r="AO28" i="177"/>
  <c r="AN28" i="177"/>
  <c r="AM28" i="177"/>
  <c r="AL28" i="177"/>
  <c r="AK28" i="177"/>
  <c r="AJ28" i="177"/>
  <c r="AI28" i="177"/>
  <c r="AH28" i="177"/>
  <c r="AG28" i="177"/>
  <c r="AF28" i="177"/>
  <c r="AE28" i="177"/>
  <c r="AD28" i="177"/>
  <c r="BO27" i="177"/>
  <c r="BN27" i="177"/>
  <c r="BM27" i="177"/>
  <c r="BL27" i="177"/>
  <c r="BK27" i="177"/>
  <c r="BJ27" i="177"/>
  <c r="BI27" i="177"/>
  <c r="BH27" i="177"/>
  <c r="BG27" i="177"/>
  <c r="BF27" i="177"/>
  <c r="BE27" i="177"/>
  <c r="BD27" i="177"/>
  <c r="BA27" i="177"/>
  <c r="AZ27" i="177"/>
  <c r="AY27" i="177"/>
  <c r="AX27" i="177"/>
  <c r="AW27" i="177"/>
  <c r="AV27" i="177"/>
  <c r="AU27" i="177"/>
  <c r="AT27" i="177"/>
  <c r="AS27" i="177"/>
  <c r="AR27" i="177"/>
  <c r="AQ27" i="177"/>
  <c r="AP27" i="177"/>
  <c r="AO27" i="177"/>
  <c r="AN27" i="177"/>
  <c r="AM27" i="177"/>
  <c r="AL27" i="177"/>
  <c r="AK27" i="177"/>
  <c r="AJ27" i="177"/>
  <c r="AI27" i="177"/>
  <c r="AH27" i="177"/>
  <c r="AG27" i="177"/>
  <c r="AF27" i="177"/>
  <c r="AE27" i="177"/>
  <c r="AD27" i="177"/>
  <c r="AQ24" i="177"/>
  <c r="O24" i="177"/>
  <c r="N24" i="177"/>
  <c r="M24" i="177"/>
  <c r="L24" i="177"/>
  <c r="K24" i="177"/>
  <c r="J24" i="177"/>
  <c r="I24" i="177"/>
  <c r="H24" i="177"/>
  <c r="G24" i="177"/>
  <c r="F24" i="177"/>
  <c r="E24" i="177"/>
  <c r="D24" i="177"/>
  <c r="BO23" i="177"/>
  <c r="BN23" i="177"/>
  <c r="BM23" i="177"/>
  <c r="BL23" i="177"/>
  <c r="BK23" i="177"/>
  <c r="BJ23" i="177"/>
  <c r="BI23" i="177"/>
  <c r="BH23" i="177"/>
  <c r="BG23" i="177"/>
  <c r="BF23" i="177"/>
  <c r="BE23" i="177"/>
  <c r="BD23" i="177"/>
  <c r="BA23" i="177"/>
  <c r="AZ23" i="177"/>
  <c r="AY23" i="177"/>
  <c r="AX23" i="177"/>
  <c r="AW23" i="177"/>
  <c r="AV23" i="177"/>
  <c r="AU23" i="177"/>
  <c r="AT23" i="177"/>
  <c r="AS23" i="177"/>
  <c r="AR23" i="177"/>
  <c r="AQ23" i="177"/>
  <c r="AP23" i="177"/>
  <c r="AO23" i="177"/>
  <c r="AN23" i="177"/>
  <c r="AM23" i="177"/>
  <c r="AL23" i="177"/>
  <c r="AK23" i="177"/>
  <c r="AJ23" i="177"/>
  <c r="AI23" i="177"/>
  <c r="AH23" i="177"/>
  <c r="AG23" i="177"/>
  <c r="AF23" i="177"/>
  <c r="AE23" i="177"/>
  <c r="AD23" i="177"/>
  <c r="BO22" i="177"/>
  <c r="BN22" i="177"/>
  <c r="BM22" i="177"/>
  <c r="BL22" i="177"/>
  <c r="BK22" i="177"/>
  <c r="BJ22" i="177"/>
  <c r="BI22" i="177"/>
  <c r="BH22" i="177"/>
  <c r="BG22" i="177"/>
  <c r="BF22" i="177"/>
  <c r="BE22" i="177"/>
  <c r="BD22" i="177"/>
  <c r="BA22" i="177"/>
  <c r="AZ22" i="177"/>
  <c r="AY22" i="177"/>
  <c r="AX22" i="177"/>
  <c r="AW22" i="177"/>
  <c r="AV22" i="177"/>
  <c r="AU22" i="177"/>
  <c r="AT22" i="177"/>
  <c r="AS22" i="177"/>
  <c r="AR22" i="177"/>
  <c r="AQ22" i="177"/>
  <c r="AP22" i="177"/>
  <c r="AO22" i="177"/>
  <c r="AN22" i="177"/>
  <c r="AM22" i="177"/>
  <c r="AL22" i="177"/>
  <c r="AK22" i="177"/>
  <c r="AJ22" i="177"/>
  <c r="AI22" i="177"/>
  <c r="AH22" i="177"/>
  <c r="AG22" i="177"/>
  <c r="AF22" i="177"/>
  <c r="AE22" i="177"/>
  <c r="AD22" i="177"/>
  <c r="BO21" i="177"/>
  <c r="BN21" i="177"/>
  <c r="BM21" i="177"/>
  <c r="BL21" i="177"/>
  <c r="BK21" i="177"/>
  <c r="BJ21" i="177"/>
  <c r="BI21" i="177"/>
  <c r="BH21" i="177"/>
  <c r="BG21" i="177"/>
  <c r="BF21" i="177"/>
  <c r="BE21" i="177"/>
  <c r="BD21" i="177"/>
  <c r="BA21" i="177"/>
  <c r="AZ21" i="177"/>
  <c r="AY21" i="177"/>
  <c r="AX21" i="177"/>
  <c r="AW21" i="177"/>
  <c r="AV21" i="177"/>
  <c r="AU21" i="177"/>
  <c r="AT21" i="177"/>
  <c r="AS21" i="177"/>
  <c r="AR21" i="177"/>
  <c r="AQ21" i="177"/>
  <c r="AP21" i="177"/>
  <c r="AO21" i="177"/>
  <c r="AN21" i="177"/>
  <c r="AM21" i="177"/>
  <c r="AL21" i="177"/>
  <c r="AK21" i="177"/>
  <c r="AJ21" i="177"/>
  <c r="AI21" i="177"/>
  <c r="AH21" i="177"/>
  <c r="AG21" i="177"/>
  <c r="AF21" i="177"/>
  <c r="AE21" i="177"/>
  <c r="AD21" i="177"/>
  <c r="BO20" i="177"/>
  <c r="BN20" i="177"/>
  <c r="BM20" i="177"/>
  <c r="BL20" i="177"/>
  <c r="BK20" i="177"/>
  <c r="BJ20" i="177"/>
  <c r="BI20" i="177"/>
  <c r="BH20" i="177"/>
  <c r="BG20" i="177"/>
  <c r="BF20" i="177"/>
  <c r="BE20" i="177"/>
  <c r="BD20" i="177"/>
  <c r="BA20" i="177"/>
  <c r="AZ20" i="177"/>
  <c r="AY20" i="177"/>
  <c r="AX20" i="177"/>
  <c r="AW20" i="177"/>
  <c r="AV20" i="177"/>
  <c r="AU20" i="177"/>
  <c r="AT20" i="177"/>
  <c r="AS20" i="177"/>
  <c r="AR20" i="177"/>
  <c r="AQ20" i="177"/>
  <c r="AP20" i="177"/>
  <c r="AO20" i="177"/>
  <c r="AN20" i="177"/>
  <c r="AM20" i="177"/>
  <c r="AL20" i="177"/>
  <c r="AK20" i="177"/>
  <c r="AJ20" i="177"/>
  <c r="AI20" i="177"/>
  <c r="AH20" i="177"/>
  <c r="AG20" i="177"/>
  <c r="AF20" i="177"/>
  <c r="AE20" i="177"/>
  <c r="AD20" i="177"/>
  <c r="BO19" i="177"/>
  <c r="BN19" i="177"/>
  <c r="BM19" i="177"/>
  <c r="BL19" i="177"/>
  <c r="BK19" i="177"/>
  <c r="BJ19" i="177"/>
  <c r="BI19" i="177"/>
  <c r="BH19" i="177"/>
  <c r="BG19" i="177"/>
  <c r="BF19" i="177"/>
  <c r="BE19" i="177"/>
  <c r="BD19" i="177"/>
  <c r="BA19" i="177"/>
  <c r="AZ19" i="177"/>
  <c r="AY19" i="177"/>
  <c r="AX19" i="177"/>
  <c r="AW19" i="177"/>
  <c r="AV19" i="177"/>
  <c r="AU19" i="177"/>
  <c r="AT19" i="177"/>
  <c r="AS19" i="177"/>
  <c r="AR19" i="177"/>
  <c r="AQ19" i="177"/>
  <c r="AP19" i="177"/>
  <c r="AO19" i="177"/>
  <c r="AN19" i="177"/>
  <c r="AM19" i="177"/>
  <c r="AL19" i="177"/>
  <c r="AK19" i="177"/>
  <c r="AJ19" i="177"/>
  <c r="AI19" i="177"/>
  <c r="AH19" i="177"/>
  <c r="AG19" i="177"/>
  <c r="AF19" i="177"/>
  <c r="AE19" i="177"/>
  <c r="AD19" i="177"/>
  <c r="BO18" i="177"/>
  <c r="BN18" i="177"/>
  <c r="BM18" i="177"/>
  <c r="BL18" i="177"/>
  <c r="BK18" i="177"/>
  <c r="BJ18" i="177"/>
  <c r="BI18" i="177"/>
  <c r="BH18" i="177"/>
  <c r="BG18" i="177"/>
  <c r="BF18" i="177"/>
  <c r="BE18" i="177"/>
  <c r="BD18" i="177"/>
  <c r="BA18" i="177"/>
  <c r="AZ18" i="177"/>
  <c r="AY18" i="177"/>
  <c r="AX18" i="177"/>
  <c r="AW18" i="177"/>
  <c r="AV18" i="177"/>
  <c r="AU18" i="177"/>
  <c r="AT18" i="177"/>
  <c r="AS18" i="177"/>
  <c r="AR18" i="177"/>
  <c r="AQ18" i="177"/>
  <c r="AP18" i="177"/>
  <c r="AO18" i="177"/>
  <c r="AN18" i="177"/>
  <c r="AM18" i="177"/>
  <c r="AL18" i="177"/>
  <c r="AK18" i="177"/>
  <c r="AJ18" i="177"/>
  <c r="AI18" i="177"/>
  <c r="AH18" i="177"/>
  <c r="AG18" i="177"/>
  <c r="AF18" i="177"/>
  <c r="AE18" i="177"/>
  <c r="AD18" i="177"/>
  <c r="BO17" i="177"/>
  <c r="BN17" i="177"/>
  <c r="BM17" i="177"/>
  <c r="BL17" i="177"/>
  <c r="BK17" i="177"/>
  <c r="BJ17" i="177"/>
  <c r="BI17" i="177"/>
  <c r="BH17" i="177"/>
  <c r="BG17" i="177"/>
  <c r="BF17" i="177"/>
  <c r="BE17" i="177"/>
  <c r="BD17" i="177"/>
  <c r="BA17" i="177"/>
  <c r="AZ17" i="177"/>
  <c r="AY17" i="177"/>
  <c r="AX17" i="177"/>
  <c r="AW17" i="177"/>
  <c r="AV17" i="177"/>
  <c r="AU17" i="177"/>
  <c r="AT17" i="177"/>
  <c r="AS17" i="177"/>
  <c r="AR17" i="177"/>
  <c r="AQ17" i="177"/>
  <c r="AP17" i="177"/>
  <c r="AO17" i="177"/>
  <c r="AN17" i="177"/>
  <c r="AM17" i="177"/>
  <c r="AL17" i="177"/>
  <c r="AK17" i="177"/>
  <c r="AJ17" i="177"/>
  <c r="AI17" i="177"/>
  <c r="AH17" i="177"/>
  <c r="AG17" i="177"/>
  <c r="AF17" i="177"/>
  <c r="AE17" i="177"/>
  <c r="AD17" i="177"/>
  <c r="BO16" i="177"/>
  <c r="BN16" i="177"/>
  <c r="BM16" i="177"/>
  <c r="BL16" i="177"/>
  <c r="BK16" i="177"/>
  <c r="BJ16" i="177"/>
  <c r="BI16" i="177"/>
  <c r="BH16" i="177"/>
  <c r="BG16" i="177"/>
  <c r="BF16" i="177"/>
  <c r="BE16" i="177"/>
  <c r="BD16" i="177"/>
  <c r="BA16" i="177"/>
  <c r="AZ16" i="177"/>
  <c r="AY16" i="177"/>
  <c r="AX16" i="177"/>
  <c r="AW16" i="177"/>
  <c r="AV16" i="177"/>
  <c r="AU16" i="177"/>
  <c r="AT16" i="177"/>
  <c r="AS16" i="177"/>
  <c r="AR16" i="177"/>
  <c r="AQ16" i="177"/>
  <c r="AP16" i="177"/>
  <c r="AO16" i="177"/>
  <c r="AN16" i="177"/>
  <c r="AM16" i="177"/>
  <c r="AL16" i="177"/>
  <c r="AK16" i="177"/>
  <c r="AJ16" i="177"/>
  <c r="AI16" i="177"/>
  <c r="AH16" i="177"/>
  <c r="AG16" i="177"/>
  <c r="AF16" i="177"/>
  <c r="AE16" i="177"/>
  <c r="AD16" i="177"/>
  <c r="BO15" i="177"/>
  <c r="BN15" i="177"/>
  <c r="BM15" i="177"/>
  <c r="BL15" i="177"/>
  <c r="BK15" i="177"/>
  <c r="BJ15" i="177"/>
  <c r="BI15" i="177"/>
  <c r="BH15" i="177"/>
  <c r="BG15" i="177"/>
  <c r="BF15" i="177"/>
  <c r="BE15" i="177"/>
  <c r="BD15" i="177"/>
  <c r="BA15" i="177"/>
  <c r="AZ15" i="177"/>
  <c r="AY15" i="177"/>
  <c r="AX15" i="177"/>
  <c r="AW15" i="177"/>
  <c r="AV15" i="177"/>
  <c r="AU15" i="177"/>
  <c r="AT15" i="177"/>
  <c r="AS15" i="177"/>
  <c r="AR15" i="177"/>
  <c r="AQ15" i="177"/>
  <c r="AP15" i="177"/>
  <c r="AO15" i="177"/>
  <c r="AN15" i="177"/>
  <c r="AM15" i="177"/>
  <c r="AL15" i="177"/>
  <c r="AK15" i="177"/>
  <c r="AJ15" i="177"/>
  <c r="AI15" i="177"/>
  <c r="AH15" i="177"/>
  <c r="AG15" i="177"/>
  <c r="AF15" i="177"/>
  <c r="AE15" i="177"/>
  <c r="AD15" i="177"/>
  <c r="BO14" i="177"/>
  <c r="BN14" i="177"/>
  <c r="BM14" i="177"/>
  <c r="BL14" i="177"/>
  <c r="BK14" i="177"/>
  <c r="BJ14" i="177"/>
  <c r="BI14" i="177"/>
  <c r="BH14" i="177"/>
  <c r="BG14" i="177"/>
  <c r="BF14" i="177"/>
  <c r="BE14" i="177"/>
  <c r="BD14" i="177"/>
  <c r="BA14" i="177"/>
  <c r="AZ14" i="177"/>
  <c r="AY14" i="177"/>
  <c r="AX14" i="177"/>
  <c r="AW14" i="177"/>
  <c r="AV14" i="177"/>
  <c r="AU14" i="177"/>
  <c r="AT14" i="177"/>
  <c r="AS14" i="177"/>
  <c r="AR14" i="177"/>
  <c r="AQ14" i="177"/>
  <c r="AP14" i="177"/>
  <c r="AO14" i="177"/>
  <c r="AN14" i="177"/>
  <c r="AM14" i="177"/>
  <c r="AL14" i="177"/>
  <c r="AK14" i="177"/>
  <c r="AJ14" i="177"/>
  <c r="AI14" i="177"/>
  <c r="AH14" i="177"/>
  <c r="AG14" i="177"/>
  <c r="AF14" i="177"/>
  <c r="AE14" i="177"/>
  <c r="AD14" i="177"/>
  <c r="BO13" i="177"/>
  <c r="BN13" i="177"/>
  <c r="BM13" i="177"/>
  <c r="BL13" i="177"/>
  <c r="BK13" i="177"/>
  <c r="BJ13" i="177"/>
  <c r="BI13" i="177"/>
  <c r="BH13" i="177"/>
  <c r="BG13" i="177"/>
  <c r="BF13" i="177"/>
  <c r="BE13" i="177"/>
  <c r="BD13" i="177"/>
  <c r="BA13" i="177"/>
  <c r="AZ13" i="177"/>
  <c r="AY13" i="177"/>
  <c r="AX13" i="177"/>
  <c r="AW13" i="177"/>
  <c r="AV13" i="177"/>
  <c r="AU13" i="177"/>
  <c r="AT13" i="177"/>
  <c r="AS13" i="177"/>
  <c r="AR13" i="177"/>
  <c r="AQ13" i="177"/>
  <c r="AP13" i="177"/>
  <c r="AO13" i="177"/>
  <c r="AN13" i="177"/>
  <c r="AM13" i="177"/>
  <c r="AL13" i="177"/>
  <c r="AK13" i="177"/>
  <c r="AJ13" i="177"/>
  <c r="AI13" i="177"/>
  <c r="AH13" i="177"/>
  <c r="AG13" i="177"/>
  <c r="AF13" i="177"/>
  <c r="AE13" i="177"/>
  <c r="AD13" i="177"/>
  <c r="BO10" i="177"/>
  <c r="BN10" i="177"/>
  <c r="BM10" i="177"/>
  <c r="BL10" i="177"/>
  <c r="BK10" i="177"/>
  <c r="BJ10" i="177"/>
  <c r="BI10" i="177"/>
  <c r="BH10" i="177"/>
  <c r="BG10" i="177"/>
  <c r="BF10" i="177"/>
  <c r="BE10" i="177"/>
  <c r="BD10" i="177"/>
  <c r="BA10" i="177"/>
  <c r="AZ10" i="177"/>
  <c r="AY10" i="177"/>
  <c r="AX10" i="177"/>
  <c r="AW10" i="177"/>
  <c r="AV10" i="177"/>
  <c r="AU10" i="177"/>
  <c r="AT10" i="177"/>
  <c r="AS10" i="177"/>
  <c r="AR10" i="177"/>
  <c r="AQ10" i="177"/>
  <c r="AP10" i="177"/>
  <c r="AO10" i="177"/>
  <c r="AN10" i="177"/>
  <c r="AM10" i="177"/>
  <c r="AL10" i="177"/>
  <c r="AK10" i="177"/>
  <c r="AJ10" i="177"/>
  <c r="AI10" i="177"/>
  <c r="AH10" i="177"/>
  <c r="AG10" i="177"/>
  <c r="AF10" i="177"/>
  <c r="AE10" i="177"/>
  <c r="AD10" i="177"/>
  <c r="D9" i="177"/>
  <c r="D11" i="177" s="1"/>
  <c r="D25" i="177" s="1"/>
  <c r="BO7" i="177"/>
  <c r="BN7" i="177"/>
  <c r="BM7" i="177"/>
  <c r="BL7" i="177"/>
  <c r="BK7" i="177"/>
  <c r="BJ7" i="177"/>
  <c r="BI7" i="177"/>
  <c r="BH7" i="177"/>
  <c r="BG7" i="177"/>
  <c r="BF7" i="177"/>
  <c r="BE7" i="177"/>
  <c r="BD7" i="177"/>
  <c r="BA7" i="177"/>
  <c r="AZ7" i="177"/>
  <c r="AY7" i="177"/>
  <c r="AX7" i="177"/>
  <c r="AW7" i="177"/>
  <c r="AV7" i="177"/>
  <c r="AU7" i="177"/>
  <c r="AT7" i="177"/>
  <c r="AS7" i="177"/>
  <c r="AR7" i="177"/>
  <c r="AQ7" i="177"/>
  <c r="AP7" i="177"/>
  <c r="AO7" i="177"/>
  <c r="AN7" i="177"/>
  <c r="AM7" i="177"/>
  <c r="AL7" i="177"/>
  <c r="AK7" i="177"/>
  <c r="AJ7" i="177"/>
  <c r="AI7" i="177"/>
  <c r="AH7" i="177"/>
  <c r="AG7" i="177"/>
  <c r="AF7" i="177"/>
  <c r="AE7" i="177"/>
  <c r="AD7" i="177"/>
  <c r="AP6" i="177"/>
  <c r="O6" i="177"/>
  <c r="O8" i="177" s="1"/>
  <c r="N6" i="177"/>
  <c r="N8" i="177" s="1"/>
  <c r="M6" i="177"/>
  <c r="M8" i="177" s="1"/>
  <c r="L6" i="177"/>
  <c r="L8" i="177" s="1"/>
  <c r="K6" i="177"/>
  <c r="K8" i="177" s="1"/>
  <c r="J6" i="177"/>
  <c r="J8" i="177" s="1"/>
  <c r="I6" i="177"/>
  <c r="I9" i="177" s="1"/>
  <c r="H6" i="177"/>
  <c r="H9" i="177" s="1"/>
  <c r="G6" i="177"/>
  <c r="G8" i="177" s="1"/>
  <c r="F6" i="177"/>
  <c r="F8" i="177" s="1"/>
  <c r="E6" i="177"/>
  <c r="E8" i="177" s="1"/>
  <c r="D6" i="177"/>
  <c r="BO5" i="177"/>
  <c r="BN5" i="177"/>
  <c r="BM5" i="177"/>
  <c r="BL5" i="177"/>
  <c r="BK5" i="177"/>
  <c r="BJ5" i="177"/>
  <c r="BI5" i="177"/>
  <c r="BH5" i="177"/>
  <c r="BG5" i="177"/>
  <c r="BF5" i="177"/>
  <c r="BE5" i="177"/>
  <c r="BD5" i="177"/>
  <c r="BA5" i="177"/>
  <c r="AZ5" i="177"/>
  <c r="AY5" i="177"/>
  <c r="AX5" i="177"/>
  <c r="AW5" i="177"/>
  <c r="AV5" i="177"/>
  <c r="AU5" i="177"/>
  <c r="AT5" i="177"/>
  <c r="AS5" i="177"/>
  <c r="AR5" i="177"/>
  <c r="AQ5" i="177"/>
  <c r="AP5" i="177"/>
  <c r="AO5" i="177"/>
  <c r="AN5" i="177"/>
  <c r="AM5" i="177"/>
  <c r="AL5" i="177"/>
  <c r="AK5" i="177"/>
  <c r="AJ5" i="177"/>
  <c r="AI5" i="177"/>
  <c r="AH5" i="177"/>
  <c r="AG5" i="177"/>
  <c r="AF5" i="177"/>
  <c r="AE5" i="177"/>
  <c r="AD5" i="177"/>
  <c r="BO4" i="177"/>
  <c r="BN4" i="177"/>
  <c r="BM4" i="177"/>
  <c r="BL4" i="177"/>
  <c r="BK4" i="177"/>
  <c r="BJ4" i="177"/>
  <c r="BI4" i="177"/>
  <c r="BH4" i="177"/>
  <c r="BG4" i="177"/>
  <c r="BF4" i="177"/>
  <c r="BE4" i="177"/>
  <c r="BD4" i="177"/>
  <c r="BA4" i="177"/>
  <c r="AZ4" i="177"/>
  <c r="AY4" i="177"/>
  <c r="AX4" i="177"/>
  <c r="AW4" i="177"/>
  <c r="AV4" i="177"/>
  <c r="AU4" i="177"/>
  <c r="AT4" i="177"/>
  <c r="AS4" i="177"/>
  <c r="AR4" i="177"/>
  <c r="AQ4" i="177"/>
  <c r="AP4" i="177"/>
  <c r="AO4" i="177"/>
  <c r="AN4" i="177"/>
  <c r="AM4" i="177"/>
  <c r="AL4" i="177"/>
  <c r="AK4" i="177"/>
  <c r="AJ4" i="177"/>
  <c r="AI4" i="177"/>
  <c r="AH4" i="177"/>
  <c r="AG4" i="177"/>
  <c r="AF4" i="177"/>
  <c r="AE4" i="177"/>
  <c r="AD4" i="177"/>
  <c r="BN3" i="177"/>
  <c r="BM3" i="177"/>
  <c r="BL3" i="177"/>
  <c r="BK3" i="177"/>
  <c r="BJ3" i="177"/>
  <c r="BI3" i="177"/>
  <c r="BH3" i="177"/>
  <c r="BG3" i="177"/>
  <c r="BF3" i="177"/>
  <c r="BE3" i="177"/>
  <c r="BD3" i="177"/>
  <c r="AZ3" i="177"/>
  <c r="AY3" i="177"/>
  <c r="AX3" i="177"/>
  <c r="AW3" i="177"/>
  <c r="AV3" i="177"/>
  <c r="AU3" i="177"/>
  <c r="AT3" i="177"/>
  <c r="AS3" i="177"/>
  <c r="AR3" i="177"/>
  <c r="AQ3" i="177"/>
  <c r="AP3" i="177"/>
  <c r="AO3" i="177"/>
  <c r="AN3" i="177"/>
  <c r="AM3" i="177"/>
  <c r="AL3" i="177"/>
  <c r="AK3" i="177"/>
  <c r="AJ3" i="177"/>
  <c r="AI3" i="177"/>
  <c r="AH3" i="177"/>
  <c r="AG3" i="177"/>
  <c r="AF3" i="177"/>
  <c r="AE3" i="177"/>
  <c r="AD3" i="177"/>
  <c r="BO2" i="177"/>
  <c r="BN2" i="177"/>
  <c r="BM2" i="177"/>
  <c r="BL2" i="177"/>
  <c r="BK2" i="177"/>
  <c r="BJ2" i="177"/>
  <c r="BI2" i="177"/>
  <c r="BH2" i="177"/>
  <c r="BG2" i="177"/>
  <c r="BF2" i="177"/>
  <c r="BE2" i="177"/>
  <c r="BD2" i="177"/>
  <c r="B21" i="147"/>
  <c r="B28" i="147"/>
  <c r="B14" i="160"/>
  <c r="B7" i="106" s="1"/>
  <c r="B6" i="147" s="1"/>
  <c r="E66" i="106"/>
  <c r="F66" i="106"/>
  <c r="G66" i="106"/>
  <c r="D66" i="106"/>
  <c r="D57" i="106"/>
  <c r="D56" i="106"/>
  <c r="H26" i="170"/>
  <c r="H22" i="170"/>
  <c r="H15" i="170"/>
  <c r="H12" i="170"/>
  <c r="H8" i="170"/>
  <c r="H7" i="170"/>
  <c r="G26" i="170"/>
  <c r="G22" i="170"/>
  <c r="G15" i="170"/>
  <c r="G12" i="170"/>
  <c r="G18" i="170" s="1"/>
  <c r="G8" i="170"/>
  <c r="G7" i="170"/>
  <c r="F26" i="170"/>
  <c r="F22" i="170"/>
  <c r="F15" i="170"/>
  <c r="F12" i="170"/>
  <c r="F18" i="170" s="1"/>
  <c r="F8" i="170"/>
  <c r="F7" i="170"/>
  <c r="E8" i="170"/>
  <c r="E12" i="170"/>
  <c r="E18" i="170" s="1"/>
  <c r="D36" i="106" s="1"/>
  <c r="E15" i="170"/>
  <c r="E26" i="170"/>
  <c r="E22" i="170"/>
  <c r="E7" i="170"/>
  <c r="G13" i="84"/>
  <c r="E11" i="94"/>
  <c r="E10" i="94"/>
  <c r="F24" i="171"/>
  <c r="E24" i="171"/>
  <c r="D24" i="171"/>
  <c r="C6" i="165"/>
  <c r="D26" i="179" l="1"/>
  <c r="D58" i="179"/>
  <c r="D48" i="179"/>
  <c r="D41" i="179"/>
  <c r="D22" i="179"/>
  <c r="D63" i="179"/>
  <c r="D47" i="179"/>
  <c r="D34" i="179"/>
  <c r="D20" i="179"/>
  <c r="D62" i="179"/>
  <c r="D19" i="179"/>
  <c r="D50" i="179"/>
  <c r="D18" i="179"/>
  <c r="D37" i="179"/>
  <c r="D45" i="179"/>
  <c r="D35" i="179"/>
  <c r="D53" i="179"/>
  <c r="D27" i="179"/>
  <c r="D16" i="179"/>
  <c r="E67" i="179"/>
  <c r="G69" i="178"/>
  <c r="H65" i="178"/>
  <c r="BE33" i="177"/>
  <c r="Q25" i="177"/>
  <c r="AU29" i="177"/>
  <c r="U9" i="177"/>
  <c r="U11" i="177" s="1"/>
  <c r="U12" i="177" s="1"/>
  <c r="H18" i="170"/>
  <c r="G14" i="84"/>
  <c r="E30" i="84"/>
  <c r="Q26" i="177"/>
  <c r="Q34" i="177"/>
  <c r="Q36" i="177" s="1"/>
  <c r="AA25" i="177"/>
  <c r="AA12" i="177"/>
  <c r="Y25" i="177"/>
  <c r="Y12" i="177"/>
  <c r="AR11" i="177"/>
  <c r="P25" i="177"/>
  <c r="AQ11" i="177"/>
  <c r="AP11" i="177"/>
  <c r="AP12" i="177" s="1"/>
  <c r="P12" i="177"/>
  <c r="BO12" i="177" s="1"/>
  <c r="S25" i="177"/>
  <c r="S12" i="177"/>
  <c r="X25" i="177"/>
  <c r="X12" i="177"/>
  <c r="AP8" i="177"/>
  <c r="T25" i="177"/>
  <c r="W9" i="177"/>
  <c r="W11" i="177" s="1"/>
  <c r="U25" i="177"/>
  <c r="AT33" i="177"/>
  <c r="AS24" i="177"/>
  <c r="V9" i="177"/>
  <c r="V11" i="177" s="1"/>
  <c r="AY24" i="177"/>
  <c r="AS11" i="177"/>
  <c r="AR24" i="177"/>
  <c r="AZ6" i="177"/>
  <c r="AZ8" i="177" s="1"/>
  <c r="AY11" i="177"/>
  <c r="BJ33" i="177"/>
  <c r="Z25" i="177"/>
  <c r="R25" i="177"/>
  <c r="R12" i="177"/>
  <c r="BN24" i="177"/>
  <c r="AM33" i="177"/>
  <c r="BD33" i="177"/>
  <c r="AG6" i="177"/>
  <c r="AG8" i="177" s="1"/>
  <c r="BM24" i="177"/>
  <c r="BH29" i="177"/>
  <c r="BD29" i="177"/>
  <c r="BE29" i="177"/>
  <c r="BI29" i="177"/>
  <c r="BJ29" i="177"/>
  <c r="AK24" i="177"/>
  <c r="BE24" i="177"/>
  <c r="F9" i="177"/>
  <c r="F11" i="177" s="1"/>
  <c r="AN6" i="177"/>
  <c r="AN8" i="177" s="1"/>
  <c r="AH6" i="177"/>
  <c r="AH8" i="177" s="1"/>
  <c r="K9" i="177"/>
  <c r="K11" i="177" s="1"/>
  <c r="AJ6" i="177"/>
  <c r="AJ8" i="177" s="1"/>
  <c r="L9" i="177"/>
  <c r="L11" i="177" s="1"/>
  <c r="L12" i="177" s="1"/>
  <c r="N9" i="177"/>
  <c r="AD9" i="177"/>
  <c r="AO6" i="177"/>
  <c r="AO8" i="177" s="1"/>
  <c r="H8" i="177"/>
  <c r="BG6" i="177"/>
  <c r="BH6" i="177"/>
  <c r="BN8" i="177"/>
  <c r="D34" i="177"/>
  <c r="D26" i="177"/>
  <c r="BL33" i="177"/>
  <c r="AX24" i="177"/>
  <c r="AE33" i="177"/>
  <c r="BJ6" i="177"/>
  <c r="AH24" i="177"/>
  <c r="AK29" i="177"/>
  <c r="AO29" i="177"/>
  <c r="AJ29" i="177"/>
  <c r="AG29" i="177"/>
  <c r="AI29" i="177"/>
  <c r="AH29" i="177"/>
  <c r="AN29" i="177"/>
  <c r="AF29" i="177"/>
  <c r="BK29" i="177"/>
  <c r="BG29" i="177"/>
  <c r="BO29" i="177"/>
  <c r="AW29" i="177"/>
  <c r="AD29" i="177"/>
  <c r="BL29" i="177"/>
  <c r="AL33" i="177"/>
  <c r="BK33" i="177"/>
  <c r="BG33" i="177"/>
  <c r="AD11" i="177"/>
  <c r="D12" i="177"/>
  <c r="AD12" i="177" s="1"/>
  <c r="BO24" i="177"/>
  <c r="AW24" i="177"/>
  <c r="AV24" i="177"/>
  <c r="AU24" i="177"/>
  <c r="AT24" i="177"/>
  <c r="AZ24" i="177"/>
  <c r="AI24" i="177"/>
  <c r="BA24" i="177"/>
  <c r="AE29" i="177"/>
  <c r="BM29" i="177"/>
  <c r="BF33" i="177"/>
  <c r="BN33" i="177"/>
  <c r="AK33" i="177"/>
  <c r="AJ33" i="177"/>
  <c r="AI33" i="177"/>
  <c r="AG33" i="177"/>
  <c r="AH33" i="177"/>
  <c r="AO33" i="177"/>
  <c r="AN33" i="177"/>
  <c r="AF33" i="177"/>
  <c r="AD25" i="177"/>
  <c r="BF6" i="177"/>
  <c r="G9" i="177"/>
  <c r="BO3" i="177"/>
  <c r="BA3" i="177"/>
  <c r="H11" i="177"/>
  <c r="AV6" i="177"/>
  <c r="AV8" i="177" s="1"/>
  <c r="AU6" i="177"/>
  <c r="AT6" i="177"/>
  <c r="AT8" i="177" s="1"/>
  <c r="BA6" i="177"/>
  <c r="BA8" i="177" s="1"/>
  <c r="AS6" i="177"/>
  <c r="AS8" i="177" s="1"/>
  <c r="AY6" i="177"/>
  <c r="AY8" i="177" s="1"/>
  <c r="AQ6" i="177"/>
  <c r="AQ12" i="177" s="1"/>
  <c r="AR6" i="177"/>
  <c r="AR8" i="177" s="1"/>
  <c r="BO8" i="177"/>
  <c r="AT11" i="177"/>
  <c r="AT12" i="177" s="1"/>
  <c r="AZ11" i="177"/>
  <c r="AZ12" i="177" s="1"/>
  <c r="AX11" i="177"/>
  <c r="BJ24" i="177"/>
  <c r="BH24" i="177"/>
  <c r="AL29" i="177"/>
  <c r="BA33" i="177"/>
  <c r="BK8" i="177"/>
  <c r="BF24" i="177"/>
  <c r="AW33" i="177"/>
  <c r="BO33" i="177"/>
  <c r="BM33" i="177"/>
  <c r="BG24" i="177"/>
  <c r="I11" i="177"/>
  <c r="AW6" i="177"/>
  <c r="AW8" i="177" s="1"/>
  <c r="AU8" i="177"/>
  <c r="AO24" i="177"/>
  <c r="BI24" i="177"/>
  <c r="BF29" i="177"/>
  <c r="BN29" i="177"/>
  <c r="AM29" i="177"/>
  <c r="BH33" i="177"/>
  <c r="AU33" i="177"/>
  <c r="AD33" i="177"/>
  <c r="BN6" i="177"/>
  <c r="O9" i="177"/>
  <c r="BO6" i="177"/>
  <c r="J9" i="177"/>
  <c r="BI6" i="177"/>
  <c r="AX6" i="177"/>
  <c r="AX8" i="177" s="1"/>
  <c r="BD24" i="177"/>
  <c r="BL24" i="177"/>
  <c r="BK24" i="177"/>
  <c r="BA29" i="177"/>
  <c r="AT29" i="177"/>
  <c r="BI33" i="177"/>
  <c r="AI6" i="177"/>
  <c r="AI8" i="177" s="1"/>
  <c r="I8" i="177"/>
  <c r="BH8" i="177" s="1"/>
  <c r="E9" i="177"/>
  <c r="AE9" i="177" s="1"/>
  <c r="M9" i="177"/>
  <c r="AJ24" i="177"/>
  <c r="AV29" i="177"/>
  <c r="AV33" i="177"/>
  <c r="AK6" i="177"/>
  <c r="AK8" i="177" s="1"/>
  <c r="BK6" i="177"/>
  <c r="AD24" i="177"/>
  <c r="AL24" i="177"/>
  <c r="AP25" i="177"/>
  <c r="AP26" i="177" s="1"/>
  <c r="AP29" i="177"/>
  <c r="AX29" i="177"/>
  <c r="AP33" i="177"/>
  <c r="AX33" i="177"/>
  <c r="AD6" i="177"/>
  <c r="AD8" i="177" s="1"/>
  <c r="AL6" i="177"/>
  <c r="AL8" i="177" s="1"/>
  <c r="BD6" i="177"/>
  <c r="BL6" i="177"/>
  <c r="D8" i="177"/>
  <c r="AE24" i="177"/>
  <c r="AM24" i="177"/>
  <c r="AQ29" i="177"/>
  <c r="AY29" i="177"/>
  <c r="AQ33" i="177"/>
  <c r="AY33" i="177"/>
  <c r="AE6" i="177"/>
  <c r="AE8" i="177" s="1"/>
  <c r="AM6" i="177"/>
  <c r="AM8" i="177" s="1"/>
  <c r="BE6" i="177"/>
  <c r="BM6" i="177"/>
  <c r="AF24" i="177"/>
  <c r="AN24" i="177"/>
  <c r="AR29" i="177"/>
  <c r="AZ29" i="177"/>
  <c r="AR33" i="177"/>
  <c r="AZ33" i="177"/>
  <c r="AF6" i="177"/>
  <c r="AF8" i="177" s="1"/>
  <c r="AG24" i="177"/>
  <c r="AS29" i="177"/>
  <c r="AS33" i="177"/>
  <c r="G27" i="170"/>
  <c r="G29" i="170" s="1"/>
  <c r="G31" i="170" s="1"/>
  <c r="H27" i="170"/>
  <c r="H29" i="170" s="1"/>
  <c r="H31" i="170" s="1"/>
  <c r="F27" i="170"/>
  <c r="F29" i="170" s="1"/>
  <c r="F31" i="170" s="1"/>
  <c r="E27" i="170"/>
  <c r="E29" i="170" s="1"/>
  <c r="E31" i="170" s="1"/>
  <c r="E8" i="94"/>
  <c r="AU11" i="177" l="1"/>
  <c r="AV11" i="177"/>
  <c r="G38" i="84"/>
  <c r="G21" i="84"/>
  <c r="G19" i="84"/>
  <c r="E32" i="84"/>
  <c r="H10" i="82"/>
  <c r="G20" i="84"/>
  <c r="H9" i="82"/>
  <c r="H11" i="82"/>
  <c r="H35" i="84" s="1"/>
  <c r="P26" i="177"/>
  <c r="BO26" i="177" s="1"/>
  <c r="P34" i="177"/>
  <c r="AR25" i="177"/>
  <c r="AR26" i="177" s="1"/>
  <c r="AR12" i="177"/>
  <c r="AS25" i="177"/>
  <c r="BA11" i="177"/>
  <c r="BO11" i="177"/>
  <c r="X26" i="177"/>
  <c r="X34" i="177"/>
  <c r="X36" i="177" s="1"/>
  <c r="S34" i="177"/>
  <c r="S36" i="177" s="1"/>
  <c r="S26" i="177"/>
  <c r="AW11" i="177"/>
  <c r="U34" i="177"/>
  <c r="U36" i="177" s="1"/>
  <c r="U26" i="177"/>
  <c r="AA26" i="177"/>
  <c r="AA34" i="177"/>
  <c r="AA36" i="177" s="1"/>
  <c r="W25" i="177"/>
  <c r="W12" i="177"/>
  <c r="Y26" i="177"/>
  <c r="Y34" i="177"/>
  <c r="Y36" i="177" s="1"/>
  <c r="AQ25" i="177"/>
  <c r="T34" i="177"/>
  <c r="T36" i="177" s="1"/>
  <c r="T26" i="177"/>
  <c r="R26" i="177"/>
  <c r="R34" i="177"/>
  <c r="AU12" i="177"/>
  <c r="Z34" i="177"/>
  <c r="Z36" i="177" s="1"/>
  <c r="Z26" i="177"/>
  <c r="V12" i="177"/>
  <c r="V25" i="177"/>
  <c r="AV12" i="177"/>
  <c r="BM9" i="177"/>
  <c r="AI9" i="177"/>
  <c r="L25" i="177"/>
  <c r="L34" i="177" s="1"/>
  <c r="BJ9" i="177"/>
  <c r="N11" i="177"/>
  <c r="N12" i="177" s="1"/>
  <c r="BE9" i="177"/>
  <c r="AO9" i="177"/>
  <c r="AJ9" i="177"/>
  <c r="AH9" i="177"/>
  <c r="BH9" i="177"/>
  <c r="BG9" i="177"/>
  <c r="BK9" i="177"/>
  <c r="AS12" i="177"/>
  <c r="BL8" i="177"/>
  <c r="AQ8" i="177"/>
  <c r="F12" i="177"/>
  <c r="F25" i="177"/>
  <c r="D36" i="177"/>
  <c r="AD34" i="177"/>
  <c r="AQ26" i="177"/>
  <c r="O11" i="177"/>
  <c r="BN9" i="177"/>
  <c r="BO9" i="177"/>
  <c r="BF8" i="177"/>
  <c r="K25" i="177"/>
  <c r="K12" i="177"/>
  <c r="BM8" i="177"/>
  <c r="BG8" i="177"/>
  <c r="M11" i="177"/>
  <c r="BL9" i="177"/>
  <c r="AY12" i="177"/>
  <c r="AX12" i="177"/>
  <c r="AZ9" i="177"/>
  <c r="AR9" i="177"/>
  <c r="AY9" i="177"/>
  <c r="AQ9" i="177"/>
  <c r="AX9" i="177"/>
  <c r="AP9" i="177"/>
  <c r="AW9" i="177"/>
  <c r="AU9" i="177"/>
  <c r="AV9" i="177"/>
  <c r="AT9" i="177"/>
  <c r="AS9" i="177"/>
  <c r="BE8" i="177"/>
  <c r="BJ8" i="177"/>
  <c r="I12" i="177"/>
  <c r="I25" i="177"/>
  <c r="E11" i="177"/>
  <c r="AN9" i="177"/>
  <c r="AF9" i="177"/>
  <c r="BD9" i="177"/>
  <c r="AK9" i="177"/>
  <c r="AM9" i="177"/>
  <c r="BD8" i="177"/>
  <c r="G11" i="177"/>
  <c r="BF9" i="177"/>
  <c r="AU25" i="177"/>
  <c r="AU26" i="177" s="1"/>
  <c r="AT25" i="177"/>
  <c r="AT26" i="177" s="1"/>
  <c r="BI8" i="177"/>
  <c r="AL9" i="177"/>
  <c r="H12" i="177"/>
  <c r="H25" i="177"/>
  <c r="J11" i="177"/>
  <c r="BI9" i="177"/>
  <c r="AS26" i="177"/>
  <c r="AG9" i="177"/>
  <c r="AW12" i="177"/>
  <c r="BA12" i="177"/>
  <c r="E35" i="84"/>
  <c r="D31" i="106"/>
  <c r="P126" i="176"/>
  <c r="BF122" i="176" a="1"/>
  <c r="BF122" i="176"/>
  <c r="AV122" i="176" a="1"/>
  <c r="AV122" i="176" s="1"/>
  <c r="AA19" i="121"/>
  <c r="AW25" i="177" l="1"/>
  <c r="AW26" i="177" s="1"/>
  <c r="H33" i="84"/>
  <c r="H32" i="84"/>
  <c r="BA25" i="177"/>
  <c r="BA26" i="177" s="1"/>
  <c r="BO25" i="177"/>
  <c r="AP34" i="177"/>
  <c r="P36" i="177"/>
  <c r="AQ34" i="177"/>
  <c r="W26" i="177"/>
  <c r="W34" i="177"/>
  <c r="W36" i="177" s="1"/>
  <c r="V34" i="177"/>
  <c r="V36" i="177" s="1"/>
  <c r="V26" i="177"/>
  <c r="AV25" i="177"/>
  <c r="AV26" i="177" s="1"/>
  <c r="AX25" i="177"/>
  <c r="AX26" i="177" s="1"/>
  <c r="AY25" i="177"/>
  <c r="AY26" i="177" s="1"/>
  <c r="AZ25" i="177"/>
  <c r="AZ26" i="177" s="1"/>
  <c r="R36" i="177"/>
  <c r="AR34" i="177"/>
  <c r="AS34" i="177"/>
  <c r="BM11" i="177"/>
  <c r="N25" i="177"/>
  <c r="N34" i="177" s="1"/>
  <c r="L26" i="177"/>
  <c r="BJ11" i="177"/>
  <c r="BH11" i="177"/>
  <c r="G12" i="177"/>
  <c r="G25" i="177"/>
  <c r="BF11" i="177"/>
  <c r="BA9" i="177"/>
  <c r="BD11" i="177"/>
  <c r="E25" i="177"/>
  <c r="AG11" i="177"/>
  <c r="AG12" i="177" s="1"/>
  <c r="AI11" i="177"/>
  <c r="AI12" i="177" s="1"/>
  <c r="E12" i="177"/>
  <c r="AO11" i="177"/>
  <c r="AO12" i="177" s="1"/>
  <c r="AJ11" i="177"/>
  <c r="AJ12" i="177" s="1"/>
  <c r="AH11" i="177"/>
  <c r="AH12" i="177" s="1"/>
  <c r="AN11" i="177"/>
  <c r="AN12" i="177" s="1"/>
  <c r="AM11" i="177"/>
  <c r="AM12" i="177" s="1"/>
  <c r="AF11" i="177"/>
  <c r="AF12" i="177" s="1"/>
  <c r="AK11" i="177"/>
  <c r="AK12" i="177" s="1"/>
  <c r="AE11" i="177"/>
  <c r="AE12" i="177" s="1"/>
  <c r="AL11" i="177"/>
  <c r="AL12" i="177" s="1"/>
  <c r="I34" i="177"/>
  <c r="I26" i="177"/>
  <c r="O12" i="177"/>
  <c r="BN12" i="177" s="1"/>
  <c r="BN11" i="177"/>
  <c r="O25" i="177"/>
  <c r="AD36" i="177"/>
  <c r="F34" i="177"/>
  <c r="F26" i="177"/>
  <c r="J25" i="177"/>
  <c r="BI11" i="177"/>
  <c r="J12" i="177"/>
  <c r="BL11" i="177"/>
  <c r="M25" i="177"/>
  <c r="M12" i="177"/>
  <c r="BK11" i="177"/>
  <c r="BG11" i="177"/>
  <c r="K34" i="177"/>
  <c r="K26" i="177"/>
  <c r="BE11" i="177"/>
  <c r="L36" i="177"/>
  <c r="AU34" i="177"/>
  <c r="AT34" i="177"/>
  <c r="H34" i="177"/>
  <c r="H26" i="177"/>
  <c r="B18" i="153"/>
  <c r="B19" i="153"/>
  <c r="B20" i="153"/>
  <c r="AR50" i="176" a="1"/>
  <c r="AR50" i="176" s="1"/>
  <c r="AS50" i="176" s="1" a="1"/>
  <c r="AS50" i="176" s="1"/>
  <c r="AR51" i="176" a="1"/>
  <c r="AR51" i="176" s="1"/>
  <c r="AR52" i="176" a="1"/>
  <c r="AR52" i="176" s="1"/>
  <c r="AR53" i="176" a="1"/>
  <c r="AR53" i="176" s="1"/>
  <c r="AR54" i="176" a="1"/>
  <c r="AR54" i="176" s="1"/>
  <c r="AR55" i="176" a="1"/>
  <c r="AR55" i="176" s="1"/>
  <c r="AT55" i="176" s="1" a="1"/>
  <c r="AT55" i="176" s="1"/>
  <c r="AR56" i="176" a="1"/>
  <c r="AR56" i="176" s="1"/>
  <c r="AR57" i="176" a="1"/>
  <c r="AR57" i="176" s="1"/>
  <c r="AR58" i="176" a="1"/>
  <c r="AR58" i="176" s="1"/>
  <c r="AR59" i="176" a="1"/>
  <c r="AR59" i="176" s="1"/>
  <c r="AS59" i="176" s="1" a="1"/>
  <c r="AS59" i="176" s="1"/>
  <c r="AR60" i="176" a="1"/>
  <c r="AR60" i="176" s="1"/>
  <c r="AS60" i="176" s="1" a="1"/>
  <c r="AS60" i="176" s="1"/>
  <c r="AR61" i="176" a="1"/>
  <c r="AR61" i="176" s="1"/>
  <c r="AR62" i="176" a="1"/>
  <c r="AR62" i="176" s="1"/>
  <c r="AR63" i="176" a="1"/>
  <c r="AR63" i="176" s="1"/>
  <c r="AR64" i="176" a="1"/>
  <c r="AR64" i="176" s="1"/>
  <c r="AR65" i="176" a="1"/>
  <c r="AR65" i="176" s="1"/>
  <c r="AR66" i="176" a="1"/>
  <c r="AR66" i="176" s="1"/>
  <c r="AR67" i="176" a="1"/>
  <c r="AR67" i="176" s="1"/>
  <c r="AS67" i="176" s="1" a="1"/>
  <c r="AS67" i="176" s="1"/>
  <c r="AR68" i="176" a="1"/>
  <c r="AR68" i="176" s="1"/>
  <c r="AR69" i="176" a="1"/>
  <c r="AR69" i="176" s="1"/>
  <c r="AT69" i="176" s="1" a="1"/>
  <c r="AT69" i="176" s="1"/>
  <c r="AR70" i="176" a="1"/>
  <c r="AR70" i="176" s="1"/>
  <c r="AR71" i="176" a="1"/>
  <c r="AR71" i="176" s="1"/>
  <c r="AR72" i="176" a="1"/>
  <c r="AR72" i="176" s="1"/>
  <c r="AR73" i="176" a="1"/>
  <c r="AR73" i="176" s="1"/>
  <c r="AR74" i="176" a="1"/>
  <c r="AR74" i="176" s="1"/>
  <c r="AR75" i="176" a="1"/>
  <c r="AR75" i="176" s="1"/>
  <c r="AR76" i="176" a="1"/>
  <c r="AR76" i="176" s="1"/>
  <c r="AR77" i="176" a="1"/>
  <c r="AR77" i="176" s="1"/>
  <c r="AT77" i="176" s="1" a="1"/>
  <c r="AT77" i="176" s="1"/>
  <c r="AR78" i="176" a="1"/>
  <c r="AR78" i="176" s="1"/>
  <c r="AR79" i="176" a="1"/>
  <c r="AR79" i="176" s="1"/>
  <c r="AR80" i="176" a="1"/>
  <c r="AR80" i="176" s="1"/>
  <c r="AR81" i="176" a="1"/>
  <c r="AR81" i="176" s="1"/>
  <c r="AR82" i="176" a="1"/>
  <c r="AR82" i="176" s="1"/>
  <c r="AR83" i="176" a="1"/>
  <c r="AR83" i="176" s="1"/>
  <c r="AR84" i="176" a="1"/>
  <c r="AR84" i="176" s="1"/>
  <c r="AR85" i="176" a="1"/>
  <c r="AR85" i="176" s="1"/>
  <c r="AR86" i="176" a="1"/>
  <c r="AR86" i="176" s="1"/>
  <c r="AR87" i="176" a="1"/>
  <c r="AR87" i="176" s="1"/>
  <c r="AR88" i="176" a="1"/>
  <c r="AR88" i="176" s="1"/>
  <c r="AR89" i="176" a="1"/>
  <c r="AR89" i="176" s="1"/>
  <c r="AR90" i="176" a="1"/>
  <c r="AR90" i="176" s="1"/>
  <c r="AR91" i="176" a="1"/>
  <c r="AR91" i="176" s="1"/>
  <c r="AR92" i="176" a="1"/>
  <c r="AR92" i="176" s="1"/>
  <c r="AR93" i="176" a="1"/>
  <c r="AR93" i="176" s="1"/>
  <c r="AR94" i="176" a="1"/>
  <c r="AR94" i="176" s="1"/>
  <c r="AR95" i="176" a="1"/>
  <c r="AR95" i="176" s="1"/>
  <c r="AR96" i="176" a="1"/>
  <c r="AR96" i="176" s="1"/>
  <c r="AR97" i="176" a="1"/>
  <c r="AR97" i="176" s="1"/>
  <c r="AR98" i="176" a="1"/>
  <c r="AR98" i="176" s="1"/>
  <c r="AR99" i="176" a="1"/>
  <c r="AR99" i="176" s="1"/>
  <c r="AR100" i="176" a="1"/>
  <c r="AR100" i="176" s="1"/>
  <c r="AR101" i="176" a="1"/>
  <c r="AR101" i="176" s="1"/>
  <c r="AR102" i="176" a="1"/>
  <c r="AR102" i="176" s="1"/>
  <c r="AR103" i="176" a="1"/>
  <c r="AR103" i="176" s="1"/>
  <c r="AR104" i="176" a="1"/>
  <c r="AR104" i="176" s="1"/>
  <c r="AR105" i="176" a="1"/>
  <c r="AR105" i="176" s="1"/>
  <c r="AR106" i="176" a="1"/>
  <c r="AR106" i="176" s="1"/>
  <c r="AR107" i="176" a="1"/>
  <c r="AR107" i="176" s="1"/>
  <c r="AR108" i="176" a="1"/>
  <c r="AR108" i="176" s="1"/>
  <c r="AR109" i="176" a="1"/>
  <c r="AR109" i="176" s="1"/>
  <c r="AR110" i="176" a="1"/>
  <c r="AR110" i="176" s="1"/>
  <c r="AR111" i="176" a="1"/>
  <c r="AR111" i="176" s="1"/>
  <c r="AR112" i="176" a="1"/>
  <c r="AR112" i="176" s="1"/>
  <c r="AR113" i="176" a="1"/>
  <c r="AR113" i="176" s="1"/>
  <c r="AR114" i="176" a="1"/>
  <c r="AR114" i="176" s="1"/>
  <c r="AR115" i="176" a="1"/>
  <c r="AR115" i="176" s="1"/>
  <c r="AR116" i="176" a="1"/>
  <c r="AR116" i="176" s="1"/>
  <c r="AR117" i="176" a="1"/>
  <c r="AR117" i="176" s="1"/>
  <c r="AR118" i="176" a="1"/>
  <c r="AR118" i="176" s="1"/>
  <c r="AR119" i="176" a="1"/>
  <c r="AR119" i="176" s="1"/>
  <c r="AR120" i="176" a="1"/>
  <c r="AR120" i="176" s="1"/>
  <c r="AR121" i="176" a="1"/>
  <c r="AR121" i="176" s="1"/>
  <c r="AM50" i="176" a="1"/>
  <c r="AM50" i="176" s="1"/>
  <c r="AN50" i="176" a="1"/>
  <c r="AN50" i="176" s="1"/>
  <c r="AO50" i="176" s="1" a="1"/>
  <c r="AO50" i="176" s="1"/>
  <c r="AM51" i="176" a="1"/>
  <c r="AM51" i="176" s="1"/>
  <c r="AN51" i="176" a="1"/>
  <c r="AN51" i="176" s="1"/>
  <c r="AP51" i="176" s="1" a="1"/>
  <c r="AP51" i="176" s="1"/>
  <c r="AM52" i="176" a="1"/>
  <c r="AM52" i="176" s="1"/>
  <c r="AN52" i="176" a="1"/>
  <c r="AN52" i="176" s="1"/>
  <c r="AO52" i="176" s="1" a="1"/>
  <c r="AO52" i="176" s="1"/>
  <c r="AM53" i="176" a="1"/>
  <c r="AM53" i="176" s="1"/>
  <c r="AN53" i="176" a="1"/>
  <c r="AN53" i="176" s="1"/>
  <c r="AO53" i="176" s="1" a="1"/>
  <c r="AO53" i="176" s="1"/>
  <c r="AM54" i="176" a="1"/>
  <c r="AM54" i="176" s="1"/>
  <c r="AN54" i="176" a="1"/>
  <c r="AN54" i="176" s="1"/>
  <c r="AM55" i="176" a="1"/>
  <c r="AM55" i="176" s="1"/>
  <c r="AN55" i="176" a="1"/>
  <c r="AN55" i="176" s="1"/>
  <c r="AP55" i="176" s="1" a="1"/>
  <c r="AP55" i="176" s="1"/>
  <c r="AM56" i="176" a="1"/>
  <c r="AM56" i="176" s="1"/>
  <c r="AN56" i="176" a="1"/>
  <c r="AN56" i="176" s="1"/>
  <c r="AO56" i="176" s="1" a="1"/>
  <c r="AO56" i="176" s="1"/>
  <c r="AM57" i="176" a="1"/>
  <c r="AM57" i="176" s="1"/>
  <c r="AN57" i="176" a="1"/>
  <c r="AN57" i="176" s="1"/>
  <c r="AP57" i="176" s="1" a="1"/>
  <c r="AP57" i="176" s="1"/>
  <c r="AM58" i="176" a="1"/>
  <c r="AM58" i="176" s="1"/>
  <c r="AN58" i="176" a="1"/>
  <c r="AN58" i="176" s="1"/>
  <c r="AP58" i="176" s="1" a="1"/>
  <c r="AP58" i="176" s="1"/>
  <c r="AM59" i="176" a="1"/>
  <c r="AM59" i="176" s="1"/>
  <c r="AN59" i="176" a="1"/>
  <c r="AN59" i="176" s="1"/>
  <c r="AM60" i="176" a="1"/>
  <c r="AM60" i="176" s="1"/>
  <c r="AN60" i="176" a="1"/>
  <c r="AN60" i="176" s="1"/>
  <c r="AM61" i="176" a="1"/>
  <c r="AM61" i="176" s="1"/>
  <c r="AN61" i="176" a="1"/>
  <c r="AN61" i="176" s="1"/>
  <c r="AO61" i="176" s="1" a="1"/>
  <c r="AO61" i="176" s="1"/>
  <c r="AM62" i="176" a="1"/>
  <c r="AM62" i="176" s="1"/>
  <c r="AN62" i="176" a="1"/>
  <c r="AN62" i="176" s="1"/>
  <c r="AO62" i="176" s="1" a="1"/>
  <c r="AO62" i="176" s="1"/>
  <c r="AM63" i="176" a="1"/>
  <c r="AM63" i="176" s="1"/>
  <c r="AN63" i="176" a="1"/>
  <c r="AN63" i="176" s="1"/>
  <c r="AP63" i="176" s="1" a="1"/>
  <c r="AP63" i="176" s="1"/>
  <c r="AM64" i="176" a="1"/>
  <c r="AM64" i="176" s="1"/>
  <c r="AN64" i="176" a="1"/>
  <c r="AN64" i="176" s="1"/>
  <c r="AO64" i="176" s="1" a="1"/>
  <c r="AO64" i="176" s="1"/>
  <c r="AM65" i="176" a="1"/>
  <c r="AM65" i="176" s="1"/>
  <c r="AN65" i="176" a="1"/>
  <c r="AN65" i="176" s="1"/>
  <c r="AM66" i="176" a="1"/>
  <c r="AM66" i="176" s="1"/>
  <c r="AN66" i="176" a="1"/>
  <c r="AN66" i="176" s="1"/>
  <c r="AO66" i="176" s="1" a="1"/>
  <c r="AO66" i="176" s="1"/>
  <c r="AM67" i="176" a="1"/>
  <c r="AM67" i="176" s="1"/>
  <c r="AN67" i="176" a="1"/>
  <c r="AN67" i="176" s="1"/>
  <c r="AP67" i="176" s="1" a="1"/>
  <c r="AP67" i="176" s="1"/>
  <c r="AM68" i="176" a="1"/>
  <c r="AM68" i="176" s="1"/>
  <c r="AN68" i="176" a="1"/>
  <c r="AN68" i="176" s="1"/>
  <c r="AM69" i="176" a="1"/>
  <c r="AM69" i="176" s="1"/>
  <c r="AN69" i="176" a="1"/>
  <c r="AN69" i="176" s="1"/>
  <c r="AP69" i="176" s="1" a="1"/>
  <c r="AP69" i="176" s="1"/>
  <c r="AM70" i="176" a="1"/>
  <c r="AM70" i="176" s="1"/>
  <c r="AN70" i="176" a="1"/>
  <c r="AN70" i="176" s="1"/>
  <c r="AO70" i="176" s="1" a="1"/>
  <c r="AO70" i="176" s="1"/>
  <c r="AM71" i="176" a="1"/>
  <c r="AM71" i="176" s="1"/>
  <c r="AN71" i="176" a="1"/>
  <c r="AN71" i="176" s="1"/>
  <c r="AP71" i="176" s="1" a="1"/>
  <c r="AP71" i="176" s="1"/>
  <c r="AM72" i="176" a="1"/>
  <c r="AM72" i="176" s="1"/>
  <c r="AN72" i="176" a="1"/>
  <c r="AN72" i="176" s="1"/>
  <c r="AO72" i="176" s="1" a="1"/>
  <c r="AO72" i="176" s="1"/>
  <c r="AM73" i="176" a="1"/>
  <c r="AM73" i="176" s="1"/>
  <c r="AN73" i="176" a="1"/>
  <c r="AN73" i="176" s="1"/>
  <c r="AQ73" i="176" s="1" a="1"/>
  <c r="AQ73" i="176" s="1"/>
  <c r="AM74" i="176" a="1"/>
  <c r="AM74" i="176" s="1"/>
  <c r="AN74" i="176" a="1"/>
  <c r="AN74" i="176" s="1"/>
  <c r="AM75" i="176" a="1"/>
  <c r="AM75" i="176" s="1"/>
  <c r="AN75" i="176" a="1"/>
  <c r="AN75" i="176" s="1"/>
  <c r="AM76" i="176" a="1"/>
  <c r="AM76" i="176" s="1"/>
  <c r="AN76" i="176" a="1"/>
  <c r="AN76" i="176" s="1"/>
  <c r="AO76" i="176" s="1" a="1"/>
  <c r="AO76" i="176" s="1"/>
  <c r="AM77" i="176" a="1"/>
  <c r="AM77" i="176" s="1"/>
  <c r="AN77" i="176" a="1"/>
  <c r="AN77" i="176" s="1"/>
  <c r="AP77" i="176" s="1" a="1"/>
  <c r="AP77" i="176" s="1"/>
  <c r="AM78" i="176" a="1"/>
  <c r="AM78" i="176" s="1"/>
  <c r="AN78" i="176" a="1"/>
  <c r="AN78" i="176" s="1"/>
  <c r="AM79" i="176" a="1"/>
  <c r="AM79" i="176" s="1"/>
  <c r="AN79" i="176" a="1"/>
  <c r="AN79" i="176" s="1"/>
  <c r="AM80" i="176" a="1"/>
  <c r="AM80" i="176" s="1"/>
  <c r="AN80" i="176" a="1"/>
  <c r="AN80" i="176" s="1"/>
  <c r="AM81" i="176" a="1"/>
  <c r="AM81" i="176" s="1"/>
  <c r="AN81" i="176" a="1"/>
  <c r="AN81" i="176" s="1"/>
  <c r="AQ81" i="176" s="1" a="1"/>
  <c r="AQ81" i="176" s="1"/>
  <c r="AM82" i="176" a="1"/>
  <c r="AM82" i="176" s="1"/>
  <c r="AN82" i="176" a="1"/>
  <c r="AN82" i="176" s="1"/>
  <c r="AO82" i="176" s="1" a="1"/>
  <c r="AO82" i="176" s="1"/>
  <c r="AM83" i="176" a="1"/>
  <c r="AM83" i="176" s="1"/>
  <c r="AN83" i="176" a="1"/>
  <c r="AN83" i="176" s="1"/>
  <c r="AO83" i="176" s="1" a="1"/>
  <c r="AO83" i="176" s="1"/>
  <c r="AM84" i="176" a="1"/>
  <c r="AM84" i="176" s="1"/>
  <c r="AN84" i="176" a="1"/>
  <c r="AN84" i="176" s="1"/>
  <c r="AO84" i="176" s="1" a="1"/>
  <c r="AO84" i="176" s="1"/>
  <c r="AM85" i="176" a="1"/>
  <c r="AM85" i="176" s="1"/>
  <c r="AN85" i="176" a="1"/>
  <c r="AN85" i="176" s="1"/>
  <c r="AP85" i="176" s="1" a="1"/>
  <c r="AP85" i="176" s="1"/>
  <c r="AM86" i="176" a="1"/>
  <c r="AM86" i="176" s="1"/>
  <c r="AN86" i="176" a="1"/>
  <c r="AN86" i="176" s="1"/>
  <c r="AQ86" i="176" s="1" a="1"/>
  <c r="AQ86" i="176" s="1"/>
  <c r="AM87" i="176" a="1"/>
  <c r="AM87" i="176" s="1"/>
  <c r="AN87" i="176" a="1"/>
  <c r="AN87" i="176" s="1"/>
  <c r="AQ87" i="176" s="1" a="1"/>
  <c r="AQ87" i="176" s="1"/>
  <c r="AM88" i="176" a="1"/>
  <c r="AM88" i="176" s="1"/>
  <c r="AN88" i="176" a="1"/>
  <c r="AN88" i="176" s="1"/>
  <c r="AO88" i="176" s="1" a="1"/>
  <c r="AO88" i="176" s="1"/>
  <c r="AM89" i="176" a="1"/>
  <c r="AM89" i="176" s="1"/>
  <c r="AN89" i="176" a="1"/>
  <c r="AN89" i="176" s="1"/>
  <c r="AQ89" i="176" s="1" a="1"/>
  <c r="AQ89" i="176" s="1"/>
  <c r="AM90" i="176" a="1"/>
  <c r="AM90" i="176" s="1"/>
  <c r="AN90" i="176" a="1"/>
  <c r="AN90" i="176" s="1"/>
  <c r="AP90" i="176" s="1" a="1"/>
  <c r="AP90" i="176" s="1"/>
  <c r="AM91" i="176" a="1"/>
  <c r="AM91" i="176" s="1"/>
  <c r="AN91" i="176" a="1"/>
  <c r="AN91" i="176" s="1"/>
  <c r="AO91" i="176" s="1" a="1"/>
  <c r="AO91" i="176" s="1"/>
  <c r="AM92" i="176" a="1"/>
  <c r="AM92" i="176" s="1"/>
  <c r="AN92" i="176" a="1"/>
  <c r="AN92" i="176" s="1"/>
  <c r="AO92" i="176" s="1" a="1"/>
  <c r="AO92" i="176" s="1"/>
  <c r="AM93" i="176" a="1"/>
  <c r="AM93" i="176" s="1"/>
  <c r="AN93" i="176" a="1"/>
  <c r="AN93" i="176" s="1"/>
  <c r="AP93" i="176" s="1" a="1"/>
  <c r="AP93" i="176" s="1"/>
  <c r="AM94" i="176" a="1"/>
  <c r="AM94" i="176" s="1"/>
  <c r="AN94" i="176" a="1"/>
  <c r="AN94" i="176" s="1"/>
  <c r="AQ94" i="176" s="1" a="1"/>
  <c r="AQ94" i="176" s="1"/>
  <c r="AM95" i="176" a="1"/>
  <c r="AM95" i="176" s="1"/>
  <c r="AN95" i="176" a="1"/>
  <c r="AN95" i="176" s="1"/>
  <c r="AQ95" i="176" s="1" a="1"/>
  <c r="AQ95" i="176" s="1"/>
  <c r="AM96" i="176" a="1"/>
  <c r="AM96" i="176" s="1"/>
  <c r="AN96" i="176" a="1"/>
  <c r="AN96" i="176" s="1"/>
  <c r="AO96" i="176" s="1" a="1"/>
  <c r="AO96" i="176" s="1"/>
  <c r="AM97" i="176" a="1"/>
  <c r="AM97" i="176" s="1"/>
  <c r="AN97" i="176" a="1"/>
  <c r="AN97" i="176" s="1"/>
  <c r="AP97" i="176" s="1" a="1"/>
  <c r="AP97" i="176" s="1"/>
  <c r="AM98" i="176" a="1"/>
  <c r="AM98" i="176" s="1"/>
  <c r="AN98" i="176" a="1"/>
  <c r="AN98" i="176" s="1"/>
  <c r="AO98" i="176" s="1" a="1"/>
  <c r="AO98" i="176" s="1"/>
  <c r="AM99" i="176" a="1"/>
  <c r="AM99" i="176" s="1"/>
  <c r="AN99" i="176" a="1"/>
  <c r="AN99" i="176" s="1"/>
  <c r="AM100" i="176" a="1"/>
  <c r="AM100" i="176" s="1"/>
  <c r="AN100" i="176" a="1"/>
  <c r="AN100" i="176" s="1"/>
  <c r="AO100" i="176" s="1" a="1"/>
  <c r="AO100" i="176" s="1"/>
  <c r="AM101" i="176" a="1"/>
  <c r="AM101" i="176" s="1"/>
  <c r="AN101" i="176" a="1"/>
  <c r="AN101" i="176" s="1"/>
  <c r="AO101" i="176" s="1" a="1"/>
  <c r="AO101" i="176" s="1"/>
  <c r="AM102" i="176" a="1"/>
  <c r="AM102" i="176" s="1"/>
  <c r="AN102" i="176" a="1"/>
  <c r="AN102" i="176" s="1"/>
  <c r="AP102" i="176" s="1" a="1"/>
  <c r="AP102" i="176" s="1"/>
  <c r="AM103" i="176" a="1"/>
  <c r="AM103" i="176" s="1"/>
  <c r="AN103" i="176" a="1"/>
  <c r="AN103" i="176" s="1"/>
  <c r="AQ103" i="176" s="1" a="1"/>
  <c r="AQ103" i="176" s="1"/>
  <c r="AM104" i="176" a="1"/>
  <c r="AM104" i="176" s="1"/>
  <c r="AN104" i="176" a="1"/>
  <c r="AN104" i="176" s="1"/>
  <c r="AP104" i="176" s="1" a="1"/>
  <c r="AP104" i="176" s="1"/>
  <c r="AM105" i="176" a="1"/>
  <c r="AM105" i="176" s="1"/>
  <c r="AN105" i="176" a="1"/>
  <c r="AN105" i="176" s="1"/>
  <c r="AP105" i="176" s="1" a="1"/>
  <c r="AP105" i="176" s="1"/>
  <c r="AM106" i="176" a="1"/>
  <c r="AM106" i="176" s="1"/>
  <c r="AN106" i="176" a="1"/>
  <c r="AN106" i="176" s="1"/>
  <c r="AO106" i="176" s="1" a="1"/>
  <c r="AO106" i="176" s="1"/>
  <c r="AM107" i="176" a="1"/>
  <c r="AM107" i="176" s="1"/>
  <c r="AN107" i="176" a="1"/>
  <c r="AN107" i="176" s="1"/>
  <c r="AO107" i="176" s="1" a="1"/>
  <c r="AO107" i="176" s="1"/>
  <c r="AM108" i="176" a="1"/>
  <c r="AM108" i="176" s="1"/>
  <c r="AN108" i="176" a="1"/>
  <c r="AN108" i="176" s="1"/>
  <c r="AO108" i="176" s="1" a="1"/>
  <c r="AO108" i="176" s="1"/>
  <c r="AM109" i="176" a="1"/>
  <c r="AM109" i="176" s="1"/>
  <c r="AN109" i="176" a="1"/>
  <c r="AN109" i="176" s="1"/>
  <c r="AM110" i="176" a="1"/>
  <c r="AM110" i="176" s="1"/>
  <c r="AN110" i="176" a="1"/>
  <c r="AN110" i="176" s="1"/>
  <c r="AP110" i="176" s="1" a="1"/>
  <c r="AP110" i="176" s="1"/>
  <c r="AM111" i="176" a="1"/>
  <c r="AM111" i="176" s="1"/>
  <c r="AN111" i="176" a="1"/>
  <c r="AN111" i="176" s="1"/>
  <c r="AO111" i="176" s="1" a="1"/>
  <c r="AO111" i="176" s="1"/>
  <c r="AM112" i="176" a="1"/>
  <c r="AM112" i="176" s="1"/>
  <c r="AN112" i="176" a="1"/>
  <c r="AN112" i="176" s="1"/>
  <c r="AP112" i="176" s="1" a="1"/>
  <c r="AP112" i="176" s="1"/>
  <c r="AM113" i="176" a="1"/>
  <c r="AM113" i="176" s="1"/>
  <c r="AN113" i="176" a="1"/>
  <c r="AN113" i="176" s="1"/>
  <c r="AO113" i="176" s="1" a="1"/>
  <c r="AO113" i="176" s="1"/>
  <c r="AM114" i="176" a="1"/>
  <c r="AM114" i="176" s="1"/>
  <c r="AN114" i="176" a="1"/>
  <c r="AN114" i="176" s="1"/>
  <c r="AQ114" i="176" s="1" a="1"/>
  <c r="AQ114" i="176" s="1"/>
  <c r="AM115" i="176" a="1"/>
  <c r="AM115" i="176" s="1"/>
  <c r="AN115" i="176" a="1"/>
  <c r="AN115" i="176" s="1"/>
  <c r="AP115" i="176" s="1" a="1"/>
  <c r="AP115" i="176" s="1"/>
  <c r="AM116" i="176" a="1"/>
  <c r="AM116" i="176" s="1"/>
  <c r="AN116" i="176" a="1"/>
  <c r="AN116" i="176" s="1"/>
  <c r="AO116" i="176" s="1" a="1"/>
  <c r="AO116" i="176" s="1"/>
  <c r="AM117" i="176" a="1"/>
  <c r="AM117" i="176" s="1"/>
  <c r="AN117" i="176" a="1"/>
  <c r="AN117" i="176" s="1"/>
  <c r="AP117" i="176" s="1" a="1"/>
  <c r="AP117" i="176" s="1"/>
  <c r="AM118" i="176" a="1"/>
  <c r="AM118" i="176" s="1"/>
  <c r="AN118" i="176" a="1"/>
  <c r="AN118" i="176" s="1"/>
  <c r="AO118" i="176" s="1" a="1"/>
  <c r="AO118" i="176" s="1"/>
  <c r="AM119" i="176" a="1"/>
  <c r="AM119" i="176" s="1"/>
  <c r="AN119" i="176" a="1"/>
  <c r="AN119" i="176" s="1"/>
  <c r="AQ119" i="176" s="1" a="1"/>
  <c r="AQ119" i="176" s="1"/>
  <c r="AM120" i="176" a="1"/>
  <c r="AM120" i="176" s="1"/>
  <c r="AN120" i="176" a="1"/>
  <c r="AN120" i="176" s="1"/>
  <c r="AQ120" i="176" s="1" a="1"/>
  <c r="AQ120" i="176" s="1"/>
  <c r="AM121" i="176" a="1"/>
  <c r="AM121" i="176" s="1"/>
  <c r="AN121" i="176" a="1"/>
  <c r="AN121" i="176" s="1"/>
  <c r="AP121" i="176" s="1" a="1"/>
  <c r="AP121" i="176" s="1"/>
  <c r="AL50" i="176" a="1"/>
  <c r="AL50" i="176" s="1"/>
  <c r="AX50" i="176" a="1"/>
  <c r="AX50" i="176" s="1"/>
  <c r="AY50" i="176" a="1"/>
  <c r="AY50" i="176" s="1"/>
  <c r="AZ50" i="176" a="1"/>
  <c r="AZ50" i="176" s="1"/>
  <c r="BB50" i="176" a="1"/>
  <c r="BB50" i="176" s="1"/>
  <c r="BC50" i="176" a="1"/>
  <c r="BC50" i="176" s="1"/>
  <c r="BD50" i="176" a="1"/>
  <c r="BD50" i="176" s="1"/>
  <c r="AL51" i="176" a="1"/>
  <c r="AL51" i="176" s="1"/>
  <c r="AX51" i="176" a="1"/>
  <c r="AX51" i="176" s="1"/>
  <c r="AY51" i="176" a="1"/>
  <c r="AY51" i="176" s="1"/>
  <c r="AZ51" i="176" a="1"/>
  <c r="AZ51" i="176" s="1"/>
  <c r="BB51" i="176" a="1"/>
  <c r="BB51" i="176" s="1"/>
  <c r="BC51" i="176" a="1"/>
  <c r="BC51" i="176" s="1"/>
  <c r="BD51" i="176" a="1"/>
  <c r="BD51" i="176" s="1"/>
  <c r="AL52" i="176" a="1"/>
  <c r="AL52" i="176" s="1"/>
  <c r="AX52" i="176" a="1"/>
  <c r="AX52" i="176" s="1"/>
  <c r="AY52" i="176" a="1"/>
  <c r="AY52" i="176" s="1"/>
  <c r="AZ52" i="176" a="1"/>
  <c r="AZ52" i="176" s="1"/>
  <c r="BB52" i="176" a="1"/>
  <c r="BB52" i="176" s="1"/>
  <c r="BC52" i="176" a="1"/>
  <c r="BC52" i="176" s="1"/>
  <c r="BD52" i="176" a="1"/>
  <c r="BD52" i="176" s="1"/>
  <c r="AL53" i="176" a="1"/>
  <c r="AL53" i="176" s="1"/>
  <c r="AX53" i="176" a="1"/>
  <c r="AX53" i="176" s="1"/>
  <c r="AY53" i="176" a="1"/>
  <c r="AY53" i="176" s="1"/>
  <c r="AZ53" i="176" a="1"/>
  <c r="AZ53" i="176" s="1"/>
  <c r="BB53" i="176" a="1"/>
  <c r="BB53" i="176" s="1"/>
  <c r="BC53" i="176" a="1"/>
  <c r="BC53" i="176" s="1"/>
  <c r="BD53" i="176" a="1"/>
  <c r="BD53" i="176" s="1"/>
  <c r="AL54" i="176" a="1"/>
  <c r="AL54" i="176" s="1"/>
  <c r="AX54" i="176" a="1"/>
  <c r="AX54" i="176" s="1"/>
  <c r="AY54" i="176" a="1"/>
  <c r="AY54" i="176" s="1"/>
  <c r="AZ54" i="176" a="1"/>
  <c r="AZ54" i="176" s="1"/>
  <c r="BB54" i="176" a="1"/>
  <c r="BB54" i="176" s="1"/>
  <c r="BC54" i="176" a="1"/>
  <c r="BC54" i="176" s="1"/>
  <c r="BD54" i="176" a="1"/>
  <c r="BD54" i="176" s="1"/>
  <c r="AL55" i="176" a="1"/>
  <c r="AL55" i="176" s="1"/>
  <c r="AX55" i="176" a="1"/>
  <c r="AX55" i="176" s="1"/>
  <c r="AY55" i="176" a="1"/>
  <c r="AY55" i="176" s="1"/>
  <c r="AZ55" i="176" a="1"/>
  <c r="AZ55" i="176" s="1"/>
  <c r="BB55" i="176" a="1"/>
  <c r="BB55" i="176" s="1"/>
  <c r="BC55" i="176" a="1"/>
  <c r="BC55" i="176" s="1"/>
  <c r="BD55" i="176" a="1"/>
  <c r="BD55" i="176" s="1"/>
  <c r="AL56" i="176" a="1"/>
  <c r="AL56" i="176" s="1"/>
  <c r="AX56" i="176" a="1"/>
  <c r="AX56" i="176" s="1"/>
  <c r="AY56" i="176" a="1"/>
  <c r="AY56" i="176" s="1"/>
  <c r="AZ56" i="176" a="1"/>
  <c r="AZ56" i="176" s="1"/>
  <c r="BB56" i="176" a="1"/>
  <c r="BB56" i="176" s="1"/>
  <c r="BC56" i="176" a="1"/>
  <c r="BC56" i="176" s="1"/>
  <c r="BD56" i="176" a="1"/>
  <c r="BD56" i="176" s="1"/>
  <c r="AL57" i="176" a="1"/>
  <c r="AL57" i="176" s="1"/>
  <c r="AX57" i="176" a="1"/>
  <c r="AX57" i="176" s="1"/>
  <c r="AY57" i="176" a="1"/>
  <c r="AY57" i="176" s="1"/>
  <c r="AZ57" i="176" a="1"/>
  <c r="AZ57" i="176" s="1"/>
  <c r="BB57" i="176" a="1"/>
  <c r="BB57" i="176" s="1"/>
  <c r="BC57" i="176" a="1"/>
  <c r="BC57" i="176" s="1"/>
  <c r="BD57" i="176" a="1"/>
  <c r="BD57" i="176" s="1"/>
  <c r="AL58" i="176" a="1"/>
  <c r="AL58" i="176" s="1"/>
  <c r="AX58" i="176" a="1"/>
  <c r="AX58" i="176" s="1"/>
  <c r="AY58" i="176" a="1"/>
  <c r="AY58" i="176" s="1"/>
  <c r="AZ58" i="176" a="1"/>
  <c r="AZ58" i="176" s="1"/>
  <c r="BB58" i="176" a="1"/>
  <c r="BB58" i="176" s="1"/>
  <c r="BC58" i="176" a="1"/>
  <c r="BC58" i="176" s="1"/>
  <c r="BD58" i="176" a="1"/>
  <c r="BD58" i="176" s="1"/>
  <c r="AL59" i="176" a="1"/>
  <c r="AL59" i="176" s="1"/>
  <c r="AX59" i="176" a="1"/>
  <c r="AX59" i="176" s="1"/>
  <c r="AY59" i="176" a="1"/>
  <c r="AY59" i="176" s="1"/>
  <c r="AZ59" i="176" a="1"/>
  <c r="AZ59" i="176" s="1"/>
  <c r="BB59" i="176" a="1"/>
  <c r="BB59" i="176" s="1"/>
  <c r="BC59" i="176" a="1"/>
  <c r="BC59" i="176" s="1"/>
  <c r="BD59" i="176" a="1"/>
  <c r="BD59" i="176" s="1"/>
  <c r="AL60" i="176" a="1"/>
  <c r="AL60" i="176" s="1"/>
  <c r="AX60" i="176" a="1"/>
  <c r="AX60" i="176" s="1"/>
  <c r="AY60" i="176" a="1"/>
  <c r="AY60" i="176" s="1"/>
  <c r="AZ60" i="176" a="1"/>
  <c r="AZ60" i="176" s="1"/>
  <c r="BB60" i="176" a="1"/>
  <c r="BB60" i="176" s="1"/>
  <c r="BC60" i="176" a="1"/>
  <c r="BC60" i="176" s="1"/>
  <c r="BD60" i="176" a="1"/>
  <c r="BD60" i="176" s="1"/>
  <c r="AL61" i="176" a="1"/>
  <c r="AL61" i="176" s="1"/>
  <c r="AX61" i="176" a="1"/>
  <c r="AX61" i="176" s="1"/>
  <c r="AY61" i="176" a="1"/>
  <c r="AY61" i="176" s="1"/>
  <c r="AZ61" i="176" a="1"/>
  <c r="AZ61" i="176" s="1"/>
  <c r="BB61" i="176" a="1"/>
  <c r="BB61" i="176" s="1"/>
  <c r="BC61" i="176" a="1"/>
  <c r="BC61" i="176" s="1"/>
  <c r="BD61" i="176" a="1"/>
  <c r="BD61" i="176" s="1"/>
  <c r="AL62" i="176" a="1"/>
  <c r="AL62" i="176" s="1"/>
  <c r="AX62" i="176" a="1"/>
  <c r="AX62" i="176" s="1"/>
  <c r="AY62" i="176" a="1"/>
  <c r="AY62" i="176" s="1"/>
  <c r="AZ62" i="176" a="1"/>
  <c r="AZ62" i="176" s="1"/>
  <c r="BB62" i="176" a="1"/>
  <c r="BB62" i="176" s="1"/>
  <c r="BC62" i="176" a="1"/>
  <c r="BC62" i="176" s="1"/>
  <c r="BD62" i="176" a="1"/>
  <c r="BD62" i="176" s="1"/>
  <c r="AL63" i="176" a="1"/>
  <c r="AL63" i="176" s="1"/>
  <c r="AX63" i="176" a="1"/>
  <c r="AX63" i="176" s="1"/>
  <c r="AY63" i="176" a="1"/>
  <c r="AY63" i="176" s="1"/>
  <c r="AZ63" i="176" a="1"/>
  <c r="AZ63" i="176" s="1"/>
  <c r="BB63" i="176" a="1"/>
  <c r="BB63" i="176" s="1"/>
  <c r="BC63" i="176" a="1"/>
  <c r="BC63" i="176" s="1"/>
  <c r="BD63" i="176" a="1"/>
  <c r="BD63" i="176" s="1"/>
  <c r="AL64" i="176" a="1"/>
  <c r="AL64" i="176" s="1"/>
  <c r="AX64" i="176" a="1"/>
  <c r="AX64" i="176" s="1"/>
  <c r="AY64" i="176" a="1"/>
  <c r="AY64" i="176" s="1"/>
  <c r="AZ64" i="176" a="1"/>
  <c r="AZ64" i="176" s="1"/>
  <c r="BB64" i="176" a="1"/>
  <c r="BB64" i="176" s="1"/>
  <c r="BC64" i="176" a="1"/>
  <c r="BC64" i="176" s="1"/>
  <c r="BD64" i="176" a="1"/>
  <c r="BD64" i="176" s="1"/>
  <c r="AL65" i="176" a="1"/>
  <c r="AL65" i="176" s="1"/>
  <c r="AX65" i="176" a="1"/>
  <c r="AX65" i="176" s="1"/>
  <c r="AY65" i="176" a="1"/>
  <c r="AY65" i="176" s="1"/>
  <c r="AZ65" i="176" a="1"/>
  <c r="AZ65" i="176" s="1"/>
  <c r="BB65" i="176" a="1"/>
  <c r="BB65" i="176" s="1"/>
  <c r="BC65" i="176" a="1"/>
  <c r="BC65" i="176" s="1"/>
  <c r="BD65" i="176" a="1"/>
  <c r="BD65" i="176" s="1"/>
  <c r="AL66" i="176" a="1"/>
  <c r="AL66" i="176" s="1"/>
  <c r="AT66" i="176" a="1"/>
  <c r="AT66" i="176" s="1"/>
  <c r="AX66" i="176" a="1"/>
  <c r="AX66" i="176" s="1"/>
  <c r="AY66" i="176" a="1"/>
  <c r="AY66" i="176" s="1"/>
  <c r="AZ66" i="176" a="1"/>
  <c r="AZ66" i="176" s="1"/>
  <c r="BB66" i="176" a="1"/>
  <c r="BB66" i="176" s="1"/>
  <c r="BC66" i="176" a="1"/>
  <c r="BC66" i="176" s="1"/>
  <c r="BD66" i="176" a="1"/>
  <c r="BD66" i="176" s="1"/>
  <c r="AL67" i="176" a="1"/>
  <c r="AL67" i="176" s="1"/>
  <c r="AX67" i="176" a="1"/>
  <c r="AX67" i="176" s="1"/>
  <c r="AY67" i="176" a="1"/>
  <c r="AY67" i="176" s="1"/>
  <c r="AZ67" i="176" a="1"/>
  <c r="AZ67" i="176" s="1"/>
  <c r="BB67" i="176" a="1"/>
  <c r="BB67" i="176" s="1"/>
  <c r="BC67" i="176" a="1"/>
  <c r="BC67" i="176" s="1"/>
  <c r="BD67" i="176" a="1"/>
  <c r="BD67" i="176" s="1"/>
  <c r="AL68" i="176" a="1"/>
  <c r="AL68" i="176" s="1"/>
  <c r="AX68" i="176" a="1"/>
  <c r="AX68" i="176" s="1"/>
  <c r="AY68" i="176" a="1"/>
  <c r="AY68" i="176" s="1"/>
  <c r="AZ68" i="176" a="1"/>
  <c r="AZ68" i="176" s="1"/>
  <c r="BB68" i="176" a="1"/>
  <c r="BB68" i="176" s="1"/>
  <c r="BC68" i="176" a="1"/>
  <c r="BC68" i="176" s="1"/>
  <c r="BD68" i="176" a="1"/>
  <c r="BD68" i="176" s="1"/>
  <c r="AL69" i="176" a="1"/>
  <c r="AL69" i="176" s="1"/>
  <c r="AX69" i="176" a="1"/>
  <c r="AX69" i="176" s="1"/>
  <c r="AY69" i="176" a="1"/>
  <c r="AY69" i="176" s="1"/>
  <c r="AZ69" i="176" a="1"/>
  <c r="AZ69" i="176" s="1"/>
  <c r="BB69" i="176" a="1"/>
  <c r="BB69" i="176" s="1"/>
  <c r="BC69" i="176" a="1"/>
  <c r="BC69" i="176" s="1"/>
  <c r="BD69" i="176" a="1"/>
  <c r="BD69" i="176" s="1"/>
  <c r="AL70" i="176" a="1"/>
  <c r="AL70" i="176" s="1"/>
  <c r="AX70" i="176" a="1"/>
  <c r="AX70" i="176" s="1"/>
  <c r="AY70" i="176" a="1"/>
  <c r="AY70" i="176" s="1"/>
  <c r="AZ70" i="176" a="1"/>
  <c r="AZ70" i="176" s="1"/>
  <c r="BB70" i="176" a="1"/>
  <c r="BB70" i="176" s="1"/>
  <c r="BC70" i="176" a="1"/>
  <c r="BC70" i="176" s="1"/>
  <c r="BD70" i="176" a="1"/>
  <c r="BD70" i="176" s="1"/>
  <c r="AL71" i="176" a="1"/>
  <c r="AL71" i="176" s="1"/>
  <c r="AX71" i="176" a="1"/>
  <c r="AX71" i="176" s="1"/>
  <c r="AY71" i="176" a="1"/>
  <c r="AY71" i="176" s="1"/>
  <c r="AZ71" i="176" a="1"/>
  <c r="AZ71" i="176" s="1"/>
  <c r="BB71" i="176" a="1"/>
  <c r="BB71" i="176" s="1"/>
  <c r="BC71" i="176" a="1"/>
  <c r="BC71" i="176" s="1"/>
  <c r="BD71" i="176" a="1"/>
  <c r="BD71" i="176" s="1"/>
  <c r="AL72" i="176" a="1"/>
  <c r="AL72" i="176" s="1"/>
  <c r="AX72" i="176" a="1"/>
  <c r="AX72" i="176" s="1"/>
  <c r="AY72" i="176" a="1"/>
  <c r="AY72" i="176" s="1"/>
  <c r="AZ72" i="176" a="1"/>
  <c r="AZ72" i="176" s="1"/>
  <c r="BB72" i="176" a="1"/>
  <c r="BB72" i="176" s="1"/>
  <c r="BC72" i="176" a="1"/>
  <c r="BC72" i="176" s="1"/>
  <c r="BD72" i="176" a="1"/>
  <c r="BD72" i="176" s="1"/>
  <c r="AL73" i="176" a="1"/>
  <c r="AL73" i="176" s="1"/>
  <c r="AX73" i="176" a="1"/>
  <c r="AX73" i="176" s="1"/>
  <c r="AY73" i="176" a="1"/>
  <c r="AY73" i="176" s="1"/>
  <c r="AZ73" i="176" a="1"/>
  <c r="AZ73" i="176" s="1"/>
  <c r="BB73" i="176" a="1"/>
  <c r="BB73" i="176" s="1"/>
  <c r="BC73" i="176" a="1"/>
  <c r="BC73" i="176" s="1"/>
  <c r="BD73" i="176" a="1"/>
  <c r="BD73" i="176" s="1"/>
  <c r="AL74" i="176" a="1"/>
  <c r="AL74" i="176" s="1"/>
  <c r="AX74" i="176" a="1"/>
  <c r="AX74" i="176" s="1"/>
  <c r="AY74" i="176" a="1"/>
  <c r="AY74" i="176" s="1"/>
  <c r="AZ74" i="176" a="1"/>
  <c r="AZ74" i="176" s="1"/>
  <c r="BB74" i="176" a="1"/>
  <c r="BB74" i="176" s="1"/>
  <c r="BC74" i="176" a="1"/>
  <c r="BC74" i="176" s="1"/>
  <c r="BD74" i="176" a="1"/>
  <c r="BD74" i="176" s="1"/>
  <c r="AL75" i="176" a="1"/>
  <c r="AL75" i="176" s="1"/>
  <c r="AS75" i="176" a="1"/>
  <c r="AS75" i="176" s="1"/>
  <c r="AX75" i="176" a="1"/>
  <c r="AX75" i="176" s="1"/>
  <c r="AY75" i="176" a="1"/>
  <c r="AY75" i="176" s="1"/>
  <c r="AZ75" i="176" a="1"/>
  <c r="AZ75" i="176" s="1"/>
  <c r="BB75" i="176" a="1"/>
  <c r="BB75" i="176" s="1"/>
  <c r="BC75" i="176" a="1"/>
  <c r="BC75" i="176" s="1"/>
  <c r="BD75" i="176" a="1"/>
  <c r="BD75" i="176" s="1"/>
  <c r="AL76" i="176" a="1"/>
  <c r="AL76" i="176" s="1"/>
  <c r="AX76" i="176" a="1"/>
  <c r="AX76" i="176" s="1"/>
  <c r="AY76" i="176" a="1"/>
  <c r="AY76" i="176" s="1"/>
  <c r="AZ76" i="176" a="1"/>
  <c r="AZ76" i="176" s="1"/>
  <c r="BB76" i="176" a="1"/>
  <c r="BB76" i="176" s="1"/>
  <c r="BC76" i="176" a="1"/>
  <c r="BC76" i="176" s="1"/>
  <c r="BD76" i="176" a="1"/>
  <c r="BD76" i="176" s="1"/>
  <c r="AL77" i="176" a="1"/>
  <c r="AL77" i="176" s="1"/>
  <c r="AX77" i="176" a="1"/>
  <c r="AX77" i="176" s="1"/>
  <c r="AY77" i="176" a="1"/>
  <c r="AY77" i="176" s="1"/>
  <c r="AZ77" i="176" a="1"/>
  <c r="AZ77" i="176" s="1"/>
  <c r="BB77" i="176" a="1"/>
  <c r="BB77" i="176" s="1"/>
  <c r="BC77" i="176" a="1"/>
  <c r="BC77" i="176" s="1"/>
  <c r="BD77" i="176" a="1"/>
  <c r="BD77" i="176" s="1"/>
  <c r="AL78" i="176" a="1"/>
  <c r="AL78" i="176" s="1"/>
  <c r="AX78" i="176" a="1"/>
  <c r="AX78" i="176" s="1"/>
  <c r="AY78" i="176" a="1"/>
  <c r="AY78" i="176" s="1"/>
  <c r="AZ78" i="176" a="1"/>
  <c r="AZ78" i="176" s="1"/>
  <c r="BB78" i="176" a="1"/>
  <c r="BB78" i="176" s="1"/>
  <c r="BC78" i="176" a="1"/>
  <c r="BC78" i="176" s="1"/>
  <c r="BD78" i="176" a="1"/>
  <c r="BD78" i="176" s="1"/>
  <c r="AL79" i="176" a="1"/>
  <c r="AL79" i="176" s="1"/>
  <c r="AX79" i="176" a="1"/>
  <c r="AX79" i="176" s="1"/>
  <c r="AY79" i="176" a="1"/>
  <c r="AY79" i="176" s="1"/>
  <c r="AZ79" i="176" a="1"/>
  <c r="AZ79" i="176" s="1"/>
  <c r="BB79" i="176" a="1"/>
  <c r="BB79" i="176" s="1"/>
  <c r="BC79" i="176" a="1"/>
  <c r="BC79" i="176" s="1"/>
  <c r="BD79" i="176" a="1"/>
  <c r="BD79" i="176" s="1"/>
  <c r="AL80" i="176" a="1"/>
  <c r="AL80" i="176" s="1"/>
  <c r="AX80" i="176" a="1"/>
  <c r="AX80" i="176" s="1"/>
  <c r="AY80" i="176" a="1"/>
  <c r="AY80" i="176" s="1"/>
  <c r="AZ80" i="176" a="1"/>
  <c r="AZ80" i="176" s="1"/>
  <c r="BB80" i="176" a="1"/>
  <c r="BB80" i="176" s="1"/>
  <c r="BC80" i="176" a="1"/>
  <c r="BC80" i="176" s="1"/>
  <c r="BD80" i="176" a="1"/>
  <c r="BD80" i="176" s="1"/>
  <c r="AL81" i="176" a="1"/>
  <c r="AL81" i="176" s="1"/>
  <c r="AX81" i="176" a="1"/>
  <c r="AX81" i="176" s="1"/>
  <c r="AY81" i="176" a="1"/>
  <c r="AY81" i="176" s="1"/>
  <c r="AZ81" i="176" a="1"/>
  <c r="AZ81" i="176" s="1"/>
  <c r="BB81" i="176" a="1"/>
  <c r="BB81" i="176" s="1"/>
  <c r="BC81" i="176" a="1"/>
  <c r="BC81" i="176" s="1"/>
  <c r="BD81" i="176" a="1"/>
  <c r="BD81" i="176" s="1"/>
  <c r="AL82" i="176" a="1"/>
  <c r="AL82" i="176" s="1"/>
  <c r="AX82" i="176" a="1"/>
  <c r="AX82" i="176" s="1"/>
  <c r="AY82" i="176" a="1"/>
  <c r="AY82" i="176" s="1"/>
  <c r="AZ82" i="176" a="1"/>
  <c r="AZ82" i="176" s="1"/>
  <c r="BB82" i="176" a="1"/>
  <c r="BB82" i="176" s="1"/>
  <c r="BC82" i="176" a="1"/>
  <c r="BC82" i="176" s="1"/>
  <c r="BD82" i="176" a="1"/>
  <c r="BD82" i="176" s="1"/>
  <c r="AL83" i="176" a="1"/>
  <c r="AL83" i="176" s="1"/>
  <c r="AX83" i="176" a="1"/>
  <c r="AX83" i="176" s="1"/>
  <c r="AY83" i="176" a="1"/>
  <c r="AY83" i="176" s="1"/>
  <c r="AZ83" i="176" a="1"/>
  <c r="AZ83" i="176" s="1"/>
  <c r="BB83" i="176" a="1"/>
  <c r="BB83" i="176" s="1"/>
  <c r="BC83" i="176" a="1"/>
  <c r="BC83" i="176" s="1"/>
  <c r="BD83" i="176" a="1"/>
  <c r="BD83" i="176" s="1"/>
  <c r="AL84" i="176" a="1"/>
  <c r="AL84" i="176" s="1"/>
  <c r="AX84" i="176" a="1"/>
  <c r="AX84" i="176" s="1"/>
  <c r="AY84" i="176" a="1"/>
  <c r="AY84" i="176" s="1"/>
  <c r="AZ84" i="176" a="1"/>
  <c r="AZ84" i="176" s="1"/>
  <c r="BB84" i="176" a="1"/>
  <c r="BB84" i="176" s="1"/>
  <c r="BC84" i="176" a="1"/>
  <c r="BC84" i="176" s="1"/>
  <c r="BD84" i="176" a="1"/>
  <c r="BD84" i="176" s="1"/>
  <c r="AL85" i="176" a="1"/>
  <c r="AL85" i="176" s="1"/>
  <c r="AX85" i="176" a="1"/>
  <c r="AX85" i="176" s="1"/>
  <c r="AY85" i="176" a="1"/>
  <c r="AY85" i="176" s="1"/>
  <c r="AZ85" i="176" a="1"/>
  <c r="AZ85" i="176" s="1"/>
  <c r="BB85" i="176" a="1"/>
  <c r="BB85" i="176" s="1"/>
  <c r="BC85" i="176" a="1"/>
  <c r="BC85" i="176" s="1"/>
  <c r="BD85" i="176" a="1"/>
  <c r="BD85" i="176" s="1"/>
  <c r="AL86" i="176" a="1"/>
  <c r="AL86" i="176" s="1"/>
  <c r="AX86" i="176" a="1"/>
  <c r="AX86" i="176" s="1"/>
  <c r="AY86" i="176" a="1"/>
  <c r="AY86" i="176" s="1"/>
  <c r="AZ86" i="176" a="1"/>
  <c r="AZ86" i="176" s="1"/>
  <c r="BB86" i="176" a="1"/>
  <c r="BB86" i="176" s="1"/>
  <c r="BC86" i="176" a="1"/>
  <c r="BC86" i="176" s="1"/>
  <c r="BD86" i="176" a="1"/>
  <c r="BD86" i="176" s="1"/>
  <c r="AL87" i="176" a="1"/>
  <c r="AL87" i="176" s="1"/>
  <c r="AX87" i="176" a="1"/>
  <c r="AX87" i="176" s="1"/>
  <c r="AY87" i="176" a="1"/>
  <c r="AY87" i="176" s="1"/>
  <c r="AZ87" i="176" a="1"/>
  <c r="AZ87" i="176" s="1"/>
  <c r="BB87" i="176" a="1"/>
  <c r="BB87" i="176" s="1"/>
  <c r="BC87" i="176" a="1"/>
  <c r="BC87" i="176" s="1"/>
  <c r="BD87" i="176" a="1"/>
  <c r="BD87" i="176" s="1"/>
  <c r="AL88" i="176" a="1"/>
  <c r="AL88" i="176" s="1"/>
  <c r="AX88" i="176" a="1"/>
  <c r="AX88" i="176" s="1"/>
  <c r="AY88" i="176" a="1"/>
  <c r="AY88" i="176" s="1"/>
  <c r="AZ88" i="176" a="1"/>
  <c r="AZ88" i="176" s="1"/>
  <c r="BB88" i="176" a="1"/>
  <c r="BB88" i="176" s="1"/>
  <c r="BC88" i="176" a="1"/>
  <c r="BC88" i="176" s="1"/>
  <c r="BD88" i="176" a="1"/>
  <c r="BD88" i="176" s="1"/>
  <c r="AL89" i="176" a="1"/>
  <c r="AL89" i="176" s="1"/>
  <c r="AX89" i="176" a="1"/>
  <c r="AX89" i="176" s="1"/>
  <c r="AY89" i="176" a="1"/>
  <c r="AY89" i="176" s="1"/>
  <c r="AZ89" i="176" a="1"/>
  <c r="AZ89" i="176" s="1"/>
  <c r="BB89" i="176" a="1"/>
  <c r="BB89" i="176" s="1"/>
  <c r="BC89" i="176" a="1"/>
  <c r="BC89" i="176" s="1"/>
  <c r="BD89" i="176" a="1"/>
  <c r="BD89" i="176" s="1"/>
  <c r="AL90" i="176" a="1"/>
  <c r="AL90" i="176" s="1"/>
  <c r="AX90" i="176" a="1"/>
  <c r="AX90" i="176" s="1"/>
  <c r="AY90" i="176" a="1"/>
  <c r="AY90" i="176" s="1"/>
  <c r="AZ90" i="176" a="1"/>
  <c r="AZ90" i="176" s="1"/>
  <c r="BB90" i="176" a="1"/>
  <c r="BB90" i="176" s="1"/>
  <c r="BC90" i="176" a="1"/>
  <c r="BC90" i="176" s="1"/>
  <c r="BD90" i="176" a="1"/>
  <c r="BD90" i="176" s="1"/>
  <c r="AL91" i="176" a="1"/>
  <c r="AL91" i="176" s="1"/>
  <c r="AX91" i="176" a="1"/>
  <c r="AX91" i="176" s="1"/>
  <c r="AY91" i="176" a="1"/>
  <c r="AY91" i="176" s="1"/>
  <c r="AZ91" i="176" a="1"/>
  <c r="AZ91" i="176" s="1"/>
  <c r="BB91" i="176" a="1"/>
  <c r="BB91" i="176" s="1"/>
  <c r="BC91" i="176" a="1"/>
  <c r="BC91" i="176" s="1"/>
  <c r="BD91" i="176" a="1"/>
  <c r="BD91" i="176" s="1"/>
  <c r="AL92" i="176" a="1"/>
  <c r="AL92" i="176" s="1"/>
  <c r="AX92" i="176" a="1"/>
  <c r="AX92" i="176" s="1"/>
  <c r="AY92" i="176" a="1"/>
  <c r="AY92" i="176" s="1"/>
  <c r="AZ92" i="176" a="1"/>
  <c r="AZ92" i="176" s="1"/>
  <c r="BB92" i="176" a="1"/>
  <c r="BB92" i="176" s="1"/>
  <c r="BC92" i="176" a="1"/>
  <c r="BC92" i="176" s="1"/>
  <c r="BD92" i="176" a="1"/>
  <c r="BD92" i="176" s="1"/>
  <c r="AL93" i="176" a="1"/>
  <c r="AL93" i="176" s="1"/>
  <c r="AX93" i="176" a="1"/>
  <c r="AX93" i="176" s="1"/>
  <c r="AY93" i="176" a="1"/>
  <c r="AY93" i="176" s="1"/>
  <c r="AZ93" i="176" a="1"/>
  <c r="AZ93" i="176" s="1"/>
  <c r="BB93" i="176" a="1"/>
  <c r="BB93" i="176" s="1"/>
  <c r="BC93" i="176" a="1"/>
  <c r="BC93" i="176" s="1"/>
  <c r="BD93" i="176" a="1"/>
  <c r="BD93" i="176" s="1"/>
  <c r="AL94" i="176" a="1"/>
  <c r="AL94" i="176" s="1"/>
  <c r="AX94" i="176" a="1"/>
  <c r="AX94" i="176" s="1"/>
  <c r="AY94" i="176" a="1"/>
  <c r="AY94" i="176" s="1"/>
  <c r="AZ94" i="176" a="1"/>
  <c r="AZ94" i="176" s="1"/>
  <c r="BB94" i="176" a="1"/>
  <c r="BB94" i="176" s="1"/>
  <c r="BC94" i="176" a="1"/>
  <c r="BC94" i="176" s="1"/>
  <c r="BD94" i="176" a="1"/>
  <c r="BD94" i="176" s="1"/>
  <c r="AL95" i="176" a="1"/>
  <c r="AL95" i="176" s="1"/>
  <c r="AX95" i="176" a="1"/>
  <c r="AX95" i="176" s="1"/>
  <c r="AY95" i="176" a="1"/>
  <c r="AY95" i="176" s="1"/>
  <c r="AZ95" i="176" a="1"/>
  <c r="AZ95" i="176" s="1"/>
  <c r="BB95" i="176" a="1"/>
  <c r="BB95" i="176" s="1"/>
  <c r="BC95" i="176" a="1"/>
  <c r="BC95" i="176" s="1"/>
  <c r="BD95" i="176" a="1"/>
  <c r="BD95" i="176" s="1"/>
  <c r="AL96" i="176" a="1"/>
  <c r="AL96" i="176" s="1"/>
  <c r="AX96" i="176" a="1"/>
  <c r="AX96" i="176" s="1"/>
  <c r="AY96" i="176" a="1"/>
  <c r="AY96" i="176" s="1"/>
  <c r="AZ96" i="176" a="1"/>
  <c r="AZ96" i="176" s="1"/>
  <c r="BB96" i="176" a="1"/>
  <c r="BB96" i="176" s="1"/>
  <c r="BC96" i="176" a="1"/>
  <c r="BC96" i="176" s="1"/>
  <c r="BD96" i="176" a="1"/>
  <c r="BD96" i="176" s="1"/>
  <c r="AL97" i="176" a="1"/>
  <c r="AL97" i="176" s="1"/>
  <c r="AX97" i="176" a="1"/>
  <c r="AX97" i="176" s="1"/>
  <c r="AY97" i="176" a="1"/>
  <c r="AY97" i="176" s="1"/>
  <c r="AZ97" i="176" a="1"/>
  <c r="AZ97" i="176" s="1"/>
  <c r="BB97" i="176" a="1"/>
  <c r="BB97" i="176" s="1"/>
  <c r="BC97" i="176" a="1"/>
  <c r="BC97" i="176" s="1"/>
  <c r="BD97" i="176" a="1"/>
  <c r="BD97" i="176" s="1"/>
  <c r="AL98" i="176" a="1"/>
  <c r="AL98" i="176" s="1"/>
  <c r="AX98" i="176" a="1"/>
  <c r="AX98" i="176" s="1"/>
  <c r="AY98" i="176" a="1"/>
  <c r="AY98" i="176" s="1"/>
  <c r="AZ98" i="176" a="1"/>
  <c r="AZ98" i="176" s="1"/>
  <c r="BB98" i="176" a="1"/>
  <c r="BB98" i="176" s="1"/>
  <c r="BC98" i="176" a="1"/>
  <c r="BC98" i="176" s="1"/>
  <c r="BD98" i="176" a="1"/>
  <c r="BD98" i="176" s="1"/>
  <c r="AL99" i="176" a="1"/>
  <c r="AL99" i="176" s="1"/>
  <c r="AX99" i="176" a="1"/>
  <c r="AX99" i="176" s="1"/>
  <c r="AY99" i="176" a="1"/>
  <c r="AY99" i="176" s="1"/>
  <c r="AZ99" i="176" a="1"/>
  <c r="AZ99" i="176" s="1"/>
  <c r="BB99" i="176" a="1"/>
  <c r="BB99" i="176" s="1"/>
  <c r="BC99" i="176" a="1"/>
  <c r="BC99" i="176" s="1"/>
  <c r="BD99" i="176" a="1"/>
  <c r="BD99" i="176" s="1"/>
  <c r="AL100" i="176" a="1"/>
  <c r="AL100" i="176" s="1"/>
  <c r="AX100" i="176" a="1"/>
  <c r="AX100" i="176" s="1"/>
  <c r="AY100" i="176" a="1"/>
  <c r="AY100" i="176" s="1"/>
  <c r="AZ100" i="176" a="1"/>
  <c r="AZ100" i="176" s="1"/>
  <c r="BB100" i="176" a="1"/>
  <c r="BB100" i="176" s="1"/>
  <c r="BC100" i="176" a="1"/>
  <c r="BC100" i="176" s="1"/>
  <c r="BD100" i="176" a="1"/>
  <c r="BD100" i="176" s="1"/>
  <c r="AL101" i="176" a="1"/>
  <c r="AL101" i="176" s="1"/>
  <c r="AX101" i="176" a="1"/>
  <c r="AX101" i="176" s="1"/>
  <c r="AY101" i="176" a="1"/>
  <c r="AY101" i="176" s="1"/>
  <c r="AZ101" i="176" a="1"/>
  <c r="AZ101" i="176" s="1"/>
  <c r="BB101" i="176" a="1"/>
  <c r="BB101" i="176" s="1"/>
  <c r="BC101" i="176" a="1"/>
  <c r="BC101" i="176" s="1"/>
  <c r="BD101" i="176" a="1"/>
  <c r="BD101" i="176" s="1"/>
  <c r="AL102" i="176" a="1"/>
  <c r="AL102" i="176" s="1"/>
  <c r="AX102" i="176" a="1"/>
  <c r="AX102" i="176" s="1"/>
  <c r="AY102" i="176" a="1"/>
  <c r="AY102" i="176" s="1"/>
  <c r="AZ102" i="176" a="1"/>
  <c r="AZ102" i="176" s="1"/>
  <c r="BB102" i="176" a="1"/>
  <c r="BB102" i="176" s="1"/>
  <c r="BC102" i="176" a="1"/>
  <c r="BC102" i="176" s="1"/>
  <c r="BD102" i="176" a="1"/>
  <c r="BD102" i="176" s="1"/>
  <c r="AL103" i="176" a="1"/>
  <c r="AL103" i="176" s="1"/>
  <c r="AX103" i="176" a="1"/>
  <c r="AX103" i="176" s="1"/>
  <c r="AY103" i="176" a="1"/>
  <c r="AY103" i="176" s="1"/>
  <c r="AZ103" i="176" a="1"/>
  <c r="AZ103" i="176" s="1"/>
  <c r="BB103" i="176" a="1"/>
  <c r="BB103" i="176" s="1"/>
  <c r="BC103" i="176" a="1"/>
  <c r="BC103" i="176" s="1"/>
  <c r="BD103" i="176" a="1"/>
  <c r="BD103" i="176" s="1"/>
  <c r="AL104" i="176" a="1"/>
  <c r="AL104" i="176" s="1"/>
  <c r="AX104" i="176" a="1"/>
  <c r="AX104" i="176" s="1"/>
  <c r="AY104" i="176" a="1"/>
  <c r="AY104" i="176" s="1"/>
  <c r="AZ104" i="176" a="1"/>
  <c r="AZ104" i="176" s="1"/>
  <c r="BB104" i="176" a="1"/>
  <c r="BB104" i="176" s="1"/>
  <c r="BC104" i="176" a="1"/>
  <c r="BC104" i="176" s="1"/>
  <c r="BD104" i="176" a="1"/>
  <c r="BD104" i="176" s="1"/>
  <c r="AL105" i="176" a="1"/>
  <c r="AL105" i="176" s="1"/>
  <c r="AX105" i="176" a="1"/>
  <c r="AX105" i="176" s="1"/>
  <c r="AY105" i="176" a="1"/>
  <c r="AY105" i="176" s="1"/>
  <c r="AZ105" i="176" a="1"/>
  <c r="AZ105" i="176" s="1"/>
  <c r="BB105" i="176" a="1"/>
  <c r="BB105" i="176" s="1"/>
  <c r="BC105" i="176" a="1"/>
  <c r="BC105" i="176" s="1"/>
  <c r="BD105" i="176" a="1"/>
  <c r="BD105" i="176" s="1"/>
  <c r="AL106" i="176" a="1"/>
  <c r="AL106" i="176" s="1"/>
  <c r="AX106" i="176" a="1"/>
  <c r="AX106" i="176" s="1"/>
  <c r="AY106" i="176" a="1"/>
  <c r="AY106" i="176" s="1"/>
  <c r="AZ106" i="176" a="1"/>
  <c r="AZ106" i="176" s="1"/>
  <c r="BB106" i="176" a="1"/>
  <c r="BB106" i="176" s="1"/>
  <c r="BC106" i="176" a="1"/>
  <c r="BC106" i="176" s="1"/>
  <c r="BD106" i="176" a="1"/>
  <c r="BD106" i="176" s="1"/>
  <c r="AL107" i="176" a="1"/>
  <c r="AL107" i="176" s="1"/>
  <c r="AX107" i="176" a="1"/>
  <c r="AX107" i="176" s="1"/>
  <c r="AY107" i="176" a="1"/>
  <c r="AY107" i="176" s="1"/>
  <c r="AZ107" i="176" a="1"/>
  <c r="AZ107" i="176" s="1"/>
  <c r="BB107" i="176" a="1"/>
  <c r="BB107" i="176" s="1"/>
  <c r="BC107" i="176" a="1"/>
  <c r="BC107" i="176" s="1"/>
  <c r="BD107" i="176" a="1"/>
  <c r="BD107" i="176" s="1"/>
  <c r="AL108" i="176" a="1"/>
  <c r="AL108" i="176" s="1"/>
  <c r="AX108" i="176" a="1"/>
  <c r="AX108" i="176" s="1"/>
  <c r="AY108" i="176" a="1"/>
  <c r="AY108" i="176" s="1"/>
  <c r="AZ108" i="176" a="1"/>
  <c r="AZ108" i="176" s="1"/>
  <c r="BB108" i="176" a="1"/>
  <c r="BB108" i="176" s="1"/>
  <c r="BC108" i="176" a="1"/>
  <c r="BC108" i="176" s="1"/>
  <c r="BD108" i="176" a="1"/>
  <c r="BD108" i="176" s="1"/>
  <c r="AL109" i="176" a="1"/>
  <c r="AL109" i="176" s="1"/>
  <c r="AX109" i="176" a="1"/>
  <c r="AX109" i="176" s="1"/>
  <c r="AY109" i="176" a="1"/>
  <c r="AY109" i="176" s="1"/>
  <c r="AZ109" i="176" a="1"/>
  <c r="AZ109" i="176" s="1"/>
  <c r="BB109" i="176" a="1"/>
  <c r="BB109" i="176" s="1"/>
  <c r="BC109" i="176" a="1"/>
  <c r="BC109" i="176" s="1"/>
  <c r="BD109" i="176" a="1"/>
  <c r="BD109" i="176" s="1"/>
  <c r="AL110" i="176" a="1"/>
  <c r="AL110" i="176" s="1"/>
  <c r="AX110" i="176" a="1"/>
  <c r="AX110" i="176" s="1"/>
  <c r="AY110" i="176" a="1"/>
  <c r="AY110" i="176" s="1"/>
  <c r="AZ110" i="176" a="1"/>
  <c r="AZ110" i="176" s="1"/>
  <c r="BB110" i="176" a="1"/>
  <c r="BB110" i="176" s="1"/>
  <c r="BC110" i="176" a="1"/>
  <c r="BC110" i="176" s="1"/>
  <c r="BD110" i="176" a="1"/>
  <c r="BD110" i="176" s="1"/>
  <c r="AL111" i="176" a="1"/>
  <c r="AL111" i="176" s="1"/>
  <c r="AX111" i="176" a="1"/>
  <c r="AX111" i="176" s="1"/>
  <c r="AY111" i="176" a="1"/>
  <c r="AY111" i="176" s="1"/>
  <c r="AZ111" i="176" a="1"/>
  <c r="AZ111" i="176" s="1"/>
  <c r="BB111" i="176" a="1"/>
  <c r="BB111" i="176" s="1"/>
  <c r="BC111" i="176" a="1"/>
  <c r="BC111" i="176" s="1"/>
  <c r="BD111" i="176" a="1"/>
  <c r="BD111" i="176" s="1"/>
  <c r="AL112" i="176" a="1"/>
  <c r="AL112" i="176" s="1"/>
  <c r="AX112" i="176" a="1"/>
  <c r="AX112" i="176" s="1"/>
  <c r="AY112" i="176" a="1"/>
  <c r="AY112" i="176" s="1"/>
  <c r="AZ112" i="176" a="1"/>
  <c r="AZ112" i="176" s="1"/>
  <c r="BB112" i="176" a="1"/>
  <c r="BB112" i="176" s="1"/>
  <c r="BC112" i="176" a="1"/>
  <c r="BC112" i="176" s="1"/>
  <c r="BD112" i="176" a="1"/>
  <c r="BD112" i="176" s="1"/>
  <c r="AL113" i="176" a="1"/>
  <c r="AL113" i="176" s="1"/>
  <c r="AX113" i="176" a="1"/>
  <c r="AX113" i="176" s="1"/>
  <c r="AY113" i="176" a="1"/>
  <c r="AY113" i="176" s="1"/>
  <c r="AZ113" i="176" a="1"/>
  <c r="AZ113" i="176" s="1"/>
  <c r="BB113" i="176" a="1"/>
  <c r="BB113" i="176" s="1"/>
  <c r="BC113" i="176" a="1"/>
  <c r="BC113" i="176" s="1"/>
  <c r="BD113" i="176" a="1"/>
  <c r="BD113" i="176" s="1"/>
  <c r="AL114" i="176" a="1"/>
  <c r="AL114" i="176" s="1"/>
  <c r="AX114" i="176" a="1"/>
  <c r="AX114" i="176" s="1"/>
  <c r="AY114" i="176" a="1"/>
  <c r="AY114" i="176" s="1"/>
  <c r="AZ114" i="176" a="1"/>
  <c r="AZ114" i="176" s="1"/>
  <c r="BB114" i="176" a="1"/>
  <c r="BB114" i="176" s="1"/>
  <c r="BC114" i="176" a="1"/>
  <c r="BC114" i="176" s="1"/>
  <c r="BD114" i="176" a="1"/>
  <c r="BD114" i="176" s="1"/>
  <c r="AL115" i="176" a="1"/>
  <c r="AL115" i="176" s="1"/>
  <c r="AX115" i="176" a="1"/>
  <c r="AX115" i="176" s="1"/>
  <c r="AY115" i="176" a="1"/>
  <c r="AY115" i="176" s="1"/>
  <c r="AZ115" i="176" a="1"/>
  <c r="AZ115" i="176" s="1"/>
  <c r="BB115" i="176" a="1"/>
  <c r="BB115" i="176" s="1"/>
  <c r="BC115" i="176" a="1"/>
  <c r="BC115" i="176" s="1"/>
  <c r="BD115" i="176" a="1"/>
  <c r="BD115" i="176" s="1"/>
  <c r="AL116" i="176" a="1"/>
  <c r="AL116" i="176" s="1"/>
  <c r="AX116" i="176" a="1"/>
  <c r="AX116" i="176" s="1"/>
  <c r="AY116" i="176" a="1"/>
  <c r="AY116" i="176" s="1"/>
  <c r="AZ116" i="176" a="1"/>
  <c r="AZ116" i="176" s="1"/>
  <c r="BB116" i="176" a="1"/>
  <c r="BB116" i="176" s="1"/>
  <c r="BC116" i="176" a="1"/>
  <c r="BC116" i="176" s="1"/>
  <c r="BD116" i="176" a="1"/>
  <c r="BD116" i="176" s="1"/>
  <c r="AL117" i="176" a="1"/>
  <c r="AL117" i="176" s="1"/>
  <c r="AX117" i="176" a="1"/>
  <c r="AX117" i="176" s="1"/>
  <c r="AY117" i="176" a="1"/>
  <c r="AY117" i="176" s="1"/>
  <c r="AZ117" i="176" a="1"/>
  <c r="AZ117" i="176" s="1"/>
  <c r="BB117" i="176" a="1"/>
  <c r="BB117" i="176" s="1"/>
  <c r="BC117" i="176" a="1"/>
  <c r="BC117" i="176" s="1"/>
  <c r="BD117" i="176" a="1"/>
  <c r="BD117" i="176" s="1"/>
  <c r="AL118" i="176" a="1"/>
  <c r="AL118" i="176" s="1"/>
  <c r="AX118" i="176" a="1"/>
  <c r="AX118" i="176" s="1"/>
  <c r="AY118" i="176" a="1"/>
  <c r="AY118" i="176" s="1"/>
  <c r="AZ118" i="176" a="1"/>
  <c r="AZ118" i="176" s="1"/>
  <c r="BB118" i="176" a="1"/>
  <c r="BB118" i="176" s="1"/>
  <c r="BC118" i="176" a="1"/>
  <c r="BC118" i="176" s="1"/>
  <c r="BD118" i="176" a="1"/>
  <c r="BD118" i="176" s="1"/>
  <c r="AL119" i="176" a="1"/>
  <c r="AL119" i="176" s="1"/>
  <c r="AX119" i="176" a="1"/>
  <c r="AX119" i="176" s="1"/>
  <c r="AY119" i="176" a="1"/>
  <c r="AY119" i="176" s="1"/>
  <c r="AZ119" i="176" a="1"/>
  <c r="AZ119" i="176" s="1"/>
  <c r="BB119" i="176" a="1"/>
  <c r="BB119" i="176" s="1"/>
  <c r="BC119" i="176" a="1"/>
  <c r="BC119" i="176" s="1"/>
  <c r="BD119" i="176" a="1"/>
  <c r="BD119" i="176" s="1"/>
  <c r="AL120" i="176" a="1"/>
  <c r="AL120" i="176" s="1"/>
  <c r="AX120" i="176" a="1"/>
  <c r="AX120" i="176" s="1"/>
  <c r="AY120" i="176" a="1"/>
  <c r="AY120" i="176" s="1"/>
  <c r="AZ120" i="176" a="1"/>
  <c r="AZ120" i="176" s="1"/>
  <c r="BB120" i="176" a="1"/>
  <c r="BB120" i="176" s="1"/>
  <c r="BC120" i="176" a="1"/>
  <c r="BC120" i="176" s="1"/>
  <c r="BD120" i="176" a="1"/>
  <c r="BD120" i="176" s="1"/>
  <c r="AL121" i="176" a="1"/>
  <c r="AL121" i="176" s="1"/>
  <c r="AX121" i="176" a="1"/>
  <c r="AX121" i="176" s="1"/>
  <c r="AY121" i="176" a="1"/>
  <c r="AY121" i="176" s="1"/>
  <c r="AZ121" i="176" a="1"/>
  <c r="AZ121" i="176" s="1"/>
  <c r="BB121" i="176" a="1"/>
  <c r="BB121" i="176" s="1"/>
  <c r="BC121" i="176" a="1"/>
  <c r="BC121" i="176" s="1"/>
  <c r="BD121" i="176" a="1"/>
  <c r="BD121" i="176" s="1"/>
  <c r="V122" i="176" a="1"/>
  <c r="V122" i="176" s="1"/>
  <c r="O110" i="176" a="1"/>
  <c r="O110" i="176" s="1"/>
  <c r="O111" i="176" a="1"/>
  <c r="O111" i="176" s="1"/>
  <c r="O112" i="176" a="1"/>
  <c r="O112" i="176" s="1"/>
  <c r="O113" i="176" a="1"/>
  <c r="O113" i="176" s="1"/>
  <c r="O114" i="176" a="1"/>
  <c r="O114" i="176" s="1"/>
  <c r="O115" i="176" a="1"/>
  <c r="O115" i="176" s="1"/>
  <c r="O116" i="176" a="1"/>
  <c r="O116" i="176" s="1"/>
  <c r="O117" i="176" a="1"/>
  <c r="O117" i="176" s="1"/>
  <c r="O118" i="176" a="1"/>
  <c r="O118" i="176" s="1"/>
  <c r="O119" i="176" a="1"/>
  <c r="O119" i="176" s="1"/>
  <c r="O120" i="176" a="1"/>
  <c r="O120" i="176" s="1"/>
  <c r="O121" i="176" a="1"/>
  <c r="O121" i="176" s="1"/>
  <c r="N110" i="176" a="1"/>
  <c r="N110" i="176" s="1"/>
  <c r="N111" i="176" a="1"/>
  <c r="N111" i="176" s="1"/>
  <c r="N112" i="176" a="1"/>
  <c r="N112" i="176" s="1"/>
  <c r="N113" i="176" a="1"/>
  <c r="N113" i="176" s="1"/>
  <c r="N114" i="176" a="1"/>
  <c r="N114" i="176" s="1"/>
  <c r="N115" i="176" a="1"/>
  <c r="N115" i="176" s="1"/>
  <c r="N116" i="176" a="1"/>
  <c r="N116" i="176" s="1"/>
  <c r="N117" i="176" a="1"/>
  <c r="N117" i="176" s="1"/>
  <c r="N118" i="176" a="1"/>
  <c r="N118" i="176" s="1"/>
  <c r="N119" i="176" a="1"/>
  <c r="N119" i="176" s="1"/>
  <c r="N120" i="176" a="1"/>
  <c r="N120" i="176" s="1"/>
  <c r="N121" i="176" a="1"/>
  <c r="N121" i="176" s="1"/>
  <c r="L130" i="176"/>
  <c r="L131" i="176"/>
  <c r="L132" i="176"/>
  <c r="L133" i="176"/>
  <c r="L134" i="176"/>
  <c r="L135" i="176"/>
  <c r="L136" i="176"/>
  <c r="L137" i="176"/>
  <c r="L138" i="176"/>
  <c r="L139" i="176"/>
  <c r="L140" i="176"/>
  <c r="L141" i="176"/>
  <c r="L142" i="176"/>
  <c r="L143" i="176"/>
  <c r="L144" i="176"/>
  <c r="L145" i="176"/>
  <c r="L146" i="176"/>
  <c r="L147" i="176"/>
  <c r="L148" i="176"/>
  <c r="L149" i="176"/>
  <c r="L150" i="176"/>
  <c r="L151" i="176"/>
  <c r="L152" i="176"/>
  <c r="L153" i="176"/>
  <c r="L154" i="176"/>
  <c r="L155" i="176"/>
  <c r="L156" i="176"/>
  <c r="L157" i="176"/>
  <c r="L158" i="176"/>
  <c r="L159" i="176"/>
  <c r="L160" i="176"/>
  <c r="L161" i="176"/>
  <c r="L162" i="176"/>
  <c r="L163" i="176"/>
  <c r="L164" i="176"/>
  <c r="L165" i="176"/>
  <c r="L166" i="176"/>
  <c r="L167" i="176"/>
  <c r="L168" i="176"/>
  <c r="L169" i="176"/>
  <c r="L170" i="176"/>
  <c r="L171" i="176"/>
  <c r="L172" i="176"/>
  <c r="L173" i="176"/>
  <c r="L174" i="176"/>
  <c r="L175" i="176"/>
  <c r="L176" i="176"/>
  <c r="L177" i="176"/>
  <c r="L178" i="176"/>
  <c r="L179" i="176"/>
  <c r="L180" i="176"/>
  <c r="L181" i="176"/>
  <c r="L182" i="176"/>
  <c r="L183" i="176"/>
  <c r="L184" i="176"/>
  <c r="L185" i="176"/>
  <c r="L186" i="176"/>
  <c r="L187" i="176"/>
  <c r="L188" i="176"/>
  <c r="L189" i="176"/>
  <c r="L190" i="176"/>
  <c r="L191" i="176"/>
  <c r="L192" i="176"/>
  <c r="L193" i="176"/>
  <c r="L194" i="176"/>
  <c r="L195" i="176"/>
  <c r="L196" i="176"/>
  <c r="L197" i="176"/>
  <c r="L198" i="176"/>
  <c r="L199" i="176"/>
  <c r="L200" i="176"/>
  <c r="L201" i="176"/>
  <c r="L202" i="176"/>
  <c r="L203" i="176"/>
  <c r="L204" i="176"/>
  <c r="L205" i="176"/>
  <c r="L206" i="176"/>
  <c r="L207" i="176"/>
  <c r="L208" i="176"/>
  <c r="L209" i="176"/>
  <c r="L210" i="176"/>
  <c r="L211" i="176"/>
  <c r="L212" i="176"/>
  <c r="L213" i="176"/>
  <c r="L214" i="176"/>
  <c r="L215" i="176"/>
  <c r="L216" i="176"/>
  <c r="L217" i="176"/>
  <c r="L218" i="176"/>
  <c r="L219" i="176"/>
  <c r="L220" i="176"/>
  <c r="L221" i="176"/>
  <c r="L222" i="176"/>
  <c r="L223" i="176"/>
  <c r="L224" i="176"/>
  <c r="L225" i="176"/>
  <c r="L226" i="176"/>
  <c r="L227" i="176"/>
  <c r="L228" i="176"/>
  <c r="L229" i="176"/>
  <c r="L230" i="176"/>
  <c r="N230" i="176" s="1" a="1"/>
  <c r="N230" i="176" s="1"/>
  <c r="L129" i="176"/>
  <c r="N127" i="176"/>
  <c r="AR35" i="176" a="1"/>
  <c r="AR47" i="176" a="1"/>
  <c r="AN38" i="176" a="1"/>
  <c r="AN44" i="176" a="1"/>
  <c r="AX34" i="176" a="1"/>
  <c r="BD35" i="176" a="1"/>
  <c r="BB37" i="176" a="1"/>
  <c r="BC40" i="176" a="1"/>
  <c r="AY42" i="176" a="1"/>
  <c r="AL44" i="176" a="1"/>
  <c r="BB45" i="176" a="1"/>
  <c r="AY47" i="176" a="1"/>
  <c r="AL49" i="176" a="1"/>
  <c r="AR38" i="176" a="1"/>
  <c r="AM34" i="176" a="1"/>
  <c r="AM40" i="176" a="1"/>
  <c r="BB34" i="176" a="1"/>
  <c r="AL38" i="176" a="1"/>
  <c r="AX41" i="176" a="1"/>
  <c r="BC42" i="176" a="1"/>
  <c r="AL46" i="176" a="1"/>
  <c r="AY49" i="176" a="1"/>
  <c r="AM35" i="176" a="1"/>
  <c r="BB36" i="176" a="1"/>
  <c r="BC39" i="176" a="1"/>
  <c r="AL43" i="176" a="1"/>
  <c r="AR41" i="176" a="1"/>
  <c r="AN41" i="176" a="1"/>
  <c r="AY38" i="176" a="1"/>
  <c r="AX43" i="176" a="1"/>
  <c r="AZ46" i="176" a="1"/>
  <c r="BC49" i="176" a="1"/>
  <c r="AM42" i="176" a="1"/>
  <c r="AZ38" i="176" a="1"/>
  <c r="BC41" i="176" a="1"/>
  <c r="AL45" i="176" a="1"/>
  <c r="AR43" i="176" a="1"/>
  <c r="AN42" i="176" a="1"/>
  <c r="AL37" i="176" a="1"/>
  <c r="BD41" i="176" a="1"/>
  <c r="AZ48" i="176" a="1"/>
  <c r="AR44" i="176" a="1"/>
  <c r="AM49" i="176" a="1"/>
  <c r="AX37" i="176" a="1"/>
  <c r="BB43" i="176" a="1"/>
  <c r="AR45" i="176" a="1"/>
  <c r="AN49" i="176" a="1"/>
  <c r="AY37" i="176" a="1"/>
  <c r="AL47" i="176" a="1"/>
  <c r="AR46" i="176" a="1"/>
  <c r="AZ37" i="176" a="1"/>
  <c r="AX42" i="176" a="1"/>
  <c r="BD43" i="176" a="1"/>
  <c r="AX47" i="176" a="1"/>
  <c r="BD48" i="176" a="1"/>
  <c r="AR36" i="176" a="1"/>
  <c r="AR48" i="176" a="1"/>
  <c r="AM39" i="176" a="1"/>
  <c r="AM45" i="176" a="1"/>
  <c r="AY34" i="176" a="1"/>
  <c r="AL36" i="176" a="1"/>
  <c r="BC37" i="176" a="1"/>
  <c r="AX39" i="176" a="1"/>
  <c r="BD40" i="176" a="1"/>
  <c r="AZ42" i="176" a="1"/>
  <c r="AX44" i="176" a="1"/>
  <c r="BC45" i="176" a="1"/>
  <c r="AZ47" i="176" a="1"/>
  <c r="AM46" i="176" a="1"/>
  <c r="AZ39" i="176" a="1"/>
  <c r="BC47" i="176" a="1"/>
  <c r="BD34" i="176" a="1"/>
  <c r="AY46" i="176" a="1"/>
  <c r="AN47" i="176" a="1"/>
  <c r="BD39" i="176" a="1"/>
  <c r="BD36" i="176" a="1"/>
  <c r="AY48" i="176" a="1"/>
  <c r="AN48" i="176" a="1"/>
  <c r="AY35" i="176" a="1"/>
  <c r="AM43" i="176" a="1"/>
  <c r="BC38" i="176" a="1"/>
  <c r="BB48" i="176" a="1"/>
  <c r="AN37" i="176" a="1"/>
  <c r="BB35" i="176" a="1"/>
  <c r="AY45" i="176" a="1"/>
  <c r="AM44" i="176" a="1"/>
  <c r="AL39" i="176" a="1"/>
  <c r="AR37" i="176" a="1"/>
  <c r="AR49" i="176" a="1"/>
  <c r="AN39" i="176" a="1"/>
  <c r="AN45" i="176" a="1"/>
  <c r="AZ34" i="176" a="1"/>
  <c r="AX36" i="176" a="1"/>
  <c r="BD37" i="176" a="1"/>
  <c r="AY39" i="176" a="1"/>
  <c r="AL41" i="176" a="1"/>
  <c r="BB42" i="176" a="1"/>
  <c r="AY44" i="176" a="1"/>
  <c r="BD45" i="176" a="1"/>
  <c r="BB47" i="176" a="1"/>
  <c r="AX49" i="176" a="1"/>
  <c r="AY36" i="176" a="1"/>
  <c r="AZ44" i="176" a="1"/>
  <c r="AR40" i="176" a="1"/>
  <c r="AM47" i="176" a="1"/>
  <c r="AX38" i="176" a="1"/>
  <c r="BC44" i="176" a="1"/>
  <c r="BB49" i="176" a="1"/>
  <c r="BC36" i="176" a="1"/>
  <c r="BB41" i="176" a="1"/>
  <c r="BD44" i="176" a="1"/>
  <c r="AR42" i="176" a="1"/>
  <c r="AM36" i="176" a="1"/>
  <c r="AX35" i="176" a="1"/>
  <c r="AL40" i="176" a="1"/>
  <c r="BB46" i="176" a="1"/>
  <c r="BB38" i="176" a="1"/>
  <c r="AZ43" i="176" a="1"/>
  <c r="AM37" i="176" a="1"/>
  <c r="AZ35" i="176" a="1"/>
  <c r="AY40" i="176" a="1"/>
  <c r="AX45" i="176" a="1"/>
  <c r="BD46" i="176" a="1"/>
  <c r="BD38" i="176" a="1"/>
  <c r="BC43" i="176" a="1"/>
  <c r="AR34" i="176" a="1"/>
  <c r="AM38" i="176" a="1"/>
  <c r="BC35" i="176" a="1"/>
  <c r="BB40" i="176" a="1"/>
  <c r="AR39" i="176" a="1"/>
  <c r="AN34" i="176" a="1"/>
  <c r="AN40" i="176" a="1"/>
  <c r="AN46" i="176" a="1"/>
  <c r="BC34" i="176" a="1"/>
  <c r="AZ36" i="176" a="1"/>
  <c r="BB39" i="176" a="1"/>
  <c r="AY41" i="176" a="1"/>
  <c r="BD42" i="176" a="1"/>
  <c r="BB44" i="176" a="1"/>
  <c r="AX46" i="176" a="1"/>
  <c r="BD47" i="176" a="1"/>
  <c r="AZ49" i="176" a="1"/>
  <c r="AM41" i="176" a="1"/>
  <c r="AZ41" i="176" a="1"/>
  <c r="AL48" i="176" a="1"/>
  <c r="AN35" i="176" a="1"/>
  <c r="AL35" i="176" a="1"/>
  <c r="AX48" i="176" a="1"/>
  <c r="AM48" i="176" a="1"/>
  <c r="AY43" i="176" a="1"/>
  <c r="BD49" i="176" a="1"/>
  <c r="AN36" i="176" a="1"/>
  <c r="AX40" i="176" a="1"/>
  <c r="BC46" i="176" a="1"/>
  <c r="AL42" i="176" a="1"/>
  <c r="AN43" i="176" a="1"/>
  <c r="AZ40" i="176" a="1"/>
  <c r="BC48" i="176" a="1"/>
  <c r="AL34" i="176" a="1"/>
  <c r="AZ45" i="176" a="1"/>
  <c r="AR29" i="176" a="1"/>
  <c r="AM25" i="176" a="1"/>
  <c r="AM31" i="176" a="1"/>
  <c r="AX25" i="176" a="1"/>
  <c r="BC26" i="176" a="1"/>
  <c r="AZ28" i="176" a="1"/>
  <c r="AX30" i="176" a="1"/>
  <c r="BC31" i="176" a="1"/>
  <c r="AZ33" i="176" a="1"/>
  <c r="AM26" i="176" a="1"/>
  <c r="AN23" i="176" a="1"/>
  <c r="AL27" i="176" a="1"/>
  <c r="AZ30" i="176" a="1"/>
  <c r="BC33" i="176" a="1"/>
  <c r="BD23" i="176" a="1"/>
  <c r="AN32" i="176" a="1"/>
  <c r="AM23" i="176" a="1"/>
  <c r="AX27" i="176" a="1"/>
  <c r="BB30" i="176" a="1"/>
  <c r="BD33" i="176" a="1"/>
  <c r="AR33" i="176" a="1"/>
  <c r="AM33" i="176" a="1"/>
  <c r="AL24" i="176" a="1"/>
  <c r="AY27" i="176" a="1"/>
  <c r="BC30" i="176" a="1"/>
  <c r="BD25" i="176" a="1"/>
  <c r="BD30" i="176" a="1"/>
  <c r="AZ23" i="176" a="1"/>
  <c r="AM28" i="176" a="1"/>
  <c r="AL26" i="176" a="1"/>
  <c r="BB27" i="176" a="1"/>
  <c r="AL31" i="176" a="1"/>
  <c r="AX23" i="176" a="1"/>
  <c r="AZ24" i="176" a="1"/>
  <c r="BC27" i="176" a="1"/>
  <c r="AZ29" i="176" a="1"/>
  <c r="AR25" i="176" a="1"/>
  <c r="BB24" i="176" a="1"/>
  <c r="BD27" i="176" a="1"/>
  <c r="AX31" i="176" a="1"/>
  <c r="AR26" i="176" a="1"/>
  <c r="AN29" i="176" a="1"/>
  <c r="AY26" i="176" a="1"/>
  <c r="AL28" i="176" a="1"/>
  <c r="AY31" i="176" a="1"/>
  <c r="AR27" i="176" a="1"/>
  <c r="AM30" i="176" a="1"/>
  <c r="AZ26" i="176" a="1"/>
  <c r="BD29" i="176" a="1"/>
  <c r="AX33" i="176" a="1"/>
  <c r="AR28" i="176" a="1"/>
  <c r="AN30" i="176" a="1"/>
  <c r="BB26" i="176" a="1"/>
  <c r="AL30" i="176" a="1"/>
  <c r="AY33" i="176" a="1"/>
  <c r="AR30" i="176" a="1"/>
  <c r="AN25" i="176" a="1"/>
  <c r="AN31" i="176" a="1"/>
  <c r="AY25" i="176" a="1"/>
  <c r="BD26" i="176" a="1"/>
  <c r="BB28" i="176" a="1"/>
  <c r="AY30" i="176" a="1"/>
  <c r="BD31" i="176" a="1"/>
  <c r="BB33" i="176" a="1"/>
  <c r="AR31" i="176" a="1"/>
  <c r="AM32" i="176" a="1"/>
  <c r="AZ25" i="176" a="1"/>
  <c r="BC28" i="176" a="1"/>
  <c r="AL32" i="176" a="1"/>
  <c r="AR32" i="176" a="1"/>
  <c r="AN26" i="176" a="1"/>
  <c r="BB25" i="176" a="1"/>
  <c r="BD28" i="176" a="1"/>
  <c r="AX32" i="176" a="1"/>
  <c r="BC23" i="176" a="1"/>
  <c r="AM27" i="176" a="1"/>
  <c r="BC25" i="176" a="1"/>
  <c r="AL29" i="176" a="1"/>
  <c r="AY32" i="176" a="1"/>
  <c r="BB23" i="176" a="1"/>
  <c r="AN27" i="176" a="1"/>
  <c r="AN33" i="176" a="1"/>
  <c r="AX24" i="176" a="1"/>
  <c r="AZ27" i="176" a="1"/>
  <c r="AX29" i="176" a="1"/>
  <c r="AZ32" i="176" a="1"/>
  <c r="AY24" i="176" a="1"/>
  <c r="AY29" i="176" a="1"/>
  <c r="BB32" i="176" a="1"/>
  <c r="AR24" i="176" a="1"/>
  <c r="AN28" i="176" a="1"/>
  <c r="BC32" i="176" a="1"/>
  <c r="AY23" i="176" a="1"/>
  <c r="AM29" i="176" a="1"/>
  <c r="AX26" i="176" a="1"/>
  <c r="BB29" i="176" a="1"/>
  <c r="BD32" i="176" a="1"/>
  <c r="AR23" i="176" a="1"/>
  <c r="BC24" i="176" a="1"/>
  <c r="BC29" i="176" a="1"/>
  <c r="AL33" i="176" a="1"/>
  <c r="AM24" i="176" a="1"/>
  <c r="BD24" i="176" a="1"/>
  <c r="AX28" i="176" a="1"/>
  <c r="AZ31" i="176" a="1"/>
  <c r="AN24" i="176" a="1"/>
  <c r="AL25" i="176" a="1"/>
  <c r="AY28" i="176" a="1"/>
  <c r="BB31" i="176" a="1"/>
  <c r="O23" i="176" a="1"/>
  <c r="P23" i="176" a="1"/>
  <c r="Q23" i="176" a="1"/>
  <c r="N23" i="176" a="1"/>
  <c r="AZ45" i="176" l="1"/>
  <c r="AL34" i="176"/>
  <c r="BC48" i="176"/>
  <c r="AZ40" i="176"/>
  <c r="AN43" i="176"/>
  <c r="AL42" i="176"/>
  <c r="BC46" i="176"/>
  <c r="AX40" i="176"/>
  <c r="AN36" i="176"/>
  <c r="BD49" i="176"/>
  <c r="AY43" i="176"/>
  <c r="AM48" i="176"/>
  <c r="AX48" i="176"/>
  <c r="AL35" i="176"/>
  <c r="AN35" i="176"/>
  <c r="AL48" i="176"/>
  <c r="AZ41" i="176"/>
  <c r="AM41" i="176"/>
  <c r="AZ49" i="176"/>
  <c r="BD47" i="176"/>
  <c r="AX46" i="176"/>
  <c r="BB44" i="176"/>
  <c r="BD42" i="176"/>
  <c r="AY41" i="176"/>
  <c r="BB39" i="176"/>
  <c r="AZ36" i="176"/>
  <c r="BC34" i="176"/>
  <c r="AN46" i="176"/>
  <c r="AN40" i="176"/>
  <c r="AN34" i="176"/>
  <c r="AR39" i="176"/>
  <c r="BB40" i="176"/>
  <c r="BC35" i="176"/>
  <c r="AM38" i="176"/>
  <c r="AR34" i="176"/>
  <c r="BC43" i="176"/>
  <c r="BD38" i="176"/>
  <c r="BD46" i="176"/>
  <c r="AX45" i="176"/>
  <c r="AY40" i="176"/>
  <c r="AZ35" i="176"/>
  <c r="AM37" i="176"/>
  <c r="AZ43" i="176"/>
  <c r="BB38" i="176"/>
  <c r="BB46" i="176"/>
  <c r="AL40" i="176"/>
  <c r="AX35" i="176"/>
  <c r="AM36" i="176"/>
  <c r="AR42" i="176"/>
  <c r="BD44" i="176"/>
  <c r="BB41" i="176"/>
  <c r="BC36" i="176"/>
  <c r="BB49" i="176"/>
  <c r="BC44" i="176"/>
  <c r="AX38" i="176"/>
  <c r="AM47" i="176"/>
  <c r="AR40" i="176"/>
  <c r="AZ44" i="176"/>
  <c r="AY36" i="176"/>
  <c r="AX49" i="176"/>
  <c r="BB47" i="176"/>
  <c r="BD45" i="176"/>
  <c r="AY44" i="176"/>
  <c r="BB42" i="176"/>
  <c r="AL41" i="176"/>
  <c r="AY39" i="176"/>
  <c r="BD37" i="176"/>
  <c r="AX36" i="176"/>
  <c r="AZ34" i="176"/>
  <c r="AN45" i="176"/>
  <c r="AN39" i="176"/>
  <c r="AR49" i="176"/>
  <c r="AR37" i="176"/>
  <c r="AL39" i="176"/>
  <c r="AM44" i="176"/>
  <c r="AY45" i="176"/>
  <c r="BB35" i="176"/>
  <c r="AN37" i="176"/>
  <c r="BB48" i="176"/>
  <c r="BC38" i="176"/>
  <c r="AM43" i="176"/>
  <c r="AY35" i="176"/>
  <c r="AN48" i="176"/>
  <c r="AY48" i="176"/>
  <c r="BD36" i="176"/>
  <c r="BD39" i="176"/>
  <c r="AN47" i="176"/>
  <c r="AY46" i="176"/>
  <c r="BD34" i="176"/>
  <c r="BC47" i="176"/>
  <c r="AZ39" i="176"/>
  <c r="AM46" i="176"/>
  <c r="AZ47" i="176"/>
  <c r="BC45" i="176"/>
  <c r="AX44" i="176"/>
  <c r="AZ42" i="176"/>
  <c r="BD40" i="176"/>
  <c r="AX39" i="176"/>
  <c r="BC37" i="176"/>
  <c r="AL36" i="176"/>
  <c r="AY34" i="176"/>
  <c r="AM45" i="176"/>
  <c r="AM39" i="176"/>
  <c r="AR48" i="176"/>
  <c r="AR36" i="176"/>
  <c r="BD48" i="176"/>
  <c r="AX47" i="176"/>
  <c r="BD43" i="176"/>
  <c r="AX42" i="176"/>
  <c r="AZ37" i="176"/>
  <c r="AR46" i="176"/>
  <c r="AL47" i="176"/>
  <c r="AY37" i="176"/>
  <c r="AN49" i="176"/>
  <c r="AR45" i="176"/>
  <c r="BB43" i="176"/>
  <c r="AX37" i="176"/>
  <c r="AM49" i="176"/>
  <c r="AR44" i="176"/>
  <c r="AZ48" i="176"/>
  <c r="BD41" i="176"/>
  <c r="AL37" i="176"/>
  <c r="AN42" i="176"/>
  <c r="AR43" i="176"/>
  <c r="AL45" i="176"/>
  <c r="BC41" i="176"/>
  <c r="AZ38" i="176"/>
  <c r="AM42" i="176"/>
  <c r="BC49" i="176"/>
  <c r="AZ46" i="176"/>
  <c r="AX43" i="176"/>
  <c r="AY38" i="176"/>
  <c r="AN41" i="176"/>
  <c r="AR41" i="176"/>
  <c r="AL43" i="176"/>
  <c r="BC39" i="176"/>
  <c r="BB36" i="176"/>
  <c r="AM35" i="176"/>
  <c r="AY49" i="176"/>
  <c r="AL46" i="176"/>
  <c r="BC42" i="176"/>
  <c r="AX41" i="176"/>
  <c r="AL38" i="176"/>
  <c r="BB34" i="176"/>
  <c r="AM40" i="176"/>
  <c r="AM34" i="176"/>
  <c r="AR38" i="176"/>
  <c r="AL49" i="176"/>
  <c r="AY47" i="176"/>
  <c r="BB45" i="176"/>
  <c r="AL44" i="176"/>
  <c r="AY42" i="176"/>
  <c r="BC40" i="176"/>
  <c r="BB37" i="176"/>
  <c r="BD35" i="176"/>
  <c r="AX34" i="176"/>
  <c r="AN44" i="176"/>
  <c r="AN38" i="176"/>
  <c r="AR47" i="176"/>
  <c r="AR35" i="176"/>
  <c r="BF106" i="176" a="1"/>
  <c r="BF106" i="176" s="1"/>
  <c r="AV106" i="176" a="1"/>
  <c r="AV106" i="176" s="1"/>
  <c r="N166" i="176" a="1"/>
  <c r="N166" i="176" s="1"/>
  <c r="V166" i="176" a="1"/>
  <c r="V166" i="176" s="1"/>
  <c r="AD166" i="176" a="1"/>
  <c r="AD166" i="176" s="1"/>
  <c r="W166" i="176" a="1"/>
  <c r="W166" i="176" s="1"/>
  <c r="AE166" i="176" a="1"/>
  <c r="AE166" i="176" s="1"/>
  <c r="O166" i="176" a="1"/>
  <c r="O166" i="176" s="1"/>
  <c r="AF166" i="176" a="1"/>
  <c r="AF166" i="176" s="1"/>
  <c r="T166" i="176" a="1"/>
  <c r="T166" i="176" s="1"/>
  <c r="AG166" i="176" a="1"/>
  <c r="AG166" i="176" s="1"/>
  <c r="S166" i="176" a="1"/>
  <c r="S166" i="176" s="1"/>
  <c r="U166" i="176" a="1"/>
  <c r="U166" i="176" s="1"/>
  <c r="AI166" i="176" a="1"/>
  <c r="AI166" i="176" s="1"/>
  <c r="AA166" i="176" a="1"/>
  <c r="AA166" i="176" s="1"/>
  <c r="AB166" i="176" a="1"/>
  <c r="AB166" i="176" s="1"/>
  <c r="Q166" i="176" a="1"/>
  <c r="Q166" i="176" s="1"/>
  <c r="AH166" i="176" a="1"/>
  <c r="AH166" i="176" s="1"/>
  <c r="P166" i="176" a="1"/>
  <c r="P166" i="176" s="1"/>
  <c r="R166" i="176" a="1"/>
  <c r="R166" i="176" s="1"/>
  <c r="X166" i="176" a="1"/>
  <c r="X166" i="176" s="1"/>
  <c r="Z166" i="176" a="1"/>
  <c r="Z166" i="176" s="1"/>
  <c r="AC166" i="176" a="1"/>
  <c r="AC166" i="176" s="1"/>
  <c r="Y166" i="176" a="1"/>
  <c r="Y166" i="176" s="1"/>
  <c r="AU93" i="176" a="1"/>
  <c r="AU93" i="176" s="1"/>
  <c r="BF93" i="176" a="1"/>
  <c r="BF93" i="176" s="1"/>
  <c r="AV93" i="176" a="1"/>
  <c r="AV93" i="176" s="1"/>
  <c r="Q177" i="176" a="1"/>
  <c r="Q177" i="176" s="1"/>
  <c r="AD177" i="176" a="1"/>
  <c r="AD177" i="176" s="1"/>
  <c r="R177" i="176" a="1"/>
  <c r="R177" i="176" s="1"/>
  <c r="AE177" i="176" a="1"/>
  <c r="AE177" i="176" s="1"/>
  <c r="O177" i="176" a="1"/>
  <c r="O177" i="176" s="1"/>
  <c r="W177" i="176" a="1"/>
  <c r="W177" i="176" s="1"/>
  <c r="AF177" i="176" a="1"/>
  <c r="AF177" i="176" s="1"/>
  <c r="X177" i="176" a="1"/>
  <c r="X177" i="176" s="1"/>
  <c r="AA177" i="176" a="1"/>
  <c r="AA177" i="176" s="1"/>
  <c r="P177" i="176" a="1"/>
  <c r="P177" i="176" s="1"/>
  <c r="S177" i="176" a="1"/>
  <c r="S177" i="176" s="1"/>
  <c r="AC177" i="176" a="1"/>
  <c r="AC177" i="176" s="1"/>
  <c r="AG177" i="176" a="1"/>
  <c r="AG177" i="176" s="1"/>
  <c r="Y177" i="176" a="1"/>
  <c r="Y177" i="176" s="1"/>
  <c r="AB177" i="176" a="1"/>
  <c r="AB177" i="176" s="1"/>
  <c r="AH177" i="176" a="1"/>
  <c r="AH177" i="176" s="1"/>
  <c r="AI177" i="176" a="1"/>
  <c r="AI177" i="176" s="1"/>
  <c r="N177" i="176" a="1"/>
  <c r="N177" i="176" s="1"/>
  <c r="T177" i="176" a="1"/>
  <c r="T177" i="176" s="1"/>
  <c r="U177" i="176" a="1"/>
  <c r="U177" i="176" s="1"/>
  <c r="Z177" i="176" a="1"/>
  <c r="Z177" i="176" s="1"/>
  <c r="V177" i="176" a="1"/>
  <c r="V177" i="176" s="1"/>
  <c r="AS92" i="176" a="1"/>
  <c r="AS92" i="176" s="1"/>
  <c r="AV92" i="176" a="1"/>
  <c r="AV92" i="176" s="1"/>
  <c r="BF92" i="176" a="1"/>
  <c r="BF92" i="176" s="1"/>
  <c r="S176" i="176" a="1"/>
  <c r="S176" i="176" s="1"/>
  <c r="AF176" i="176" a="1"/>
  <c r="AF176" i="176" s="1"/>
  <c r="T176" i="176" a="1"/>
  <c r="T176" i="176" s="1"/>
  <c r="AG176" i="176" a="1"/>
  <c r="AG176" i="176" s="1"/>
  <c r="N176" i="176" a="1"/>
  <c r="N176" i="176" s="1"/>
  <c r="V176" i="176" a="1"/>
  <c r="V176" i="176" s="1"/>
  <c r="AD176" i="176" a="1"/>
  <c r="AD176" i="176" s="1"/>
  <c r="AC176" i="176" a="1"/>
  <c r="AC176" i="176" s="1"/>
  <c r="P176" i="176" a="1"/>
  <c r="P176" i="176" s="1"/>
  <c r="AA176" i="176" a="1"/>
  <c r="AA176" i="176" s="1"/>
  <c r="R176" i="176" a="1"/>
  <c r="R176" i="176" s="1"/>
  <c r="O176" i="176" a="1"/>
  <c r="O176" i="176" s="1"/>
  <c r="AE176" i="176" a="1"/>
  <c r="AE176" i="176" s="1"/>
  <c r="U176" i="176" a="1"/>
  <c r="U176" i="176" s="1"/>
  <c r="AI176" i="176" a="1"/>
  <c r="AI176" i="176" s="1"/>
  <c r="Q176" i="176" a="1"/>
  <c r="Q176" i="176" s="1"/>
  <c r="W176" i="176" a="1"/>
  <c r="W176" i="176" s="1"/>
  <c r="X176" i="176" a="1"/>
  <c r="X176" i="176" s="1"/>
  <c r="Y176" i="176" a="1"/>
  <c r="Y176" i="176" s="1"/>
  <c r="AB176" i="176" a="1"/>
  <c r="AB176" i="176" s="1"/>
  <c r="AH176" i="176" a="1"/>
  <c r="AH176" i="176" s="1"/>
  <c r="Z176" i="176" a="1"/>
  <c r="Z176" i="176" s="1"/>
  <c r="BF79" i="176" a="1"/>
  <c r="BF79" i="176" s="1"/>
  <c r="AV79" i="176" a="1"/>
  <c r="AV79" i="176" s="1"/>
  <c r="S199" i="176" a="1"/>
  <c r="S199" i="176" s="1"/>
  <c r="AH199" i="176" a="1"/>
  <c r="AH199" i="176" s="1"/>
  <c r="AA199" i="176" a="1"/>
  <c r="AA199" i="176" s="1"/>
  <c r="T199" i="176" a="1"/>
  <c r="T199" i="176" s="1"/>
  <c r="AB199" i="176" a="1"/>
  <c r="AB199" i="176" s="1"/>
  <c r="AD199" i="176" a="1"/>
  <c r="AD199" i="176" s="1"/>
  <c r="P199" i="176" a="1"/>
  <c r="P199" i="176" s="1"/>
  <c r="Z199" i="176" a="1"/>
  <c r="Z199" i="176" s="1"/>
  <c r="R199" i="176" a="1"/>
  <c r="R199" i="176" s="1"/>
  <c r="W199" i="176" a="1"/>
  <c r="W199" i="176" s="1"/>
  <c r="X199" i="176" a="1"/>
  <c r="X199" i="176" s="1"/>
  <c r="N199" i="176" a="1"/>
  <c r="N199" i="176" s="1"/>
  <c r="AC199" i="176" a="1"/>
  <c r="AC199" i="176" s="1"/>
  <c r="AE199" i="176" a="1"/>
  <c r="AE199" i="176" s="1"/>
  <c r="AF199" i="176" a="1"/>
  <c r="AF199" i="176" s="1"/>
  <c r="O199" i="176" a="1"/>
  <c r="O199" i="176" s="1"/>
  <c r="AG199" i="176" a="1"/>
  <c r="AG199" i="176" s="1"/>
  <c r="AI199" i="176" a="1"/>
  <c r="AI199" i="176" s="1"/>
  <c r="U199" i="176" a="1"/>
  <c r="U199" i="176" s="1"/>
  <c r="V199" i="176" a="1"/>
  <c r="V199" i="176" s="1"/>
  <c r="Y199" i="176" a="1"/>
  <c r="Y199" i="176" s="1"/>
  <c r="Q199" i="176" a="1"/>
  <c r="Q199" i="176" s="1"/>
  <c r="O210" i="176" a="1"/>
  <c r="O210" i="176" s="1"/>
  <c r="P210" i="176" a="1"/>
  <c r="P210" i="176" s="1"/>
  <c r="Y210" i="176" a="1"/>
  <c r="Y210" i="176" s="1"/>
  <c r="AG210" i="176" a="1"/>
  <c r="AG210" i="176" s="1"/>
  <c r="Q210" i="176" a="1"/>
  <c r="Q210" i="176" s="1"/>
  <c r="Z210" i="176" a="1"/>
  <c r="Z210" i="176" s="1"/>
  <c r="S210" i="176" a="1"/>
  <c r="S210" i="176" s="1"/>
  <c r="AB210" i="176" a="1"/>
  <c r="AB210" i="176" s="1"/>
  <c r="AI210" i="176" a="1"/>
  <c r="AI210" i="176" s="1"/>
  <c r="N210" i="176" a="1"/>
  <c r="N210" i="176" s="1"/>
  <c r="AA210" i="176" a="1"/>
  <c r="AA210" i="176" s="1"/>
  <c r="R210" i="176" a="1"/>
  <c r="R210" i="176" s="1"/>
  <c r="AC210" i="176" a="1"/>
  <c r="AC210" i="176" s="1"/>
  <c r="W210" i="176" a="1"/>
  <c r="W210" i="176" s="1"/>
  <c r="AD210" i="176" a="1"/>
  <c r="AD210" i="176" s="1"/>
  <c r="X210" i="176" a="1"/>
  <c r="X210" i="176" s="1"/>
  <c r="V210" i="176" a="1"/>
  <c r="V210" i="176" s="1"/>
  <c r="AE210" i="176" a="1"/>
  <c r="AE210" i="176" s="1"/>
  <c r="AH210" i="176" a="1"/>
  <c r="AH210" i="176" s="1"/>
  <c r="AF210" i="176" a="1"/>
  <c r="AF210" i="176" s="1"/>
  <c r="T210" i="176" a="1"/>
  <c r="T210" i="176" s="1"/>
  <c r="U210" i="176" a="1"/>
  <c r="U210" i="176" s="1"/>
  <c r="S162" i="176" a="1"/>
  <c r="S162" i="176" s="1"/>
  <c r="AB162" i="176" a="1"/>
  <c r="AB162" i="176" s="1"/>
  <c r="T162" i="176" a="1"/>
  <c r="T162" i="176" s="1"/>
  <c r="U162" i="176" a="1"/>
  <c r="U162" i="176" s="1"/>
  <c r="AC162" i="176" a="1"/>
  <c r="AC162" i="176" s="1"/>
  <c r="W162" i="176" a="1"/>
  <c r="W162" i="176" s="1"/>
  <c r="AI162" i="176" a="1"/>
  <c r="AI162" i="176" s="1"/>
  <c r="X162" i="176" a="1"/>
  <c r="X162" i="176" s="1"/>
  <c r="AH162" i="176" a="1"/>
  <c r="AH162" i="176" s="1"/>
  <c r="V162" i="176" a="1"/>
  <c r="V162" i="176" s="1"/>
  <c r="N162" i="176" a="1"/>
  <c r="N162" i="176" s="1"/>
  <c r="AD162" i="176" a="1"/>
  <c r="AD162" i="176" s="1"/>
  <c r="AE162" i="176" a="1"/>
  <c r="AE162" i="176" s="1"/>
  <c r="Q162" i="176" a="1"/>
  <c r="Q162" i="176" s="1"/>
  <c r="Z162" i="176" a="1"/>
  <c r="Z162" i="176" s="1"/>
  <c r="AF162" i="176" a="1"/>
  <c r="AF162" i="176" s="1"/>
  <c r="AA162" i="176" a="1"/>
  <c r="AA162" i="176" s="1"/>
  <c r="Y162" i="176" a="1"/>
  <c r="Y162" i="176" s="1"/>
  <c r="P162" i="176" a="1"/>
  <c r="P162" i="176" s="1"/>
  <c r="O162" i="176" a="1"/>
  <c r="O162" i="176" s="1"/>
  <c r="R162" i="176" a="1"/>
  <c r="R162" i="176" s="1"/>
  <c r="AG162" i="176" a="1"/>
  <c r="AG162" i="176" s="1"/>
  <c r="P161" i="176" a="1"/>
  <c r="P161" i="176" s="1"/>
  <c r="AG161" i="176" a="1"/>
  <c r="AG161" i="176" s="1"/>
  <c r="Z161" i="176" a="1"/>
  <c r="Z161" i="176" s="1"/>
  <c r="Q161" i="176" a="1"/>
  <c r="Q161" i="176" s="1"/>
  <c r="AH161" i="176" a="1"/>
  <c r="AH161" i="176" s="1"/>
  <c r="X161" i="176" a="1"/>
  <c r="X161" i="176" s="1"/>
  <c r="AI161" i="176" a="1"/>
  <c r="AI161" i="176" s="1"/>
  <c r="O161" i="176" a="1"/>
  <c r="O161" i="176" s="1"/>
  <c r="AD161" i="176" a="1"/>
  <c r="AD161" i="176" s="1"/>
  <c r="R161" i="176" a="1"/>
  <c r="R161" i="176" s="1"/>
  <c r="T161" i="176" a="1"/>
  <c r="T161" i="176" s="1"/>
  <c r="U161" i="176" a="1"/>
  <c r="U161" i="176" s="1"/>
  <c r="Y161" i="176" a="1"/>
  <c r="Y161" i="176" s="1"/>
  <c r="AE161" i="176" a="1"/>
  <c r="AE161" i="176" s="1"/>
  <c r="AC161" i="176" a="1"/>
  <c r="AC161" i="176" s="1"/>
  <c r="AF161" i="176" a="1"/>
  <c r="AF161" i="176" s="1"/>
  <c r="S161" i="176" a="1"/>
  <c r="S161" i="176" s="1"/>
  <c r="N161" i="176" a="1"/>
  <c r="N161" i="176" s="1"/>
  <c r="W161" i="176" a="1"/>
  <c r="W161" i="176" s="1"/>
  <c r="AA161" i="176" a="1"/>
  <c r="AA161" i="176" s="1"/>
  <c r="V161" i="176" a="1"/>
  <c r="V161" i="176" s="1"/>
  <c r="AB161" i="176" a="1"/>
  <c r="AB161" i="176" s="1"/>
  <c r="N220" i="176" a="1"/>
  <c r="N220" i="176" s="1"/>
  <c r="V220" i="176" a="1"/>
  <c r="V220" i="176" s="1"/>
  <c r="AD220" i="176" a="1"/>
  <c r="AD220" i="176" s="1"/>
  <c r="W220" i="176" a="1"/>
  <c r="W220" i="176" s="1"/>
  <c r="AE220" i="176" a="1"/>
  <c r="AE220" i="176" s="1"/>
  <c r="P220" i="176" a="1"/>
  <c r="P220" i="176" s="1"/>
  <c r="Y220" i="176" a="1"/>
  <c r="Y220" i="176" s="1"/>
  <c r="AG220" i="176" a="1"/>
  <c r="AG220" i="176" s="1"/>
  <c r="Q220" i="176" a="1"/>
  <c r="Q220" i="176" s="1"/>
  <c r="R220" i="176" a="1"/>
  <c r="R220" i="176" s="1"/>
  <c r="AB220" i="176" a="1"/>
  <c r="AB220" i="176" s="1"/>
  <c r="S220" i="176" a="1"/>
  <c r="S220" i="176" s="1"/>
  <c r="AF220" i="176" a="1"/>
  <c r="AF220" i="176" s="1"/>
  <c r="U220" i="176" a="1"/>
  <c r="U220" i="176" s="1"/>
  <c r="X220" i="176" a="1"/>
  <c r="X220" i="176" s="1"/>
  <c r="Z220" i="176" a="1"/>
  <c r="Z220" i="176" s="1"/>
  <c r="AH220" i="176" a="1"/>
  <c r="AH220" i="176" s="1"/>
  <c r="T220" i="176" a="1"/>
  <c r="T220" i="176" s="1"/>
  <c r="AI220" i="176" a="1"/>
  <c r="AI220" i="176" s="1"/>
  <c r="O220" i="176" a="1"/>
  <c r="O220" i="176" s="1"/>
  <c r="AA220" i="176" a="1"/>
  <c r="AA220" i="176" s="1"/>
  <c r="AC220" i="176" a="1"/>
  <c r="AC220" i="176" s="1"/>
  <c r="U208" i="176" a="1"/>
  <c r="U208" i="176" s="1"/>
  <c r="V208" i="176" a="1"/>
  <c r="V208" i="176" s="1"/>
  <c r="AA208" i="176" a="1"/>
  <c r="AA208" i="176" s="1"/>
  <c r="R208" i="176" a="1"/>
  <c r="R208" i="176" s="1"/>
  <c r="AI208" i="176" a="1"/>
  <c r="AI208" i="176" s="1"/>
  <c r="T208" i="176" a="1"/>
  <c r="T208" i="176" s="1"/>
  <c r="X208" i="176" a="1"/>
  <c r="X208" i="176" s="1"/>
  <c r="AH208" i="176" a="1"/>
  <c r="AH208" i="176" s="1"/>
  <c r="N208" i="176" a="1"/>
  <c r="N208" i="176" s="1"/>
  <c r="Y208" i="176" a="1"/>
  <c r="Y208" i="176" s="1"/>
  <c r="O208" i="176" a="1"/>
  <c r="O208" i="176" s="1"/>
  <c r="AB208" i="176" a="1"/>
  <c r="AB208" i="176" s="1"/>
  <c r="Q208" i="176" a="1"/>
  <c r="Q208" i="176" s="1"/>
  <c r="AG208" i="176" a="1"/>
  <c r="AG208" i="176" s="1"/>
  <c r="S208" i="176" a="1"/>
  <c r="S208" i="176" s="1"/>
  <c r="AE208" i="176" a="1"/>
  <c r="AE208" i="176" s="1"/>
  <c r="Z208" i="176" a="1"/>
  <c r="Z208" i="176" s="1"/>
  <c r="AC208" i="176" a="1"/>
  <c r="AC208" i="176" s="1"/>
  <c r="P208" i="176" a="1"/>
  <c r="P208" i="176" s="1"/>
  <c r="W208" i="176" a="1"/>
  <c r="W208" i="176" s="1"/>
  <c r="AD208" i="176" a="1"/>
  <c r="AD208" i="176" s="1"/>
  <c r="AF208" i="176" a="1"/>
  <c r="AF208" i="176" s="1"/>
  <c r="Y196" i="176" a="1"/>
  <c r="Y196" i="176" s="1"/>
  <c r="R196" i="176" a="1"/>
  <c r="R196" i="176" s="1"/>
  <c r="T196" i="176" a="1"/>
  <c r="T196" i="176" s="1"/>
  <c r="AB196" i="176" a="1"/>
  <c r="AB196" i="176" s="1"/>
  <c r="V196" i="176" a="1"/>
  <c r="V196" i="176" s="1"/>
  <c r="AD196" i="176" a="1"/>
  <c r="AD196" i="176" s="1"/>
  <c r="O196" i="176" a="1"/>
  <c r="O196" i="176" s="1"/>
  <c r="P196" i="176" a="1"/>
  <c r="P196" i="176" s="1"/>
  <c r="AA196" i="176" a="1"/>
  <c r="AA196" i="176" s="1"/>
  <c r="S196" i="176" a="1"/>
  <c r="S196" i="176" s="1"/>
  <c r="AE196" i="176" a="1"/>
  <c r="AE196" i="176" s="1"/>
  <c r="Q196" i="176" a="1"/>
  <c r="Q196" i="176" s="1"/>
  <c r="AG196" i="176" a="1"/>
  <c r="AG196" i="176" s="1"/>
  <c r="AF196" i="176" a="1"/>
  <c r="AF196" i="176" s="1"/>
  <c r="AI196" i="176" a="1"/>
  <c r="AI196" i="176" s="1"/>
  <c r="U196" i="176" a="1"/>
  <c r="U196" i="176" s="1"/>
  <c r="Z196" i="176" a="1"/>
  <c r="Z196" i="176" s="1"/>
  <c r="W196" i="176" a="1"/>
  <c r="W196" i="176" s="1"/>
  <c r="X196" i="176" a="1"/>
  <c r="X196" i="176" s="1"/>
  <c r="AC196" i="176" a="1"/>
  <c r="AC196" i="176" s="1"/>
  <c r="N196" i="176" a="1"/>
  <c r="N196" i="176" s="1"/>
  <c r="AH196" i="176" a="1"/>
  <c r="AH196" i="176" s="1"/>
  <c r="Q184" i="176" a="1"/>
  <c r="Q184" i="176" s="1"/>
  <c r="AE184" i="176" a="1"/>
  <c r="AE184" i="176" s="1"/>
  <c r="AF184" i="176" a="1"/>
  <c r="AF184" i="176" s="1"/>
  <c r="W184" i="176" a="1"/>
  <c r="W184" i="176" s="1"/>
  <c r="O184" i="176" a="1"/>
  <c r="O184" i="176" s="1"/>
  <c r="R184" i="176" a="1"/>
  <c r="R184" i="176" s="1"/>
  <c r="AB184" i="176" a="1"/>
  <c r="AB184" i="176" s="1"/>
  <c r="S184" i="176" a="1"/>
  <c r="S184" i="176" s="1"/>
  <c r="Z184" i="176" a="1"/>
  <c r="Z184" i="176" s="1"/>
  <c r="N184" i="176" a="1"/>
  <c r="N184" i="176" s="1"/>
  <c r="X184" i="176" a="1"/>
  <c r="X184" i="176" s="1"/>
  <c r="Y184" i="176" a="1"/>
  <c r="Y184" i="176" s="1"/>
  <c r="AD184" i="176" a="1"/>
  <c r="AD184" i="176" s="1"/>
  <c r="V184" i="176" a="1"/>
  <c r="V184" i="176" s="1"/>
  <c r="AC184" i="176" a="1"/>
  <c r="AC184" i="176" s="1"/>
  <c r="AA184" i="176" a="1"/>
  <c r="AA184" i="176" s="1"/>
  <c r="AG184" i="176" a="1"/>
  <c r="AG184" i="176" s="1"/>
  <c r="U184" i="176" a="1"/>
  <c r="U184" i="176" s="1"/>
  <c r="AH184" i="176" a="1"/>
  <c r="AH184" i="176" s="1"/>
  <c r="P184" i="176" a="1"/>
  <c r="P184" i="176" s="1"/>
  <c r="T184" i="176" a="1"/>
  <c r="T184" i="176" s="1"/>
  <c r="AI184" i="176" a="1"/>
  <c r="AI184" i="176" s="1"/>
  <c r="Y172" i="176" a="1"/>
  <c r="Y172" i="176" s="1"/>
  <c r="S172" i="176" a="1"/>
  <c r="S172" i="176" s="1"/>
  <c r="AA172" i="176" a="1"/>
  <c r="AA172" i="176" s="1"/>
  <c r="AH172" i="176" a="1"/>
  <c r="AH172" i="176" s="1"/>
  <c r="AC172" i="176" a="1"/>
  <c r="AC172" i="176" s="1"/>
  <c r="T172" i="176" a="1"/>
  <c r="T172" i="176" s="1"/>
  <c r="R172" i="176" a="1"/>
  <c r="R172" i="176" s="1"/>
  <c r="AE172" i="176" a="1"/>
  <c r="AE172" i="176" s="1"/>
  <c r="V172" i="176" a="1"/>
  <c r="V172" i="176" s="1"/>
  <c r="AI172" i="176" a="1"/>
  <c r="AI172" i="176" s="1"/>
  <c r="X172" i="176" a="1"/>
  <c r="X172" i="176" s="1"/>
  <c r="Z172" i="176" a="1"/>
  <c r="Z172" i="176" s="1"/>
  <c r="AD172" i="176" a="1"/>
  <c r="AD172" i="176" s="1"/>
  <c r="P172" i="176" a="1"/>
  <c r="P172" i="176" s="1"/>
  <c r="U172" i="176" a="1"/>
  <c r="U172" i="176" s="1"/>
  <c r="Q172" i="176" a="1"/>
  <c r="Q172" i="176" s="1"/>
  <c r="AB172" i="176" a="1"/>
  <c r="AB172" i="176" s="1"/>
  <c r="N172" i="176" a="1"/>
  <c r="N172" i="176" s="1"/>
  <c r="W172" i="176" a="1"/>
  <c r="W172" i="176" s="1"/>
  <c r="AG172" i="176" a="1"/>
  <c r="AG172" i="176" s="1"/>
  <c r="O172" i="176" a="1"/>
  <c r="O172" i="176" s="1"/>
  <c r="AF172" i="176" a="1"/>
  <c r="AF172" i="176" s="1"/>
  <c r="T160" i="176" a="1"/>
  <c r="T160" i="176" s="1"/>
  <c r="AB160" i="176" a="1"/>
  <c r="AB160" i="176" s="1"/>
  <c r="AC160" i="176" a="1"/>
  <c r="AC160" i="176" s="1"/>
  <c r="U160" i="176" a="1"/>
  <c r="U160" i="176" s="1"/>
  <c r="AD160" i="176" a="1"/>
  <c r="AD160" i="176" s="1"/>
  <c r="V160" i="176" a="1"/>
  <c r="V160" i="176" s="1"/>
  <c r="AH160" i="176" a="1"/>
  <c r="AH160" i="176" s="1"/>
  <c r="X160" i="176" a="1"/>
  <c r="X160" i="176" s="1"/>
  <c r="Y160" i="176" a="1"/>
  <c r="Y160" i="176" s="1"/>
  <c r="W160" i="176" a="1"/>
  <c r="W160" i="176" s="1"/>
  <c r="Z160" i="176" a="1"/>
  <c r="Z160" i="176" s="1"/>
  <c r="O160" i="176" a="1"/>
  <c r="O160" i="176" s="1"/>
  <c r="AA160" i="176" a="1"/>
  <c r="AA160" i="176" s="1"/>
  <c r="AF160" i="176" a="1"/>
  <c r="AF160" i="176" s="1"/>
  <c r="AE160" i="176" a="1"/>
  <c r="AE160" i="176" s="1"/>
  <c r="AI160" i="176" a="1"/>
  <c r="AI160" i="176" s="1"/>
  <c r="P160" i="176" a="1"/>
  <c r="P160" i="176" s="1"/>
  <c r="N160" i="176" a="1"/>
  <c r="N160" i="176" s="1"/>
  <c r="S160" i="176" a="1"/>
  <c r="S160" i="176" s="1"/>
  <c r="AG160" i="176" a="1"/>
  <c r="AG160" i="176" s="1"/>
  <c r="Q160" i="176" a="1"/>
  <c r="Q160" i="176" s="1"/>
  <c r="R160" i="176" a="1"/>
  <c r="R160" i="176" s="1"/>
  <c r="BF111" i="176" a="1"/>
  <c r="BF111" i="176" s="1"/>
  <c r="AV111" i="176" a="1"/>
  <c r="AV111" i="176" s="1"/>
  <c r="AT99" i="176" a="1"/>
  <c r="AT99" i="176" s="1"/>
  <c r="BF99" i="176" a="1"/>
  <c r="BF99" i="176" s="1"/>
  <c r="AV99" i="176" a="1"/>
  <c r="AV99" i="176" s="1"/>
  <c r="AT87" i="176" a="1"/>
  <c r="AT87" i="176" s="1"/>
  <c r="BF87" i="176" a="1"/>
  <c r="BF87" i="176" s="1"/>
  <c r="AV87" i="176" a="1"/>
  <c r="AV87" i="176" s="1"/>
  <c r="AV75" i="176" a="1"/>
  <c r="AV75" i="176" s="1"/>
  <c r="BF75" i="176" a="1"/>
  <c r="BF75" i="176" s="1"/>
  <c r="AV63" i="176" a="1"/>
  <c r="AV63" i="176" s="1"/>
  <c r="BF63" i="176" a="1"/>
  <c r="BF63" i="176" s="1"/>
  <c r="AS51" i="176" a="1"/>
  <c r="AS51" i="176" s="1"/>
  <c r="AV51" i="176" a="1"/>
  <c r="AV51" i="176" s="1"/>
  <c r="BF51" i="176" a="1"/>
  <c r="BF51" i="176" s="1"/>
  <c r="U203" i="176" a="1"/>
  <c r="U203" i="176" s="1"/>
  <c r="AC203" i="176" a="1"/>
  <c r="AC203" i="176" s="1"/>
  <c r="V203" i="176" a="1"/>
  <c r="V203" i="176" s="1"/>
  <c r="AD203" i="176" a="1"/>
  <c r="AD203" i="176" s="1"/>
  <c r="T203" i="176" a="1"/>
  <c r="T203" i="176" s="1"/>
  <c r="AE203" i="176" a="1"/>
  <c r="AE203" i="176" s="1"/>
  <c r="AF203" i="176" a="1"/>
  <c r="AF203" i="176" s="1"/>
  <c r="O203" i="176" a="1"/>
  <c r="O203" i="176" s="1"/>
  <c r="X203" i="176" a="1"/>
  <c r="X203" i="176" s="1"/>
  <c r="AG203" i="176" a="1"/>
  <c r="AG203" i="176" s="1"/>
  <c r="R203" i="176" a="1"/>
  <c r="R203" i="176" s="1"/>
  <c r="W203" i="176" a="1"/>
  <c r="W203" i="176" s="1"/>
  <c r="AI203" i="176" a="1"/>
  <c r="AI203" i="176" s="1"/>
  <c r="AB203" i="176" a="1"/>
  <c r="AB203" i="176" s="1"/>
  <c r="N203" i="176" a="1"/>
  <c r="N203" i="176" s="1"/>
  <c r="AH203" i="176" a="1"/>
  <c r="AH203" i="176" s="1"/>
  <c r="P203" i="176" a="1"/>
  <c r="P203" i="176" s="1"/>
  <c r="AA203" i="176" a="1"/>
  <c r="AA203" i="176" s="1"/>
  <c r="Y203" i="176" a="1"/>
  <c r="Y203" i="176" s="1"/>
  <c r="Z203" i="176" a="1"/>
  <c r="Z203" i="176" s="1"/>
  <c r="S203" i="176" a="1"/>
  <c r="S203" i="176" s="1"/>
  <c r="Q203" i="176" a="1"/>
  <c r="Q203" i="176" s="1"/>
  <c r="Z179" i="176" a="1"/>
  <c r="Z179" i="176" s="1"/>
  <c r="AG179" i="176" a="1"/>
  <c r="AG179" i="176" s="1"/>
  <c r="N179" i="176" a="1"/>
  <c r="N179" i="176" s="1"/>
  <c r="AA179" i="176" a="1"/>
  <c r="AA179" i="176" s="1"/>
  <c r="AH179" i="176" a="1"/>
  <c r="AH179" i="176" s="1"/>
  <c r="S179" i="176" a="1"/>
  <c r="S179" i="176" s="1"/>
  <c r="AB179" i="176" a="1"/>
  <c r="AB179" i="176" s="1"/>
  <c r="T179" i="176" a="1"/>
  <c r="T179" i="176" s="1"/>
  <c r="V179" i="176" a="1"/>
  <c r="V179" i="176" s="1"/>
  <c r="AE179" i="176" a="1"/>
  <c r="AE179" i="176" s="1"/>
  <c r="R179" i="176" a="1"/>
  <c r="R179" i="176" s="1"/>
  <c r="AD179" i="176" a="1"/>
  <c r="AD179" i="176" s="1"/>
  <c r="Y179" i="176" a="1"/>
  <c r="Y179" i="176" s="1"/>
  <c r="AF179" i="176" a="1"/>
  <c r="AF179" i="176" s="1"/>
  <c r="O179" i="176" a="1"/>
  <c r="O179" i="176" s="1"/>
  <c r="AI179" i="176" a="1"/>
  <c r="AI179" i="176" s="1"/>
  <c r="Q179" i="176" a="1"/>
  <c r="Q179" i="176" s="1"/>
  <c r="X179" i="176" a="1"/>
  <c r="X179" i="176" s="1"/>
  <c r="AC179" i="176" a="1"/>
  <c r="AC179" i="176" s="1"/>
  <c r="W179" i="176" a="1"/>
  <c r="W179" i="176" s="1"/>
  <c r="P179" i="176" a="1"/>
  <c r="P179" i="176" s="1"/>
  <c r="U179" i="176" a="1"/>
  <c r="U179" i="176" s="1"/>
  <c r="AT94" i="176" a="1"/>
  <c r="AT94" i="176" s="1"/>
  <c r="AV94" i="176" a="1"/>
  <c r="AV94" i="176" s="1"/>
  <c r="BF94" i="176" a="1"/>
  <c r="BF94" i="176" s="1"/>
  <c r="AV58" i="176" a="1"/>
  <c r="AV58" i="176" s="1"/>
  <c r="BF58" i="176" a="1"/>
  <c r="BF58" i="176" s="1"/>
  <c r="T214" i="176" a="1"/>
  <c r="T214" i="176" s="1"/>
  <c r="AA214" i="176" a="1"/>
  <c r="AA214" i="176" s="1"/>
  <c r="AI214" i="176" a="1"/>
  <c r="AI214" i="176" s="1"/>
  <c r="U214" i="176" a="1"/>
  <c r="U214" i="176" s="1"/>
  <c r="AD214" i="176" a="1"/>
  <c r="AD214" i="176" s="1"/>
  <c r="N214" i="176" a="1"/>
  <c r="N214" i="176" s="1"/>
  <c r="P214" i="176" a="1"/>
  <c r="P214" i="176" s="1"/>
  <c r="W214" i="176" a="1"/>
  <c r="W214" i="176" s="1"/>
  <c r="AF214" i="176" a="1"/>
  <c r="AF214" i="176" s="1"/>
  <c r="AB214" i="176" a="1"/>
  <c r="AB214" i="176" s="1"/>
  <c r="Q214" i="176" a="1"/>
  <c r="Q214" i="176" s="1"/>
  <c r="Z214" i="176" a="1"/>
  <c r="Z214" i="176" s="1"/>
  <c r="S214" i="176" a="1"/>
  <c r="S214" i="176" s="1"/>
  <c r="AE214" i="176" a="1"/>
  <c r="AE214" i="176" s="1"/>
  <c r="V214" i="176" a="1"/>
  <c r="V214" i="176" s="1"/>
  <c r="X214" i="176" a="1"/>
  <c r="X214" i="176" s="1"/>
  <c r="Y214" i="176" a="1"/>
  <c r="Y214" i="176" s="1"/>
  <c r="AH214" i="176" a="1"/>
  <c r="AH214" i="176" s="1"/>
  <c r="AC214" i="176" a="1"/>
  <c r="AC214" i="176" s="1"/>
  <c r="AG214" i="176" a="1"/>
  <c r="AG214" i="176" s="1"/>
  <c r="O214" i="176" a="1"/>
  <c r="O214" i="176" s="1"/>
  <c r="R214" i="176" a="1"/>
  <c r="R214" i="176" s="1"/>
  <c r="T190" i="176" a="1"/>
  <c r="T190" i="176" s="1"/>
  <c r="AA190" i="176" a="1"/>
  <c r="AA190" i="176" s="1"/>
  <c r="AI190" i="176" a="1"/>
  <c r="AI190" i="176" s="1"/>
  <c r="U190" i="176" a="1"/>
  <c r="U190" i="176" s="1"/>
  <c r="AB190" i="176" a="1"/>
  <c r="AB190" i="176" s="1"/>
  <c r="N190" i="176" a="1"/>
  <c r="N190" i="176" s="1"/>
  <c r="W190" i="176" a="1"/>
  <c r="W190" i="176" s="1"/>
  <c r="AF190" i="176" a="1"/>
  <c r="AF190" i="176" s="1"/>
  <c r="AG190" i="176" a="1"/>
  <c r="AG190" i="176" s="1"/>
  <c r="Y190" i="176" a="1"/>
  <c r="Y190" i="176" s="1"/>
  <c r="Z190" i="176" a="1"/>
  <c r="Z190" i="176" s="1"/>
  <c r="Q190" i="176" a="1"/>
  <c r="Q190" i="176" s="1"/>
  <c r="AC190" i="176" a="1"/>
  <c r="AC190" i="176" s="1"/>
  <c r="R190" i="176" a="1"/>
  <c r="R190" i="176" s="1"/>
  <c r="S190" i="176" a="1"/>
  <c r="S190" i="176" s="1"/>
  <c r="AH190" i="176" a="1"/>
  <c r="AH190" i="176" s="1"/>
  <c r="V190" i="176" a="1"/>
  <c r="V190" i="176" s="1"/>
  <c r="O190" i="176" a="1"/>
  <c r="O190" i="176" s="1"/>
  <c r="X190" i="176" a="1"/>
  <c r="X190" i="176" s="1"/>
  <c r="P190" i="176" a="1"/>
  <c r="P190" i="176" s="1"/>
  <c r="AD190" i="176" a="1"/>
  <c r="AD190" i="176" s="1"/>
  <c r="AE190" i="176" a="1"/>
  <c r="AE190" i="176" s="1"/>
  <c r="AS117" i="176" a="1"/>
  <c r="AS117" i="176" s="1"/>
  <c r="BF117" i="176" a="1"/>
  <c r="BF117" i="176" s="1"/>
  <c r="AV117" i="176" a="1"/>
  <c r="AV117" i="176" s="1"/>
  <c r="AT57" i="176" a="1"/>
  <c r="AT57" i="176" s="1"/>
  <c r="AV57" i="176" a="1"/>
  <c r="AV57" i="176" s="1"/>
  <c r="BF57" i="176" a="1"/>
  <c r="BF57" i="176" s="1"/>
  <c r="R213" i="176" a="1"/>
  <c r="R213" i="176" s="1"/>
  <c r="Z213" i="176" a="1"/>
  <c r="Z213" i="176" s="1"/>
  <c r="AH213" i="176" a="1"/>
  <c r="AH213" i="176" s="1"/>
  <c r="Q213" i="176" a="1"/>
  <c r="Q213" i="176" s="1"/>
  <c r="Y213" i="176" a="1"/>
  <c r="Y213" i="176" s="1"/>
  <c r="AI213" i="176" a="1"/>
  <c r="AI213" i="176" s="1"/>
  <c r="AA213" i="176" a="1"/>
  <c r="AA213" i="176" s="1"/>
  <c r="AC213" i="176" a="1"/>
  <c r="AC213" i="176" s="1"/>
  <c r="N213" i="176" a="1"/>
  <c r="N213" i="176" s="1"/>
  <c r="X213" i="176" a="1"/>
  <c r="X213" i="176" s="1"/>
  <c r="O213" i="176" a="1"/>
  <c r="O213" i="176" s="1"/>
  <c r="AB213" i="176" a="1"/>
  <c r="AB213" i="176" s="1"/>
  <c r="AD213" i="176" a="1"/>
  <c r="AD213" i="176" s="1"/>
  <c r="W213" i="176" a="1"/>
  <c r="W213" i="176" s="1"/>
  <c r="AE213" i="176" a="1"/>
  <c r="AE213" i="176" s="1"/>
  <c r="AF213" i="176" a="1"/>
  <c r="AF213" i="176" s="1"/>
  <c r="S213" i="176" a="1"/>
  <c r="S213" i="176" s="1"/>
  <c r="T213" i="176" a="1"/>
  <c r="T213" i="176" s="1"/>
  <c r="AG213" i="176" a="1"/>
  <c r="AG213" i="176" s="1"/>
  <c r="U213" i="176" a="1"/>
  <c r="U213" i="176" s="1"/>
  <c r="V213" i="176" a="1"/>
  <c r="V213" i="176" s="1"/>
  <c r="P213" i="176" a="1"/>
  <c r="P213" i="176" s="1"/>
  <c r="Q165" i="176" a="1"/>
  <c r="Q165" i="176" s="1"/>
  <c r="Z165" i="176" a="1"/>
  <c r="Z165" i="176" s="1"/>
  <c r="AA165" i="176" a="1"/>
  <c r="AA165" i="176" s="1"/>
  <c r="R165" i="176" a="1"/>
  <c r="R165" i="176" s="1"/>
  <c r="AB165" i="176" a="1"/>
  <c r="AB165" i="176" s="1"/>
  <c r="S165" i="176" a="1"/>
  <c r="S165" i="176" s="1"/>
  <c r="AE165" i="176" a="1"/>
  <c r="AE165" i="176" s="1"/>
  <c r="T165" i="176" a="1"/>
  <c r="T165" i="176" s="1"/>
  <c r="AC165" i="176" a="1"/>
  <c r="AC165" i="176" s="1"/>
  <c r="O165" i="176" a="1"/>
  <c r="O165" i="176" s="1"/>
  <c r="AH165" i="176" a="1"/>
  <c r="AH165" i="176" s="1"/>
  <c r="P165" i="176" a="1"/>
  <c r="P165" i="176" s="1"/>
  <c r="AI165" i="176" a="1"/>
  <c r="AI165" i="176" s="1"/>
  <c r="W165" i="176" a="1"/>
  <c r="W165" i="176" s="1"/>
  <c r="AF165" i="176" a="1"/>
  <c r="AF165" i="176" s="1"/>
  <c r="AG165" i="176" a="1"/>
  <c r="AG165" i="176" s="1"/>
  <c r="N165" i="176" a="1"/>
  <c r="N165" i="176" s="1"/>
  <c r="Y165" i="176" a="1"/>
  <c r="Y165" i="176" s="1"/>
  <c r="AD165" i="176" a="1"/>
  <c r="AD165" i="176" s="1"/>
  <c r="U165" i="176" a="1"/>
  <c r="U165" i="176" s="1"/>
  <c r="V165" i="176" a="1"/>
  <c r="V165" i="176" s="1"/>
  <c r="X165" i="176" a="1"/>
  <c r="X165" i="176" s="1"/>
  <c r="AU104" i="176" a="1"/>
  <c r="AU104" i="176" s="1"/>
  <c r="AV104" i="176" a="1"/>
  <c r="AV104" i="176" s="1"/>
  <c r="BF104" i="176" a="1"/>
  <c r="BF104" i="176" s="1"/>
  <c r="BF56" i="176" a="1"/>
  <c r="BF56" i="176" s="1"/>
  <c r="AV56" i="176" a="1"/>
  <c r="AV56" i="176" s="1"/>
  <c r="S224" i="176" a="1"/>
  <c r="S224" i="176" s="1"/>
  <c r="AA224" i="176" a="1"/>
  <c r="AA224" i="176" s="1"/>
  <c r="AI224" i="176" a="1"/>
  <c r="AI224" i="176" s="1"/>
  <c r="N224" i="176" a="1"/>
  <c r="N224" i="176" s="1"/>
  <c r="U224" i="176" a="1"/>
  <c r="U224" i="176" s="1"/>
  <c r="V224" i="176" a="1"/>
  <c r="V224" i="176" s="1"/>
  <c r="AF224" i="176" a="1"/>
  <c r="AF224" i="176" s="1"/>
  <c r="W224" i="176" a="1"/>
  <c r="W224" i="176" s="1"/>
  <c r="AG224" i="176" a="1"/>
  <c r="AG224" i="176" s="1"/>
  <c r="O224" i="176" a="1"/>
  <c r="O224" i="176" s="1"/>
  <c r="Y224" i="176" a="1"/>
  <c r="Y224" i="176" s="1"/>
  <c r="Z224" i="176" a="1"/>
  <c r="Z224" i="176" s="1"/>
  <c r="AB224" i="176" a="1"/>
  <c r="AB224" i="176" s="1"/>
  <c r="AC224" i="176" a="1"/>
  <c r="AC224" i="176" s="1"/>
  <c r="AD224" i="176" a="1"/>
  <c r="AD224" i="176" s="1"/>
  <c r="P224" i="176" a="1"/>
  <c r="P224" i="176" s="1"/>
  <c r="X224" i="176" a="1"/>
  <c r="X224" i="176" s="1"/>
  <c r="AE224" i="176" a="1"/>
  <c r="AE224" i="176" s="1"/>
  <c r="AH224" i="176" a="1"/>
  <c r="AH224" i="176" s="1"/>
  <c r="Q224" i="176" a="1"/>
  <c r="Q224" i="176" s="1"/>
  <c r="R224" i="176" a="1"/>
  <c r="R224" i="176" s="1"/>
  <c r="T224" i="176" a="1"/>
  <c r="T224" i="176" s="1"/>
  <c r="AA200" i="176" a="1"/>
  <c r="AA200" i="176" s="1"/>
  <c r="N200" i="176" a="1"/>
  <c r="N200" i="176" s="1"/>
  <c r="V200" i="176" a="1"/>
  <c r="V200" i="176" s="1"/>
  <c r="AD200" i="176" a="1"/>
  <c r="AD200" i="176" s="1"/>
  <c r="P200" i="176" a="1"/>
  <c r="P200" i="176" s="1"/>
  <c r="X200" i="176" a="1"/>
  <c r="X200" i="176" s="1"/>
  <c r="AF200" i="176" a="1"/>
  <c r="AF200" i="176" s="1"/>
  <c r="O200" i="176" a="1"/>
  <c r="O200" i="176" s="1"/>
  <c r="Z200" i="176" a="1"/>
  <c r="Z200" i="176" s="1"/>
  <c r="AC200" i="176" a="1"/>
  <c r="AC200" i="176" s="1"/>
  <c r="AE200" i="176" a="1"/>
  <c r="AE200" i="176" s="1"/>
  <c r="R200" i="176" a="1"/>
  <c r="R200" i="176" s="1"/>
  <c r="AG200" i="176" a="1"/>
  <c r="AG200" i="176" s="1"/>
  <c r="Q200" i="176" a="1"/>
  <c r="Q200" i="176" s="1"/>
  <c r="T200" i="176" a="1"/>
  <c r="T200" i="176" s="1"/>
  <c r="AH200" i="176" a="1"/>
  <c r="AH200" i="176" s="1"/>
  <c r="U200" i="176" a="1"/>
  <c r="U200" i="176" s="1"/>
  <c r="AI200" i="176" a="1"/>
  <c r="AI200" i="176" s="1"/>
  <c r="S200" i="176" a="1"/>
  <c r="S200" i="176" s="1"/>
  <c r="W200" i="176" a="1"/>
  <c r="W200" i="176" s="1"/>
  <c r="Y200" i="176" a="1"/>
  <c r="Y200" i="176" s="1"/>
  <c r="AB200" i="176" a="1"/>
  <c r="AB200" i="176" s="1"/>
  <c r="T164" i="176" a="1"/>
  <c r="T164" i="176" s="1"/>
  <c r="AD164" i="176" a="1"/>
  <c r="AD164" i="176" s="1"/>
  <c r="U164" i="176" a="1"/>
  <c r="U164" i="176" s="1"/>
  <c r="V164" i="176" a="1"/>
  <c r="V164" i="176" s="1"/>
  <c r="AE164" i="176" a="1"/>
  <c r="AE164" i="176" s="1"/>
  <c r="P164" i="176" a="1"/>
  <c r="P164" i="176" s="1"/>
  <c r="AB164" i="176" a="1"/>
  <c r="AB164" i="176" s="1"/>
  <c r="Q164" i="176" a="1"/>
  <c r="Q164" i="176" s="1"/>
  <c r="W164" i="176" a="1"/>
  <c r="W164" i="176" s="1"/>
  <c r="AI164" i="176" a="1"/>
  <c r="AI164" i="176" s="1"/>
  <c r="S164" i="176" a="1"/>
  <c r="S164" i="176" s="1"/>
  <c r="Z164" i="176" a="1"/>
  <c r="Z164" i="176" s="1"/>
  <c r="AF164" i="176" a="1"/>
  <c r="AF164" i="176" s="1"/>
  <c r="AG164" i="176" a="1"/>
  <c r="AG164" i="176" s="1"/>
  <c r="O164" i="176" a="1"/>
  <c r="O164" i="176" s="1"/>
  <c r="R164" i="176" a="1"/>
  <c r="R164" i="176" s="1"/>
  <c r="Y164" i="176" a="1"/>
  <c r="Y164" i="176" s="1"/>
  <c r="AA164" i="176" a="1"/>
  <c r="AA164" i="176" s="1"/>
  <c r="N164" i="176" a="1"/>
  <c r="N164" i="176" s="1"/>
  <c r="X164" i="176" a="1"/>
  <c r="X164" i="176" s="1"/>
  <c r="AH164" i="176" a="1"/>
  <c r="AH164" i="176" s="1"/>
  <c r="AC164" i="176" a="1"/>
  <c r="AC164" i="176" s="1"/>
  <c r="Y223" i="176" a="1"/>
  <c r="Y223" i="176" s="1"/>
  <c r="R223" i="176" a="1"/>
  <c r="R223" i="176" s="1"/>
  <c r="Z223" i="176" a="1"/>
  <c r="Z223" i="176" s="1"/>
  <c r="AH223" i="176" a="1"/>
  <c r="AH223" i="176" s="1"/>
  <c r="T223" i="176" a="1"/>
  <c r="T223" i="176" s="1"/>
  <c r="AB223" i="176" a="1"/>
  <c r="AB223" i="176" s="1"/>
  <c r="W223" i="176" a="1"/>
  <c r="W223" i="176" s="1"/>
  <c r="AG223" i="176" a="1"/>
  <c r="AG223" i="176" s="1"/>
  <c r="X223" i="176" a="1"/>
  <c r="X223" i="176" s="1"/>
  <c r="AI223" i="176" a="1"/>
  <c r="AI223" i="176" s="1"/>
  <c r="N223" i="176" a="1"/>
  <c r="N223" i="176" s="1"/>
  <c r="P223" i="176" a="1"/>
  <c r="P223" i="176" s="1"/>
  <c r="AA223" i="176" a="1"/>
  <c r="AA223" i="176" s="1"/>
  <c r="Q223" i="176" a="1"/>
  <c r="Q223" i="176" s="1"/>
  <c r="S223" i="176" a="1"/>
  <c r="S223" i="176" s="1"/>
  <c r="AF223" i="176" a="1"/>
  <c r="AF223" i="176" s="1"/>
  <c r="U223" i="176" a="1"/>
  <c r="U223" i="176" s="1"/>
  <c r="V223" i="176" a="1"/>
  <c r="V223" i="176" s="1"/>
  <c r="AD223" i="176" a="1"/>
  <c r="AD223" i="176" s="1"/>
  <c r="AE223" i="176" a="1"/>
  <c r="AE223" i="176" s="1"/>
  <c r="AC223" i="176" a="1"/>
  <c r="AC223" i="176" s="1"/>
  <c r="O223" i="176" a="1"/>
  <c r="O223" i="176" s="1"/>
  <c r="T187" i="176" a="1"/>
  <c r="T187" i="176" s="1"/>
  <c r="AI187" i="176" a="1"/>
  <c r="AI187" i="176" s="1"/>
  <c r="V187" i="176" a="1"/>
  <c r="V187" i="176" s="1"/>
  <c r="AD187" i="176" a="1"/>
  <c r="AD187" i="176" s="1"/>
  <c r="O187" i="176" a="1"/>
  <c r="O187" i="176" s="1"/>
  <c r="U187" i="176" a="1"/>
  <c r="U187" i="176" s="1"/>
  <c r="AF187" i="176" a="1"/>
  <c r="AF187" i="176" s="1"/>
  <c r="W187" i="176" a="1"/>
  <c r="W187" i="176" s="1"/>
  <c r="P187" i="176" a="1"/>
  <c r="P187" i="176" s="1"/>
  <c r="Y187" i="176" a="1"/>
  <c r="Y187" i="176" s="1"/>
  <c r="AA187" i="176" a="1"/>
  <c r="AA187" i="176" s="1"/>
  <c r="Q187" i="176" a="1"/>
  <c r="Q187" i="176" s="1"/>
  <c r="AB187" i="176" a="1"/>
  <c r="AB187" i="176" s="1"/>
  <c r="AE187" i="176" a="1"/>
  <c r="AE187" i="176" s="1"/>
  <c r="N187" i="176" a="1"/>
  <c r="N187" i="176" s="1"/>
  <c r="AG187" i="176" a="1"/>
  <c r="AG187" i="176" s="1"/>
  <c r="R187" i="176" a="1"/>
  <c r="R187" i="176" s="1"/>
  <c r="AH187" i="176" a="1"/>
  <c r="AH187" i="176" s="1"/>
  <c r="S187" i="176" a="1"/>
  <c r="S187" i="176" s="1"/>
  <c r="X187" i="176" a="1"/>
  <c r="X187" i="176" s="1"/>
  <c r="Z187" i="176" a="1"/>
  <c r="Z187" i="176" s="1"/>
  <c r="AC187" i="176" a="1"/>
  <c r="AC187" i="176" s="1"/>
  <c r="AS102" i="176" a="1"/>
  <c r="AS102" i="176" s="1"/>
  <c r="BF102" i="176" a="1"/>
  <c r="BF102" i="176" s="1"/>
  <c r="AV102" i="176" a="1"/>
  <c r="AV102" i="176" s="1"/>
  <c r="BF66" i="176" a="1"/>
  <c r="BF66" i="176" s="1"/>
  <c r="AV66" i="176" a="1"/>
  <c r="AV66" i="176" s="1"/>
  <c r="Q222" i="176" a="1"/>
  <c r="Q222" i="176" s="1"/>
  <c r="AG222" i="176" a="1"/>
  <c r="AG222" i="176" s="1"/>
  <c r="R222" i="176" a="1"/>
  <c r="R222" i="176" s="1"/>
  <c r="Y222" i="176" a="1"/>
  <c r="Y222" i="176" s="1"/>
  <c r="AB222" i="176" a="1"/>
  <c r="AB222" i="176" s="1"/>
  <c r="AI222" i="176" a="1"/>
  <c r="AI222" i="176" s="1"/>
  <c r="O222" i="176" a="1"/>
  <c r="O222" i="176" s="1"/>
  <c r="X222" i="176" a="1"/>
  <c r="X222" i="176" s="1"/>
  <c r="P222" i="176" a="1"/>
  <c r="P222" i="176" s="1"/>
  <c r="AA222" i="176" a="1"/>
  <c r="AA222" i="176" s="1"/>
  <c r="Z222" i="176" a="1"/>
  <c r="Z222" i="176" s="1"/>
  <c r="AC222" i="176" a="1"/>
  <c r="AC222" i="176" s="1"/>
  <c r="V222" i="176" a="1"/>
  <c r="V222" i="176" s="1"/>
  <c r="W222" i="176" a="1"/>
  <c r="W222" i="176" s="1"/>
  <c r="AD222" i="176" a="1"/>
  <c r="AD222" i="176" s="1"/>
  <c r="S222" i="176" a="1"/>
  <c r="S222" i="176" s="1"/>
  <c r="AE222" i="176" a="1"/>
  <c r="AE222" i="176" s="1"/>
  <c r="AF222" i="176" a="1"/>
  <c r="AF222" i="176" s="1"/>
  <c r="AH222" i="176" a="1"/>
  <c r="AH222" i="176" s="1"/>
  <c r="T222" i="176" a="1"/>
  <c r="T222" i="176" s="1"/>
  <c r="U222" i="176" a="1"/>
  <c r="U222" i="176" s="1"/>
  <c r="N222" i="176" a="1"/>
  <c r="N222" i="176" s="1"/>
  <c r="Z198" i="176" a="1"/>
  <c r="Z198" i="176" s="1"/>
  <c r="P198" i="176" a="1"/>
  <c r="P198" i="176" s="1"/>
  <c r="X198" i="176" a="1"/>
  <c r="X198" i="176" s="1"/>
  <c r="Q198" i="176" a="1"/>
  <c r="Q198" i="176" s="1"/>
  <c r="Y198" i="176" a="1"/>
  <c r="Y198" i="176" s="1"/>
  <c r="AG198" i="176" a="1"/>
  <c r="AG198" i="176" s="1"/>
  <c r="S198" i="176" a="1"/>
  <c r="S198" i="176" s="1"/>
  <c r="O198" i="176" a="1"/>
  <c r="O198" i="176" s="1"/>
  <c r="AA198" i="176" a="1"/>
  <c r="AA198" i="176" s="1"/>
  <c r="AB198" i="176" a="1"/>
  <c r="AB198" i="176" s="1"/>
  <c r="T198" i="176" a="1"/>
  <c r="T198" i="176" s="1"/>
  <c r="AD198" i="176" a="1"/>
  <c r="AD198" i="176" s="1"/>
  <c r="N198" i="176" a="1"/>
  <c r="N198" i="176" s="1"/>
  <c r="R198" i="176" a="1"/>
  <c r="R198" i="176" s="1"/>
  <c r="AF198" i="176" a="1"/>
  <c r="AF198" i="176" s="1"/>
  <c r="AE198" i="176" a="1"/>
  <c r="AE198" i="176" s="1"/>
  <c r="U198" i="176" a="1"/>
  <c r="U198" i="176" s="1"/>
  <c r="AI198" i="176" a="1"/>
  <c r="AI198" i="176" s="1"/>
  <c r="V198" i="176" a="1"/>
  <c r="V198" i="176" s="1"/>
  <c r="AH198" i="176" a="1"/>
  <c r="AH198" i="176" s="1"/>
  <c r="AC198" i="176" a="1"/>
  <c r="AC198" i="176" s="1"/>
  <c r="W198" i="176" a="1"/>
  <c r="W198" i="176" s="1"/>
  <c r="W174" i="176" a="1"/>
  <c r="W174" i="176" s="1"/>
  <c r="X174" i="176" a="1"/>
  <c r="X174" i="176" s="1"/>
  <c r="R174" i="176" a="1"/>
  <c r="R174" i="176" s="1"/>
  <c r="Z174" i="176" a="1"/>
  <c r="Z174" i="176" s="1"/>
  <c r="AH174" i="176" a="1"/>
  <c r="AH174" i="176" s="1"/>
  <c r="Y174" i="176" a="1"/>
  <c r="Y174" i="176" s="1"/>
  <c r="AI174" i="176" a="1"/>
  <c r="AI174" i="176" s="1"/>
  <c r="P174" i="176" a="1"/>
  <c r="P174" i="176" s="1"/>
  <c r="N174" i="176" a="1"/>
  <c r="N174" i="176" s="1"/>
  <c r="AA174" i="176" a="1"/>
  <c r="AA174" i="176" s="1"/>
  <c r="S174" i="176" a="1"/>
  <c r="S174" i="176" s="1"/>
  <c r="AC174" i="176" a="1"/>
  <c r="AC174" i="176" s="1"/>
  <c r="AD174" i="176" a="1"/>
  <c r="AD174" i="176" s="1"/>
  <c r="AF174" i="176" a="1"/>
  <c r="AF174" i="176" s="1"/>
  <c r="T174" i="176" a="1"/>
  <c r="T174" i="176" s="1"/>
  <c r="U174" i="176" a="1"/>
  <c r="U174" i="176" s="1"/>
  <c r="V174" i="176" a="1"/>
  <c r="V174" i="176" s="1"/>
  <c r="AE174" i="176" a="1"/>
  <c r="AE174" i="176" s="1"/>
  <c r="AG174" i="176" a="1"/>
  <c r="AG174" i="176" s="1"/>
  <c r="Q174" i="176" a="1"/>
  <c r="Q174" i="176" s="1"/>
  <c r="AB174" i="176" a="1"/>
  <c r="AB174" i="176" s="1"/>
  <c r="O174" i="176" a="1"/>
  <c r="O174" i="176" s="1"/>
  <c r="AU113" i="176" a="1"/>
  <c r="AU113" i="176" s="1"/>
  <c r="BF113" i="176" a="1"/>
  <c r="BF113" i="176" s="1"/>
  <c r="AV113" i="176" a="1"/>
  <c r="AV113" i="176" s="1"/>
  <c r="AT89" i="176" a="1"/>
  <c r="AT89" i="176" s="1"/>
  <c r="AV89" i="176" a="1"/>
  <c r="AV89" i="176" s="1"/>
  <c r="BF89" i="176" a="1"/>
  <c r="BF89" i="176" s="1"/>
  <c r="BF65" i="176" a="1"/>
  <c r="BF65" i="176" s="1"/>
  <c r="AV65" i="176" a="1"/>
  <c r="AV65" i="176" s="1"/>
  <c r="AS53" i="176" a="1"/>
  <c r="AS53" i="176" s="1"/>
  <c r="BF53" i="176" a="1"/>
  <c r="BF53" i="176" s="1"/>
  <c r="AV53" i="176" a="1"/>
  <c r="AV53" i="176" s="1"/>
  <c r="P185" i="176" a="1"/>
  <c r="P185" i="176" s="1"/>
  <c r="AE185" i="176" a="1"/>
  <c r="AE185" i="176" s="1"/>
  <c r="Q185" i="176" a="1"/>
  <c r="Q185" i="176" s="1"/>
  <c r="AF185" i="176" a="1"/>
  <c r="AF185" i="176" s="1"/>
  <c r="R185" i="176" a="1"/>
  <c r="R185" i="176" s="1"/>
  <c r="N185" i="176" a="1"/>
  <c r="N185" i="176" s="1"/>
  <c r="X185" i="176" a="1"/>
  <c r="X185" i="176" s="1"/>
  <c r="Y185" i="176" a="1"/>
  <c r="Y185" i="176" s="1"/>
  <c r="AH185" i="176" a="1"/>
  <c r="AH185" i="176" s="1"/>
  <c r="AA185" i="176" a="1"/>
  <c r="AA185" i="176" s="1"/>
  <c r="O185" i="176" a="1"/>
  <c r="O185" i="176" s="1"/>
  <c r="AB185" i="176" a="1"/>
  <c r="AB185" i="176" s="1"/>
  <c r="S185" i="176" a="1"/>
  <c r="S185" i="176" s="1"/>
  <c r="AG185" i="176" a="1"/>
  <c r="AG185" i="176" s="1"/>
  <c r="V185" i="176" a="1"/>
  <c r="V185" i="176" s="1"/>
  <c r="Z185" i="176" a="1"/>
  <c r="Z185" i="176" s="1"/>
  <c r="W185" i="176" a="1"/>
  <c r="W185" i="176" s="1"/>
  <c r="AC185" i="176" a="1"/>
  <c r="AC185" i="176" s="1"/>
  <c r="AD185" i="176" a="1"/>
  <c r="AD185" i="176" s="1"/>
  <c r="AI185" i="176" a="1"/>
  <c r="AI185" i="176" s="1"/>
  <c r="T185" i="176" a="1"/>
  <c r="T185" i="176" s="1"/>
  <c r="U185" i="176" a="1"/>
  <c r="U185" i="176" s="1"/>
  <c r="AU100" i="176" a="1"/>
  <c r="AU100" i="176" s="1"/>
  <c r="BF100" i="176" a="1"/>
  <c r="BF100" i="176" s="1"/>
  <c r="AV100" i="176" a="1"/>
  <c r="AV100" i="176" s="1"/>
  <c r="AT64" i="176" a="1"/>
  <c r="AT64" i="176" s="1"/>
  <c r="BF64" i="176" a="1"/>
  <c r="BF64" i="176" s="1"/>
  <c r="AV64" i="176" a="1"/>
  <c r="AV64" i="176" s="1"/>
  <c r="AU121" i="176" a="1"/>
  <c r="AU121" i="176" s="1"/>
  <c r="AV121" i="176" a="1"/>
  <c r="AV121" i="176" s="1"/>
  <c r="BF121" i="176" a="1"/>
  <c r="BF121" i="176" s="1"/>
  <c r="AS109" i="176" a="1"/>
  <c r="AS109" i="176" s="1"/>
  <c r="BF109" i="176" a="1"/>
  <c r="BF109" i="176" s="1"/>
  <c r="AV109" i="176" a="1"/>
  <c r="AV109" i="176" s="1"/>
  <c r="AS97" i="176" a="1"/>
  <c r="AS97" i="176" s="1"/>
  <c r="AV97" i="176" a="1"/>
  <c r="AV97" i="176" s="1"/>
  <c r="BF97" i="176" a="1"/>
  <c r="BF97" i="176" s="1"/>
  <c r="AS85" i="176" a="1"/>
  <c r="AS85" i="176" s="1"/>
  <c r="BF85" i="176" a="1"/>
  <c r="BF85" i="176" s="1"/>
  <c r="AV85" i="176" a="1"/>
  <c r="AV85" i="176" s="1"/>
  <c r="BF73" i="176" a="1"/>
  <c r="BF73" i="176" s="1"/>
  <c r="AV73" i="176" a="1"/>
  <c r="AV73" i="176" s="1"/>
  <c r="AT61" i="176" a="1"/>
  <c r="AT61" i="176" s="1"/>
  <c r="BF61" i="176" a="1"/>
  <c r="BF61" i="176" s="1"/>
  <c r="AV61" i="176" a="1"/>
  <c r="AV61" i="176" s="1"/>
  <c r="V215" i="176" a="1"/>
  <c r="V215" i="176" s="1"/>
  <c r="AC215" i="176" a="1"/>
  <c r="AC215" i="176" s="1"/>
  <c r="P215" i="176" a="1"/>
  <c r="P215" i="176" s="1"/>
  <c r="Y215" i="176" a="1"/>
  <c r="Y215" i="176" s="1"/>
  <c r="AH215" i="176" a="1"/>
  <c r="AH215" i="176" s="1"/>
  <c r="Q215" i="176" a="1"/>
  <c r="Q215" i="176" s="1"/>
  <c r="O215" i="176" a="1"/>
  <c r="O215" i="176" s="1"/>
  <c r="AB215" i="176" a="1"/>
  <c r="AB215" i="176" s="1"/>
  <c r="S215" i="176" a="1"/>
  <c r="S215" i="176" s="1"/>
  <c r="AD215" i="176" a="1"/>
  <c r="AD215" i="176" s="1"/>
  <c r="R215" i="176" a="1"/>
  <c r="R215" i="176" s="1"/>
  <c r="AE215" i="176" a="1"/>
  <c r="AE215" i="176" s="1"/>
  <c r="AG215" i="176" a="1"/>
  <c r="AG215" i="176" s="1"/>
  <c r="N215" i="176" a="1"/>
  <c r="N215" i="176" s="1"/>
  <c r="AI215" i="176" a="1"/>
  <c r="AI215" i="176" s="1"/>
  <c r="T215" i="176" a="1"/>
  <c r="T215" i="176" s="1"/>
  <c r="U215" i="176" a="1"/>
  <c r="U215" i="176" s="1"/>
  <c r="AF215" i="176" a="1"/>
  <c r="AF215" i="176" s="1"/>
  <c r="X215" i="176" a="1"/>
  <c r="X215" i="176" s="1"/>
  <c r="W215" i="176" a="1"/>
  <c r="W215" i="176" s="1"/>
  <c r="Z215" i="176" a="1"/>
  <c r="Z215" i="176" s="1"/>
  <c r="AA215" i="176" a="1"/>
  <c r="AA215" i="176" s="1"/>
  <c r="Z167" i="176" a="1"/>
  <c r="Z167" i="176" s="1"/>
  <c r="AH167" i="176" a="1"/>
  <c r="AH167" i="176" s="1"/>
  <c r="Q167" i="176" a="1"/>
  <c r="Q167" i="176" s="1"/>
  <c r="R167" i="176" a="1"/>
  <c r="R167" i="176" s="1"/>
  <c r="AA167" i="176" a="1"/>
  <c r="AA167" i="176" s="1"/>
  <c r="AI167" i="176" a="1"/>
  <c r="AI167" i="176" s="1"/>
  <c r="U167" i="176" a="1"/>
  <c r="U167" i="176" s="1"/>
  <c r="AF167" i="176" a="1"/>
  <c r="AF167" i="176" s="1"/>
  <c r="V167" i="176" a="1"/>
  <c r="V167" i="176" s="1"/>
  <c r="Y167" i="176" a="1"/>
  <c r="Y167" i="176" s="1"/>
  <c r="AB167" i="176" a="1"/>
  <c r="AB167" i="176" s="1"/>
  <c r="W167" i="176" a="1"/>
  <c r="W167" i="176" s="1"/>
  <c r="N167" i="176" a="1"/>
  <c r="N167" i="176" s="1"/>
  <c r="AG167" i="176" a="1"/>
  <c r="AG167" i="176" s="1"/>
  <c r="P167" i="176" a="1"/>
  <c r="P167" i="176" s="1"/>
  <c r="T167" i="176" a="1"/>
  <c r="T167" i="176" s="1"/>
  <c r="S167" i="176" a="1"/>
  <c r="S167" i="176" s="1"/>
  <c r="AC167" i="176" a="1"/>
  <c r="AC167" i="176" s="1"/>
  <c r="AD167" i="176" a="1"/>
  <c r="AD167" i="176" s="1"/>
  <c r="X167" i="176" a="1"/>
  <c r="X167" i="176" s="1"/>
  <c r="O167" i="176" a="1"/>
  <c r="O167" i="176" s="1"/>
  <c r="AE167" i="176" a="1"/>
  <c r="AE167" i="176" s="1"/>
  <c r="AT82" i="176" a="1"/>
  <c r="AT82" i="176" s="1"/>
  <c r="AV82" i="176" a="1"/>
  <c r="AV82" i="176" s="1"/>
  <c r="BF82" i="176" a="1"/>
  <c r="BF82" i="176" s="1"/>
  <c r="AS81" i="176" a="1"/>
  <c r="AS81" i="176" s="1"/>
  <c r="AV81" i="176" a="1"/>
  <c r="AV81" i="176" s="1"/>
  <c r="BF81" i="176" a="1"/>
  <c r="BF81" i="176" s="1"/>
  <c r="T201" i="176" a="1"/>
  <c r="T201" i="176" s="1"/>
  <c r="AI201" i="176" a="1"/>
  <c r="AI201" i="176" s="1"/>
  <c r="P201" i="176" a="1"/>
  <c r="P201" i="176" s="1"/>
  <c r="X201" i="176" a="1"/>
  <c r="X201" i="176" s="1"/>
  <c r="AF201" i="176" a="1"/>
  <c r="AF201" i="176" s="1"/>
  <c r="R201" i="176" a="1"/>
  <c r="R201" i="176" s="1"/>
  <c r="Z201" i="176" a="1"/>
  <c r="Z201" i="176" s="1"/>
  <c r="O201" i="176" a="1"/>
  <c r="O201" i="176" s="1"/>
  <c r="S201" i="176" a="1"/>
  <c r="S201" i="176" s="1"/>
  <c r="AC201" i="176" a="1"/>
  <c r="AC201" i="176" s="1"/>
  <c r="V201" i="176" a="1"/>
  <c r="V201" i="176" s="1"/>
  <c r="W201" i="176" a="1"/>
  <c r="W201" i="176" s="1"/>
  <c r="AA201" i="176" a="1"/>
  <c r="AA201" i="176" s="1"/>
  <c r="AB201" i="176" a="1"/>
  <c r="AB201" i="176" s="1"/>
  <c r="AG201" i="176" a="1"/>
  <c r="AG201" i="176" s="1"/>
  <c r="N201" i="176" a="1"/>
  <c r="N201" i="176" s="1"/>
  <c r="AH201" i="176" a="1"/>
  <c r="AH201" i="176" s="1"/>
  <c r="Q201" i="176" a="1"/>
  <c r="Q201" i="176" s="1"/>
  <c r="Y201" i="176" a="1"/>
  <c r="Y201" i="176" s="1"/>
  <c r="AD201" i="176" a="1"/>
  <c r="AD201" i="176" s="1"/>
  <c r="AE201" i="176" a="1"/>
  <c r="AE201" i="176" s="1"/>
  <c r="U201" i="176" a="1"/>
  <c r="U201" i="176" s="1"/>
  <c r="BF80" i="176" a="1"/>
  <c r="BF80" i="176" s="1"/>
  <c r="AV80" i="176" a="1"/>
  <c r="AV80" i="176" s="1"/>
  <c r="Q212" i="176" a="1"/>
  <c r="Q212" i="176" s="1"/>
  <c r="Y212" i="176" a="1"/>
  <c r="Y212" i="176" s="1"/>
  <c r="AF212" i="176" a="1"/>
  <c r="AF212" i="176" s="1"/>
  <c r="N212" i="176" a="1"/>
  <c r="N212" i="176" s="1"/>
  <c r="V212" i="176" a="1"/>
  <c r="V212" i="176" s="1"/>
  <c r="AD212" i="176" a="1"/>
  <c r="AD212" i="176" s="1"/>
  <c r="W212" i="176" a="1"/>
  <c r="W212" i="176" s="1"/>
  <c r="P212" i="176" a="1"/>
  <c r="P212" i="176" s="1"/>
  <c r="Z212" i="176" a="1"/>
  <c r="Z212" i="176" s="1"/>
  <c r="AA212" i="176" a="1"/>
  <c r="AA212" i="176" s="1"/>
  <c r="O212" i="176" a="1"/>
  <c r="O212" i="176" s="1"/>
  <c r="AE212" i="176" a="1"/>
  <c r="AE212" i="176" s="1"/>
  <c r="R212" i="176" a="1"/>
  <c r="R212" i="176" s="1"/>
  <c r="AG212" i="176" a="1"/>
  <c r="AG212" i="176" s="1"/>
  <c r="S212" i="176" a="1"/>
  <c r="S212" i="176" s="1"/>
  <c r="AH212" i="176" a="1"/>
  <c r="AH212" i="176" s="1"/>
  <c r="U212" i="176" a="1"/>
  <c r="U212" i="176" s="1"/>
  <c r="AB212" i="176" a="1"/>
  <c r="AB212" i="176" s="1"/>
  <c r="T212" i="176" a="1"/>
  <c r="T212" i="176" s="1"/>
  <c r="X212" i="176" a="1"/>
  <c r="X212" i="176" s="1"/>
  <c r="AC212" i="176" a="1"/>
  <c r="AC212" i="176" s="1"/>
  <c r="AI212" i="176" a="1"/>
  <c r="AI212" i="176" s="1"/>
  <c r="AS58" i="176" a="1"/>
  <c r="AS58" i="176" s="1"/>
  <c r="AT103" i="176" a="1"/>
  <c r="AT103" i="176" s="1"/>
  <c r="AV103" i="176" a="1"/>
  <c r="AV103" i="176" s="1"/>
  <c r="BF103" i="176" a="1"/>
  <c r="BF103" i="176" s="1"/>
  <c r="AV67" i="176" a="1"/>
  <c r="AV67" i="176" s="1"/>
  <c r="BF67" i="176" a="1"/>
  <c r="BF67" i="176" s="1"/>
  <c r="P163" i="176" a="1"/>
  <c r="P163" i="176" s="1"/>
  <c r="Y163" i="176" a="1"/>
  <c r="Y163" i="176" s="1"/>
  <c r="AH163" i="176" a="1"/>
  <c r="AH163" i="176" s="1"/>
  <c r="Q163" i="176" a="1"/>
  <c r="Q163" i="176" s="1"/>
  <c r="Z163" i="176" a="1"/>
  <c r="Z163" i="176" s="1"/>
  <c r="AA163" i="176" a="1"/>
  <c r="AA163" i="176" s="1"/>
  <c r="AI163" i="176" a="1"/>
  <c r="AI163" i="176" s="1"/>
  <c r="AB163" i="176" a="1"/>
  <c r="AB163" i="176" s="1"/>
  <c r="N163" i="176" a="1"/>
  <c r="N163" i="176" s="1"/>
  <c r="AC163" i="176" a="1"/>
  <c r="AC163" i="176" s="1"/>
  <c r="O163" i="176" a="1"/>
  <c r="O163" i="176" s="1"/>
  <c r="AE163" i="176" a="1"/>
  <c r="AE163" i="176" s="1"/>
  <c r="W163" i="176" a="1"/>
  <c r="W163" i="176" s="1"/>
  <c r="X163" i="176" a="1"/>
  <c r="X163" i="176" s="1"/>
  <c r="AF163" i="176" a="1"/>
  <c r="AF163" i="176" s="1"/>
  <c r="AG163" i="176" a="1"/>
  <c r="AG163" i="176" s="1"/>
  <c r="R163" i="176" a="1"/>
  <c r="R163" i="176" s="1"/>
  <c r="S163" i="176" a="1"/>
  <c r="S163" i="176" s="1"/>
  <c r="AD163" i="176" a="1"/>
  <c r="AD163" i="176" s="1"/>
  <c r="T163" i="176" a="1"/>
  <c r="T163" i="176" s="1"/>
  <c r="V163" i="176" a="1"/>
  <c r="V163" i="176" s="1"/>
  <c r="U163" i="176" a="1"/>
  <c r="U163" i="176" s="1"/>
  <c r="N209" i="176" a="1"/>
  <c r="N209" i="176" s="1"/>
  <c r="AD209" i="176" a="1"/>
  <c r="AD209" i="176" s="1"/>
  <c r="U209" i="176" a="1"/>
  <c r="U209" i="176" s="1"/>
  <c r="V209" i="176" a="1"/>
  <c r="V209" i="176" s="1"/>
  <c r="AE209" i="176" a="1"/>
  <c r="AE209" i="176" s="1"/>
  <c r="P209" i="176" a="1"/>
  <c r="P209" i="176" s="1"/>
  <c r="Y209" i="176" a="1"/>
  <c r="Y209" i="176" s="1"/>
  <c r="AI209" i="176" a="1"/>
  <c r="AI209" i="176" s="1"/>
  <c r="Z209" i="176" a="1"/>
  <c r="Z209" i="176" s="1"/>
  <c r="O209" i="176" a="1"/>
  <c r="O209" i="176" s="1"/>
  <c r="AA209" i="176" a="1"/>
  <c r="AA209" i="176" s="1"/>
  <c r="AC209" i="176" a="1"/>
  <c r="AC209" i="176" s="1"/>
  <c r="AG209" i="176" a="1"/>
  <c r="AG209" i="176" s="1"/>
  <c r="Q209" i="176" a="1"/>
  <c r="Q209" i="176" s="1"/>
  <c r="AF209" i="176" a="1"/>
  <c r="AF209" i="176" s="1"/>
  <c r="AH209" i="176" a="1"/>
  <c r="AH209" i="176" s="1"/>
  <c r="R209" i="176" a="1"/>
  <c r="R209" i="176" s="1"/>
  <c r="S209" i="176" a="1"/>
  <c r="S209" i="176" s="1"/>
  <c r="T209" i="176" a="1"/>
  <c r="T209" i="176" s="1"/>
  <c r="AB209" i="176" a="1"/>
  <c r="AB209" i="176" s="1"/>
  <c r="W209" i="176" a="1"/>
  <c r="W209" i="176" s="1"/>
  <c r="X209" i="176" a="1"/>
  <c r="X209" i="176" s="1"/>
  <c r="Z173" i="176" a="1"/>
  <c r="Z173" i="176" s="1"/>
  <c r="X173" i="176" a="1"/>
  <c r="X173" i="176" s="1"/>
  <c r="AF173" i="176" a="1"/>
  <c r="AF173" i="176" s="1"/>
  <c r="P173" i="176" a="1"/>
  <c r="P173" i="176" s="1"/>
  <c r="Y173" i="176" a="1"/>
  <c r="Y173" i="176" s="1"/>
  <c r="AG173" i="176" a="1"/>
  <c r="AG173" i="176" s="1"/>
  <c r="S173" i="176" a="1"/>
  <c r="S173" i="176" s="1"/>
  <c r="T173" i="176" a="1"/>
  <c r="T173" i="176" s="1"/>
  <c r="AD173" i="176" a="1"/>
  <c r="AD173" i="176" s="1"/>
  <c r="AA173" i="176" a="1"/>
  <c r="AA173" i="176" s="1"/>
  <c r="Q173" i="176" a="1"/>
  <c r="Q173" i="176" s="1"/>
  <c r="AC173" i="176" a="1"/>
  <c r="AC173" i="176" s="1"/>
  <c r="AI173" i="176" a="1"/>
  <c r="AI173" i="176" s="1"/>
  <c r="U173" i="176" a="1"/>
  <c r="U173" i="176" s="1"/>
  <c r="W173" i="176" a="1"/>
  <c r="W173" i="176" s="1"/>
  <c r="R173" i="176" a="1"/>
  <c r="R173" i="176" s="1"/>
  <c r="V173" i="176" a="1"/>
  <c r="V173" i="176" s="1"/>
  <c r="N173" i="176" a="1"/>
  <c r="N173" i="176" s="1"/>
  <c r="O173" i="176" a="1"/>
  <c r="O173" i="176" s="1"/>
  <c r="AE173" i="176" a="1"/>
  <c r="AE173" i="176" s="1"/>
  <c r="AB173" i="176" a="1"/>
  <c r="AB173" i="176" s="1"/>
  <c r="AH173" i="176" a="1"/>
  <c r="AH173" i="176" s="1"/>
  <c r="AS112" i="176" a="1"/>
  <c r="AS112" i="176" s="1"/>
  <c r="AV112" i="176" a="1"/>
  <c r="AV112" i="176" s="1"/>
  <c r="BF112" i="176" a="1"/>
  <c r="BF112" i="176" s="1"/>
  <c r="R207" i="176" a="1"/>
  <c r="R207" i="176" s="1"/>
  <c r="Z207" i="176" a="1"/>
  <c r="Z207" i="176" s="1"/>
  <c r="P207" i="176" a="1"/>
  <c r="P207" i="176" s="1"/>
  <c r="AI207" i="176" a="1"/>
  <c r="AI207" i="176" s="1"/>
  <c r="T207" i="176" a="1"/>
  <c r="T207" i="176" s="1"/>
  <c r="AD207" i="176" a="1"/>
  <c r="AD207" i="176" s="1"/>
  <c r="W207" i="176" a="1"/>
  <c r="W207" i="176" s="1"/>
  <c r="AF207" i="176" a="1"/>
  <c r="AF207" i="176" s="1"/>
  <c r="S207" i="176" a="1"/>
  <c r="S207" i="176" s="1"/>
  <c r="AG207" i="176" a="1"/>
  <c r="AG207" i="176" s="1"/>
  <c r="V207" i="176" a="1"/>
  <c r="V207" i="176" s="1"/>
  <c r="U207" i="176" a="1"/>
  <c r="U207" i="176" s="1"/>
  <c r="AH207" i="176" a="1"/>
  <c r="AH207" i="176" s="1"/>
  <c r="Q207" i="176" a="1"/>
  <c r="Q207" i="176" s="1"/>
  <c r="X207" i="176" a="1"/>
  <c r="X207" i="176" s="1"/>
  <c r="AA207" i="176" a="1"/>
  <c r="AA207" i="176" s="1"/>
  <c r="Y207" i="176" a="1"/>
  <c r="Y207" i="176" s="1"/>
  <c r="AE207" i="176" a="1"/>
  <c r="AE207" i="176" s="1"/>
  <c r="AB207" i="176" a="1"/>
  <c r="AB207" i="176" s="1"/>
  <c r="N207" i="176" a="1"/>
  <c r="N207" i="176" s="1"/>
  <c r="O207" i="176" a="1"/>
  <c r="O207" i="176" s="1"/>
  <c r="AC207" i="176" a="1"/>
  <c r="AC207" i="176" s="1"/>
  <c r="S183" i="176" a="1"/>
  <c r="S183" i="176" s="1"/>
  <c r="Z183" i="176" a="1"/>
  <c r="Z183" i="176" s="1"/>
  <c r="AA183" i="176" a="1"/>
  <c r="AA183" i="176" s="1"/>
  <c r="U183" i="176" a="1"/>
  <c r="U183" i="176" s="1"/>
  <c r="AC183" i="176" a="1"/>
  <c r="AC183" i="176" s="1"/>
  <c r="T183" i="176" a="1"/>
  <c r="T183" i="176" s="1"/>
  <c r="V183" i="176" a="1"/>
  <c r="V183" i="176" s="1"/>
  <c r="AE183" i="176" a="1"/>
  <c r="AE183" i="176" s="1"/>
  <c r="X183" i="176" a="1"/>
  <c r="X183" i="176" s="1"/>
  <c r="N183" i="176" a="1"/>
  <c r="N183" i="176" s="1"/>
  <c r="Y183" i="176" a="1"/>
  <c r="Y183" i="176" s="1"/>
  <c r="P183" i="176" a="1"/>
  <c r="P183" i="176" s="1"/>
  <c r="Q183" i="176" a="1"/>
  <c r="Q183" i="176" s="1"/>
  <c r="AF183" i="176" a="1"/>
  <c r="AF183" i="176" s="1"/>
  <c r="AI183" i="176" a="1"/>
  <c r="AI183" i="176" s="1"/>
  <c r="AB183" i="176" a="1"/>
  <c r="AB183" i="176" s="1"/>
  <c r="AG183" i="176" a="1"/>
  <c r="AG183" i="176" s="1"/>
  <c r="AH183" i="176" a="1"/>
  <c r="AH183" i="176" s="1"/>
  <c r="R183" i="176" a="1"/>
  <c r="R183" i="176" s="1"/>
  <c r="O183" i="176" a="1"/>
  <c r="O183" i="176" s="1"/>
  <c r="W183" i="176" a="1"/>
  <c r="W183" i="176" s="1"/>
  <c r="AD183" i="176" a="1"/>
  <c r="AD183" i="176" s="1"/>
  <c r="S159" i="176" a="1"/>
  <c r="S159" i="176" s="1"/>
  <c r="Z159" i="176" a="1"/>
  <c r="Z159" i="176" s="1"/>
  <c r="AH159" i="176" a="1"/>
  <c r="AH159" i="176" s="1"/>
  <c r="AA159" i="176" a="1"/>
  <c r="AA159" i="176" s="1"/>
  <c r="AI159" i="176" a="1"/>
  <c r="AI159" i="176" s="1"/>
  <c r="T159" i="176" a="1"/>
  <c r="T159" i="176" s="1"/>
  <c r="AF159" i="176" a="1"/>
  <c r="AF159" i="176" s="1"/>
  <c r="W159" i="176" a="1"/>
  <c r="W159" i="176" s="1"/>
  <c r="AG159" i="176" a="1"/>
  <c r="AG159" i="176" s="1"/>
  <c r="AE159" i="176" a="1"/>
  <c r="AE159" i="176" s="1"/>
  <c r="U159" i="176" a="1"/>
  <c r="U159" i="176" s="1"/>
  <c r="O159" i="176" a="1"/>
  <c r="O159" i="176" s="1"/>
  <c r="P159" i="176" a="1"/>
  <c r="P159" i="176" s="1"/>
  <c r="AD159" i="176" a="1"/>
  <c r="AD159" i="176" s="1"/>
  <c r="AB159" i="176" a="1"/>
  <c r="AB159" i="176" s="1"/>
  <c r="AC159" i="176" a="1"/>
  <c r="AC159" i="176" s="1"/>
  <c r="N159" i="176" a="1"/>
  <c r="N159" i="176" s="1"/>
  <c r="Y159" i="176" a="1"/>
  <c r="Y159" i="176" s="1"/>
  <c r="Q159" i="176" a="1"/>
  <c r="Q159" i="176" s="1"/>
  <c r="R159" i="176" a="1"/>
  <c r="R159" i="176" s="1"/>
  <c r="X159" i="176" a="1"/>
  <c r="X159" i="176" s="1"/>
  <c r="V159" i="176" a="1"/>
  <c r="V159" i="176" s="1"/>
  <c r="AU110" i="176" a="1"/>
  <c r="AU110" i="176" s="1"/>
  <c r="BF110" i="176" a="1"/>
  <c r="BF110" i="176" s="1"/>
  <c r="AV110" i="176" a="1"/>
  <c r="AV110" i="176" s="1"/>
  <c r="BF74" i="176" a="1"/>
  <c r="BF74" i="176" s="1"/>
  <c r="AV74" i="176" a="1"/>
  <c r="AV74" i="176" s="1"/>
  <c r="AV50" i="176" a="1"/>
  <c r="AV50" i="176" s="1"/>
  <c r="BF50" i="176" a="1"/>
  <c r="BF50" i="176" s="1"/>
  <c r="R218" i="176" a="1"/>
  <c r="R218" i="176" s="1"/>
  <c r="Z218" i="176" a="1"/>
  <c r="Z218" i="176" s="1"/>
  <c r="AH218" i="176" a="1"/>
  <c r="AH218" i="176" s="1"/>
  <c r="S218" i="176" a="1"/>
  <c r="S218" i="176" s="1"/>
  <c r="U218" i="176" a="1"/>
  <c r="U218" i="176" s="1"/>
  <c r="AC218" i="176" a="1"/>
  <c r="AC218" i="176" s="1"/>
  <c r="T218" i="176" a="1"/>
  <c r="T218" i="176" s="1"/>
  <c r="AE218" i="176" a="1"/>
  <c r="AE218" i="176" s="1"/>
  <c r="AD218" i="176" a="1"/>
  <c r="AD218" i="176" s="1"/>
  <c r="V218" i="176" a="1"/>
  <c r="V218" i="176" s="1"/>
  <c r="P218" i="176" a="1"/>
  <c r="P218" i="176" s="1"/>
  <c r="Q218" i="176" a="1"/>
  <c r="Q218" i="176" s="1"/>
  <c r="AI218" i="176" a="1"/>
  <c r="AI218" i="176" s="1"/>
  <c r="W218" i="176" a="1"/>
  <c r="W218" i="176" s="1"/>
  <c r="X218" i="176" a="1"/>
  <c r="X218" i="176" s="1"/>
  <c r="AF218" i="176" a="1"/>
  <c r="AF218" i="176" s="1"/>
  <c r="AG218" i="176" a="1"/>
  <c r="AG218" i="176" s="1"/>
  <c r="N218" i="176" a="1"/>
  <c r="N218" i="176" s="1"/>
  <c r="Y218" i="176" a="1"/>
  <c r="Y218" i="176" s="1"/>
  <c r="AA218" i="176" a="1"/>
  <c r="AA218" i="176" s="1"/>
  <c r="AB218" i="176" a="1"/>
  <c r="AB218" i="176" s="1"/>
  <c r="O218" i="176" a="1"/>
  <c r="O218" i="176" s="1"/>
  <c r="T182" i="176" a="1"/>
  <c r="T182" i="176" s="1"/>
  <c r="AA182" i="176" a="1"/>
  <c r="AA182" i="176" s="1"/>
  <c r="AH182" i="176" a="1"/>
  <c r="AH182" i="176" s="1"/>
  <c r="U182" i="176" a="1"/>
  <c r="U182" i="176" s="1"/>
  <c r="AB182" i="176" a="1"/>
  <c r="AB182" i="176" s="1"/>
  <c r="AI182" i="176" a="1"/>
  <c r="AI182" i="176" s="1"/>
  <c r="Y182" i="176" a="1"/>
  <c r="Y182" i="176" s="1"/>
  <c r="AG182" i="176" a="1"/>
  <c r="AG182" i="176" s="1"/>
  <c r="R182" i="176" a="1"/>
  <c r="R182" i="176" s="1"/>
  <c r="AE182" i="176" a="1"/>
  <c r="AE182" i="176" s="1"/>
  <c r="W182" i="176" a="1"/>
  <c r="W182" i="176" s="1"/>
  <c r="AF182" i="176" a="1"/>
  <c r="AF182" i="176" s="1"/>
  <c r="V182" i="176" a="1"/>
  <c r="V182" i="176" s="1"/>
  <c r="O182" i="176" a="1"/>
  <c r="O182" i="176" s="1"/>
  <c r="Z182" i="176" a="1"/>
  <c r="Z182" i="176" s="1"/>
  <c r="AC182" i="176" a="1"/>
  <c r="AC182" i="176" s="1"/>
  <c r="N182" i="176" a="1"/>
  <c r="N182" i="176" s="1"/>
  <c r="AD182" i="176" a="1"/>
  <c r="AD182" i="176" s="1"/>
  <c r="Q182" i="176" a="1"/>
  <c r="Q182" i="176" s="1"/>
  <c r="P182" i="176" a="1"/>
  <c r="P182" i="176" s="1"/>
  <c r="S182" i="176" a="1"/>
  <c r="S182" i="176" s="1"/>
  <c r="X182" i="176" a="1"/>
  <c r="X182" i="176" s="1"/>
  <c r="P217" i="176" a="1"/>
  <c r="P217" i="176" s="1"/>
  <c r="AE217" i="176" a="1"/>
  <c r="AE217" i="176" s="1"/>
  <c r="X217" i="176" a="1"/>
  <c r="X217" i="176" s="1"/>
  <c r="AF217" i="176" a="1"/>
  <c r="AF217" i="176" s="1"/>
  <c r="Z217" i="176" a="1"/>
  <c r="Z217" i="176" s="1"/>
  <c r="AH217" i="176" a="1"/>
  <c r="AH217" i="176" s="1"/>
  <c r="S217" i="176" a="1"/>
  <c r="S217" i="176" s="1"/>
  <c r="AC217" i="176" a="1"/>
  <c r="AC217" i="176" s="1"/>
  <c r="T217" i="176" a="1"/>
  <c r="T217" i="176" s="1"/>
  <c r="AD217" i="176" a="1"/>
  <c r="AD217" i="176" s="1"/>
  <c r="U217" i="176" a="1"/>
  <c r="U217" i="176" s="1"/>
  <c r="AG217" i="176" a="1"/>
  <c r="AG217" i="176" s="1"/>
  <c r="W217" i="176" a="1"/>
  <c r="W217" i="176" s="1"/>
  <c r="AA217" i="176" a="1"/>
  <c r="AA217" i="176" s="1"/>
  <c r="Y217" i="176" a="1"/>
  <c r="Y217" i="176" s="1"/>
  <c r="N217" i="176" a="1"/>
  <c r="N217" i="176" s="1"/>
  <c r="Q217" i="176" a="1"/>
  <c r="Q217" i="176" s="1"/>
  <c r="R217" i="176" a="1"/>
  <c r="R217" i="176" s="1"/>
  <c r="V217" i="176" a="1"/>
  <c r="V217" i="176" s="1"/>
  <c r="AB217" i="176" a="1"/>
  <c r="AB217" i="176" s="1"/>
  <c r="AI217" i="176" a="1"/>
  <c r="AI217" i="176" s="1"/>
  <c r="O217" i="176" a="1"/>
  <c r="O217" i="176" s="1"/>
  <c r="O205" i="176" a="1"/>
  <c r="O205" i="176" s="1"/>
  <c r="AD205" i="176" a="1"/>
  <c r="AD205" i="176" s="1"/>
  <c r="Z205" i="176" a="1"/>
  <c r="Z205" i="176" s="1"/>
  <c r="S205" i="176" a="1"/>
  <c r="S205" i="176" s="1"/>
  <c r="Q205" i="176" a="1"/>
  <c r="Q205" i="176" s="1"/>
  <c r="AI205" i="176" a="1"/>
  <c r="AI205" i="176" s="1"/>
  <c r="AA205" i="176" a="1"/>
  <c r="AA205" i="176" s="1"/>
  <c r="T205" i="176" a="1"/>
  <c r="T205" i="176" s="1"/>
  <c r="AC205" i="176" a="1"/>
  <c r="AC205" i="176" s="1"/>
  <c r="Y205" i="176" a="1"/>
  <c r="Y205" i="176" s="1"/>
  <c r="N205" i="176" a="1"/>
  <c r="N205" i="176" s="1"/>
  <c r="AB205" i="176" a="1"/>
  <c r="AB205" i="176" s="1"/>
  <c r="R205" i="176" a="1"/>
  <c r="R205" i="176" s="1"/>
  <c r="X205" i="176" a="1"/>
  <c r="X205" i="176" s="1"/>
  <c r="AE205" i="176" a="1"/>
  <c r="AE205" i="176" s="1"/>
  <c r="AF205" i="176" a="1"/>
  <c r="AF205" i="176" s="1"/>
  <c r="V205" i="176" a="1"/>
  <c r="V205" i="176" s="1"/>
  <c r="P205" i="176" a="1"/>
  <c r="P205" i="176" s="1"/>
  <c r="AG205" i="176" a="1"/>
  <c r="AG205" i="176" s="1"/>
  <c r="U205" i="176" a="1"/>
  <c r="U205" i="176" s="1"/>
  <c r="W205" i="176" a="1"/>
  <c r="W205" i="176" s="1"/>
  <c r="AH205" i="176" a="1"/>
  <c r="AH205" i="176" s="1"/>
  <c r="P193" i="176" a="1"/>
  <c r="P193" i="176" s="1"/>
  <c r="AE193" i="176" a="1"/>
  <c r="AE193" i="176" s="1"/>
  <c r="Q193" i="176" a="1"/>
  <c r="Q193" i="176" s="1"/>
  <c r="X193" i="176" a="1"/>
  <c r="X193" i="176" s="1"/>
  <c r="AF193" i="176" a="1"/>
  <c r="AF193" i="176" s="1"/>
  <c r="V193" i="176" a="1"/>
  <c r="V193" i="176" s="1"/>
  <c r="AH193" i="176" a="1"/>
  <c r="AH193" i="176" s="1"/>
  <c r="U193" i="176" a="1"/>
  <c r="U193" i="176" s="1"/>
  <c r="AI193" i="176" a="1"/>
  <c r="AI193" i="176" s="1"/>
  <c r="Z193" i="176" a="1"/>
  <c r="Z193" i="176" s="1"/>
  <c r="R193" i="176" a="1"/>
  <c r="R193" i="176" s="1"/>
  <c r="AG193" i="176" a="1"/>
  <c r="AG193" i="176" s="1"/>
  <c r="S193" i="176" a="1"/>
  <c r="S193" i="176" s="1"/>
  <c r="W193" i="176" a="1"/>
  <c r="W193" i="176" s="1"/>
  <c r="Y193" i="176" a="1"/>
  <c r="Y193" i="176" s="1"/>
  <c r="AC193" i="176" a="1"/>
  <c r="AC193" i="176" s="1"/>
  <c r="AD193" i="176" a="1"/>
  <c r="AD193" i="176" s="1"/>
  <c r="N193" i="176" a="1"/>
  <c r="N193" i="176" s="1"/>
  <c r="T193" i="176" a="1"/>
  <c r="T193" i="176" s="1"/>
  <c r="AB193" i="176" a="1"/>
  <c r="AB193" i="176" s="1"/>
  <c r="AA193" i="176" a="1"/>
  <c r="AA193" i="176" s="1"/>
  <c r="O193" i="176" a="1"/>
  <c r="O193" i="176" s="1"/>
  <c r="V181" i="176" a="1"/>
  <c r="V181" i="176" s="1"/>
  <c r="AC181" i="176" a="1"/>
  <c r="AC181" i="176" s="1"/>
  <c r="W181" i="176" a="1"/>
  <c r="W181" i="176" s="1"/>
  <c r="AD181" i="176" a="1"/>
  <c r="AD181" i="176" s="1"/>
  <c r="O181" i="176" a="1"/>
  <c r="O181" i="176" s="1"/>
  <c r="X181" i="176" a="1"/>
  <c r="X181" i="176" s="1"/>
  <c r="P181" i="176" a="1"/>
  <c r="P181" i="176" s="1"/>
  <c r="AF181" i="176" a="1"/>
  <c r="AF181" i="176" s="1"/>
  <c r="Q181" i="176" a="1"/>
  <c r="Q181" i="176" s="1"/>
  <c r="Z181" i="176" a="1"/>
  <c r="Z181" i="176" s="1"/>
  <c r="AI181" i="176" a="1"/>
  <c r="AI181" i="176" s="1"/>
  <c r="U181" i="176" a="1"/>
  <c r="U181" i="176" s="1"/>
  <c r="AG181" i="176" a="1"/>
  <c r="AG181" i="176" s="1"/>
  <c r="Y181" i="176" a="1"/>
  <c r="Y181" i="176" s="1"/>
  <c r="AB181" i="176" a="1"/>
  <c r="AB181" i="176" s="1"/>
  <c r="R181" i="176" a="1"/>
  <c r="R181" i="176" s="1"/>
  <c r="AE181" i="176" a="1"/>
  <c r="AE181" i="176" s="1"/>
  <c r="AA181" i="176" a="1"/>
  <c r="AA181" i="176" s="1"/>
  <c r="N181" i="176" a="1"/>
  <c r="N181" i="176" s="1"/>
  <c r="S181" i="176" a="1"/>
  <c r="S181" i="176" s="1"/>
  <c r="T181" i="176" a="1"/>
  <c r="T181" i="176" s="1"/>
  <c r="AH181" i="176" a="1"/>
  <c r="AH181" i="176" s="1"/>
  <c r="O169" i="176" a="1"/>
  <c r="O169" i="176" s="1"/>
  <c r="W169" i="176" a="1"/>
  <c r="W169" i="176" s="1"/>
  <c r="AG169" i="176" a="1"/>
  <c r="AG169" i="176" s="1"/>
  <c r="P169" i="176" a="1"/>
  <c r="P169" i="176" s="1"/>
  <c r="X169" i="176" a="1"/>
  <c r="X169" i="176" s="1"/>
  <c r="AH169" i="176" a="1"/>
  <c r="AH169" i="176" s="1"/>
  <c r="Q169" i="176" a="1"/>
  <c r="Q169" i="176" s="1"/>
  <c r="AI169" i="176" a="1"/>
  <c r="AI169" i="176" s="1"/>
  <c r="U169" i="176" a="1"/>
  <c r="U169" i="176" s="1"/>
  <c r="V169" i="176" a="1"/>
  <c r="V169" i="176" s="1"/>
  <c r="AB169" i="176" a="1"/>
  <c r="AB169" i="176" s="1"/>
  <c r="AC169" i="176" a="1"/>
  <c r="AC169" i="176" s="1"/>
  <c r="AE169" i="176" a="1"/>
  <c r="AE169" i="176" s="1"/>
  <c r="AD169" i="176" a="1"/>
  <c r="AD169" i="176" s="1"/>
  <c r="AF169" i="176" a="1"/>
  <c r="AF169" i="176" s="1"/>
  <c r="R169" i="176" a="1"/>
  <c r="R169" i="176" s="1"/>
  <c r="N169" i="176" a="1"/>
  <c r="N169" i="176" s="1"/>
  <c r="S169" i="176" a="1"/>
  <c r="S169" i="176" s="1"/>
  <c r="T169" i="176" a="1"/>
  <c r="T169" i="176" s="1"/>
  <c r="Z169" i="176" a="1"/>
  <c r="Z169" i="176" s="1"/>
  <c r="AA169" i="176" a="1"/>
  <c r="AA169" i="176" s="1"/>
  <c r="Y169" i="176" a="1"/>
  <c r="Y169" i="176" s="1"/>
  <c r="T157" i="176" a="1"/>
  <c r="T157" i="176" s="1"/>
  <c r="AB157" i="176" a="1"/>
  <c r="AB157" i="176" s="1"/>
  <c r="U157" i="176" a="1"/>
  <c r="U157" i="176" s="1"/>
  <c r="AC157" i="176" a="1"/>
  <c r="AC157" i="176" s="1"/>
  <c r="AD157" i="176" a="1"/>
  <c r="AD157" i="176" s="1"/>
  <c r="V157" i="176" a="1"/>
  <c r="V157" i="176" s="1"/>
  <c r="W157" i="176" a="1"/>
  <c r="W157" i="176" s="1"/>
  <c r="AG157" i="176" a="1"/>
  <c r="AG157" i="176" s="1"/>
  <c r="O157" i="176" a="1"/>
  <c r="O157" i="176" s="1"/>
  <c r="X157" i="176" a="1"/>
  <c r="X157" i="176" s="1"/>
  <c r="P157" i="176" a="1"/>
  <c r="P157" i="176" s="1"/>
  <c r="Z157" i="176" a="1"/>
  <c r="Z157" i="176" s="1"/>
  <c r="AA157" i="176" a="1"/>
  <c r="AA157" i="176" s="1"/>
  <c r="AE157" i="176" a="1"/>
  <c r="AE157" i="176" s="1"/>
  <c r="AH157" i="176" a="1"/>
  <c r="AH157" i="176" s="1"/>
  <c r="AF157" i="176" a="1"/>
  <c r="AF157" i="176" s="1"/>
  <c r="Q157" i="176" a="1"/>
  <c r="Q157" i="176" s="1"/>
  <c r="AI157" i="176" a="1"/>
  <c r="AI157" i="176" s="1"/>
  <c r="R157" i="176" a="1"/>
  <c r="R157" i="176" s="1"/>
  <c r="S157" i="176" a="1"/>
  <c r="S157" i="176" s="1"/>
  <c r="N157" i="176" a="1"/>
  <c r="N157" i="176" s="1"/>
  <c r="Y157" i="176" a="1"/>
  <c r="Y157" i="176" s="1"/>
  <c r="AU120" i="176" a="1"/>
  <c r="AU120" i="176" s="1"/>
  <c r="AV120" i="176" a="1"/>
  <c r="AV120" i="176" s="1"/>
  <c r="BF120" i="176" a="1"/>
  <c r="BF120" i="176" s="1"/>
  <c r="BF108" i="176" a="1"/>
  <c r="BF108" i="176" s="1"/>
  <c r="AV108" i="176" a="1"/>
  <c r="AV108" i="176" s="1"/>
  <c r="AU96" i="176" a="1"/>
  <c r="AU96" i="176" s="1"/>
  <c r="BF96" i="176" a="1"/>
  <c r="BF96" i="176" s="1"/>
  <c r="AV96" i="176" a="1"/>
  <c r="AV96" i="176" s="1"/>
  <c r="BF84" i="176" a="1"/>
  <c r="BF84" i="176" s="1"/>
  <c r="AV84" i="176" a="1"/>
  <c r="AV84" i="176" s="1"/>
  <c r="AT72" i="176" a="1"/>
  <c r="AT72" i="176" s="1"/>
  <c r="BF72" i="176" a="1"/>
  <c r="BF72" i="176" s="1"/>
  <c r="AV72" i="176" a="1"/>
  <c r="AV72" i="176" s="1"/>
  <c r="AV60" i="176" a="1"/>
  <c r="AV60" i="176" s="1"/>
  <c r="BF60" i="176" a="1"/>
  <c r="BF60" i="176" s="1"/>
  <c r="P227" i="176" a="1"/>
  <c r="P227" i="176" s="1"/>
  <c r="AF227" i="176" a="1"/>
  <c r="AF227" i="176" s="1"/>
  <c r="Q227" i="176" a="1"/>
  <c r="Q227" i="176" s="1"/>
  <c r="Y227" i="176" a="1"/>
  <c r="Y227" i="176" s="1"/>
  <c r="AG227" i="176" a="1"/>
  <c r="AG227" i="176" s="1"/>
  <c r="S227" i="176" a="1"/>
  <c r="S227" i="176" s="1"/>
  <c r="AA227" i="176" a="1"/>
  <c r="AA227" i="176" s="1"/>
  <c r="AI227" i="176" a="1"/>
  <c r="AI227" i="176" s="1"/>
  <c r="T227" i="176" a="1"/>
  <c r="T227" i="176" s="1"/>
  <c r="AD227" i="176" a="1"/>
  <c r="AD227" i="176" s="1"/>
  <c r="U227" i="176" a="1"/>
  <c r="U227" i="176" s="1"/>
  <c r="AE227" i="176" a="1"/>
  <c r="AE227" i="176" s="1"/>
  <c r="W227" i="176" a="1"/>
  <c r="W227" i="176" s="1"/>
  <c r="AH227" i="176" a="1"/>
  <c r="AH227" i="176" s="1"/>
  <c r="X227" i="176" a="1"/>
  <c r="X227" i="176" s="1"/>
  <c r="Z227" i="176" a="1"/>
  <c r="Z227" i="176" s="1"/>
  <c r="AB227" i="176" a="1"/>
  <c r="AB227" i="176" s="1"/>
  <c r="O227" i="176" a="1"/>
  <c r="O227" i="176" s="1"/>
  <c r="V227" i="176" a="1"/>
  <c r="V227" i="176" s="1"/>
  <c r="R227" i="176" a="1"/>
  <c r="R227" i="176" s="1"/>
  <c r="AC227" i="176" a="1"/>
  <c r="AC227" i="176" s="1"/>
  <c r="N227" i="176" a="1"/>
  <c r="N227" i="176" s="1"/>
  <c r="U191" i="176" a="1"/>
  <c r="U191" i="176" s="1"/>
  <c r="AD191" i="176" a="1"/>
  <c r="AD191" i="176" s="1"/>
  <c r="O191" i="176" a="1"/>
  <c r="O191" i="176" s="1"/>
  <c r="W191" i="176" a="1"/>
  <c r="W191" i="176" s="1"/>
  <c r="AE191" i="176" a="1"/>
  <c r="AE191" i="176" s="1"/>
  <c r="N191" i="176" a="1"/>
  <c r="N191" i="176" s="1"/>
  <c r="Q191" i="176" a="1"/>
  <c r="Q191" i="176" s="1"/>
  <c r="AB191" i="176" a="1"/>
  <c r="AB191" i="176" s="1"/>
  <c r="R191" i="176" a="1"/>
  <c r="R191" i="176" s="1"/>
  <c r="AC191" i="176" a="1"/>
  <c r="AC191" i="176" s="1"/>
  <c r="T191" i="176" a="1"/>
  <c r="T191" i="176" s="1"/>
  <c r="AG191" i="176" a="1"/>
  <c r="AG191" i="176" s="1"/>
  <c r="AA191" i="176" a="1"/>
  <c r="AA191" i="176" s="1"/>
  <c r="P191" i="176" a="1"/>
  <c r="P191" i="176" s="1"/>
  <c r="AF191" i="176" a="1"/>
  <c r="AF191" i="176" s="1"/>
  <c r="S191" i="176" a="1"/>
  <c r="S191" i="176" s="1"/>
  <c r="AI191" i="176" a="1"/>
  <c r="AI191" i="176" s="1"/>
  <c r="V191" i="176" a="1"/>
  <c r="V191" i="176" s="1"/>
  <c r="X191" i="176" a="1"/>
  <c r="X191" i="176" s="1"/>
  <c r="Z191" i="176" a="1"/>
  <c r="Z191" i="176" s="1"/>
  <c r="Y191" i="176" a="1"/>
  <c r="Y191" i="176" s="1"/>
  <c r="AH191" i="176" a="1"/>
  <c r="AH191" i="176" s="1"/>
  <c r="AS118" i="176" a="1"/>
  <c r="AS118" i="176" s="1"/>
  <c r="AV118" i="176" a="1"/>
  <c r="AV118" i="176" s="1"/>
  <c r="BF118" i="176" a="1"/>
  <c r="BF118" i="176" s="1"/>
  <c r="AS70" i="176" a="1"/>
  <c r="AS70" i="176" s="1"/>
  <c r="AV70" i="176" a="1"/>
  <c r="AV70" i="176" s="1"/>
  <c r="BF70" i="176" a="1"/>
  <c r="BF70" i="176" s="1"/>
  <c r="N226" i="176" a="1"/>
  <c r="N226" i="176" s="1"/>
  <c r="V226" i="176" a="1"/>
  <c r="V226" i="176" s="1"/>
  <c r="AD226" i="176" a="1"/>
  <c r="AD226" i="176" s="1"/>
  <c r="O226" i="176" a="1"/>
  <c r="O226" i="176" s="1"/>
  <c r="AE226" i="176" a="1"/>
  <c r="AE226" i="176" s="1"/>
  <c r="Q226" i="176" a="1"/>
  <c r="Q226" i="176" s="1"/>
  <c r="X226" i="176" a="1"/>
  <c r="X226" i="176" s="1"/>
  <c r="AG226" i="176" a="1"/>
  <c r="AG226" i="176" s="1"/>
  <c r="S226" i="176" a="1"/>
  <c r="S226" i="176" s="1"/>
  <c r="AC226" i="176" a="1"/>
  <c r="AC226" i="176" s="1"/>
  <c r="T226" i="176" a="1"/>
  <c r="T226" i="176" s="1"/>
  <c r="AF226" i="176" a="1"/>
  <c r="AF226" i="176" s="1"/>
  <c r="W226" i="176" a="1"/>
  <c r="W226" i="176" s="1"/>
  <c r="AH226" i="176" a="1"/>
  <c r="AH226" i="176" s="1"/>
  <c r="AB226" i="176" a="1"/>
  <c r="AB226" i="176" s="1"/>
  <c r="P226" i="176" a="1"/>
  <c r="P226" i="176" s="1"/>
  <c r="AI226" i="176" a="1"/>
  <c r="AI226" i="176" s="1"/>
  <c r="R226" i="176" a="1"/>
  <c r="R226" i="176" s="1"/>
  <c r="Z226" i="176" a="1"/>
  <c r="Z226" i="176" s="1"/>
  <c r="U226" i="176" a="1"/>
  <c r="U226" i="176" s="1"/>
  <c r="Y226" i="176" a="1"/>
  <c r="Y226" i="176" s="1"/>
  <c r="AA226" i="176" a="1"/>
  <c r="AA226" i="176" s="1"/>
  <c r="AB202" i="176" a="1"/>
  <c r="AB202" i="176" s="1"/>
  <c r="R202" i="176" a="1"/>
  <c r="R202" i="176" s="1"/>
  <c r="Z202" i="176" a="1"/>
  <c r="Z202" i="176" s="1"/>
  <c r="S202" i="176" a="1"/>
  <c r="S202" i="176" s="1"/>
  <c r="AA202" i="176" a="1"/>
  <c r="AA202" i="176" s="1"/>
  <c r="AI202" i="176" a="1"/>
  <c r="AI202" i="176" s="1"/>
  <c r="N202" i="176" a="1"/>
  <c r="N202" i="176" s="1"/>
  <c r="W202" i="176" a="1"/>
  <c r="W202" i="176" s="1"/>
  <c r="X202" i="176" a="1"/>
  <c r="X202" i="176" s="1"/>
  <c r="AG202" i="176" a="1"/>
  <c r="AG202" i="176" s="1"/>
  <c r="P202" i="176" a="1"/>
  <c r="P202" i="176" s="1"/>
  <c r="O202" i="176" a="1"/>
  <c r="O202" i="176" s="1"/>
  <c r="AC202" i="176" a="1"/>
  <c r="AC202" i="176" s="1"/>
  <c r="AF202" i="176" a="1"/>
  <c r="AF202" i="176" s="1"/>
  <c r="AH202" i="176" a="1"/>
  <c r="AH202" i="176" s="1"/>
  <c r="T202" i="176" a="1"/>
  <c r="T202" i="176" s="1"/>
  <c r="U202" i="176" a="1"/>
  <c r="U202" i="176" s="1"/>
  <c r="Q202" i="176" a="1"/>
  <c r="Q202" i="176" s="1"/>
  <c r="AD202" i="176" a="1"/>
  <c r="AD202" i="176" s="1"/>
  <c r="V202" i="176" a="1"/>
  <c r="V202" i="176" s="1"/>
  <c r="Y202" i="176" a="1"/>
  <c r="Y202" i="176" s="1"/>
  <c r="AE202" i="176" a="1"/>
  <c r="AE202" i="176" s="1"/>
  <c r="O178" i="176" a="1"/>
  <c r="O178" i="176" s="1"/>
  <c r="AB178" i="176" a="1"/>
  <c r="AB178" i="176" s="1"/>
  <c r="AI178" i="176" a="1"/>
  <c r="AI178" i="176" s="1"/>
  <c r="P178" i="176" a="1"/>
  <c r="P178" i="176" s="1"/>
  <c r="AC178" i="176" a="1"/>
  <c r="AC178" i="176" s="1"/>
  <c r="AG178" i="176" a="1"/>
  <c r="AG178" i="176" s="1"/>
  <c r="R178" i="176" a="1"/>
  <c r="R178" i="176" s="1"/>
  <c r="Z178" i="176" a="1"/>
  <c r="Z178" i="176" s="1"/>
  <c r="N178" i="176" a="1"/>
  <c r="N178" i="176" s="1"/>
  <c r="X178" i="176" a="1"/>
  <c r="X178" i="176" s="1"/>
  <c r="AH178" i="176" a="1"/>
  <c r="AH178" i="176" s="1"/>
  <c r="AD178" i="176" a="1"/>
  <c r="AD178" i="176" s="1"/>
  <c r="S178" i="176" a="1"/>
  <c r="S178" i="176" s="1"/>
  <c r="U178" i="176" a="1"/>
  <c r="U178" i="176" s="1"/>
  <c r="AF178" i="176" a="1"/>
  <c r="AF178" i="176" s="1"/>
  <c r="Q178" i="176" a="1"/>
  <c r="Q178" i="176" s="1"/>
  <c r="V178" i="176" a="1"/>
  <c r="V178" i="176" s="1"/>
  <c r="AE178" i="176" a="1"/>
  <c r="AE178" i="176" s="1"/>
  <c r="T178" i="176" a="1"/>
  <c r="T178" i="176" s="1"/>
  <c r="Y178" i="176" a="1"/>
  <c r="Y178" i="176" s="1"/>
  <c r="W178" i="176" a="1"/>
  <c r="W178" i="176" s="1"/>
  <c r="AA178" i="176" a="1"/>
  <c r="AA178" i="176" s="1"/>
  <c r="AU105" i="176" a="1"/>
  <c r="AU105" i="176" s="1"/>
  <c r="AV105" i="176" a="1"/>
  <c r="AV105" i="176" s="1"/>
  <c r="BF105" i="176" a="1"/>
  <c r="BF105" i="176" s="1"/>
  <c r="AV69" i="176" a="1"/>
  <c r="AV69" i="176" s="1"/>
  <c r="BF69" i="176" a="1"/>
  <c r="BF69" i="176" s="1"/>
  <c r="T225" i="176" a="1"/>
  <c r="T225" i="176" s="1"/>
  <c r="AB225" i="176" a="1"/>
  <c r="AB225" i="176" s="1"/>
  <c r="O225" i="176" a="1"/>
  <c r="O225" i="176" s="1"/>
  <c r="AD225" i="176" a="1"/>
  <c r="AD225" i="176" s="1"/>
  <c r="AE225" i="176" a="1"/>
  <c r="AE225" i="176" s="1"/>
  <c r="U225" i="176" a="1"/>
  <c r="U225" i="176" s="1"/>
  <c r="AF225" i="176" a="1"/>
  <c r="AF225" i="176" s="1"/>
  <c r="AG225" i="176" a="1"/>
  <c r="AG225" i="176" s="1"/>
  <c r="V225" i="176" a="1"/>
  <c r="V225" i="176" s="1"/>
  <c r="N225" i="176" a="1"/>
  <c r="N225" i="176" s="1"/>
  <c r="AH225" i="176" a="1"/>
  <c r="AH225" i="176" s="1"/>
  <c r="AI225" i="176" a="1"/>
  <c r="AI225" i="176" s="1"/>
  <c r="S225" i="176" a="1"/>
  <c r="S225" i="176" s="1"/>
  <c r="W225" i="176" a="1"/>
  <c r="W225" i="176" s="1"/>
  <c r="X225" i="176" a="1"/>
  <c r="X225" i="176" s="1"/>
  <c r="Y225" i="176" a="1"/>
  <c r="Y225" i="176" s="1"/>
  <c r="AC225" i="176" a="1"/>
  <c r="AC225" i="176" s="1"/>
  <c r="P225" i="176" a="1"/>
  <c r="P225" i="176" s="1"/>
  <c r="R225" i="176" a="1"/>
  <c r="R225" i="176" s="1"/>
  <c r="Q225" i="176" a="1"/>
  <c r="Q225" i="176" s="1"/>
  <c r="AA225" i="176" a="1"/>
  <c r="AA225" i="176" s="1"/>
  <c r="Z225" i="176" a="1"/>
  <c r="Z225" i="176" s="1"/>
  <c r="Z189" i="176" a="1"/>
  <c r="Z189" i="176" s="1"/>
  <c r="AI189" i="176" a="1"/>
  <c r="AI189" i="176" s="1"/>
  <c r="Q189" i="176" a="1"/>
  <c r="Q189" i="176" s="1"/>
  <c r="R189" i="176" a="1"/>
  <c r="R189" i="176" s="1"/>
  <c r="Y189" i="176" a="1"/>
  <c r="Y189" i="176" s="1"/>
  <c r="AH189" i="176" a="1"/>
  <c r="AH189" i="176" s="1"/>
  <c r="X189" i="176" a="1"/>
  <c r="X189" i="176" s="1"/>
  <c r="P189" i="176" a="1"/>
  <c r="P189" i="176" s="1"/>
  <c r="S189" i="176" a="1"/>
  <c r="S189" i="176" s="1"/>
  <c r="U189" i="176" a="1"/>
  <c r="U189" i="176" s="1"/>
  <c r="AG189" i="176" a="1"/>
  <c r="AG189" i="176" s="1"/>
  <c r="W189" i="176" a="1"/>
  <c r="W189" i="176" s="1"/>
  <c r="V189" i="176" a="1"/>
  <c r="V189" i="176" s="1"/>
  <c r="AB189" i="176" a="1"/>
  <c r="AB189" i="176" s="1"/>
  <c r="AC189" i="176" a="1"/>
  <c r="AC189" i="176" s="1"/>
  <c r="AE189" i="176" a="1"/>
  <c r="AE189" i="176" s="1"/>
  <c r="AF189" i="176" a="1"/>
  <c r="AF189" i="176" s="1"/>
  <c r="N189" i="176" a="1"/>
  <c r="N189" i="176" s="1"/>
  <c r="O189" i="176" a="1"/>
  <c r="O189" i="176" s="1"/>
  <c r="AA189" i="176" a="1"/>
  <c r="AA189" i="176" s="1"/>
  <c r="AD189" i="176" a="1"/>
  <c r="AD189" i="176" s="1"/>
  <c r="T189" i="176" a="1"/>
  <c r="T189" i="176" s="1"/>
  <c r="AT116" i="176" a="1"/>
  <c r="AT116" i="176" s="1"/>
  <c r="AV116" i="176" a="1"/>
  <c r="AV116" i="176" s="1"/>
  <c r="BF116" i="176" a="1"/>
  <c r="BF116" i="176" s="1"/>
  <c r="AV68" i="176" a="1"/>
  <c r="AV68" i="176" s="1"/>
  <c r="BF68" i="176" a="1"/>
  <c r="BF68" i="176" s="1"/>
  <c r="T188" i="176" a="1"/>
  <c r="T188" i="176" s="1"/>
  <c r="AA188" i="176" a="1"/>
  <c r="AA188" i="176" s="1"/>
  <c r="AI188" i="176" a="1"/>
  <c r="AI188" i="176" s="1"/>
  <c r="P188" i="176" a="1"/>
  <c r="P188" i="176" s="1"/>
  <c r="W188" i="176" a="1"/>
  <c r="W188" i="176" s="1"/>
  <c r="AE188" i="176" a="1"/>
  <c r="AE188" i="176" s="1"/>
  <c r="AF188" i="176" a="1"/>
  <c r="AF188" i="176" s="1"/>
  <c r="AB188" i="176" a="1"/>
  <c r="AB188" i="176" s="1"/>
  <c r="S188" i="176" a="1"/>
  <c r="S188" i="176" s="1"/>
  <c r="AD188" i="176" a="1"/>
  <c r="AD188" i="176" s="1"/>
  <c r="R188" i="176" a="1"/>
  <c r="R188" i="176" s="1"/>
  <c r="V188" i="176" a="1"/>
  <c r="V188" i="176" s="1"/>
  <c r="Z188" i="176" a="1"/>
  <c r="Z188" i="176" s="1"/>
  <c r="O188" i="176" a="1"/>
  <c r="O188" i="176" s="1"/>
  <c r="AG188" i="176" a="1"/>
  <c r="AG188" i="176" s="1"/>
  <c r="AH188" i="176" a="1"/>
  <c r="AH188" i="176" s="1"/>
  <c r="X188" i="176" a="1"/>
  <c r="X188" i="176" s="1"/>
  <c r="Y188" i="176" a="1"/>
  <c r="Y188" i="176" s="1"/>
  <c r="AC188" i="176" a="1"/>
  <c r="AC188" i="176" s="1"/>
  <c r="Q188" i="176" a="1"/>
  <c r="Q188" i="176" s="1"/>
  <c r="N188" i="176" a="1"/>
  <c r="N188" i="176" s="1"/>
  <c r="U188" i="176" a="1"/>
  <c r="U188" i="176" s="1"/>
  <c r="AU115" i="176" a="1"/>
  <c r="AU115" i="176" s="1"/>
  <c r="BF115" i="176" a="1"/>
  <c r="BF115" i="176" s="1"/>
  <c r="AV115" i="176" a="1"/>
  <c r="AV115" i="176" s="1"/>
  <c r="AT91" i="176" a="1"/>
  <c r="AT91" i="176" s="1"/>
  <c r="BF91" i="176" a="1"/>
  <c r="BF91" i="176" s="1"/>
  <c r="AV91" i="176" a="1"/>
  <c r="AV91" i="176" s="1"/>
  <c r="BF55" i="176" a="1"/>
  <c r="BF55" i="176" s="1"/>
  <c r="AV55" i="176" a="1"/>
  <c r="AV55" i="176" s="1"/>
  <c r="S211" i="176" a="1"/>
  <c r="S211" i="176" s="1"/>
  <c r="AA211" i="176" a="1"/>
  <c r="AA211" i="176" s="1"/>
  <c r="T211" i="176" a="1"/>
  <c r="T211" i="176" s="1"/>
  <c r="AB211" i="176" a="1"/>
  <c r="AB211" i="176" s="1"/>
  <c r="V211" i="176" a="1"/>
  <c r="V211" i="176" s="1"/>
  <c r="Y211" i="176" a="1"/>
  <c r="Y211" i="176" s="1"/>
  <c r="O211" i="176" a="1"/>
  <c r="O211" i="176" s="1"/>
  <c r="Z211" i="176" a="1"/>
  <c r="Z211" i="176" s="1"/>
  <c r="N211" i="176" a="1"/>
  <c r="N211" i="176" s="1"/>
  <c r="AC211" i="176" a="1"/>
  <c r="AC211" i="176" s="1"/>
  <c r="R211" i="176" a="1"/>
  <c r="R211" i="176" s="1"/>
  <c r="AH211" i="176" a="1"/>
  <c r="AH211" i="176" s="1"/>
  <c r="U211" i="176" a="1"/>
  <c r="U211" i="176" s="1"/>
  <c r="AI211" i="176" a="1"/>
  <c r="AI211" i="176" s="1"/>
  <c r="W211" i="176" a="1"/>
  <c r="W211" i="176" s="1"/>
  <c r="AF211" i="176" a="1"/>
  <c r="AF211" i="176" s="1"/>
  <c r="AG211" i="176" a="1"/>
  <c r="AG211" i="176" s="1"/>
  <c r="P211" i="176" a="1"/>
  <c r="P211" i="176" s="1"/>
  <c r="Q211" i="176" a="1"/>
  <c r="Q211" i="176" s="1"/>
  <c r="X211" i="176" a="1"/>
  <c r="X211" i="176" s="1"/>
  <c r="AE211" i="176" a="1"/>
  <c r="AE211" i="176" s="1"/>
  <c r="AD211" i="176" a="1"/>
  <c r="AD211" i="176" s="1"/>
  <c r="N175" i="176" a="1"/>
  <c r="N175" i="176" s="1"/>
  <c r="U175" i="176" a="1"/>
  <c r="U175" i="176" s="1"/>
  <c r="AH175" i="176" a="1"/>
  <c r="AH175" i="176" s="1"/>
  <c r="O175" i="176" a="1"/>
  <c r="O175" i="176" s="1"/>
  <c r="V175" i="176" a="1"/>
  <c r="V175" i="176" s="1"/>
  <c r="AI175" i="176" a="1"/>
  <c r="AI175" i="176" s="1"/>
  <c r="S175" i="176" a="1"/>
  <c r="S175" i="176" s="1"/>
  <c r="AA175" i="176" a="1"/>
  <c r="AA175" i="176" s="1"/>
  <c r="AB175" i="176" a="1"/>
  <c r="AB175" i="176" s="1"/>
  <c r="W175" i="176" a="1"/>
  <c r="W175" i="176" s="1"/>
  <c r="AF175" i="176" a="1"/>
  <c r="AF175" i="176" s="1"/>
  <c r="P175" i="176" a="1"/>
  <c r="P175" i="176" s="1"/>
  <c r="Z175" i="176" a="1"/>
  <c r="Z175" i="176" s="1"/>
  <c r="R175" i="176" a="1"/>
  <c r="R175" i="176" s="1"/>
  <c r="AD175" i="176" a="1"/>
  <c r="AD175" i="176" s="1"/>
  <c r="Y175" i="176" a="1"/>
  <c r="Y175" i="176" s="1"/>
  <c r="Q175" i="176" a="1"/>
  <c r="Q175" i="176" s="1"/>
  <c r="X175" i="176" a="1"/>
  <c r="X175" i="176" s="1"/>
  <c r="T175" i="176" a="1"/>
  <c r="T175" i="176" s="1"/>
  <c r="AE175" i="176" a="1"/>
  <c r="AE175" i="176" s="1"/>
  <c r="AC175" i="176" a="1"/>
  <c r="AC175" i="176" s="1"/>
  <c r="AG175" i="176" a="1"/>
  <c r="AG175" i="176" s="1"/>
  <c r="AS114" i="176" a="1"/>
  <c r="AS114" i="176" s="1"/>
  <c r="BF114" i="176" a="1"/>
  <c r="BF114" i="176" s="1"/>
  <c r="AV114" i="176" a="1"/>
  <c r="AV114" i="176" s="1"/>
  <c r="AU90" i="176" a="1"/>
  <c r="AU90" i="176" s="1"/>
  <c r="AV90" i="176" a="1"/>
  <c r="AV90" i="176" s="1"/>
  <c r="BF90" i="176" a="1"/>
  <c r="BF90" i="176" s="1"/>
  <c r="AT78" i="176" a="1"/>
  <c r="AT78" i="176" s="1"/>
  <c r="AV78" i="176" a="1"/>
  <c r="AV78" i="176" s="1"/>
  <c r="BF78" i="176" a="1"/>
  <c r="BF78" i="176" s="1"/>
  <c r="AU54" i="176" a="1"/>
  <c r="AU54" i="176" s="1"/>
  <c r="AV54" i="176" a="1"/>
  <c r="AV54" i="176" s="1"/>
  <c r="BF54" i="176" a="1"/>
  <c r="BF54" i="176" s="1"/>
  <c r="V186" i="176" a="1"/>
  <c r="V186" i="176" s="1"/>
  <c r="W186" i="176" a="1"/>
  <c r="W186" i="176" s="1"/>
  <c r="AC186" i="176" a="1"/>
  <c r="AC186" i="176" s="1"/>
  <c r="T186" i="176" a="1"/>
  <c r="T186" i="176" s="1"/>
  <c r="U186" i="176" a="1"/>
  <c r="U186" i="176" s="1"/>
  <c r="AD186" i="176" a="1"/>
  <c r="AD186" i="176" s="1"/>
  <c r="O186" i="176" a="1"/>
  <c r="O186" i="176" s="1"/>
  <c r="Z186" i="176" a="1"/>
  <c r="Z186" i="176" s="1"/>
  <c r="P186" i="176" a="1"/>
  <c r="P186" i="176" s="1"/>
  <c r="AI186" i="176" a="1"/>
  <c r="AI186" i="176" s="1"/>
  <c r="R186" i="176" a="1"/>
  <c r="R186" i="176" s="1"/>
  <c r="AB186" i="176" a="1"/>
  <c r="AB186" i="176" s="1"/>
  <c r="Y186" i="176" a="1"/>
  <c r="Y186" i="176" s="1"/>
  <c r="AA186" i="176" a="1"/>
  <c r="AA186" i="176" s="1"/>
  <c r="N186" i="176" a="1"/>
  <c r="N186" i="176" s="1"/>
  <c r="Q186" i="176" a="1"/>
  <c r="Q186" i="176" s="1"/>
  <c r="S186" i="176" a="1"/>
  <c r="S186" i="176" s="1"/>
  <c r="X186" i="176" a="1"/>
  <c r="X186" i="176" s="1"/>
  <c r="AG186" i="176" a="1"/>
  <c r="AG186" i="176" s="1"/>
  <c r="AH186" i="176" a="1"/>
  <c r="AH186" i="176" s="1"/>
  <c r="AE186" i="176" a="1"/>
  <c r="AE186" i="176" s="1"/>
  <c r="AF186" i="176" a="1"/>
  <c r="AF186" i="176" s="1"/>
  <c r="AT101" i="176" a="1"/>
  <c r="AT101" i="176" s="1"/>
  <c r="BF101" i="176" a="1"/>
  <c r="BF101" i="176" s="1"/>
  <c r="AV101" i="176" a="1"/>
  <c r="AV101" i="176" s="1"/>
  <c r="AV77" i="176" a="1"/>
  <c r="AV77" i="176" s="1"/>
  <c r="BF77" i="176" a="1"/>
  <c r="BF77" i="176" s="1"/>
  <c r="P221" i="176" a="1"/>
  <c r="P221" i="176" s="1"/>
  <c r="Q221" i="176" a="1"/>
  <c r="Q221" i="176" s="1"/>
  <c r="X221" i="176" a="1"/>
  <c r="X221" i="176" s="1"/>
  <c r="AF221" i="176" a="1"/>
  <c r="AF221" i="176" s="1"/>
  <c r="S221" i="176" a="1"/>
  <c r="S221" i="176" s="1"/>
  <c r="AH221" i="176" a="1"/>
  <c r="AH221" i="176" s="1"/>
  <c r="AA221" i="176" a="1"/>
  <c r="AA221" i="176" s="1"/>
  <c r="R221" i="176" a="1"/>
  <c r="R221" i="176" s="1"/>
  <c r="AB221" i="176" a="1"/>
  <c r="AB221" i="176" s="1"/>
  <c r="AC221" i="176" a="1"/>
  <c r="AC221" i="176" s="1"/>
  <c r="N221" i="176" a="1"/>
  <c r="N221" i="176" s="1"/>
  <c r="AE221" i="176" a="1"/>
  <c r="AE221" i="176" s="1"/>
  <c r="O221" i="176" a="1"/>
  <c r="O221" i="176" s="1"/>
  <c r="T221" i="176" a="1"/>
  <c r="T221" i="176" s="1"/>
  <c r="AG221" i="176" a="1"/>
  <c r="AG221" i="176" s="1"/>
  <c r="AI221" i="176" a="1"/>
  <c r="AI221" i="176" s="1"/>
  <c r="U221" i="176" a="1"/>
  <c r="U221" i="176" s="1"/>
  <c r="W221" i="176" a="1"/>
  <c r="W221" i="176" s="1"/>
  <c r="AD221" i="176" a="1"/>
  <c r="AD221" i="176" s="1"/>
  <c r="V221" i="176" a="1"/>
  <c r="V221" i="176" s="1"/>
  <c r="Y221" i="176" a="1"/>
  <c r="Y221" i="176" s="1"/>
  <c r="Z221" i="176" a="1"/>
  <c r="Z221" i="176" s="1"/>
  <c r="R197" i="176" a="1"/>
  <c r="R197" i="176" s="1"/>
  <c r="AG197" i="176" a="1"/>
  <c r="AG197" i="176" s="1"/>
  <c r="N197" i="176" a="1"/>
  <c r="N197" i="176" s="1"/>
  <c r="V197" i="176" a="1"/>
  <c r="V197" i="176" s="1"/>
  <c r="AD197" i="176" a="1"/>
  <c r="AD197" i="176" s="1"/>
  <c r="P197" i="176" a="1"/>
  <c r="P197" i="176" s="1"/>
  <c r="AA197" i="176" a="1"/>
  <c r="AA197" i="176" s="1"/>
  <c r="Q197" i="176" a="1"/>
  <c r="Q197" i="176" s="1"/>
  <c r="W197" i="176" a="1"/>
  <c r="W197" i="176" s="1"/>
  <c r="Y197" i="176" a="1"/>
  <c r="Y197" i="176" s="1"/>
  <c r="X197" i="176" a="1"/>
  <c r="X197" i="176" s="1"/>
  <c r="AB197" i="176" a="1"/>
  <c r="AB197" i="176" s="1"/>
  <c r="AC197" i="176" a="1"/>
  <c r="AC197" i="176" s="1"/>
  <c r="U197" i="176" a="1"/>
  <c r="U197" i="176" s="1"/>
  <c r="AH197" i="176" a="1"/>
  <c r="AH197" i="176" s="1"/>
  <c r="Z197" i="176" a="1"/>
  <c r="Z197" i="176" s="1"/>
  <c r="AE197" i="176" a="1"/>
  <c r="AE197" i="176" s="1"/>
  <c r="AF197" i="176" a="1"/>
  <c r="AF197" i="176" s="1"/>
  <c r="S197" i="176" a="1"/>
  <c r="S197" i="176" s="1"/>
  <c r="T197" i="176" a="1"/>
  <c r="T197" i="176" s="1"/>
  <c r="AI197" i="176" a="1"/>
  <c r="AI197" i="176" s="1"/>
  <c r="O197" i="176" a="1"/>
  <c r="O197" i="176" s="1"/>
  <c r="AT56" i="176" a="1"/>
  <c r="AT56" i="176" s="1"/>
  <c r="AS88" i="176" a="1"/>
  <c r="AS88" i="176" s="1"/>
  <c r="BF88" i="176" a="1"/>
  <c r="BF88" i="176" s="1"/>
  <c r="AV88" i="176" a="1"/>
  <c r="AV88" i="176" s="1"/>
  <c r="BF76" i="176" a="1"/>
  <c r="BF76" i="176" s="1"/>
  <c r="AV76" i="176" a="1"/>
  <c r="AV76" i="176" s="1"/>
  <c r="AT52" i="176" a="1"/>
  <c r="AT52" i="176" s="1"/>
  <c r="AV52" i="176" a="1"/>
  <c r="AV52" i="176" s="1"/>
  <c r="BF52" i="176" a="1"/>
  <c r="BF52" i="176" s="1"/>
  <c r="T219" i="176" a="1"/>
  <c r="T219" i="176" s="1"/>
  <c r="AC219" i="176" a="1"/>
  <c r="AC219" i="176" s="1"/>
  <c r="Q219" i="176" a="1"/>
  <c r="Q219" i="176" s="1"/>
  <c r="AB219" i="176" a="1"/>
  <c r="AB219" i="176" s="1"/>
  <c r="R219" i="176" a="1"/>
  <c r="R219" i="176" s="1"/>
  <c r="AE219" i="176" a="1"/>
  <c r="AE219" i="176" s="1"/>
  <c r="AD219" i="176" a="1"/>
  <c r="AD219" i="176" s="1"/>
  <c r="U219" i="176" a="1"/>
  <c r="U219" i="176" s="1"/>
  <c r="Z219" i="176" a="1"/>
  <c r="Z219" i="176" s="1"/>
  <c r="AA219" i="176" a="1"/>
  <c r="AA219" i="176" s="1"/>
  <c r="N219" i="176" a="1"/>
  <c r="N219" i="176" s="1"/>
  <c r="AF219" i="176" a="1"/>
  <c r="AF219" i="176" s="1"/>
  <c r="O219" i="176" a="1"/>
  <c r="O219" i="176" s="1"/>
  <c r="AG219" i="176" a="1"/>
  <c r="AG219" i="176" s="1"/>
  <c r="AH219" i="176" a="1"/>
  <c r="AH219" i="176" s="1"/>
  <c r="V219" i="176" a="1"/>
  <c r="V219" i="176" s="1"/>
  <c r="AI219" i="176" a="1"/>
  <c r="AI219" i="176" s="1"/>
  <c r="W219" i="176" a="1"/>
  <c r="W219" i="176" s="1"/>
  <c r="P219" i="176" a="1"/>
  <c r="P219" i="176" s="1"/>
  <c r="S219" i="176" a="1"/>
  <c r="S219" i="176" s="1"/>
  <c r="Y219" i="176" a="1"/>
  <c r="Y219" i="176" s="1"/>
  <c r="X219" i="176" a="1"/>
  <c r="X219" i="176" s="1"/>
  <c r="Q195" i="176" a="1"/>
  <c r="Q195" i="176" s="1"/>
  <c r="AF195" i="176" a="1"/>
  <c r="AF195" i="176" s="1"/>
  <c r="R195" i="176" a="1"/>
  <c r="R195" i="176" s="1"/>
  <c r="Y195" i="176" a="1"/>
  <c r="Y195" i="176" s="1"/>
  <c r="AG195" i="176" a="1"/>
  <c r="AG195" i="176" s="1"/>
  <c r="N195" i="176" a="1"/>
  <c r="N195" i="176" s="1"/>
  <c r="W195" i="176" a="1"/>
  <c r="W195" i="176" s="1"/>
  <c r="AI195" i="176" a="1"/>
  <c r="AI195" i="176" s="1"/>
  <c r="Z195" i="176" a="1"/>
  <c r="Z195" i="176" s="1"/>
  <c r="AA195" i="176" a="1"/>
  <c r="AA195" i="176" s="1"/>
  <c r="AC195" i="176" a="1"/>
  <c r="AC195" i="176" s="1"/>
  <c r="U195" i="176" a="1"/>
  <c r="U195" i="176" s="1"/>
  <c r="V195" i="176" a="1"/>
  <c r="V195" i="176" s="1"/>
  <c r="AB195" i="176" a="1"/>
  <c r="AB195" i="176" s="1"/>
  <c r="O195" i="176" a="1"/>
  <c r="O195" i="176" s="1"/>
  <c r="P195" i="176" a="1"/>
  <c r="P195" i="176" s="1"/>
  <c r="S195" i="176" a="1"/>
  <c r="S195" i="176" s="1"/>
  <c r="T195" i="176" a="1"/>
  <c r="T195" i="176" s="1"/>
  <c r="X195" i="176" a="1"/>
  <c r="X195" i="176" s="1"/>
  <c r="AE195" i="176" a="1"/>
  <c r="AE195" i="176" s="1"/>
  <c r="AD195" i="176" a="1"/>
  <c r="AD195" i="176" s="1"/>
  <c r="AH195" i="176" a="1"/>
  <c r="AH195" i="176" s="1"/>
  <c r="O171" i="176" a="1"/>
  <c r="O171" i="176" s="1"/>
  <c r="P171" i="176" a="1"/>
  <c r="P171" i="176" s="1"/>
  <c r="AG171" i="176" a="1"/>
  <c r="AG171" i="176" s="1"/>
  <c r="U171" i="176" a="1"/>
  <c r="U171" i="176" s="1"/>
  <c r="AE171" i="176" a="1"/>
  <c r="AE171" i="176" s="1"/>
  <c r="V171" i="176" a="1"/>
  <c r="V171" i="176" s="1"/>
  <c r="AF171" i="176" a="1"/>
  <c r="AF171" i="176" s="1"/>
  <c r="Q171" i="176" a="1"/>
  <c r="Q171" i="176" s="1"/>
  <c r="AC171" i="176" a="1"/>
  <c r="AC171" i="176" s="1"/>
  <c r="R171" i="176" a="1"/>
  <c r="R171" i="176" s="1"/>
  <c r="N171" i="176" a="1"/>
  <c r="N171" i="176" s="1"/>
  <c r="AB171" i="176" a="1"/>
  <c r="AB171" i="176" s="1"/>
  <c r="AD171" i="176" a="1"/>
  <c r="AD171" i="176" s="1"/>
  <c r="AA171" i="176" a="1"/>
  <c r="AA171" i="176" s="1"/>
  <c r="AI171" i="176" a="1"/>
  <c r="AI171" i="176" s="1"/>
  <c r="T171" i="176" a="1"/>
  <c r="T171" i="176" s="1"/>
  <c r="S171" i="176" a="1"/>
  <c r="S171" i="176" s="1"/>
  <c r="X171" i="176" a="1"/>
  <c r="X171" i="176" s="1"/>
  <c r="Y171" i="176" a="1"/>
  <c r="Y171" i="176" s="1"/>
  <c r="W171" i="176" a="1"/>
  <c r="W171" i="176" s="1"/>
  <c r="Z171" i="176" a="1"/>
  <c r="Z171" i="176" s="1"/>
  <c r="AH171" i="176" a="1"/>
  <c r="AH171" i="176" s="1"/>
  <c r="AS80" i="176" a="1"/>
  <c r="AS80" i="176" s="1"/>
  <c r="AS98" i="176" a="1"/>
  <c r="AS98" i="176" s="1"/>
  <c r="AV98" i="176" a="1"/>
  <c r="AV98" i="176" s="1"/>
  <c r="BF98" i="176" a="1"/>
  <c r="BF98" i="176" s="1"/>
  <c r="AS86" i="176" a="1"/>
  <c r="AS86" i="176" s="1"/>
  <c r="BF86" i="176" a="1"/>
  <c r="BF86" i="176" s="1"/>
  <c r="AV86" i="176" a="1"/>
  <c r="AV86" i="176" s="1"/>
  <c r="AU62" i="176" a="1"/>
  <c r="AU62" i="176" s="1"/>
  <c r="AV62" i="176" a="1"/>
  <c r="AV62" i="176" s="1"/>
  <c r="BF62" i="176" a="1"/>
  <c r="BF62" i="176" s="1"/>
  <c r="X206" i="176" a="1"/>
  <c r="X206" i="176" s="1"/>
  <c r="AF206" i="176" a="1"/>
  <c r="AF206" i="176" s="1"/>
  <c r="AD206" i="176" a="1"/>
  <c r="AD206" i="176" s="1"/>
  <c r="AG206" i="176" a="1"/>
  <c r="AG206" i="176" s="1"/>
  <c r="N206" i="176" a="1"/>
  <c r="N206" i="176" s="1"/>
  <c r="W206" i="176" a="1"/>
  <c r="W206" i="176" s="1"/>
  <c r="Q206" i="176" a="1"/>
  <c r="Q206" i="176" s="1"/>
  <c r="Z206" i="176" a="1"/>
  <c r="Z206" i="176" s="1"/>
  <c r="AE206" i="176" a="1"/>
  <c r="AE206" i="176" s="1"/>
  <c r="R206" i="176" a="1"/>
  <c r="R206" i="176" s="1"/>
  <c r="AC206" i="176" a="1"/>
  <c r="AC206" i="176" s="1"/>
  <c r="T206" i="176" a="1"/>
  <c r="T206" i="176" s="1"/>
  <c r="AH206" i="176" a="1"/>
  <c r="AH206" i="176" s="1"/>
  <c r="V206" i="176" a="1"/>
  <c r="V206" i="176" s="1"/>
  <c r="Y206" i="176" a="1"/>
  <c r="Y206" i="176" s="1"/>
  <c r="AA206" i="176" a="1"/>
  <c r="AA206" i="176" s="1"/>
  <c r="S206" i="176" a="1"/>
  <c r="S206" i="176" s="1"/>
  <c r="U206" i="176" a="1"/>
  <c r="U206" i="176" s="1"/>
  <c r="AB206" i="176" a="1"/>
  <c r="AB206" i="176" s="1"/>
  <c r="AI206" i="176" a="1"/>
  <c r="AI206" i="176" s="1"/>
  <c r="O206" i="176" a="1"/>
  <c r="O206" i="176" s="1"/>
  <c r="P206" i="176" a="1"/>
  <c r="P206" i="176" s="1"/>
  <c r="X194" i="176" a="1"/>
  <c r="X194" i="176" s="1"/>
  <c r="Q194" i="176" a="1"/>
  <c r="Q194" i="176" s="1"/>
  <c r="Y194" i="176" a="1"/>
  <c r="Y194" i="176" s="1"/>
  <c r="AF194" i="176" a="1"/>
  <c r="AF194" i="176" s="1"/>
  <c r="AA194" i="176" a="1"/>
  <c r="AA194" i="176" s="1"/>
  <c r="S194" i="176" a="1"/>
  <c r="S194" i="176" s="1"/>
  <c r="AB194" i="176" a="1"/>
  <c r="AB194" i="176" s="1"/>
  <c r="U194" i="176" a="1"/>
  <c r="U194" i="176" s="1"/>
  <c r="AD194" i="176" a="1"/>
  <c r="AD194" i="176" s="1"/>
  <c r="W194" i="176" a="1"/>
  <c r="W194" i="176" s="1"/>
  <c r="AI194" i="176" a="1"/>
  <c r="AI194" i="176" s="1"/>
  <c r="O194" i="176" a="1"/>
  <c r="O194" i="176" s="1"/>
  <c r="N194" i="176" a="1"/>
  <c r="N194" i="176" s="1"/>
  <c r="AC194" i="176" a="1"/>
  <c r="AC194" i="176" s="1"/>
  <c r="P194" i="176" a="1"/>
  <c r="P194" i="176" s="1"/>
  <c r="AG194" i="176" a="1"/>
  <c r="AG194" i="176" s="1"/>
  <c r="R194" i="176" a="1"/>
  <c r="R194" i="176" s="1"/>
  <c r="T194" i="176" a="1"/>
  <c r="T194" i="176" s="1"/>
  <c r="Z194" i="176" a="1"/>
  <c r="Z194" i="176" s="1"/>
  <c r="AE194" i="176" a="1"/>
  <c r="AE194" i="176" s="1"/>
  <c r="AH194" i="176" a="1"/>
  <c r="AH194" i="176" s="1"/>
  <c r="V194" i="176" a="1"/>
  <c r="V194" i="176" s="1"/>
  <c r="T170" i="176" a="1"/>
  <c r="T170" i="176" s="1"/>
  <c r="AC170" i="176" a="1"/>
  <c r="AC170" i="176" s="1"/>
  <c r="V170" i="176" a="1"/>
  <c r="V170" i="176" s="1"/>
  <c r="Y170" i="176" a="1"/>
  <c r="Y170" i="176" s="1"/>
  <c r="N170" i="176" a="1"/>
  <c r="N170" i="176" s="1"/>
  <c r="Z170" i="176" a="1"/>
  <c r="Z170" i="176" s="1"/>
  <c r="AH170" i="176" a="1"/>
  <c r="AH170" i="176" s="1"/>
  <c r="AB170" i="176" a="1"/>
  <c r="AB170" i="176" s="1"/>
  <c r="P170" i="176" a="1"/>
  <c r="P170" i="176" s="1"/>
  <c r="W170" i="176" a="1"/>
  <c r="W170" i="176" s="1"/>
  <c r="X170" i="176" a="1"/>
  <c r="X170" i="176" s="1"/>
  <c r="AF170" i="176" a="1"/>
  <c r="AF170" i="176" s="1"/>
  <c r="R170" i="176" a="1"/>
  <c r="R170" i="176" s="1"/>
  <c r="Q170" i="176" a="1"/>
  <c r="Q170" i="176" s="1"/>
  <c r="O170" i="176" a="1"/>
  <c r="O170" i="176" s="1"/>
  <c r="S170" i="176" a="1"/>
  <c r="S170" i="176" s="1"/>
  <c r="U170" i="176" a="1"/>
  <c r="U170" i="176" s="1"/>
  <c r="AI170" i="176" a="1"/>
  <c r="AI170" i="176" s="1"/>
  <c r="AD170" i="176" a="1"/>
  <c r="AD170" i="176" s="1"/>
  <c r="AE170" i="176" a="1"/>
  <c r="AE170" i="176" s="1"/>
  <c r="AG170" i="176" a="1"/>
  <c r="AG170" i="176" s="1"/>
  <c r="AA170" i="176" a="1"/>
  <c r="AA170" i="176" s="1"/>
  <c r="W158" i="176" a="1"/>
  <c r="W158" i="176" s="1"/>
  <c r="O158" i="176" a="1"/>
  <c r="O158" i="176" s="1"/>
  <c r="X158" i="176" a="1"/>
  <c r="X158" i="176" s="1"/>
  <c r="AF158" i="176" a="1"/>
  <c r="AF158" i="176" s="1"/>
  <c r="P158" i="176" a="1"/>
  <c r="P158" i="176" s="1"/>
  <c r="Y158" i="176" a="1"/>
  <c r="Y158" i="176" s="1"/>
  <c r="U158" i="176" a="1"/>
  <c r="U158" i="176" s="1"/>
  <c r="AG158" i="176" a="1"/>
  <c r="AG158" i="176" s="1"/>
  <c r="AH158" i="176" a="1"/>
  <c r="AH158" i="176" s="1"/>
  <c r="N158" i="176" a="1"/>
  <c r="N158" i="176" s="1"/>
  <c r="AB158" i="176" a="1"/>
  <c r="AB158" i="176" s="1"/>
  <c r="AC158" i="176" a="1"/>
  <c r="AC158" i="176" s="1"/>
  <c r="T158" i="176" a="1"/>
  <c r="T158" i="176" s="1"/>
  <c r="Z158" i="176" a="1"/>
  <c r="Z158" i="176" s="1"/>
  <c r="AE158" i="176" a="1"/>
  <c r="AE158" i="176" s="1"/>
  <c r="AD158" i="176" a="1"/>
  <c r="AD158" i="176" s="1"/>
  <c r="Q158" i="176" a="1"/>
  <c r="Q158" i="176" s="1"/>
  <c r="S158" i="176" a="1"/>
  <c r="S158" i="176" s="1"/>
  <c r="R158" i="176" a="1"/>
  <c r="R158" i="176" s="1"/>
  <c r="AA158" i="176" a="1"/>
  <c r="AA158" i="176" s="1"/>
  <c r="AI158" i="176" a="1"/>
  <c r="AI158" i="176" s="1"/>
  <c r="V158" i="176" a="1"/>
  <c r="V158" i="176" s="1"/>
  <c r="S228" i="176" a="1"/>
  <c r="S228" i="176" s="1"/>
  <c r="AA228" i="176" a="1"/>
  <c r="AA228" i="176" s="1"/>
  <c r="AI228" i="176" a="1"/>
  <c r="AI228" i="176" s="1"/>
  <c r="AC228" i="176" a="1"/>
  <c r="AC228" i="176" s="1"/>
  <c r="R228" i="176" a="1"/>
  <c r="R228" i="176" s="1"/>
  <c r="T228" i="176" a="1"/>
  <c r="T228" i="176" s="1"/>
  <c r="AD228" i="176" a="1"/>
  <c r="AD228" i="176" s="1"/>
  <c r="U228" i="176" a="1"/>
  <c r="U228" i="176" s="1"/>
  <c r="AE228" i="176" a="1"/>
  <c r="AE228" i="176" s="1"/>
  <c r="W228" i="176" a="1"/>
  <c r="W228" i="176" s="1"/>
  <c r="Q228" i="176" a="1"/>
  <c r="Q228" i="176" s="1"/>
  <c r="AH228" i="176" a="1"/>
  <c r="AH228" i="176" s="1"/>
  <c r="V228" i="176" a="1"/>
  <c r="V228" i="176" s="1"/>
  <c r="X228" i="176" a="1"/>
  <c r="X228" i="176" s="1"/>
  <c r="P228" i="176" a="1"/>
  <c r="P228" i="176" s="1"/>
  <c r="AB228" i="176" a="1"/>
  <c r="AB228" i="176" s="1"/>
  <c r="Y228" i="176" a="1"/>
  <c r="Y228" i="176" s="1"/>
  <c r="AF228" i="176" a="1"/>
  <c r="AF228" i="176" s="1"/>
  <c r="Z228" i="176" a="1"/>
  <c r="Z228" i="176" s="1"/>
  <c r="AG228" i="176" a="1"/>
  <c r="AG228" i="176" s="1"/>
  <c r="N228" i="176" a="1"/>
  <c r="N228" i="176" s="1"/>
  <c r="O228" i="176" a="1"/>
  <c r="O228" i="176" s="1"/>
  <c r="X216" i="176" a="1"/>
  <c r="X216" i="176" s="1"/>
  <c r="AF216" i="176" a="1"/>
  <c r="AF216" i="176" s="1"/>
  <c r="T216" i="176" a="1"/>
  <c r="T216" i="176" s="1"/>
  <c r="AC216" i="176" a="1"/>
  <c r="AC216" i="176" s="1"/>
  <c r="U216" i="176" a="1"/>
  <c r="U216" i="176" s="1"/>
  <c r="AD216" i="176" a="1"/>
  <c r="AD216" i="176" s="1"/>
  <c r="N216" i="176" a="1"/>
  <c r="N216" i="176" s="1"/>
  <c r="W216" i="176" a="1"/>
  <c r="W216" i="176" s="1"/>
  <c r="AG216" i="176" a="1"/>
  <c r="AG216" i="176" s="1"/>
  <c r="Q216" i="176" a="1"/>
  <c r="Q216" i="176" s="1"/>
  <c r="R216" i="176" a="1"/>
  <c r="R216" i="176" s="1"/>
  <c r="AE216" i="176" a="1"/>
  <c r="AE216" i="176" s="1"/>
  <c r="V216" i="176" a="1"/>
  <c r="V216" i="176" s="1"/>
  <c r="AH216" i="176" a="1"/>
  <c r="AH216" i="176" s="1"/>
  <c r="AB216" i="176" a="1"/>
  <c r="AB216" i="176" s="1"/>
  <c r="O216" i="176" a="1"/>
  <c r="O216" i="176" s="1"/>
  <c r="P216" i="176" a="1"/>
  <c r="P216" i="176" s="1"/>
  <c r="AI216" i="176" a="1"/>
  <c r="AI216" i="176" s="1"/>
  <c r="Y216" i="176" a="1"/>
  <c r="Y216" i="176" s="1"/>
  <c r="Z216" i="176" a="1"/>
  <c r="Z216" i="176" s="1"/>
  <c r="S216" i="176" a="1"/>
  <c r="S216" i="176" s="1"/>
  <c r="AA216" i="176" a="1"/>
  <c r="AA216" i="176" s="1"/>
  <c r="U204" i="176" a="1"/>
  <c r="U204" i="176" s="1"/>
  <c r="W204" i="176" a="1"/>
  <c r="W204" i="176" s="1"/>
  <c r="P204" i="176" a="1"/>
  <c r="P204" i="176" s="1"/>
  <c r="X204" i="176" a="1"/>
  <c r="X204" i="176" s="1"/>
  <c r="AF204" i="176" a="1"/>
  <c r="AF204" i="176" s="1"/>
  <c r="R204" i="176" a="1"/>
  <c r="R204" i="176" s="1"/>
  <c r="AB204" i="176" a="1"/>
  <c r="AB204" i="176" s="1"/>
  <c r="S204" i="176" a="1"/>
  <c r="S204" i="176" s="1"/>
  <c r="AC204" i="176" a="1"/>
  <c r="AC204" i="176" s="1"/>
  <c r="AE204" i="176" a="1"/>
  <c r="AE204" i="176" s="1"/>
  <c r="V204" i="176" a="1"/>
  <c r="V204" i="176" s="1"/>
  <c r="Y204" i="176" a="1"/>
  <c r="Y204" i="176" s="1"/>
  <c r="Z204" i="176" a="1"/>
  <c r="Z204" i="176" s="1"/>
  <c r="O204" i="176" a="1"/>
  <c r="O204" i="176" s="1"/>
  <c r="AD204" i="176" a="1"/>
  <c r="AD204" i="176" s="1"/>
  <c r="AH204" i="176" a="1"/>
  <c r="AH204" i="176" s="1"/>
  <c r="N204" i="176" a="1"/>
  <c r="N204" i="176" s="1"/>
  <c r="AG204" i="176" a="1"/>
  <c r="AG204" i="176" s="1"/>
  <c r="AI204" i="176" a="1"/>
  <c r="AI204" i="176" s="1"/>
  <c r="Q204" i="176" a="1"/>
  <c r="Q204" i="176" s="1"/>
  <c r="T204" i="176" a="1"/>
  <c r="T204" i="176" s="1"/>
  <c r="AA204" i="176" a="1"/>
  <c r="AA204" i="176" s="1"/>
  <c r="P192" i="176" a="1"/>
  <c r="P192" i="176" s="1"/>
  <c r="W192" i="176" a="1"/>
  <c r="W192" i="176" s="1"/>
  <c r="Q192" i="176" a="1"/>
  <c r="Q192" i="176" s="1"/>
  <c r="X192" i="176" a="1"/>
  <c r="X192" i="176" s="1"/>
  <c r="AE192" i="176" a="1"/>
  <c r="AE192" i="176" s="1"/>
  <c r="R192" i="176" a="1"/>
  <c r="R192" i="176" s="1"/>
  <c r="Z192" i="176" a="1"/>
  <c r="Z192" i="176" s="1"/>
  <c r="AI192" i="176" a="1"/>
  <c r="AI192" i="176" s="1"/>
  <c r="S192" i="176" a="1"/>
  <c r="S192" i="176" s="1"/>
  <c r="AA192" i="176" a="1"/>
  <c r="AA192" i="176" s="1"/>
  <c r="AC192" i="176" a="1"/>
  <c r="AC192" i="176" s="1"/>
  <c r="T192" i="176" a="1"/>
  <c r="T192" i="176" s="1"/>
  <c r="AF192" i="176" a="1"/>
  <c r="AF192" i="176" s="1"/>
  <c r="U192" i="176" a="1"/>
  <c r="U192" i="176" s="1"/>
  <c r="Y192" i="176" a="1"/>
  <c r="Y192" i="176" s="1"/>
  <c r="AB192" i="176" a="1"/>
  <c r="AB192" i="176" s="1"/>
  <c r="N192" i="176" a="1"/>
  <c r="N192" i="176" s="1"/>
  <c r="V192" i="176" a="1"/>
  <c r="V192" i="176" s="1"/>
  <c r="AD192" i="176" a="1"/>
  <c r="AD192" i="176" s="1"/>
  <c r="AH192" i="176" a="1"/>
  <c r="AH192" i="176" s="1"/>
  <c r="AG192" i="176" a="1"/>
  <c r="AG192" i="176" s="1"/>
  <c r="O192" i="176" a="1"/>
  <c r="O192" i="176" s="1"/>
  <c r="X180" i="176" a="1"/>
  <c r="X180" i="176" s="1"/>
  <c r="AE180" i="176" a="1"/>
  <c r="AE180" i="176" s="1"/>
  <c r="Y180" i="176" a="1"/>
  <c r="Y180" i="176" s="1"/>
  <c r="AF180" i="176" a="1"/>
  <c r="AF180" i="176" s="1"/>
  <c r="AC180" i="176" a="1"/>
  <c r="AC180" i="176" s="1"/>
  <c r="N180" i="176" a="1"/>
  <c r="N180" i="176" s="1"/>
  <c r="V180" i="176" a="1"/>
  <c r="V180" i="176" s="1"/>
  <c r="R180" i="176" a="1"/>
  <c r="R180" i="176" s="1"/>
  <c r="S180" i="176" a="1"/>
  <c r="S180" i="176" s="1"/>
  <c r="AB180" i="176" a="1"/>
  <c r="AB180" i="176" s="1"/>
  <c r="T180" i="176" a="1"/>
  <c r="T180" i="176" s="1"/>
  <c r="U180" i="176" a="1"/>
  <c r="U180" i="176" s="1"/>
  <c r="AG180" i="176" a="1"/>
  <c r="AG180" i="176" s="1"/>
  <c r="Q180" i="176" a="1"/>
  <c r="Q180" i="176" s="1"/>
  <c r="AH180" i="176" a="1"/>
  <c r="AH180" i="176" s="1"/>
  <c r="AI180" i="176" a="1"/>
  <c r="AI180" i="176" s="1"/>
  <c r="AD180" i="176" a="1"/>
  <c r="AD180" i="176" s="1"/>
  <c r="O180" i="176" a="1"/>
  <c r="O180" i="176" s="1"/>
  <c r="P180" i="176" a="1"/>
  <c r="P180" i="176" s="1"/>
  <c r="AA180" i="176" a="1"/>
  <c r="AA180" i="176" s="1"/>
  <c r="W180" i="176" a="1"/>
  <c r="W180" i="176" s="1"/>
  <c r="Z180" i="176" a="1"/>
  <c r="Z180" i="176" s="1"/>
  <c r="U168" i="176" a="1"/>
  <c r="U168" i="176" s="1"/>
  <c r="AC168" i="176" a="1"/>
  <c r="AC168" i="176" s="1"/>
  <c r="V168" i="176" a="1"/>
  <c r="V168" i="176" s="1"/>
  <c r="AD168" i="176" a="1"/>
  <c r="AD168" i="176" s="1"/>
  <c r="W168" i="176" a="1"/>
  <c r="W168" i="176" s="1"/>
  <c r="X168" i="176" a="1"/>
  <c r="X168" i="176" s="1"/>
  <c r="AG168" i="176" a="1"/>
  <c r="AG168" i="176" s="1"/>
  <c r="Q168" i="176" a="1"/>
  <c r="Q168" i="176" s="1"/>
  <c r="AE168" i="176" a="1"/>
  <c r="AE168" i="176" s="1"/>
  <c r="R168" i="176" a="1"/>
  <c r="R168" i="176" s="1"/>
  <c r="AH168" i="176" a="1"/>
  <c r="AH168" i="176" s="1"/>
  <c r="S168" i="176" a="1"/>
  <c r="S168" i="176" s="1"/>
  <c r="AI168" i="176" a="1"/>
  <c r="AI168" i="176" s="1"/>
  <c r="AB168" i="176" a="1"/>
  <c r="AB168" i="176" s="1"/>
  <c r="AF168" i="176" a="1"/>
  <c r="AF168" i="176" s="1"/>
  <c r="P168" i="176" a="1"/>
  <c r="P168" i="176" s="1"/>
  <c r="Z168" i="176" a="1"/>
  <c r="Z168" i="176" s="1"/>
  <c r="AA168" i="176" a="1"/>
  <c r="AA168" i="176" s="1"/>
  <c r="T168" i="176" a="1"/>
  <c r="T168" i="176" s="1"/>
  <c r="N168" i="176" a="1"/>
  <c r="N168" i="176" s="1"/>
  <c r="O168" i="176" a="1"/>
  <c r="O168" i="176" s="1"/>
  <c r="Y168" i="176" a="1"/>
  <c r="Y168" i="176" s="1"/>
  <c r="AT65" i="176" a="1"/>
  <c r="AT65" i="176" s="1"/>
  <c r="AT119" i="176" a="1"/>
  <c r="AT119" i="176" s="1"/>
  <c r="BF119" i="176" a="1"/>
  <c r="BF119" i="176" s="1"/>
  <c r="AV119" i="176" a="1"/>
  <c r="AV119" i="176" s="1"/>
  <c r="AS107" i="176" a="1"/>
  <c r="AS107" i="176" s="1"/>
  <c r="AV107" i="176" a="1"/>
  <c r="AV107" i="176" s="1"/>
  <c r="BF107" i="176" a="1"/>
  <c r="BF107" i="176" s="1"/>
  <c r="AT95" i="176" a="1"/>
  <c r="AT95" i="176" s="1"/>
  <c r="BF95" i="176" a="1"/>
  <c r="BF95" i="176" s="1"/>
  <c r="AV95" i="176" a="1"/>
  <c r="AV95" i="176" s="1"/>
  <c r="AT83" i="176" a="1"/>
  <c r="AT83" i="176" s="1"/>
  <c r="AV83" i="176" a="1"/>
  <c r="AV83" i="176" s="1"/>
  <c r="BF83" i="176" a="1"/>
  <c r="BF83" i="176" s="1"/>
  <c r="BF71" i="176" a="1"/>
  <c r="BF71" i="176" s="1"/>
  <c r="AV71" i="176" a="1"/>
  <c r="AV71" i="176" s="1"/>
  <c r="BF59" i="176" a="1"/>
  <c r="BF59" i="176" s="1"/>
  <c r="AV59" i="176" a="1"/>
  <c r="AV59" i="176" s="1"/>
  <c r="BB31" i="176"/>
  <c r="AY28" i="176"/>
  <c r="AL25" i="176"/>
  <c r="AN24" i="176"/>
  <c r="AZ31" i="176"/>
  <c r="AX28" i="176"/>
  <c r="BD24" i="176"/>
  <c r="AM24" i="176"/>
  <c r="AL33" i="176"/>
  <c r="BC29" i="176"/>
  <c r="BC24" i="176"/>
  <c r="AR23" i="176"/>
  <c r="BD32" i="176"/>
  <c r="BB29" i="176"/>
  <c r="AX26" i="176"/>
  <c r="AM29" i="176"/>
  <c r="AY23" i="176"/>
  <c r="BC32" i="176"/>
  <c r="AN28" i="176"/>
  <c r="AR24" i="176"/>
  <c r="BB32" i="176"/>
  <c r="AY29" i="176"/>
  <c r="AY24" i="176"/>
  <c r="AZ32" i="176"/>
  <c r="AX29" i="176"/>
  <c r="AZ27" i="176"/>
  <c r="AX24" i="176"/>
  <c r="AN33" i="176"/>
  <c r="AN27" i="176"/>
  <c r="BB23" i="176"/>
  <c r="AY32" i="176"/>
  <c r="AL29" i="176"/>
  <c r="BC25" i="176"/>
  <c r="AM27" i="176"/>
  <c r="BC23" i="176"/>
  <c r="AX32" i="176"/>
  <c r="BD28" i="176"/>
  <c r="BB25" i="176"/>
  <c r="AN26" i="176"/>
  <c r="AR32" i="176"/>
  <c r="AL32" i="176"/>
  <c r="BC28" i="176"/>
  <c r="AZ25" i="176"/>
  <c r="AM32" i="176"/>
  <c r="AR31" i="176"/>
  <c r="BB33" i="176"/>
  <c r="BD31" i="176"/>
  <c r="AY30" i="176"/>
  <c r="BB28" i="176"/>
  <c r="BD26" i="176"/>
  <c r="AY25" i="176"/>
  <c r="AN31" i="176"/>
  <c r="AN25" i="176"/>
  <c r="AR30" i="176"/>
  <c r="AY33" i="176"/>
  <c r="AL30" i="176"/>
  <c r="BB26" i="176"/>
  <c r="AN30" i="176"/>
  <c r="AR28" i="176"/>
  <c r="AX33" i="176"/>
  <c r="BD29" i="176"/>
  <c r="AZ26" i="176"/>
  <c r="AM30" i="176"/>
  <c r="AR27" i="176"/>
  <c r="AY31" i="176"/>
  <c r="AL28" i="176"/>
  <c r="AY26" i="176"/>
  <c r="AN29" i="176"/>
  <c r="AR26" i="176"/>
  <c r="AX31" i="176"/>
  <c r="BD27" i="176"/>
  <c r="BB24" i="176"/>
  <c r="AR25" i="176"/>
  <c r="AZ29" i="176"/>
  <c r="BC27" i="176"/>
  <c r="AZ24" i="176"/>
  <c r="AX23" i="176"/>
  <c r="AL31" i="176"/>
  <c r="BB27" i="176"/>
  <c r="AL26" i="176"/>
  <c r="AM28" i="176"/>
  <c r="AZ23" i="176"/>
  <c r="BD30" i="176"/>
  <c r="BD25" i="176"/>
  <c r="BC30" i="176"/>
  <c r="AY27" i="176"/>
  <c r="AL24" i="176"/>
  <c r="AM33" i="176"/>
  <c r="AR33" i="176"/>
  <c r="BD33" i="176"/>
  <c r="BB30" i="176"/>
  <c r="AX27" i="176"/>
  <c r="AM23" i="176"/>
  <c r="AN32" i="176"/>
  <c r="BD23" i="176"/>
  <c r="BC33" i="176"/>
  <c r="AZ30" i="176"/>
  <c r="AL27" i="176"/>
  <c r="AN23" i="176"/>
  <c r="AM26" i="176"/>
  <c r="AZ33" i="176"/>
  <c r="BC31" i="176"/>
  <c r="AX30" i="176"/>
  <c r="AZ28" i="176"/>
  <c r="BC26" i="176"/>
  <c r="AX25" i="176"/>
  <c r="AM31" i="176"/>
  <c r="AM25" i="176"/>
  <c r="AR29" i="176"/>
  <c r="N23" i="176"/>
  <c r="Q23" i="176"/>
  <c r="P23" i="176"/>
  <c r="O23" i="176"/>
  <c r="BO34" i="177"/>
  <c r="BA34" i="177"/>
  <c r="AP36" i="177"/>
  <c r="AQ36" i="177"/>
  <c r="AY34" i="177"/>
  <c r="AZ34" i="177"/>
  <c r="AW34" i="177"/>
  <c r="AX34" i="177"/>
  <c r="AV34" i="177"/>
  <c r="AS36" i="177"/>
  <c r="AR36" i="177"/>
  <c r="N26" i="177"/>
  <c r="BH25" i="177"/>
  <c r="AW36" i="177"/>
  <c r="AY36" i="177"/>
  <c r="AX36" i="177"/>
  <c r="BA36" i="177"/>
  <c r="AV36" i="177"/>
  <c r="AZ36" i="177"/>
  <c r="BO36" i="177"/>
  <c r="AU36" i="177"/>
  <c r="AT36" i="177"/>
  <c r="BI25" i="177"/>
  <c r="J34" i="177"/>
  <c r="J26" i="177"/>
  <c r="O34" i="177"/>
  <c r="O26" i="177"/>
  <c r="BN26" i="177" s="1"/>
  <c r="BN25" i="177"/>
  <c r="BL12" i="177"/>
  <c r="BK12" i="177"/>
  <c r="BE25" i="177"/>
  <c r="BD12" i="177"/>
  <c r="G34" i="177"/>
  <c r="G26" i="177"/>
  <c r="BE26" i="177" s="1"/>
  <c r="BF25" i="177"/>
  <c r="M34" i="177"/>
  <c r="M26" i="177"/>
  <c r="BL25" i="177"/>
  <c r="BK25" i="177"/>
  <c r="BF12" i="177"/>
  <c r="F36" i="177"/>
  <c r="BJ12" i="177"/>
  <c r="BM25" i="177"/>
  <c r="BJ26" i="177"/>
  <c r="BH12" i="177"/>
  <c r="E34" i="177"/>
  <c r="E26" i="177"/>
  <c r="BD25" i="177"/>
  <c r="AH25" i="177"/>
  <c r="AH26" i="177" s="1"/>
  <c r="AL25" i="177"/>
  <c r="AL26" i="177" s="1"/>
  <c r="AO25" i="177"/>
  <c r="AO26" i="177" s="1"/>
  <c r="AI25" i="177"/>
  <c r="AI26" i="177" s="1"/>
  <c r="AN25" i="177"/>
  <c r="AN26" i="177" s="1"/>
  <c r="AM25" i="177"/>
  <c r="AM26" i="177" s="1"/>
  <c r="AG25" i="177"/>
  <c r="AG26" i="177" s="1"/>
  <c r="AF25" i="177"/>
  <c r="AF26" i="177" s="1"/>
  <c r="AK25" i="177"/>
  <c r="AK26" i="177" s="1"/>
  <c r="AE25" i="177"/>
  <c r="AE26" i="177" s="1"/>
  <c r="AJ25" i="177"/>
  <c r="AJ26" i="177" s="1"/>
  <c r="BM26" i="177"/>
  <c r="H36" i="177"/>
  <c r="K36" i="177"/>
  <c r="BE12" i="177"/>
  <c r="N36" i="177"/>
  <c r="BG25" i="177"/>
  <c r="BJ25" i="177"/>
  <c r="BI12" i="177"/>
  <c r="I36" i="177"/>
  <c r="BM12" i="177"/>
  <c r="BG12" i="177"/>
  <c r="AP101" i="176" a="1"/>
  <c r="AP101" i="176" s="1"/>
  <c r="AO73" i="176" a="1"/>
  <c r="AO73" i="176" s="1"/>
  <c r="AP107" i="176" a="1"/>
  <c r="AP107" i="176" s="1"/>
  <c r="AQ118" i="176" a="1"/>
  <c r="AQ118" i="176" s="1"/>
  <c r="AQ57" i="176" a="1"/>
  <c r="AQ57" i="176" s="1"/>
  <c r="AT50" i="176" a="1"/>
  <c r="AT50" i="176" s="1"/>
  <c r="AS94" i="176" a="1"/>
  <c r="AS94" i="176" s="1"/>
  <c r="AU61" i="176" a="1"/>
  <c r="AU61" i="176" s="1"/>
  <c r="AS61" i="176" a="1"/>
  <c r="AS61" i="176" s="1"/>
  <c r="AU57" i="176" a="1"/>
  <c r="AU57" i="176" s="1"/>
  <c r="AP94" i="176" a="1"/>
  <c r="AP94" i="176" s="1"/>
  <c r="AU80" i="176" a="1"/>
  <c r="AU80" i="176" s="1"/>
  <c r="AQ66" i="176" a="1"/>
  <c r="AQ66" i="176" s="1"/>
  <c r="AS77" i="176" a="1"/>
  <c r="AS77" i="176" s="1"/>
  <c r="AT102" i="176" a="1"/>
  <c r="AT102" i="176" s="1"/>
  <c r="AQ90" i="176" a="1"/>
  <c r="AQ90" i="176" s="1"/>
  <c r="AQ110" i="176" a="1"/>
  <c r="AQ110" i="176" s="1"/>
  <c r="AU97" i="176" a="1"/>
  <c r="AU97" i="176" s="1"/>
  <c r="AS93" i="176" a="1"/>
  <c r="AS93" i="176" s="1"/>
  <c r="AT54" i="176" a="1"/>
  <c r="AT54" i="176" s="1"/>
  <c r="AU88" i="176" a="1"/>
  <c r="AU88" i="176" s="1"/>
  <c r="AT81" i="176" a="1"/>
  <c r="AT81" i="176" s="1"/>
  <c r="AU66" i="176" a="1"/>
  <c r="AU66" i="176" s="1"/>
  <c r="AU60" i="176" a="1"/>
  <c r="AU60" i="176" s="1"/>
  <c r="AT115" i="176" a="1"/>
  <c r="AT115" i="176" s="1"/>
  <c r="AP106" i="176" a="1"/>
  <c r="AP106" i="176" s="1"/>
  <c r="AQ104" i="176" a="1"/>
  <c r="AQ104" i="176" s="1"/>
  <c r="AO93" i="176" a="1"/>
  <c r="AO93" i="176" s="1"/>
  <c r="AT88" i="176" a="1"/>
  <c r="AT88" i="176" s="1"/>
  <c r="AQ77" i="176" a="1"/>
  <c r="AQ77" i="176" s="1"/>
  <c r="AT60" i="176" a="1"/>
  <c r="AT60" i="176" s="1"/>
  <c r="AO104" i="176" a="1"/>
  <c r="AO104" i="176" s="1"/>
  <c r="AT96" i="176" a="1"/>
  <c r="AT96" i="176" s="1"/>
  <c r="AO81" i="176" a="1"/>
  <c r="AO81" i="176" s="1"/>
  <c r="AS90" i="176" a="1"/>
  <c r="AS90" i="176" s="1"/>
  <c r="AU72" i="176" a="1"/>
  <c r="AU72" i="176" s="1"/>
  <c r="AS57" i="176" a="1"/>
  <c r="AS57" i="176" s="1"/>
  <c r="AU118" i="176" a="1"/>
  <c r="AU118" i="176" s="1"/>
  <c r="AT113" i="176" a="1"/>
  <c r="AT113" i="176" s="1"/>
  <c r="AO120" i="176" a="1"/>
  <c r="AO120" i="176" s="1"/>
  <c r="AU119" i="176" a="1"/>
  <c r="AU119" i="176" s="1"/>
  <c r="AS99" i="176" a="1"/>
  <c r="AS99" i="176" s="1"/>
  <c r="AS72" i="176" a="1"/>
  <c r="AS72" i="176" s="1"/>
  <c r="AS119" i="176" a="1"/>
  <c r="AS119" i="176" s="1"/>
  <c r="AP114" i="176" a="1"/>
  <c r="AP114" i="176" s="1"/>
  <c r="AS105" i="176" a="1"/>
  <c r="AS105" i="176" s="1"/>
  <c r="AO97" i="176" a="1"/>
  <c r="AO97" i="176" s="1"/>
  <c r="AT93" i="176" a="1"/>
  <c r="AT93" i="176" s="1"/>
  <c r="AP88" i="176" a="1"/>
  <c r="AP88" i="176" s="1"/>
  <c r="AP61" i="176" a="1"/>
  <c r="AP61" i="176" s="1"/>
  <c r="AU52" i="176" a="1"/>
  <c r="AU52" i="176" s="1"/>
  <c r="AU55" i="176" a="1"/>
  <c r="AU55" i="176" s="1"/>
  <c r="AS113" i="176" a="1"/>
  <c r="AS113" i="176" s="1"/>
  <c r="AU89" i="176" a="1"/>
  <c r="AU89" i="176" s="1"/>
  <c r="AS87" i="176" a="1"/>
  <c r="AS87" i="176" s="1"/>
  <c r="AT62" i="176" a="1"/>
  <c r="AT62" i="176" s="1"/>
  <c r="AS55" i="176" a="1"/>
  <c r="AS55" i="176" s="1"/>
  <c r="AO117" i="176" a="1"/>
  <c r="AO117" i="176" s="1"/>
  <c r="AS116" i="176" a="1"/>
  <c r="AS116" i="176" s="1"/>
  <c r="AQ113" i="176" a="1"/>
  <c r="AQ113" i="176" s="1"/>
  <c r="AT110" i="176" a="1"/>
  <c r="AT110" i="176" s="1"/>
  <c r="AS96" i="176" a="1"/>
  <c r="AS96" i="176" s="1"/>
  <c r="AU77" i="176" a="1"/>
  <c r="AU77" i="176" s="1"/>
  <c r="AP62" i="176" a="1"/>
  <c r="AP62" i="176" s="1"/>
  <c r="AO55" i="176" a="1"/>
  <c r="AO55" i="176" s="1"/>
  <c r="AO110" i="176" a="1"/>
  <c r="AO110" i="176" s="1"/>
  <c r="AT97" i="176" a="1"/>
  <c r="AT97" i="176" s="1"/>
  <c r="AO102" i="176" a="1"/>
  <c r="AO102" i="176" s="1"/>
  <c r="AO115" i="176" a="1"/>
  <c r="AO115" i="176" s="1"/>
  <c r="AO112" i="176" a="1"/>
  <c r="AO112" i="176" s="1"/>
  <c r="AQ108" i="176" a="1"/>
  <c r="AQ108" i="176" s="1"/>
  <c r="AS103" i="176" a="1"/>
  <c r="AS103" i="176" s="1"/>
  <c r="AU95" i="176" a="1"/>
  <c r="AU95" i="176" s="1"/>
  <c r="AP92" i="176" a="1"/>
  <c r="AP92" i="176" s="1"/>
  <c r="AO90" i="176" a="1"/>
  <c r="AO90" i="176" s="1"/>
  <c r="AP79" i="176" a="1"/>
  <c r="AP79" i="176" s="1"/>
  <c r="AO79" i="176" a="1"/>
  <c r="AO79" i="176" s="1"/>
  <c r="AT74" i="176" a="1"/>
  <c r="AT74" i="176" s="1"/>
  <c r="AS74" i="176" a="1"/>
  <c r="AS74" i="176" s="1"/>
  <c r="AU74" i="176" a="1"/>
  <c r="AU74" i="176" s="1"/>
  <c r="AO74" i="176" a="1"/>
  <c r="AO74" i="176" s="1"/>
  <c r="AP74" i="176" a="1"/>
  <c r="AP74" i="176" s="1"/>
  <c r="AQ74" i="176" a="1"/>
  <c r="AQ74" i="176" s="1"/>
  <c r="AU68" i="176" a="1"/>
  <c r="AU68" i="176" s="1"/>
  <c r="AS68" i="176" a="1"/>
  <c r="AS68" i="176" s="1"/>
  <c r="AT68" i="176" a="1"/>
  <c r="AT68" i="176" s="1"/>
  <c r="AO60" i="176" a="1"/>
  <c r="AO60" i="176" s="1"/>
  <c r="AP60" i="176" a="1"/>
  <c r="AP60" i="176" s="1"/>
  <c r="AQ60" i="176" a="1"/>
  <c r="AQ60" i="176" s="1"/>
  <c r="AO59" i="176" a="1"/>
  <c r="AO59" i="176" s="1"/>
  <c r="AP59" i="176" a="1"/>
  <c r="AP59" i="176" s="1"/>
  <c r="AQ59" i="176" a="1"/>
  <c r="AQ59" i="176" s="1"/>
  <c r="AP68" i="176" a="1"/>
  <c r="AP68" i="176" s="1"/>
  <c r="AO68" i="176" a="1"/>
  <c r="AO68" i="176" s="1"/>
  <c r="AQ68" i="176" a="1"/>
  <c r="AQ68" i="176" s="1"/>
  <c r="AP80" i="176" a="1"/>
  <c r="AP80" i="176" s="1"/>
  <c r="AO80" i="176" a="1"/>
  <c r="AO80" i="176" s="1"/>
  <c r="AO54" i="176" a="1"/>
  <c r="AO54" i="176" s="1"/>
  <c r="AQ54" i="176" a="1"/>
  <c r="AQ54" i="176" s="1"/>
  <c r="AS79" i="176" a="1"/>
  <c r="AS79" i="176" s="1"/>
  <c r="AT79" i="176" a="1"/>
  <c r="AT79" i="176" s="1"/>
  <c r="AU79" i="176" a="1"/>
  <c r="AU79" i="176" s="1"/>
  <c r="AS71" i="176" a="1"/>
  <c r="AS71" i="176" s="1"/>
  <c r="AT71" i="176" a="1"/>
  <c r="AT71" i="176" s="1"/>
  <c r="AU71" i="176" a="1"/>
  <c r="AU71" i="176" s="1"/>
  <c r="AP65" i="176" a="1"/>
  <c r="AP65" i="176" s="1"/>
  <c r="AO65" i="176" a="1"/>
  <c r="AO65" i="176" s="1"/>
  <c r="AU63" i="176" a="1"/>
  <c r="AU63" i="176" s="1"/>
  <c r="AS63" i="176" a="1"/>
  <c r="AS63" i="176" s="1"/>
  <c r="AT63" i="176" a="1"/>
  <c r="AT63" i="176" s="1"/>
  <c r="AQ72" i="176" a="1"/>
  <c r="AQ72" i="176" s="1"/>
  <c r="AO71" i="176" a="1"/>
  <c r="AO71" i="176" s="1"/>
  <c r="AO51" i="176" a="1"/>
  <c r="AO51" i="176" s="1"/>
  <c r="AP56" i="176" a="1"/>
  <c r="AP56" i="176" s="1"/>
  <c r="AT80" i="176" a="1"/>
  <c r="AT80" i="176" s="1"/>
  <c r="AP70" i="176" a="1"/>
  <c r="AP70" i="176" s="1"/>
  <c r="AS66" i="176" a="1"/>
  <c r="AS66" i="176" s="1"/>
  <c r="AT59" i="176" a="1"/>
  <c r="AT59" i="176" s="1"/>
  <c r="AS54" i="176" a="1"/>
  <c r="AS54" i="176" s="1"/>
  <c r="AS52" i="176" a="1"/>
  <c r="AS52" i="176" s="1"/>
  <c r="AU78" i="176" a="1"/>
  <c r="AU78" i="176" s="1"/>
  <c r="AO77" i="176" a="1"/>
  <c r="AO77" i="176" s="1"/>
  <c r="AU64" i="176" a="1"/>
  <c r="AU64" i="176" s="1"/>
  <c r="AO63" i="176" a="1"/>
  <c r="AO63" i="176" s="1"/>
  <c r="AQ52" i="176" a="1"/>
  <c r="AQ52" i="176" s="1"/>
  <c r="AS78" i="176" a="1"/>
  <c r="AS78" i="176" s="1"/>
  <c r="AS69" i="176" a="1"/>
  <c r="AS69" i="176" s="1"/>
  <c r="AP66" i="176" a="1"/>
  <c r="AP66" i="176" s="1"/>
  <c r="AO57" i="176" a="1"/>
  <c r="AO57" i="176" s="1"/>
  <c r="AP73" i="176" a="1"/>
  <c r="AP73" i="176" s="1"/>
  <c r="AQ71" i="176" a="1"/>
  <c r="AQ71" i="176" s="1"/>
  <c r="AO69" i="176" a="1"/>
  <c r="AO69" i="176" s="1"/>
  <c r="AT67" i="176" a="1"/>
  <c r="AT67" i="176" s="1"/>
  <c r="AS62" i="176" a="1"/>
  <c r="AS62" i="176" s="1"/>
  <c r="AU58" i="176" a="1"/>
  <c r="AU58" i="176" s="1"/>
  <c r="AQ51" i="176" a="1"/>
  <c r="AQ51" i="176" s="1"/>
  <c r="AT108" i="176" a="1"/>
  <c r="AT108" i="176" s="1"/>
  <c r="AU108" i="176" a="1"/>
  <c r="AU108" i="176" s="1"/>
  <c r="AS108" i="176" a="1"/>
  <c r="AS108" i="176" s="1"/>
  <c r="AT111" i="176" a="1"/>
  <c r="AT111" i="176" s="1"/>
  <c r="AS111" i="176" a="1"/>
  <c r="AS111" i="176" s="1"/>
  <c r="AU111" i="176" a="1"/>
  <c r="AU111" i="176" s="1"/>
  <c r="AO99" i="176" a="1"/>
  <c r="AO99" i="176" s="1"/>
  <c r="AP99" i="176" a="1"/>
  <c r="AP99" i="176" s="1"/>
  <c r="AU84" i="176" a="1"/>
  <c r="AU84" i="176" s="1"/>
  <c r="AS84" i="176" a="1"/>
  <c r="AS84" i="176" s="1"/>
  <c r="AQ109" i="176" a="1"/>
  <c r="AQ109" i="176" s="1"/>
  <c r="AO109" i="176" a="1"/>
  <c r="AO109" i="176" s="1"/>
  <c r="AP109" i="176" a="1"/>
  <c r="AP109" i="176" s="1"/>
  <c r="AT106" i="176" a="1"/>
  <c r="AT106" i="176" s="1"/>
  <c r="AU106" i="176" a="1"/>
  <c r="AU106" i="176" s="1"/>
  <c r="AS106" i="176" a="1"/>
  <c r="AS106" i="176" s="1"/>
  <c r="AQ102" i="176" a="1"/>
  <c r="AQ102" i="176" s="1"/>
  <c r="AO94" i="176" a="1"/>
  <c r="AO94" i="176" s="1"/>
  <c r="AO89" i="176" a="1"/>
  <c r="AO89" i="176" s="1"/>
  <c r="AQ82" i="176" a="1"/>
  <c r="AQ82" i="176" s="1"/>
  <c r="AU87" i="176" a="1"/>
  <c r="AU87" i="176" s="1"/>
  <c r="AT118" i="176" a="1"/>
  <c r="AT118" i="176" s="1"/>
  <c r="AU114" i="176" a="1"/>
  <c r="AU114" i="176" s="1"/>
  <c r="AQ107" i="176" a="1"/>
  <c r="AQ107" i="176" s="1"/>
  <c r="AQ105" i="176" a="1"/>
  <c r="AQ105" i="176" s="1"/>
  <c r="AU101" i="176" a="1"/>
  <c r="AU101" i="176" s="1"/>
  <c r="AQ98" i="176" a="1"/>
  <c r="AQ98" i="176" s="1"/>
  <c r="AU94" i="176" a="1"/>
  <c r="AU94" i="176" s="1"/>
  <c r="AU91" i="176" a="1"/>
  <c r="AU91" i="176" s="1"/>
  <c r="AP82" i="176" a="1"/>
  <c r="AP82" i="176" s="1"/>
  <c r="AP81" i="176" a="1"/>
  <c r="AP81" i="176" s="1"/>
  <c r="AO105" i="176" a="1"/>
  <c r="AO105" i="176" s="1"/>
  <c r="AS101" i="176" a="1"/>
  <c r="AS101" i="176" s="1"/>
  <c r="AP98" i="176" a="1"/>
  <c r="AP98" i="176" s="1"/>
  <c r="AU92" i="176" a="1"/>
  <c r="AU92" i="176" s="1"/>
  <c r="AS91" i="176" a="1"/>
  <c r="AS91" i="176" s="1"/>
  <c r="AU103" i="176" a="1"/>
  <c r="AU103" i="176" s="1"/>
  <c r="AQ117" i="176" a="1"/>
  <c r="AQ117" i="176" s="1"/>
  <c r="AQ112" i="176" a="1"/>
  <c r="AQ112" i="176" s="1"/>
  <c r="AT120" i="176" a="1"/>
  <c r="AT120" i="176" s="1"/>
  <c r="AU109" i="176" a="1"/>
  <c r="AU109" i="176" s="1"/>
  <c r="AT105" i="176" a="1"/>
  <c r="AT105" i="176" s="1"/>
  <c r="AT100" i="176" a="1"/>
  <c r="AT100" i="176" s="1"/>
  <c r="AS95" i="176" a="1"/>
  <c r="AS95" i="176" s="1"/>
  <c r="AQ92" i="176" a="1"/>
  <c r="AQ92" i="176" s="1"/>
  <c r="AS89" i="176" a="1"/>
  <c r="AS89" i="176" s="1"/>
  <c r="AS100" i="176" a="1"/>
  <c r="AS100" i="176" s="1"/>
  <c r="AP89" i="176" a="1"/>
  <c r="AP89" i="176" s="1"/>
  <c r="AO85" i="176" a="1"/>
  <c r="AO85" i="176" s="1"/>
  <c r="AO78" i="176" a="1"/>
  <c r="AO78" i="176" s="1"/>
  <c r="AQ78" i="176" a="1"/>
  <c r="AQ78" i="176" s="1"/>
  <c r="AS76" i="176" a="1"/>
  <c r="AS76" i="176" s="1"/>
  <c r="AU76" i="176" a="1"/>
  <c r="AU76" i="176" s="1"/>
  <c r="AQ96" i="176" a="1"/>
  <c r="AQ96" i="176" s="1"/>
  <c r="AP95" i="176" a="1"/>
  <c r="AP95" i="176" s="1"/>
  <c r="AU86" i="176" a="1"/>
  <c r="AU86" i="176" s="1"/>
  <c r="AS115" i="176" a="1"/>
  <c r="AS115" i="176" s="1"/>
  <c r="AO114" i="176" a="1"/>
  <c r="AO114" i="176" s="1"/>
  <c r="AS110" i="176" a="1"/>
  <c r="AS110" i="176" s="1"/>
  <c r="AT109" i="176" a="1"/>
  <c r="AT109" i="176" s="1"/>
  <c r="AP108" i="176" a="1"/>
  <c r="AP108" i="176" s="1"/>
  <c r="AT104" i="176" a="1"/>
  <c r="AT104" i="176" s="1"/>
  <c r="AP103" i="176" a="1"/>
  <c r="AP103" i="176" s="1"/>
  <c r="AQ97" i="176" a="1"/>
  <c r="AQ97" i="176" s="1"/>
  <c r="AP87" i="176" a="1"/>
  <c r="AP87" i="176" s="1"/>
  <c r="AQ83" i="176" a="1"/>
  <c r="AQ83" i="176" s="1"/>
  <c r="AU82" i="176" a="1"/>
  <c r="AU82" i="176" s="1"/>
  <c r="AQ80" i="176" a="1"/>
  <c r="AQ80" i="176" s="1"/>
  <c r="AS121" i="176" a="1"/>
  <c r="AS121" i="176" s="1"/>
  <c r="AP119" i="176" a="1"/>
  <c r="AP119" i="176" s="1"/>
  <c r="AS120" i="176" a="1"/>
  <c r="AS120" i="176" s="1"/>
  <c r="AO119" i="176" a="1"/>
  <c r="AO119" i="176" s="1"/>
  <c r="AP118" i="176" a="1"/>
  <c r="AP118" i="176" s="1"/>
  <c r="AT114" i="176" a="1"/>
  <c r="AT114" i="176" s="1"/>
  <c r="AP113" i="176" a="1"/>
  <c r="AP113" i="176" s="1"/>
  <c r="AP96" i="176" a="1"/>
  <c r="AP96" i="176" s="1"/>
  <c r="AO95" i="176" a="1"/>
  <c r="AO95" i="176" s="1"/>
  <c r="AT92" i="176" a="1"/>
  <c r="AT92" i="176" s="1"/>
  <c r="AT86" i="176" a="1"/>
  <c r="AT86" i="176" s="1"/>
  <c r="AT84" i="176" a="1"/>
  <c r="AT84" i="176" s="1"/>
  <c r="AQ121" i="176" a="1"/>
  <c r="AQ121" i="176" s="1"/>
  <c r="AU112" i="176" a="1"/>
  <c r="AU112" i="176" s="1"/>
  <c r="AQ111" i="176" a="1"/>
  <c r="AQ111" i="176" s="1"/>
  <c r="AU107" i="176" a="1"/>
  <c r="AU107" i="176" s="1"/>
  <c r="AQ106" i="176" a="1"/>
  <c r="AQ106" i="176" s="1"/>
  <c r="AS104" i="176" a="1"/>
  <c r="AS104" i="176" s="1"/>
  <c r="AO103" i="176" a="1"/>
  <c r="AO103" i="176" s="1"/>
  <c r="AU102" i="176" a="1"/>
  <c r="AU102" i="176" s="1"/>
  <c r="AQ101" i="176" a="1"/>
  <c r="AQ101" i="176" s="1"/>
  <c r="AQ99" i="176" a="1"/>
  <c r="AQ99" i="176" s="1"/>
  <c r="AQ88" i="176" a="1"/>
  <c r="AQ88" i="176" s="1"/>
  <c r="AO87" i="176" a="1"/>
  <c r="AO87" i="176" s="1"/>
  <c r="AQ85" i="176" a="1"/>
  <c r="AQ85" i="176" s="1"/>
  <c r="AP83" i="176" a="1"/>
  <c r="AP83" i="176" s="1"/>
  <c r="AS82" i="176" a="1"/>
  <c r="AS82" i="176" s="1"/>
  <c r="AT76" i="176" a="1"/>
  <c r="AT76" i="176" s="1"/>
  <c r="AT73" i="176" a="1"/>
  <c r="AT73" i="176" s="1"/>
  <c r="AU73" i="176" a="1"/>
  <c r="AU73" i="176" s="1"/>
  <c r="AS73" i="176" a="1"/>
  <c r="AS73" i="176" s="1"/>
  <c r="AP78" i="176" a="1"/>
  <c r="AP78" i="176" s="1"/>
  <c r="AT75" i="176" a="1"/>
  <c r="AT75" i="176" s="1"/>
  <c r="AU75" i="176" a="1"/>
  <c r="AU75" i="176" s="1"/>
  <c r="AU117" i="176" a="1"/>
  <c r="AU117" i="176" s="1"/>
  <c r="AQ116" i="176" a="1"/>
  <c r="AQ116" i="176" s="1"/>
  <c r="AT112" i="176" a="1"/>
  <c r="AT112" i="176" s="1"/>
  <c r="AT107" i="176" a="1"/>
  <c r="AT107" i="176" s="1"/>
  <c r="AQ100" i="176" a="1"/>
  <c r="AQ100" i="176" s="1"/>
  <c r="AU98" i="176" a="1"/>
  <c r="AU98" i="176" s="1"/>
  <c r="AP100" i="176" a="1"/>
  <c r="AP100" i="176" s="1"/>
  <c r="AU99" i="176" a="1"/>
  <c r="AU99" i="176" s="1"/>
  <c r="AQ93" i="176" a="1"/>
  <c r="AQ93" i="176" s="1"/>
  <c r="AQ91" i="176" a="1"/>
  <c r="AQ91" i="176" s="1"/>
  <c r="AU85" i="176" a="1"/>
  <c r="AU85" i="176" s="1"/>
  <c r="AU83" i="176" a="1"/>
  <c r="AU83" i="176" s="1"/>
  <c r="AP75" i="176" a="1"/>
  <c r="AP75" i="176" s="1"/>
  <c r="AQ75" i="176" a="1"/>
  <c r="AQ75" i="176" s="1"/>
  <c r="AO75" i="176" a="1"/>
  <c r="AO75" i="176" s="1"/>
  <c r="AT117" i="176" a="1"/>
  <c r="AT117" i="176" s="1"/>
  <c r="AU116" i="176" a="1"/>
  <c r="AU116" i="176" s="1"/>
  <c r="AP116" i="176" a="1"/>
  <c r="AP116" i="176" s="1"/>
  <c r="AQ115" i="176" a="1"/>
  <c r="AQ115" i="176" s="1"/>
  <c r="AP111" i="176" a="1"/>
  <c r="AP111" i="176" s="1"/>
  <c r="AT121" i="176" a="1"/>
  <c r="AT121" i="176" s="1"/>
  <c r="AO121" i="176" a="1"/>
  <c r="AO121" i="176" s="1"/>
  <c r="AP120" i="176" a="1"/>
  <c r="AP120" i="176" s="1"/>
  <c r="AT98" i="176" a="1"/>
  <c r="AT98" i="176" s="1"/>
  <c r="AP86" i="176" a="1"/>
  <c r="AP86" i="176" s="1"/>
  <c r="AT85" i="176" a="1"/>
  <c r="AT85" i="176" s="1"/>
  <c r="AP91" i="176" a="1"/>
  <c r="AP91" i="176" s="1"/>
  <c r="AT90" i="176" a="1"/>
  <c r="AT90" i="176" s="1"/>
  <c r="AQ84" i="176" a="1"/>
  <c r="AQ84" i="176" s="1"/>
  <c r="AS83" i="176" a="1"/>
  <c r="AS83" i="176" s="1"/>
  <c r="AU81" i="176" a="1"/>
  <c r="AU81" i="176" s="1"/>
  <c r="AQ79" i="176" a="1"/>
  <c r="AQ79" i="176" s="1"/>
  <c r="AQ76" i="176" a="1"/>
  <c r="AQ76" i="176" s="1"/>
  <c r="AP76" i="176" a="1"/>
  <c r="AP76" i="176" s="1"/>
  <c r="AO86" i="176" a="1"/>
  <c r="AO86" i="176" s="1"/>
  <c r="AP84" i="176" a="1"/>
  <c r="AP84" i="176" s="1"/>
  <c r="AQ69" i="176" a="1"/>
  <c r="AQ69" i="176" s="1"/>
  <c r="AU67" i="176" a="1"/>
  <c r="AU67" i="176" s="1"/>
  <c r="AS64" i="176" a="1"/>
  <c r="AS64" i="176" s="1"/>
  <c r="AQ61" i="176" a="1"/>
  <c r="AQ61" i="176" s="1"/>
  <c r="AU59" i="176" a="1"/>
  <c r="AU59" i="176" s="1"/>
  <c r="AO58" i="176" a="1"/>
  <c r="AO58" i="176" s="1"/>
  <c r="AS56" i="176" a="1"/>
  <c r="AS56" i="176" s="1"/>
  <c r="AQ53" i="176" a="1"/>
  <c r="AQ53" i="176" s="1"/>
  <c r="AU50" i="176" a="1"/>
  <c r="AU50" i="176" s="1"/>
  <c r="AQ70" i="176" a="1"/>
  <c r="AQ70" i="176" s="1"/>
  <c r="AO67" i="176" a="1"/>
  <c r="AO67" i="176" s="1"/>
  <c r="AS65" i="176" a="1"/>
  <c r="AS65" i="176" s="1"/>
  <c r="AQ62" i="176" a="1"/>
  <c r="AQ62" i="176" s="1"/>
  <c r="AT58" i="176" a="1"/>
  <c r="AT58" i="176" s="1"/>
  <c r="AP52" i="176" a="1"/>
  <c r="AP52" i="176" s="1"/>
  <c r="AU51" i="176" a="1"/>
  <c r="AU51" i="176" s="1"/>
  <c r="AU69" i="176" a="1"/>
  <c r="AU69" i="176" s="1"/>
  <c r="AQ63" i="176" a="1"/>
  <c r="AQ63" i="176" s="1"/>
  <c r="AP53" i="176" a="1"/>
  <c r="AP53" i="176" s="1"/>
  <c r="AQ55" i="176" a="1"/>
  <c r="AQ55" i="176" s="1"/>
  <c r="AP54" i="176" a="1"/>
  <c r="AP54" i="176" s="1"/>
  <c r="AU53" i="176" a="1"/>
  <c r="AU53" i="176" s="1"/>
  <c r="AT51" i="176" a="1"/>
  <c r="AT51" i="176" s="1"/>
  <c r="AU70" i="176" a="1"/>
  <c r="AU70" i="176" s="1"/>
  <c r="AQ64" i="176" a="1"/>
  <c r="AQ64" i="176" s="1"/>
  <c r="AQ56" i="176" a="1"/>
  <c r="AQ56" i="176" s="1"/>
  <c r="AP72" i="176" a="1"/>
  <c r="AP72" i="176" s="1"/>
  <c r="AT70" i="176" a="1"/>
  <c r="AT70" i="176" s="1"/>
  <c r="AQ65" i="176" a="1"/>
  <c r="AQ65" i="176" s="1"/>
  <c r="AP64" i="176" a="1"/>
  <c r="AP64" i="176" s="1"/>
  <c r="AT53" i="176" a="1"/>
  <c r="AT53" i="176" s="1"/>
  <c r="AQ58" i="176" a="1"/>
  <c r="AQ58" i="176" s="1"/>
  <c r="AQ67" i="176" a="1"/>
  <c r="AQ67" i="176" s="1"/>
  <c r="AU56" i="176" a="1"/>
  <c r="AU56" i="176" s="1"/>
  <c r="AQ50" i="176" a="1"/>
  <c r="AQ50" i="176" s="1"/>
  <c r="AU65" i="176" a="1"/>
  <c r="AU65" i="176" s="1"/>
  <c r="AP50" i="176" a="1"/>
  <c r="AP50" i="176" s="1"/>
  <c r="O229" i="176" a="1"/>
  <c r="O229" i="176" s="1"/>
  <c r="T229" i="176" a="1"/>
  <c r="T229" i="176" s="1"/>
  <c r="Y229" i="176" a="1"/>
  <c r="Y229" i="176" s="1"/>
  <c r="N229" i="176" a="1"/>
  <c r="N229" i="176" s="1"/>
  <c r="S229" i="176" a="1"/>
  <c r="S229" i="176" s="1"/>
  <c r="AH229" i="176" a="1"/>
  <c r="AH229" i="176" s="1"/>
  <c r="AC229" i="176" a="1"/>
  <c r="AC229" i="176" s="1"/>
  <c r="W229" i="176" a="1"/>
  <c r="W229" i="176" s="1"/>
  <c r="P229" i="176" a="1"/>
  <c r="P229" i="176" s="1"/>
  <c r="AG229" i="176" a="1"/>
  <c r="AG229" i="176" s="1"/>
  <c r="AB229" i="176" a="1"/>
  <c r="AB229" i="176" s="1"/>
  <c r="V229" i="176" a="1"/>
  <c r="V229" i="176" s="1"/>
  <c r="AF229" i="176" a="1"/>
  <c r="AF229" i="176" s="1"/>
  <c r="AA229" i="176" a="1"/>
  <c r="AA229" i="176" s="1"/>
  <c r="U229" i="176" a="1"/>
  <c r="U229" i="176" s="1"/>
  <c r="AE229" i="176" a="1"/>
  <c r="AE229" i="176" s="1"/>
  <c r="Z229" i="176" a="1"/>
  <c r="Z229" i="176" s="1"/>
  <c r="R229" i="176" a="1"/>
  <c r="R229" i="176" s="1"/>
  <c r="AI229" i="176" a="1"/>
  <c r="AI229" i="176" s="1"/>
  <c r="AD229" i="176" a="1"/>
  <c r="AD229" i="176" s="1"/>
  <c r="X229" i="176" a="1"/>
  <c r="X229" i="176" s="1"/>
  <c r="Q229" i="176" a="1"/>
  <c r="Q229" i="176" s="1"/>
  <c r="O127" i="176"/>
  <c r="AG230" i="176" a="1"/>
  <c r="AG230" i="176" s="1"/>
  <c r="AA230" i="176" a="1"/>
  <c r="AA230" i="176" s="1"/>
  <c r="U230" i="176" a="1"/>
  <c r="U230" i="176" s="1"/>
  <c r="P230" i="176" a="1"/>
  <c r="P230" i="176" s="1"/>
  <c r="AI230" i="176" a="1"/>
  <c r="AI230" i="176" s="1"/>
  <c r="AD230" i="176" a="1"/>
  <c r="AD230" i="176" s="1"/>
  <c r="X230" i="176" a="1"/>
  <c r="X230" i="176" s="1"/>
  <c r="R230" i="176" a="1"/>
  <c r="R230" i="176" s="1"/>
  <c r="AH230" i="176" a="1"/>
  <c r="AH230" i="176" s="1"/>
  <c r="AC230" i="176" a="1"/>
  <c r="AC230" i="176" s="1"/>
  <c r="V230" i="176" a="1"/>
  <c r="V230" i="176" s="1"/>
  <c r="Q230" i="176" a="1"/>
  <c r="Q230" i="176" s="1"/>
  <c r="AF230" i="176" a="1"/>
  <c r="AF230" i="176" s="1"/>
  <c r="Z230" i="176" a="1"/>
  <c r="Z230" i="176" s="1"/>
  <c r="T230" i="176" a="1"/>
  <c r="T230" i="176" s="1"/>
  <c r="O230" i="176" a="1"/>
  <c r="O230" i="176" s="1"/>
  <c r="AE230" i="176" a="1"/>
  <c r="AE230" i="176" s="1"/>
  <c r="Y230" i="176" a="1"/>
  <c r="Y230" i="176" s="1"/>
  <c r="S230" i="176" a="1"/>
  <c r="S230" i="176" s="1"/>
  <c r="AQ41" i="176" a="1"/>
  <c r="AP44" i="176" a="1"/>
  <c r="AQ38" i="176" a="1"/>
  <c r="AT42" i="176" a="1"/>
  <c r="AP38" i="176" a="1"/>
  <c r="AP42" i="176" a="1"/>
  <c r="AU47" i="176" a="1"/>
  <c r="AU37" i="176" a="1"/>
  <c r="AU41" i="176" a="1"/>
  <c r="AO49" i="176" a="1"/>
  <c r="AP41" i="176" a="1"/>
  <c r="AO44" i="176" a="1"/>
  <c r="AS35" i="176" a="1"/>
  <c r="AU39" i="176" a="1"/>
  <c r="AQ36" i="176" a="1"/>
  <c r="AQ42" i="176" a="1"/>
  <c r="AP37" i="176" a="1"/>
  <c r="AT39" i="176" a="1"/>
  <c r="AS45" i="176" a="1"/>
  <c r="AO43" i="176" a="1"/>
  <c r="AO38" i="176" a="1"/>
  <c r="AS41" i="176" a="1"/>
  <c r="AU46" i="176" a="1"/>
  <c r="AT43" i="176" a="1"/>
  <c r="AQ43" i="176" a="1"/>
  <c r="AO39" i="176" a="1"/>
  <c r="AT35" i="176" a="1"/>
  <c r="AP35" i="176" a="1"/>
  <c r="AQ47" i="176" a="1"/>
  <c r="AO42" i="176" a="1"/>
  <c r="AS38" i="176" a="1"/>
  <c r="AS46" i="176" a="1"/>
  <c r="AS43" i="176" a="1"/>
  <c r="AO47" i="176" a="1"/>
  <c r="AQ35" i="176" a="1"/>
  <c r="AO34" i="176" a="1"/>
  <c r="AS42" i="176" a="1"/>
  <c r="AU38" i="176" a="1"/>
  <c r="AO45" i="176" a="1"/>
  <c r="AP48" i="176" a="1"/>
  <c r="AQ48" i="176" a="1"/>
  <c r="AU44" i="176" a="1"/>
  <c r="AT47" i="176" a="1"/>
  <c r="AQ46" i="176" a="1"/>
  <c r="AT46" i="176" a="1"/>
  <c r="AO41" i="176" a="1"/>
  <c r="AO35" i="176" a="1"/>
  <c r="AQ40" i="176" a="1"/>
  <c r="AQ37" i="176" a="1"/>
  <c r="AP40" i="176" a="1"/>
  <c r="AP49" i="176" a="1"/>
  <c r="AP47" i="176" a="1"/>
  <c r="AO46" i="176" a="1"/>
  <c r="AP45" i="176" a="1"/>
  <c r="AU40" i="176" a="1"/>
  <c r="AP46" i="176" a="1"/>
  <c r="AS48" i="176" a="1"/>
  <c r="AQ44" i="176" a="1"/>
  <c r="AP43" i="176" a="1"/>
  <c r="AO40" i="176" a="1"/>
  <c r="AT37" i="176" a="1"/>
  <c r="AT40" i="176" a="1"/>
  <c r="AO36" i="176" a="1"/>
  <c r="AP34" i="176" a="1"/>
  <c r="AO37" i="176" a="1"/>
  <c r="AQ49" i="176" a="1"/>
  <c r="AU48" i="176" a="1"/>
  <c r="AT36" i="176" a="1"/>
  <c r="AQ45" i="176" a="1"/>
  <c r="AP39" i="176" a="1"/>
  <c r="AO48" i="176" a="1"/>
  <c r="AT44" i="176" a="1"/>
  <c r="AS49" i="176" a="1"/>
  <c r="AP36" i="176" a="1"/>
  <c r="AP25" i="176" a="1"/>
  <c r="AO26" i="176" a="1"/>
  <c r="AO23" i="176" a="1"/>
  <c r="AQ23" i="176" a="1"/>
  <c r="AO24" i="176" a="1"/>
  <c r="AO33" i="176" a="1"/>
  <c r="AS33" i="176" a="1"/>
  <c r="AP23" i="176" a="1"/>
  <c r="AO27" i="176" a="1"/>
  <c r="AQ29" i="176" a="1"/>
  <c r="AO25" i="176" a="1"/>
  <c r="AU33" i="176" a="1"/>
  <c r="AT25" i="176" a="1"/>
  <c r="AQ25" i="176" a="1"/>
  <c r="AQ31" i="176" a="1"/>
  <c r="AQ27" i="176" a="1"/>
  <c r="AP32" i="176" a="1"/>
  <c r="AS25" i="176" a="1"/>
  <c r="AS29" i="176" a="1"/>
  <c r="AP33" i="176" a="1"/>
  <c r="AQ33" i="176" a="1"/>
  <c r="AO32" i="176" a="1"/>
  <c r="AT29" i="176" a="1"/>
  <c r="AT27" i="176" a="1"/>
  <c r="AO28" i="176" a="1"/>
  <c r="AU32" i="176" a="1"/>
  <c r="AP27" i="176" a="1"/>
  <c r="AQ28" i="176" a="1"/>
  <c r="AO31" i="176" a="1"/>
  <c r="AP31" i="176" a="1"/>
  <c r="AS24" i="176" a="1"/>
  <c r="AS27" i="176" a="1"/>
  <c r="AU25" i="176" a="1"/>
  <c r="AT31" i="176" a="1"/>
  <c r="AT32" i="176" a="1"/>
  <c r="AU29" i="176" a="1"/>
  <c r="AS26" i="176" a="1"/>
  <c r="AQ26" i="176" a="1"/>
  <c r="AP26" i="176" a="1"/>
  <c r="AQ24" i="176" a="1"/>
  <c r="AU27" i="176" a="1"/>
  <c r="AP29" i="176" a="1"/>
  <c r="AT26" i="176" a="1"/>
  <c r="AQ30" i="176" a="1"/>
  <c r="AT28" i="176" a="1"/>
  <c r="N144" i="176" a="1"/>
  <c r="N143" i="176" a="1"/>
  <c r="N140" i="176" a="1"/>
  <c r="N153" i="176" a="1"/>
  <c r="N151" i="176" a="1"/>
  <c r="N150" i="176" a="1"/>
  <c r="N154" i="176" a="1"/>
  <c r="N146" i="176" a="1"/>
  <c r="N138" i="176" a="1"/>
  <c r="N155" i="176" a="1"/>
  <c r="N135" i="176" a="1"/>
  <c r="N137" i="176" a="1"/>
  <c r="N133" i="176" a="1"/>
  <c r="N130" i="176" a="1"/>
  <c r="N148" i="176" a="1"/>
  <c r="N142" i="176" a="1"/>
  <c r="N134" i="176" a="1"/>
  <c r="N145" i="176" a="1"/>
  <c r="N152" i="176" a="1"/>
  <c r="N149" i="176" a="1"/>
  <c r="N136" i="176" a="1"/>
  <c r="N147" i="176" a="1"/>
  <c r="N131" i="176" a="1"/>
  <c r="N139" i="176" a="1"/>
  <c r="N156" i="176" a="1"/>
  <c r="N141" i="176" a="1"/>
  <c r="N132" i="176" a="1"/>
  <c r="AP36" i="176" l="1"/>
  <c r="AS49" i="176"/>
  <c r="AT44" i="176"/>
  <c r="AO48" i="176"/>
  <c r="AP39" i="176"/>
  <c r="AQ45" i="176"/>
  <c r="AT36" i="176"/>
  <c r="AU48" i="176"/>
  <c r="AQ49" i="176"/>
  <c r="AO37" i="176"/>
  <c r="AP34" i="176"/>
  <c r="AO36" i="176"/>
  <c r="AT40" i="176"/>
  <c r="AT37" i="176"/>
  <c r="AO40" i="176"/>
  <c r="AP43" i="176"/>
  <c r="AQ44" i="176"/>
  <c r="AS48" i="176"/>
  <c r="AP46" i="176"/>
  <c r="AU40" i="176"/>
  <c r="AP45" i="176"/>
  <c r="AO46" i="176"/>
  <c r="AP47" i="176"/>
  <c r="AP49" i="176"/>
  <c r="AP40" i="176"/>
  <c r="AQ37" i="176"/>
  <c r="AQ40" i="176"/>
  <c r="AO35" i="176"/>
  <c r="AO41" i="176"/>
  <c r="AT46" i="176"/>
  <c r="AQ46" i="176"/>
  <c r="AT47" i="176"/>
  <c r="AU44" i="176"/>
  <c r="AQ48" i="176"/>
  <c r="AP48" i="176"/>
  <c r="AO45" i="176"/>
  <c r="AU38" i="176"/>
  <c r="AS42" i="176"/>
  <c r="AO34" i="176"/>
  <c r="AQ35" i="176"/>
  <c r="AO47" i="176"/>
  <c r="AS43" i="176"/>
  <c r="AS46" i="176"/>
  <c r="AS38" i="176"/>
  <c r="AO42" i="176"/>
  <c r="AQ47" i="176"/>
  <c r="AP35" i="176"/>
  <c r="AT35" i="176"/>
  <c r="AO39" i="176"/>
  <c r="AQ43" i="176"/>
  <c r="AT43" i="176"/>
  <c r="AU46" i="176"/>
  <c r="AS41" i="176"/>
  <c r="AO38" i="176"/>
  <c r="AO43" i="176"/>
  <c r="AS45" i="176"/>
  <c r="AT39" i="176"/>
  <c r="AP37" i="176"/>
  <c r="AQ42" i="176"/>
  <c r="AQ36" i="176"/>
  <c r="AU39" i="176"/>
  <c r="AS35" i="176"/>
  <c r="AO44" i="176"/>
  <c r="AP41" i="176"/>
  <c r="AO49" i="176"/>
  <c r="AU41" i="176"/>
  <c r="AU37" i="176"/>
  <c r="AU47" i="176"/>
  <c r="AP42" i="176"/>
  <c r="AP38" i="176"/>
  <c r="AT42" i="176"/>
  <c r="AQ38" i="176"/>
  <c r="AP44" i="176"/>
  <c r="AQ41" i="176"/>
  <c r="AX16" i="176"/>
  <c r="AY16" i="176"/>
  <c r="BB15" i="176"/>
  <c r="AA11" i="121" s="1"/>
  <c r="AY17" i="176"/>
  <c r="AZ15" i="176"/>
  <c r="BB14" i="176"/>
  <c r="AB11" i="121" s="1"/>
  <c r="BD17" i="176"/>
  <c r="Y13" i="121" s="1"/>
  <c r="AX14" i="176"/>
  <c r="BB18" i="176"/>
  <c r="X11" i="121" s="1"/>
  <c r="AX17" i="176"/>
  <c r="BC17" i="176"/>
  <c r="Y12" i="121" s="1"/>
  <c r="AZ16" i="176"/>
  <c r="AT28" i="176"/>
  <c r="AQ30" i="176"/>
  <c r="AT26" i="176"/>
  <c r="AP29" i="176"/>
  <c r="AU27" i="176"/>
  <c r="AQ24" i="176"/>
  <c r="AP26" i="176"/>
  <c r="AQ26" i="176"/>
  <c r="AS26" i="176"/>
  <c r="AU29" i="176"/>
  <c r="AT32" i="176"/>
  <c r="AT31" i="176"/>
  <c r="AU25" i="176"/>
  <c r="AS27" i="176"/>
  <c r="AS24" i="176"/>
  <c r="AP31" i="176"/>
  <c r="AO31" i="176"/>
  <c r="AQ28" i="176"/>
  <c r="AP27" i="176"/>
  <c r="AU32" i="176"/>
  <c r="AO28" i="176"/>
  <c r="AT27" i="176"/>
  <c r="AT29" i="176"/>
  <c r="AO32" i="176"/>
  <c r="AQ33" i="176"/>
  <c r="AP33" i="176"/>
  <c r="AS29" i="176"/>
  <c r="AS25" i="176"/>
  <c r="AP32" i="176"/>
  <c r="AQ27" i="176"/>
  <c r="AQ31" i="176"/>
  <c r="AQ25" i="176"/>
  <c r="AT25" i="176"/>
  <c r="AU33" i="176"/>
  <c r="AO25" i="176"/>
  <c r="AQ29" i="176"/>
  <c r="AO27" i="176"/>
  <c r="AP23" i="176"/>
  <c r="AS33" i="176"/>
  <c r="AO33" i="176"/>
  <c r="AO24" i="176"/>
  <c r="AQ23" i="176"/>
  <c r="AO23" i="176"/>
  <c r="AO26" i="176"/>
  <c r="AP25" i="176"/>
  <c r="AZ14" i="176"/>
  <c r="AY15" i="176"/>
  <c r="BD15" i="176"/>
  <c r="AA13" i="121" s="1"/>
  <c r="AZ17" i="176"/>
  <c r="BC18" i="176"/>
  <c r="X12" i="121" s="1"/>
  <c r="BD18" i="176"/>
  <c r="X13" i="121" s="1"/>
  <c r="AY14" i="176"/>
  <c r="BC15" i="176"/>
  <c r="AA12" i="121" s="1"/>
  <c r="BB17" i="176"/>
  <c r="Y11" i="121" s="1"/>
  <c r="BD16" i="176"/>
  <c r="Z13" i="121" s="1"/>
  <c r="C39" i="109" s="1"/>
  <c r="AY18" i="176"/>
  <c r="AZ18" i="176"/>
  <c r="BC16" i="176"/>
  <c r="Z12" i="121" s="1"/>
  <c r="C34" i="109" s="1"/>
  <c r="AX18" i="176"/>
  <c r="AX15" i="176"/>
  <c r="BB16" i="176"/>
  <c r="Z11" i="121" s="1"/>
  <c r="BD14" i="176"/>
  <c r="AB13" i="121" s="1"/>
  <c r="BC14" i="176"/>
  <c r="AB12" i="121" s="1"/>
  <c r="BI26" i="177"/>
  <c r="BH34" i="177"/>
  <c r="BJ34" i="177"/>
  <c r="M36" i="177"/>
  <c r="BL34" i="177"/>
  <c r="BK34" i="177"/>
  <c r="BE34" i="177"/>
  <c r="BD26" i="177"/>
  <c r="AD26" i="177"/>
  <c r="BF26" i="177"/>
  <c r="E36" i="177"/>
  <c r="BD34" i="177"/>
  <c r="AM34" i="177"/>
  <c r="AH34" i="177"/>
  <c r="AE34" i="177"/>
  <c r="AK34" i="177"/>
  <c r="AJ34" i="177"/>
  <c r="AO34" i="177"/>
  <c r="AL34" i="177"/>
  <c r="AN34" i="177"/>
  <c r="AI34" i="177"/>
  <c r="AG34" i="177"/>
  <c r="AF34" i="177"/>
  <c r="G36" i="177"/>
  <c r="BF34" i="177"/>
  <c r="O36" i="177"/>
  <c r="BN36" i="177" s="1"/>
  <c r="BN34" i="177"/>
  <c r="BG34" i="177"/>
  <c r="BM34" i="177"/>
  <c r="J36" i="177"/>
  <c r="BI34" i="177"/>
  <c r="BG26" i="177"/>
  <c r="BH26" i="177"/>
  <c r="BL26" i="177"/>
  <c r="BK26" i="177"/>
  <c r="N134" i="176"/>
  <c r="N155" i="176"/>
  <c r="N137" i="176"/>
  <c r="N153" i="176"/>
  <c r="N141" i="176"/>
  <c r="N152" i="176"/>
  <c r="N135" i="176"/>
  <c r="N156" i="176"/>
  <c r="N138" i="176"/>
  <c r="N154" i="176"/>
  <c r="N147" i="176"/>
  <c r="N140" i="176"/>
  <c r="N139" i="176"/>
  <c r="N143" i="176"/>
  <c r="N142" i="176"/>
  <c r="N146" i="176"/>
  <c r="N145" i="176"/>
  <c r="N148" i="176"/>
  <c r="N133" i="176"/>
  <c r="N132" i="176"/>
  <c r="N136" i="176"/>
  <c r="N144" i="176"/>
  <c r="N150" i="176"/>
  <c r="N149" i="176"/>
  <c r="N151" i="176"/>
  <c r="N131" i="176"/>
  <c r="N130" i="176"/>
  <c r="P127" i="176"/>
  <c r="AV45" i="176" a="1"/>
  <c r="AS47" i="176" a="1"/>
  <c r="AT41" i="176" a="1"/>
  <c r="AV48" i="176" a="1"/>
  <c r="AV42" i="176" a="1"/>
  <c r="AU34" i="176" a="1"/>
  <c r="AU45" i="176" a="1"/>
  <c r="AV47" i="176" a="1"/>
  <c r="BF39" i="176" a="1"/>
  <c r="AV34" i="176" a="1"/>
  <c r="AU35" i="176" a="1"/>
  <c r="AV38" i="176" a="1"/>
  <c r="BF49" i="176" a="1"/>
  <c r="AV39" i="176" a="1"/>
  <c r="BF36" i="176" a="1"/>
  <c r="AT45" i="176" a="1"/>
  <c r="BF42" i="176" a="1"/>
  <c r="BF45" i="176" a="1"/>
  <c r="BF47" i="176" a="1"/>
  <c r="BF41" i="176" a="1"/>
  <c r="AU36" i="176" a="1"/>
  <c r="AU42" i="176" a="1"/>
  <c r="AV41" i="176" a="1"/>
  <c r="BF37" i="176" a="1"/>
  <c r="BF34" i="176" a="1"/>
  <c r="BF35" i="176" a="1"/>
  <c r="BF38" i="176" a="1"/>
  <c r="AV49" i="176" a="1"/>
  <c r="AS39" i="176" a="1"/>
  <c r="BF40" i="176" a="1"/>
  <c r="AU43" i="176" a="1"/>
  <c r="BF46" i="176" a="1"/>
  <c r="AS44" i="176" a="1"/>
  <c r="AV40" i="176" a="1"/>
  <c r="AV46" i="176" a="1"/>
  <c r="AQ34" i="176" a="1"/>
  <c r="BF43" i="176" a="1"/>
  <c r="BF44" i="176" a="1"/>
  <c r="AT34" i="176" a="1"/>
  <c r="AV37" i="176" a="1"/>
  <c r="AS34" i="176" a="1"/>
  <c r="AS40" i="176" a="1"/>
  <c r="AV35" i="176" a="1"/>
  <c r="AT38" i="176" a="1"/>
  <c r="AT49" i="176" a="1"/>
  <c r="AU49" i="176" a="1"/>
  <c r="AV43" i="176" a="1"/>
  <c r="AV44" i="176" a="1"/>
  <c r="AS36" i="176" a="1"/>
  <c r="AQ39" i="176" a="1"/>
  <c r="AS37" i="176" a="1"/>
  <c r="AV36" i="176" a="1"/>
  <c r="AT48" i="176" a="1"/>
  <c r="BF48" i="176" a="1"/>
  <c r="AO30" i="176" a="1"/>
  <c r="AP28" i="176" a="1"/>
  <c r="AS28" i="176" a="1"/>
  <c r="AS31" i="176" a="1"/>
  <c r="BF32" i="176" a="1"/>
  <c r="AU30" i="176" a="1"/>
  <c r="BF28" i="176" a="1"/>
  <c r="AP24" i="176" a="1"/>
  <c r="AO29" i="176" a="1"/>
  <c r="AV33" i="176" a="1"/>
  <c r="AU28" i="176" a="1"/>
  <c r="BF29" i="176" a="1"/>
  <c r="AV26" i="176" a="1"/>
  <c r="AV25" i="176" a="1"/>
  <c r="AS30" i="176" a="1"/>
  <c r="BF27" i="176" a="1"/>
  <c r="AV24" i="176" a="1"/>
  <c r="AV31" i="176" a="1"/>
  <c r="AV30" i="176" a="1"/>
  <c r="BF31" i="176" a="1"/>
  <c r="AS32" i="176" a="1"/>
  <c r="AT30" i="176" a="1"/>
  <c r="AV28" i="176" a="1"/>
  <c r="AU31" i="176" a="1"/>
  <c r="AV32" i="176" a="1"/>
  <c r="AS23" i="176" a="1"/>
  <c r="AU24" i="176" a="1"/>
  <c r="AP30" i="176" a="1"/>
  <c r="AT33" i="176" a="1"/>
  <c r="AU23" i="176" a="1"/>
  <c r="BF33" i="176" a="1"/>
  <c r="BF26" i="176" a="1"/>
  <c r="AQ32" i="176" a="1"/>
  <c r="AV29" i="176" a="1"/>
  <c r="AT23" i="176" a="1"/>
  <c r="AT24" i="176" a="1"/>
  <c r="BF23" i="176" a="1"/>
  <c r="AU26" i="176" a="1"/>
  <c r="BF25" i="176" a="1"/>
  <c r="BF30" i="176" a="1"/>
  <c r="AV23" i="176" a="1"/>
  <c r="AV27" i="176" a="1"/>
  <c r="BF24" i="176" a="1"/>
  <c r="O132" i="176" a="1"/>
  <c r="O141" i="176" a="1"/>
  <c r="O149" i="176" a="1"/>
  <c r="O142" i="176" a="1"/>
  <c r="O145" i="176" a="1"/>
  <c r="O148" i="176" a="1"/>
  <c r="O131" i="176" a="1"/>
  <c r="O135" i="176" a="1"/>
  <c r="O146" i="176" a="1"/>
  <c r="O140" i="176" a="1"/>
  <c r="O154" i="176" a="1"/>
  <c r="O130" i="176" a="1"/>
  <c r="O155" i="176" a="1"/>
  <c r="O153" i="176" a="1"/>
  <c r="O150" i="176" a="1"/>
  <c r="O151" i="176" a="1"/>
  <c r="O137" i="176" a="1"/>
  <c r="O147" i="176" a="1"/>
  <c r="O133" i="176" a="1"/>
  <c r="O152" i="176" a="1"/>
  <c r="O143" i="176" a="1"/>
  <c r="O156" i="176" a="1"/>
  <c r="O138" i="176" a="1"/>
  <c r="O139" i="176" a="1"/>
  <c r="O134" i="176" a="1"/>
  <c r="O144" i="176" a="1"/>
  <c r="O136" i="176" a="1"/>
  <c r="BF48" i="176" l="1"/>
  <c r="AT48" i="176"/>
  <c r="AV36" i="176"/>
  <c r="AS37" i="176"/>
  <c r="AQ39" i="176"/>
  <c r="AS36" i="176"/>
  <c r="AV44" i="176"/>
  <c r="AV43" i="176"/>
  <c r="AU49" i="176"/>
  <c r="AT49" i="176"/>
  <c r="AT38" i="176"/>
  <c r="AV35" i="176"/>
  <c r="AS40" i="176"/>
  <c r="AS34" i="176"/>
  <c r="AV37" i="176"/>
  <c r="AT34" i="176"/>
  <c r="BF44" i="176"/>
  <c r="BF43" i="176"/>
  <c r="AQ34" i="176"/>
  <c r="AV46" i="176"/>
  <c r="AV40" i="176"/>
  <c r="AS44" i="176"/>
  <c r="BF46" i="176"/>
  <c r="AU43" i="176"/>
  <c r="BF40" i="176"/>
  <c r="AS39" i="176"/>
  <c r="AV49" i="176"/>
  <c r="BF38" i="176"/>
  <c r="BF35" i="176"/>
  <c r="BF34" i="176"/>
  <c r="BF37" i="176"/>
  <c r="AV41" i="176"/>
  <c r="AU42" i="176"/>
  <c r="AU36" i="176"/>
  <c r="BF41" i="176"/>
  <c r="BF47" i="176"/>
  <c r="BF45" i="176"/>
  <c r="BF42" i="176"/>
  <c r="AT45" i="176"/>
  <c r="BF36" i="176"/>
  <c r="AV39" i="176"/>
  <c r="BF49" i="176"/>
  <c r="AV38" i="176"/>
  <c r="AU35" i="176"/>
  <c r="AV34" i="176"/>
  <c r="BF39" i="176"/>
  <c r="AV47" i="176"/>
  <c r="AU45" i="176"/>
  <c r="AU34" i="176"/>
  <c r="AV42" i="176"/>
  <c r="AV48" i="176"/>
  <c r="AT41" i="176"/>
  <c r="AS47" i="176"/>
  <c r="AV45" i="176"/>
  <c r="BF24" i="176"/>
  <c r="AV27" i="176"/>
  <c r="AV23" i="176"/>
  <c r="BF30" i="176"/>
  <c r="BF25" i="176"/>
  <c r="AU26" i="176"/>
  <c r="BF23" i="176"/>
  <c r="AT24" i="176"/>
  <c r="AT23" i="176"/>
  <c r="AV29" i="176"/>
  <c r="AQ32" i="176"/>
  <c r="BF26" i="176"/>
  <c r="BF33" i="176"/>
  <c r="AU23" i="176"/>
  <c r="AT33" i="176"/>
  <c r="AP30" i="176"/>
  <c r="AU24" i="176"/>
  <c r="AS23" i="176"/>
  <c r="AV32" i="176"/>
  <c r="AU31" i="176"/>
  <c r="AV28" i="176"/>
  <c r="AT30" i="176"/>
  <c r="AS32" i="176"/>
  <c r="BF31" i="176"/>
  <c r="AV30" i="176"/>
  <c r="AV31" i="176"/>
  <c r="AV24" i="176"/>
  <c r="BF27" i="176"/>
  <c r="AS30" i="176"/>
  <c r="AV25" i="176"/>
  <c r="AV26" i="176"/>
  <c r="BF29" i="176"/>
  <c r="AU28" i="176"/>
  <c r="AV33" i="176"/>
  <c r="AO29" i="176"/>
  <c r="AP24" i="176"/>
  <c r="BF28" i="176"/>
  <c r="AU30" i="176"/>
  <c r="BF32" i="176"/>
  <c r="AS31" i="176"/>
  <c r="AS28" i="176"/>
  <c r="AP28" i="176"/>
  <c r="AO30" i="176"/>
  <c r="BI36" i="177"/>
  <c r="BJ36" i="177"/>
  <c r="BD36" i="177"/>
  <c r="AG36" i="177"/>
  <c r="AJ36" i="177"/>
  <c r="AN36" i="177"/>
  <c r="AI36" i="177"/>
  <c r="AF36" i="177"/>
  <c r="AH36" i="177"/>
  <c r="AM36" i="177"/>
  <c r="AE36" i="177"/>
  <c r="AO36" i="177"/>
  <c r="AK36" i="177"/>
  <c r="AL36" i="177"/>
  <c r="BH36" i="177"/>
  <c r="BG36" i="177"/>
  <c r="BM36" i="177"/>
  <c r="BF36" i="177"/>
  <c r="BE36" i="177"/>
  <c r="BL36" i="177"/>
  <c r="BK36" i="177"/>
  <c r="N128" i="176"/>
  <c r="O145" i="176"/>
  <c r="O156" i="176"/>
  <c r="O144" i="176"/>
  <c r="O151" i="176"/>
  <c r="O141" i="176"/>
  <c r="O130" i="176"/>
  <c r="O143" i="176"/>
  <c r="O132" i="176"/>
  <c r="O149" i="176"/>
  <c r="O134" i="176"/>
  <c r="O131" i="176"/>
  <c r="O140" i="176"/>
  <c r="O148" i="176"/>
  <c r="O155" i="176"/>
  <c r="O138" i="176"/>
  <c r="O139" i="176"/>
  <c r="O154" i="176"/>
  <c r="O153" i="176"/>
  <c r="O133" i="176"/>
  <c r="O135" i="176"/>
  <c r="O147" i="176"/>
  <c r="O150" i="176"/>
  <c r="O137" i="176"/>
  <c r="O152" i="176"/>
  <c r="O142" i="176"/>
  <c r="O146" i="176"/>
  <c r="O136" i="176"/>
  <c r="Q127" i="176"/>
  <c r="P149" i="176" a="1"/>
  <c r="P146" i="176" a="1"/>
  <c r="P133" i="176" a="1"/>
  <c r="P131" i="176" a="1"/>
  <c r="P151" i="176" a="1"/>
  <c r="P145" i="176" a="1"/>
  <c r="P143" i="176" a="1"/>
  <c r="P148" i="176" a="1"/>
  <c r="P144" i="176" a="1"/>
  <c r="P130" i="176" a="1"/>
  <c r="P138" i="176" a="1"/>
  <c r="P142" i="176" a="1"/>
  <c r="P153" i="176" a="1"/>
  <c r="P139" i="176" a="1"/>
  <c r="P134" i="176" a="1"/>
  <c r="P132" i="176" a="1"/>
  <c r="P150" i="176" a="1"/>
  <c r="P152" i="176" a="1"/>
  <c r="P156" i="176" a="1"/>
  <c r="P155" i="176" a="1"/>
  <c r="P141" i="176" a="1"/>
  <c r="P135" i="176" a="1"/>
  <c r="P154" i="176" a="1"/>
  <c r="P136" i="176" a="1"/>
  <c r="P137" i="176" a="1"/>
  <c r="P147" i="176" a="1"/>
  <c r="P140" i="176" a="1"/>
  <c r="O128" i="176" l="1"/>
  <c r="P148" i="176"/>
  <c r="P134" i="176"/>
  <c r="P155" i="176"/>
  <c r="P133" i="176"/>
  <c r="P144" i="176"/>
  <c r="P143" i="176"/>
  <c r="P132" i="176"/>
  <c r="P131" i="176"/>
  <c r="P135" i="176"/>
  <c r="P140" i="176"/>
  <c r="P149" i="176"/>
  <c r="P136" i="176"/>
  <c r="P138" i="176"/>
  <c r="P141" i="176"/>
  <c r="P146" i="176"/>
  <c r="P151" i="176"/>
  <c r="P154" i="176"/>
  <c r="P153" i="176"/>
  <c r="P152" i="176"/>
  <c r="P156" i="176"/>
  <c r="P137" i="176"/>
  <c r="P139" i="176"/>
  <c r="P142" i="176"/>
  <c r="P130" i="176"/>
  <c r="P147" i="176"/>
  <c r="P150" i="176"/>
  <c r="P145" i="176"/>
  <c r="R127" i="176"/>
  <c r="Q149" i="176" a="1"/>
  <c r="Q134" i="176" a="1"/>
  <c r="Q131" i="176" a="1"/>
  <c r="Q136" i="176" a="1"/>
  <c r="Q150" i="176" a="1"/>
  <c r="Q133" i="176" a="1"/>
  <c r="Q141" i="176" a="1"/>
  <c r="Q147" i="176" a="1"/>
  <c r="Q153" i="176" a="1"/>
  <c r="Q139" i="176" a="1"/>
  <c r="Q132" i="176" a="1"/>
  <c r="Q155" i="176" a="1"/>
  <c r="Q143" i="176" a="1"/>
  <c r="Q154" i="176" a="1"/>
  <c r="Q137" i="176" a="1"/>
  <c r="Q146" i="176" a="1"/>
  <c r="Q156" i="176" a="1"/>
  <c r="Q151" i="176" a="1"/>
  <c r="Q148" i="176" a="1"/>
  <c r="Q144" i="176" a="1"/>
  <c r="Q145" i="176" a="1"/>
  <c r="Q140" i="176" a="1"/>
  <c r="Q135" i="176" a="1"/>
  <c r="Q152" i="176" a="1"/>
  <c r="Q142" i="176" a="1"/>
  <c r="Q138" i="176" a="1"/>
  <c r="Q130" i="176" a="1"/>
  <c r="P128" i="176" l="1"/>
  <c r="Q136" i="176"/>
  <c r="Q139" i="176"/>
  <c r="Q149" i="176"/>
  <c r="Q142" i="176"/>
  <c r="Q137" i="176"/>
  <c r="Q135" i="176"/>
  <c r="Q145" i="176"/>
  <c r="Q130" i="176"/>
  <c r="Q156" i="176"/>
  <c r="Q143" i="176"/>
  <c r="Q131" i="176"/>
  <c r="Q148" i="176"/>
  <c r="Q155" i="176"/>
  <c r="Q141" i="176"/>
  <c r="Q140" i="176"/>
  <c r="Q132" i="176"/>
  <c r="Q146" i="176"/>
  <c r="Q153" i="176"/>
  <c r="Q134" i="176"/>
  <c r="Q154" i="176"/>
  <c r="Q138" i="176"/>
  <c r="Q144" i="176"/>
  <c r="Q151" i="176"/>
  <c r="Q147" i="176"/>
  <c r="Q150" i="176"/>
  <c r="Q152" i="176"/>
  <c r="Q133" i="176"/>
  <c r="S127" i="176"/>
  <c r="R143" i="176" a="1"/>
  <c r="R131" i="176" a="1"/>
  <c r="R135" i="176" a="1"/>
  <c r="R130" i="176" a="1"/>
  <c r="R145" i="176" a="1"/>
  <c r="R154" i="176" a="1"/>
  <c r="R139" i="176" a="1"/>
  <c r="R134" i="176" a="1"/>
  <c r="R152" i="176" a="1"/>
  <c r="R148" i="176" a="1"/>
  <c r="R147" i="176" a="1"/>
  <c r="R144" i="176" a="1"/>
  <c r="R140" i="176" a="1"/>
  <c r="R151" i="176" a="1"/>
  <c r="R142" i="176" a="1"/>
  <c r="R153" i="176" a="1"/>
  <c r="R149" i="176" a="1"/>
  <c r="R137" i="176" a="1"/>
  <c r="R133" i="176" a="1"/>
  <c r="R155" i="176" a="1"/>
  <c r="R141" i="176" a="1"/>
  <c r="R136" i="176" a="1"/>
  <c r="R132" i="176" a="1"/>
  <c r="R138" i="176" a="1"/>
  <c r="R146" i="176" a="1"/>
  <c r="R156" i="176" a="1"/>
  <c r="R150" i="176" a="1"/>
  <c r="Q128" i="176" l="1"/>
  <c r="R135" i="176"/>
  <c r="R151" i="176"/>
  <c r="R138" i="176"/>
  <c r="R148" i="176"/>
  <c r="R137" i="176"/>
  <c r="R149" i="176"/>
  <c r="R144" i="176"/>
  <c r="R141" i="176"/>
  <c r="R143" i="176"/>
  <c r="R153" i="176"/>
  <c r="R139" i="176"/>
  <c r="R147" i="176"/>
  <c r="R142" i="176"/>
  <c r="R155" i="176"/>
  <c r="R131" i="176"/>
  <c r="R145" i="176"/>
  <c r="R156" i="176"/>
  <c r="R134" i="176"/>
  <c r="R130" i="176"/>
  <c r="R152" i="176"/>
  <c r="R154" i="176"/>
  <c r="R150" i="176"/>
  <c r="R133" i="176"/>
  <c r="R146" i="176"/>
  <c r="R132" i="176"/>
  <c r="R140" i="176"/>
  <c r="R136" i="176"/>
  <c r="T127" i="176"/>
  <c r="S142" i="176" a="1"/>
  <c r="S156" i="176" a="1"/>
  <c r="S154" i="176" a="1"/>
  <c r="S137" i="176" a="1"/>
  <c r="S141" i="176" a="1"/>
  <c r="S144" i="176" a="1"/>
  <c r="S132" i="176" a="1"/>
  <c r="S153" i="176" a="1"/>
  <c r="S135" i="176" a="1"/>
  <c r="S152" i="176" a="1"/>
  <c r="S140" i="176" a="1"/>
  <c r="S147" i="176" a="1"/>
  <c r="S133" i="176" a="1"/>
  <c r="S155" i="176" a="1"/>
  <c r="S146" i="176" a="1"/>
  <c r="S151" i="176" a="1"/>
  <c r="S149" i="176" a="1"/>
  <c r="S145" i="176" a="1"/>
  <c r="S130" i="176" a="1"/>
  <c r="S143" i="176" a="1"/>
  <c r="S136" i="176" a="1"/>
  <c r="S138" i="176" a="1"/>
  <c r="S150" i="176" a="1"/>
  <c r="S139" i="176" a="1"/>
  <c r="S131" i="176" a="1"/>
  <c r="S134" i="176" a="1"/>
  <c r="S148" i="176" a="1"/>
  <c r="R128" i="176" l="1"/>
  <c r="S137" i="176"/>
  <c r="S131" i="176"/>
  <c r="S154" i="176"/>
  <c r="S132" i="176"/>
  <c r="S147" i="176"/>
  <c r="S144" i="176"/>
  <c r="S139" i="176"/>
  <c r="S142" i="176"/>
  <c r="S155" i="176"/>
  <c r="S130" i="176"/>
  <c r="S141" i="176"/>
  <c r="S145" i="176"/>
  <c r="S148" i="176"/>
  <c r="S135" i="176"/>
  <c r="S146" i="176"/>
  <c r="S140" i="176"/>
  <c r="S143" i="176"/>
  <c r="S133" i="176"/>
  <c r="S152" i="176"/>
  <c r="S134" i="176"/>
  <c r="S149" i="176"/>
  <c r="S150" i="176"/>
  <c r="S153" i="176"/>
  <c r="S136" i="176"/>
  <c r="S156" i="176"/>
  <c r="S151" i="176"/>
  <c r="S138" i="176"/>
  <c r="U127" i="176"/>
  <c r="T145" i="176" a="1"/>
  <c r="T149" i="176" a="1"/>
  <c r="T139" i="176" a="1"/>
  <c r="T138" i="176" a="1"/>
  <c r="T152" i="176" a="1"/>
  <c r="T130" i="176" a="1"/>
  <c r="T143" i="176" a="1"/>
  <c r="T136" i="176" a="1"/>
  <c r="T151" i="176" a="1"/>
  <c r="T150" i="176" a="1"/>
  <c r="T141" i="176" a="1"/>
  <c r="T148" i="176" a="1"/>
  <c r="T144" i="176" a="1"/>
  <c r="T156" i="176" a="1"/>
  <c r="T132" i="176" a="1"/>
  <c r="T146" i="176" a="1"/>
  <c r="T147" i="176" a="1"/>
  <c r="T131" i="176" a="1"/>
  <c r="T140" i="176" a="1"/>
  <c r="T137" i="176" a="1"/>
  <c r="T155" i="176" a="1"/>
  <c r="T134" i="176" a="1"/>
  <c r="T133" i="176" a="1"/>
  <c r="T153" i="176" a="1"/>
  <c r="T135" i="176" a="1"/>
  <c r="T154" i="176" a="1"/>
  <c r="T142" i="176" a="1"/>
  <c r="S128" i="176" l="1"/>
  <c r="T139" i="176"/>
  <c r="T142" i="176"/>
  <c r="T133" i="176"/>
  <c r="T141" i="176"/>
  <c r="T132" i="176"/>
  <c r="T145" i="176"/>
  <c r="T154" i="176"/>
  <c r="T148" i="176"/>
  <c r="T155" i="176"/>
  <c r="T138" i="176"/>
  <c r="T150" i="176"/>
  <c r="T153" i="176"/>
  <c r="T156" i="176"/>
  <c r="T131" i="176"/>
  <c r="T135" i="176"/>
  <c r="T149" i="176"/>
  <c r="T134" i="176"/>
  <c r="T137" i="176"/>
  <c r="T140" i="176"/>
  <c r="T143" i="176"/>
  <c r="T144" i="176"/>
  <c r="T146" i="176"/>
  <c r="T130" i="176"/>
  <c r="T147" i="176"/>
  <c r="T152" i="176"/>
  <c r="T151" i="176"/>
  <c r="T136" i="176"/>
  <c r="V127" i="176"/>
  <c r="U139" i="176" a="1"/>
  <c r="U153" i="176" a="1"/>
  <c r="U152" i="176" a="1"/>
  <c r="U150" i="176" a="1"/>
  <c r="U146" i="176" a="1"/>
  <c r="U151" i="176" a="1"/>
  <c r="U132" i="176" a="1"/>
  <c r="U156" i="176" a="1"/>
  <c r="U143" i="176" a="1"/>
  <c r="U155" i="176" a="1"/>
  <c r="U136" i="176" a="1"/>
  <c r="U133" i="176" a="1"/>
  <c r="U148" i="176" a="1"/>
  <c r="U140" i="176" a="1"/>
  <c r="U137" i="176" a="1"/>
  <c r="U130" i="176" a="1"/>
  <c r="U134" i="176" a="1"/>
  <c r="U149" i="176" a="1"/>
  <c r="U147" i="176" a="1"/>
  <c r="U138" i="176" a="1"/>
  <c r="U154" i="176" a="1"/>
  <c r="U144" i="176" a="1"/>
  <c r="U131" i="176" a="1"/>
  <c r="U145" i="176" a="1"/>
  <c r="U141" i="176" a="1"/>
  <c r="U135" i="176" a="1"/>
  <c r="U142" i="176" a="1"/>
  <c r="T128" i="176" l="1"/>
  <c r="U139" i="176"/>
  <c r="U154" i="176"/>
  <c r="U153" i="176"/>
  <c r="U141" i="176"/>
  <c r="U152" i="176"/>
  <c r="U132" i="176"/>
  <c r="U156" i="176"/>
  <c r="U131" i="176"/>
  <c r="U155" i="176"/>
  <c r="U135" i="176"/>
  <c r="U138" i="176"/>
  <c r="U148" i="176"/>
  <c r="U149" i="176"/>
  <c r="U130" i="176"/>
  <c r="U150" i="176"/>
  <c r="U143" i="176"/>
  <c r="U142" i="176"/>
  <c r="U144" i="176"/>
  <c r="U134" i="176"/>
  <c r="U146" i="176"/>
  <c r="U133" i="176"/>
  <c r="U147" i="176"/>
  <c r="U137" i="176"/>
  <c r="U145" i="176"/>
  <c r="U136" i="176"/>
  <c r="U151" i="176"/>
  <c r="U140" i="176"/>
  <c r="W127" i="176"/>
  <c r="V150" i="176" a="1"/>
  <c r="V133" i="176" a="1"/>
  <c r="V155" i="176" a="1"/>
  <c r="V137" i="176" a="1"/>
  <c r="V153" i="176" a="1"/>
  <c r="V147" i="176" a="1"/>
  <c r="V139" i="176" a="1"/>
  <c r="V151" i="176" a="1"/>
  <c r="V156" i="176" a="1"/>
  <c r="V141" i="176" a="1"/>
  <c r="V140" i="176" a="1"/>
  <c r="V145" i="176" a="1"/>
  <c r="V144" i="176" a="1"/>
  <c r="V149" i="176" a="1"/>
  <c r="V135" i="176" a="1"/>
  <c r="V142" i="176" a="1"/>
  <c r="V146" i="176" a="1"/>
  <c r="V131" i="176" a="1"/>
  <c r="V148" i="176" a="1"/>
  <c r="V132" i="176" a="1"/>
  <c r="V154" i="176" a="1"/>
  <c r="V136" i="176" a="1"/>
  <c r="V134" i="176" a="1"/>
  <c r="V152" i="176" a="1"/>
  <c r="V143" i="176" a="1"/>
  <c r="V130" i="176" a="1"/>
  <c r="V138" i="176" a="1"/>
  <c r="U128" i="176" l="1"/>
  <c r="V132" i="176"/>
  <c r="V156" i="176"/>
  <c r="V134" i="176"/>
  <c r="V155" i="176"/>
  <c r="V133" i="176"/>
  <c r="V154" i="176"/>
  <c r="V137" i="176"/>
  <c r="V148" i="176"/>
  <c r="V136" i="176"/>
  <c r="V144" i="176"/>
  <c r="V135" i="176"/>
  <c r="V143" i="176"/>
  <c r="V139" i="176"/>
  <c r="V130" i="176"/>
  <c r="V152" i="176"/>
  <c r="V131" i="176"/>
  <c r="V149" i="176"/>
  <c r="V142" i="176"/>
  <c r="V147" i="176"/>
  <c r="V141" i="176"/>
  <c r="V138" i="176"/>
  <c r="V151" i="176"/>
  <c r="V140" i="176"/>
  <c r="V150" i="176"/>
  <c r="V146" i="176"/>
  <c r="V153" i="176"/>
  <c r="V145" i="176"/>
  <c r="X127" i="176"/>
  <c r="W132" i="176" a="1"/>
  <c r="W147" i="176" a="1"/>
  <c r="W153" i="176" a="1"/>
  <c r="W149" i="176" a="1"/>
  <c r="W142" i="176" a="1"/>
  <c r="W133" i="176" a="1"/>
  <c r="W139" i="176" a="1"/>
  <c r="W144" i="176" a="1"/>
  <c r="W146" i="176" a="1"/>
  <c r="W141" i="176" a="1"/>
  <c r="W150" i="176" a="1"/>
  <c r="W156" i="176" a="1"/>
  <c r="W137" i="176" a="1"/>
  <c r="W138" i="176" a="1"/>
  <c r="W145" i="176" a="1"/>
  <c r="W130" i="176" a="1"/>
  <c r="W155" i="176" a="1"/>
  <c r="W148" i="176" a="1"/>
  <c r="W134" i="176" a="1"/>
  <c r="W151" i="176" a="1"/>
  <c r="W140" i="176" a="1"/>
  <c r="W154" i="176" a="1"/>
  <c r="W143" i="176" a="1"/>
  <c r="W152" i="176" a="1"/>
  <c r="W136" i="176" a="1"/>
  <c r="W135" i="176" a="1"/>
  <c r="W131" i="176" a="1"/>
  <c r="V128" i="176" l="1"/>
  <c r="W151" i="176"/>
  <c r="W155" i="176"/>
  <c r="W154" i="176"/>
  <c r="W139" i="176"/>
  <c r="W141" i="176"/>
  <c r="W156" i="176"/>
  <c r="W140" i="176"/>
  <c r="W146" i="176"/>
  <c r="W144" i="176"/>
  <c r="W136" i="176"/>
  <c r="W137" i="176"/>
  <c r="W143" i="176"/>
  <c r="W138" i="176"/>
  <c r="W130" i="176"/>
  <c r="W132" i="176"/>
  <c r="W135" i="176"/>
  <c r="W148" i="176"/>
  <c r="W147" i="176"/>
  <c r="W149" i="176"/>
  <c r="W145" i="176"/>
  <c r="W142" i="176"/>
  <c r="W150" i="176"/>
  <c r="W131" i="176"/>
  <c r="W153" i="176"/>
  <c r="W134" i="176"/>
  <c r="W152" i="176"/>
  <c r="W133" i="176"/>
  <c r="Y127" i="176"/>
  <c r="X142" i="176" a="1"/>
  <c r="X152" i="176" a="1"/>
  <c r="X136" i="176" a="1"/>
  <c r="X150" i="176" a="1"/>
  <c r="X138" i="176" a="1"/>
  <c r="X131" i="176" a="1"/>
  <c r="X147" i="176" a="1"/>
  <c r="X133" i="176" a="1"/>
  <c r="X149" i="176" a="1"/>
  <c r="X132" i="176" a="1"/>
  <c r="X143" i="176" a="1"/>
  <c r="X144" i="176" a="1"/>
  <c r="X137" i="176" a="1"/>
  <c r="X146" i="176" a="1"/>
  <c r="X135" i="176" a="1"/>
  <c r="X130" i="176" a="1"/>
  <c r="X141" i="176" a="1"/>
  <c r="X145" i="176" a="1"/>
  <c r="X134" i="176" a="1"/>
  <c r="X148" i="176" a="1"/>
  <c r="X154" i="176" a="1"/>
  <c r="X139" i="176" a="1"/>
  <c r="X151" i="176" a="1"/>
  <c r="X156" i="176" a="1"/>
  <c r="X155" i="176" a="1"/>
  <c r="X153" i="176" a="1"/>
  <c r="X140" i="176" a="1"/>
  <c r="W128" i="176" l="1"/>
  <c r="X141" i="176"/>
  <c r="X147" i="176"/>
  <c r="X156" i="176"/>
  <c r="X131" i="176"/>
  <c r="X145" i="176"/>
  <c r="X138" i="176"/>
  <c r="X143" i="176"/>
  <c r="X152" i="176"/>
  <c r="X133" i="176"/>
  <c r="X144" i="176"/>
  <c r="X153" i="176"/>
  <c r="X137" i="176"/>
  <c r="X140" i="176"/>
  <c r="X139" i="176"/>
  <c r="X151" i="176"/>
  <c r="X132" i="176"/>
  <c r="X130" i="176"/>
  <c r="X148" i="176"/>
  <c r="X149" i="176"/>
  <c r="X142" i="176"/>
  <c r="X146" i="176"/>
  <c r="X150" i="176"/>
  <c r="X136" i="176"/>
  <c r="X155" i="176"/>
  <c r="X135" i="176"/>
  <c r="X154" i="176"/>
  <c r="X134" i="176"/>
  <c r="Z127" i="176"/>
  <c r="Y155" i="176" a="1"/>
  <c r="Y151" i="176" a="1"/>
  <c r="Y152" i="176" a="1"/>
  <c r="Y156" i="176" a="1"/>
  <c r="Y136" i="176" a="1"/>
  <c r="Y148" i="176" a="1"/>
  <c r="Y131" i="176" a="1"/>
  <c r="Y147" i="176" a="1"/>
  <c r="Y154" i="176" a="1"/>
  <c r="Y139" i="176" a="1"/>
  <c r="Y146" i="176" a="1"/>
  <c r="Y153" i="176" a="1"/>
  <c r="Y149" i="176" a="1"/>
  <c r="Y132" i="176" a="1"/>
  <c r="Y142" i="176" a="1"/>
  <c r="Y140" i="176" a="1"/>
  <c r="Y137" i="176" a="1"/>
  <c r="Y135" i="176" a="1"/>
  <c r="Y143" i="176" a="1"/>
  <c r="Y134" i="176" a="1"/>
  <c r="Y133" i="176" a="1"/>
  <c r="Y141" i="176" a="1"/>
  <c r="Y150" i="176" a="1"/>
  <c r="Y144" i="176" a="1"/>
  <c r="Y130" i="176" a="1"/>
  <c r="Y145" i="176" a="1"/>
  <c r="Y138" i="176" a="1"/>
  <c r="X128" i="176" l="1"/>
  <c r="Y146" i="176"/>
  <c r="Y140" i="176"/>
  <c r="Y139" i="176"/>
  <c r="Y143" i="176"/>
  <c r="Y145" i="176"/>
  <c r="Y131" i="176"/>
  <c r="Y144" i="176"/>
  <c r="Y155" i="176"/>
  <c r="Y135" i="176"/>
  <c r="Y149" i="176"/>
  <c r="Y147" i="176"/>
  <c r="Y151" i="176"/>
  <c r="Y150" i="176"/>
  <c r="Y141" i="176"/>
  <c r="Y132" i="176"/>
  <c r="Y154" i="176"/>
  <c r="Y130" i="176"/>
  <c r="Y153" i="176"/>
  <c r="Y138" i="176"/>
  <c r="Y136" i="176"/>
  <c r="Y152" i="176"/>
  <c r="Y142" i="176"/>
  <c r="Y133" i="176"/>
  <c r="Y156" i="176"/>
  <c r="Y134" i="176"/>
  <c r="Y148" i="176"/>
  <c r="Y137" i="176"/>
  <c r="AA127" i="176"/>
  <c r="Z138" i="176" a="1"/>
  <c r="Z139" i="176" a="1"/>
  <c r="Z143" i="176" a="1"/>
  <c r="Z134" i="176" a="1"/>
  <c r="Z137" i="176" a="1"/>
  <c r="Z150" i="176" a="1"/>
  <c r="Z136" i="176" a="1"/>
  <c r="Z148" i="176" a="1"/>
  <c r="Z156" i="176" a="1"/>
  <c r="Z142" i="176" a="1"/>
  <c r="Z140" i="176" a="1"/>
  <c r="Z151" i="176" a="1"/>
  <c r="Z155" i="176" a="1"/>
  <c r="Z144" i="176" a="1"/>
  <c r="Z149" i="176" a="1"/>
  <c r="Z141" i="176" a="1"/>
  <c r="Z146" i="176" a="1"/>
  <c r="Z145" i="176" a="1"/>
  <c r="Z135" i="176" a="1"/>
  <c r="Z153" i="176" a="1"/>
  <c r="Z131" i="176" a="1"/>
  <c r="Z132" i="176" a="1"/>
  <c r="Z133" i="176" a="1"/>
  <c r="Z147" i="176" a="1"/>
  <c r="Z152" i="176" a="1"/>
  <c r="Z154" i="176" a="1"/>
  <c r="Z130" i="176" a="1"/>
  <c r="Y128" i="176" l="1"/>
  <c r="Z154" i="176"/>
  <c r="Z142" i="176"/>
  <c r="Z141" i="176"/>
  <c r="Z155" i="176"/>
  <c r="Z146" i="176"/>
  <c r="Z134" i="176"/>
  <c r="Z131" i="176"/>
  <c r="Z152" i="176"/>
  <c r="Z132" i="176"/>
  <c r="Z130" i="176"/>
  <c r="Z153" i="176"/>
  <c r="Z145" i="176"/>
  <c r="Z143" i="176"/>
  <c r="Z133" i="176"/>
  <c r="Z137" i="176"/>
  <c r="Z138" i="176"/>
  <c r="Z144" i="176"/>
  <c r="Z148" i="176"/>
  <c r="Z136" i="176"/>
  <c r="Z139" i="176"/>
  <c r="Z156" i="176"/>
  <c r="Z135" i="176"/>
  <c r="Z149" i="176"/>
  <c r="Z147" i="176"/>
  <c r="Z151" i="176"/>
  <c r="Z150" i="176"/>
  <c r="Z140" i="176"/>
  <c r="AB127" i="176"/>
  <c r="AA154" i="176" a="1"/>
  <c r="AA145" i="176" a="1"/>
  <c r="AA136" i="176" a="1"/>
  <c r="AA144" i="176" a="1"/>
  <c r="AA151" i="176" a="1"/>
  <c r="AA155" i="176" a="1"/>
  <c r="AA148" i="176" a="1"/>
  <c r="AA138" i="176" a="1"/>
  <c r="AA150" i="176" a="1"/>
  <c r="AA135" i="176" a="1"/>
  <c r="AA149" i="176" a="1"/>
  <c r="AA142" i="176" a="1"/>
  <c r="AA139" i="176" a="1"/>
  <c r="AA153" i="176" a="1"/>
  <c r="AA137" i="176" a="1"/>
  <c r="AA134" i="176" a="1"/>
  <c r="AA133" i="176" a="1"/>
  <c r="AA146" i="176" a="1"/>
  <c r="AA143" i="176" a="1"/>
  <c r="AA140" i="176" a="1"/>
  <c r="AA156" i="176" a="1"/>
  <c r="AA131" i="176" a="1"/>
  <c r="AA147" i="176" a="1"/>
  <c r="AA141" i="176" a="1"/>
  <c r="AA130" i="176" a="1"/>
  <c r="AA132" i="176" a="1"/>
  <c r="AA152" i="176" a="1"/>
  <c r="Z128" i="176" l="1"/>
  <c r="AA142" i="176"/>
  <c r="AA155" i="176"/>
  <c r="AA154" i="176"/>
  <c r="AA145" i="176"/>
  <c r="AA137" i="176"/>
  <c r="AA156" i="176"/>
  <c r="AA148" i="176"/>
  <c r="AA136" i="176"/>
  <c r="AA153" i="176"/>
  <c r="AA131" i="176"/>
  <c r="AA135" i="176"/>
  <c r="AA132" i="176"/>
  <c r="AA134" i="176"/>
  <c r="AA133" i="176"/>
  <c r="AA149" i="176"/>
  <c r="AA146" i="176"/>
  <c r="AA147" i="176"/>
  <c r="AA139" i="176"/>
  <c r="AA130" i="176"/>
  <c r="AA143" i="176"/>
  <c r="AA141" i="176"/>
  <c r="AA138" i="176"/>
  <c r="AA151" i="176"/>
  <c r="AA140" i="176"/>
  <c r="AA152" i="176"/>
  <c r="AA150" i="176"/>
  <c r="AA144" i="176"/>
  <c r="AC127" i="176"/>
  <c r="AB141" i="176" a="1"/>
  <c r="AB152" i="176" a="1"/>
  <c r="AB132" i="176" a="1"/>
  <c r="AB143" i="176" a="1"/>
  <c r="AB134" i="176" a="1"/>
  <c r="AB156" i="176" a="1"/>
  <c r="AB133" i="176" a="1"/>
  <c r="AB137" i="176" a="1"/>
  <c r="AB139" i="176" a="1"/>
  <c r="AB145" i="176" a="1"/>
  <c r="AB151" i="176" a="1"/>
  <c r="AB136" i="176" a="1"/>
  <c r="AB144" i="176" a="1"/>
  <c r="AB140" i="176" a="1"/>
  <c r="AB154" i="176" a="1"/>
  <c r="AB147" i="176" a="1"/>
  <c r="AB138" i="176" a="1"/>
  <c r="AB131" i="176" a="1"/>
  <c r="AB146" i="176" a="1"/>
  <c r="AB149" i="176" a="1"/>
  <c r="AB153" i="176" a="1"/>
  <c r="AB135" i="176" a="1"/>
  <c r="AB148" i="176" a="1"/>
  <c r="AB155" i="176" a="1"/>
  <c r="AB142" i="176" a="1"/>
  <c r="AB150" i="176" a="1"/>
  <c r="AB130" i="176" a="1"/>
  <c r="AA128" i="176" l="1"/>
  <c r="AB144" i="176"/>
  <c r="AB154" i="176"/>
  <c r="AB156" i="176"/>
  <c r="AB138" i="176"/>
  <c r="AB148" i="176"/>
  <c r="AB137" i="176"/>
  <c r="AB155" i="176"/>
  <c r="AB141" i="176"/>
  <c r="AB130" i="176"/>
  <c r="AB132" i="176"/>
  <c r="AB149" i="176"/>
  <c r="AB146" i="176"/>
  <c r="AB131" i="176"/>
  <c r="AB151" i="176"/>
  <c r="AB135" i="176"/>
  <c r="AB145" i="176"/>
  <c r="AB143" i="176"/>
  <c r="AB140" i="176"/>
  <c r="AB147" i="176"/>
  <c r="AB142" i="176"/>
  <c r="AB150" i="176"/>
  <c r="AB153" i="176"/>
  <c r="AB134" i="176"/>
  <c r="AB136" i="176"/>
  <c r="AB139" i="176"/>
  <c r="AB152" i="176"/>
  <c r="AB133" i="176"/>
  <c r="AD127" i="176"/>
  <c r="AC132" i="176" a="1"/>
  <c r="AC152" i="176" a="1"/>
  <c r="AC135" i="176" a="1"/>
  <c r="AC137" i="176" a="1"/>
  <c r="AC156" i="176" a="1"/>
  <c r="AC141" i="176" a="1"/>
  <c r="AC144" i="176" a="1"/>
  <c r="AC142" i="176" a="1"/>
  <c r="AC133" i="176" a="1"/>
  <c r="AC131" i="176" a="1"/>
  <c r="AC146" i="176" a="1"/>
  <c r="AC153" i="176" a="1"/>
  <c r="AC150" i="176" a="1"/>
  <c r="AC147" i="176" a="1"/>
  <c r="AC148" i="176" a="1"/>
  <c r="AC138" i="176" a="1"/>
  <c r="AC143" i="176" a="1"/>
  <c r="AC139" i="176" a="1"/>
  <c r="AC130" i="176" a="1"/>
  <c r="AC155" i="176" a="1"/>
  <c r="AC149" i="176" a="1"/>
  <c r="AC151" i="176" a="1"/>
  <c r="AC136" i="176" a="1"/>
  <c r="AC154" i="176" a="1"/>
  <c r="AC134" i="176" a="1"/>
  <c r="AC140" i="176" a="1"/>
  <c r="AC145" i="176" a="1"/>
  <c r="AB128" i="176" l="1"/>
  <c r="AC136" i="176"/>
  <c r="AC135" i="176"/>
  <c r="AC134" i="176"/>
  <c r="AC141" i="176"/>
  <c r="AC138" i="176"/>
  <c r="AC139" i="176"/>
  <c r="AC137" i="176"/>
  <c r="AC148" i="176"/>
  <c r="AC143" i="176"/>
  <c r="AC146" i="176"/>
  <c r="AC142" i="176"/>
  <c r="AC152" i="176"/>
  <c r="AC149" i="176"/>
  <c r="AC140" i="176"/>
  <c r="AC130" i="176"/>
  <c r="AC150" i="176"/>
  <c r="AC151" i="176"/>
  <c r="AC155" i="176"/>
  <c r="AC145" i="176"/>
  <c r="AC154" i="176"/>
  <c r="AC144" i="176"/>
  <c r="AC156" i="176"/>
  <c r="AC131" i="176"/>
  <c r="AC153" i="176"/>
  <c r="AC133" i="176"/>
  <c r="AC147" i="176"/>
  <c r="AC132" i="176"/>
  <c r="AE127" i="176"/>
  <c r="AD140" i="176" a="1"/>
  <c r="AD144" i="176" a="1"/>
  <c r="AD148" i="176" a="1"/>
  <c r="AD145" i="176" a="1"/>
  <c r="AD155" i="176" a="1"/>
  <c r="AD152" i="176" a="1"/>
  <c r="AD154" i="176" a="1"/>
  <c r="AD142" i="176" a="1"/>
  <c r="AD149" i="176" a="1"/>
  <c r="AD134" i="176" a="1"/>
  <c r="AD146" i="176" a="1"/>
  <c r="AD139" i="176" a="1"/>
  <c r="AD137" i="176" a="1"/>
  <c r="AD150" i="176" a="1"/>
  <c r="AD156" i="176" a="1"/>
  <c r="AD141" i="176" a="1"/>
  <c r="AD133" i="176" a="1"/>
  <c r="AD136" i="176" a="1"/>
  <c r="AD143" i="176" a="1"/>
  <c r="AD131" i="176" a="1"/>
  <c r="AD151" i="176" a="1"/>
  <c r="AD153" i="176" a="1"/>
  <c r="AD130" i="176" a="1"/>
  <c r="AD135" i="176" a="1"/>
  <c r="AD132" i="176" a="1"/>
  <c r="AD138" i="176" a="1"/>
  <c r="AD147" i="176" a="1"/>
  <c r="AC128" i="176" l="1"/>
  <c r="AD150" i="176"/>
  <c r="AD144" i="176"/>
  <c r="AD145" i="176"/>
  <c r="AD149" i="176"/>
  <c r="AD133" i="176"/>
  <c r="AD141" i="176"/>
  <c r="AD132" i="176"/>
  <c r="AD148" i="176"/>
  <c r="AD140" i="176"/>
  <c r="AD139" i="176"/>
  <c r="AD143" i="176"/>
  <c r="AD142" i="176"/>
  <c r="AD156" i="176"/>
  <c r="AD131" i="176"/>
  <c r="AD147" i="176"/>
  <c r="AD154" i="176"/>
  <c r="AD135" i="176"/>
  <c r="AD146" i="176"/>
  <c r="AD134" i="176"/>
  <c r="AD130" i="176"/>
  <c r="AD153" i="176"/>
  <c r="AD155" i="176"/>
  <c r="AD138" i="176"/>
  <c r="AD152" i="176"/>
  <c r="AD137" i="176"/>
  <c r="AD151" i="176"/>
  <c r="AD136" i="176"/>
  <c r="AF127" i="176"/>
  <c r="AE141" i="176" a="1"/>
  <c r="AE152" i="176" a="1"/>
  <c r="AE146" i="176" a="1"/>
  <c r="AE156" i="176" a="1"/>
  <c r="AE137" i="176" a="1"/>
  <c r="AE130" i="176" a="1"/>
  <c r="AE143" i="176" a="1"/>
  <c r="AE155" i="176" a="1"/>
  <c r="AE139" i="176" a="1"/>
  <c r="AE149" i="176" a="1"/>
  <c r="AE131" i="176" a="1"/>
  <c r="AE153" i="176" a="1"/>
  <c r="AE145" i="176" a="1"/>
  <c r="AE140" i="176" a="1"/>
  <c r="AE150" i="176" a="1"/>
  <c r="AE154" i="176" a="1"/>
  <c r="AE132" i="176" a="1"/>
  <c r="AE136" i="176" a="1"/>
  <c r="AE142" i="176" a="1"/>
  <c r="AE134" i="176" a="1"/>
  <c r="AE147" i="176" a="1"/>
  <c r="AE151" i="176" a="1"/>
  <c r="AE144" i="176" a="1"/>
  <c r="AE148" i="176" a="1"/>
  <c r="AE138" i="176" a="1"/>
  <c r="AE133" i="176" a="1"/>
  <c r="AE135" i="176" a="1"/>
  <c r="AD128" i="176" l="1"/>
  <c r="AE150" i="176"/>
  <c r="AE138" i="176"/>
  <c r="AE153" i="176"/>
  <c r="AE142" i="176"/>
  <c r="AE152" i="176"/>
  <c r="AE141" i="176"/>
  <c r="AE136" i="176"/>
  <c r="AE154" i="176"/>
  <c r="AE155" i="176"/>
  <c r="AE130" i="176"/>
  <c r="AE151" i="176"/>
  <c r="AE132" i="176"/>
  <c r="AE134" i="176"/>
  <c r="AE147" i="176"/>
  <c r="AE139" i="176"/>
  <c r="AE156" i="176"/>
  <c r="AE144" i="176"/>
  <c r="AE131" i="176"/>
  <c r="AE143" i="176"/>
  <c r="AE148" i="176"/>
  <c r="AE135" i="176"/>
  <c r="AE146" i="176"/>
  <c r="AE145" i="176"/>
  <c r="AE133" i="176"/>
  <c r="AE140" i="176"/>
  <c r="AE149" i="176"/>
  <c r="AE137" i="176"/>
  <c r="AG127" i="176"/>
  <c r="AF136" i="176" a="1"/>
  <c r="AF140" i="176" a="1"/>
  <c r="AF131" i="176" a="1"/>
  <c r="AF146" i="176" a="1"/>
  <c r="AF155" i="176" a="1"/>
  <c r="AF132" i="176" a="1"/>
  <c r="AF133" i="176" a="1"/>
  <c r="AF137" i="176" a="1"/>
  <c r="AF144" i="176" a="1"/>
  <c r="AF138" i="176" a="1"/>
  <c r="AF152" i="176" a="1"/>
  <c r="AF149" i="176" a="1"/>
  <c r="AF153" i="176" a="1"/>
  <c r="AF134" i="176" a="1"/>
  <c r="AF150" i="176" a="1"/>
  <c r="AF148" i="176" a="1"/>
  <c r="AF135" i="176" a="1"/>
  <c r="AF156" i="176" a="1"/>
  <c r="AF147" i="176" a="1"/>
  <c r="AF154" i="176" a="1"/>
  <c r="AF145" i="176" a="1"/>
  <c r="AF151" i="176" a="1"/>
  <c r="AF143" i="176" a="1"/>
  <c r="AF139" i="176" a="1"/>
  <c r="AF142" i="176" a="1"/>
  <c r="AF130" i="176" a="1"/>
  <c r="AF141" i="176" a="1"/>
  <c r="AE128" i="176" l="1"/>
  <c r="AF139" i="176"/>
  <c r="AF150" i="176"/>
  <c r="AF153" i="176"/>
  <c r="AF140" i="176"/>
  <c r="AF132" i="176"/>
  <c r="AF131" i="176"/>
  <c r="AF154" i="176"/>
  <c r="AF134" i="176"/>
  <c r="AF146" i="176"/>
  <c r="AF143" i="176"/>
  <c r="AF133" i="176"/>
  <c r="AF149" i="176"/>
  <c r="AF151" i="176"/>
  <c r="AF141" i="176"/>
  <c r="AF155" i="176"/>
  <c r="AF130" i="176"/>
  <c r="AF135" i="176"/>
  <c r="AF147" i="176"/>
  <c r="AF138" i="176"/>
  <c r="AF142" i="176"/>
  <c r="AF152" i="176"/>
  <c r="AF156" i="176"/>
  <c r="AF148" i="176"/>
  <c r="AF145" i="176"/>
  <c r="AF137" i="176"/>
  <c r="AF144" i="176"/>
  <c r="AF136" i="176"/>
  <c r="AH127" i="176"/>
  <c r="AG139" i="176" a="1"/>
  <c r="AG153" i="176" a="1"/>
  <c r="AG152" i="176" a="1"/>
  <c r="AG155" i="176" a="1"/>
  <c r="AG149" i="176" a="1"/>
  <c r="AG134" i="176" a="1"/>
  <c r="AG144" i="176" a="1"/>
  <c r="AG143" i="176" a="1"/>
  <c r="AG154" i="176" a="1"/>
  <c r="AG130" i="176" a="1"/>
  <c r="AG133" i="176" a="1"/>
  <c r="AG136" i="176" a="1"/>
  <c r="AG150" i="176" a="1"/>
  <c r="AG145" i="176" a="1"/>
  <c r="AG132" i="176" a="1"/>
  <c r="AG141" i="176" a="1"/>
  <c r="AG140" i="176" a="1"/>
  <c r="AG142" i="176" a="1"/>
  <c r="AG135" i="176" a="1"/>
  <c r="AG156" i="176" a="1"/>
  <c r="AG151" i="176" a="1"/>
  <c r="AG146" i="176" a="1"/>
  <c r="AG137" i="176" a="1"/>
  <c r="AG131" i="176" a="1"/>
  <c r="AG148" i="176" a="1"/>
  <c r="AG147" i="176" a="1"/>
  <c r="AG138" i="176" a="1"/>
  <c r="AF128" i="176" l="1"/>
  <c r="AG152" i="176"/>
  <c r="AG136" i="176"/>
  <c r="AG154" i="176"/>
  <c r="AG143" i="176"/>
  <c r="AG139" i="176"/>
  <c r="AG156" i="176"/>
  <c r="AG148" i="176"/>
  <c r="AG138" i="176"/>
  <c r="AG151" i="176"/>
  <c r="AG137" i="176"/>
  <c r="AG133" i="176"/>
  <c r="AG144" i="176"/>
  <c r="AG130" i="176"/>
  <c r="AG134" i="176"/>
  <c r="AG132" i="176"/>
  <c r="AG135" i="176"/>
  <c r="AG146" i="176"/>
  <c r="AG149" i="176"/>
  <c r="AG141" i="176"/>
  <c r="AG142" i="176"/>
  <c r="AG140" i="176"/>
  <c r="AG153" i="176"/>
  <c r="AG155" i="176"/>
  <c r="AG150" i="176"/>
  <c r="AG145" i="176"/>
  <c r="AG147" i="176"/>
  <c r="AG131" i="176"/>
  <c r="AI127" i="176"/>
  <c r="AH146" i="176" a="1"/>
  <c r="AH137" i="176" a="1"/>
  <c r="AH156" i="176" a="1"/>
  <c r="AH133" i="176" a="1"/>
  <c r="AH141" i="176" a="1"/>
  <c r="AH135" i="176" a="1"/>
  <c r="AH131" i="176" a="1"/>
  <c r="AH147" i="176" a="1"/>
  <c r="AH139" i="176" a="1"/>
  <c r="AH152" i="176" a="1"/>
  <c r="AH143" i="176" a="1"/>
  <c r="AH145" i="176" a="1"/>
  <c r="AH153" i="176" a="1"/>
  <c r="AH136" i="176" a="1"/>
  <c r="AH132" i="176" a="1"/>
  <c r="AH140" i="176" a="1"/>
  <c r="AH138" i="176" a="1"/>
  <c r="AH154" i="176" a="1"/>
  <c r="AH130" i="176" a="1"/>
  <c r="AH134" i="176" a="1"/>
  <c r="AH149" i="176" a="1"/>
  <c r="AH151" i="176" a="1"/>
  <c r="AH155" i="176" a="1"/>
  <c r="AH150" i="176" a="1"/>
  <c r="AH142" i="176" a="1"/>
  <c r="AH144" i="176" a="1"/>
  <c r="AH148" i="176" a="1"/>
  <c r="AG128" i="176" l="1"/>
  <c r="AH135" i="176"/>
  <c r="AH153" i="176"/>
  <c r="AH156" i="176"/>
  <c r="AH140" i="176"/>
  <c r="AH139" i="176"/>
  <c r="AH146" i="176"/>
  <c r="AH144" i="176"/>
  <c r="AH149" i="176"/>
  <c r="AH130" i="176"/>
  <c r="AH150" i="176"/>
  <c r="AH133" i="176"/>
  <c r="AH154" i="176"/>
  <c r="AH141" i="176"/>
  <c r="AH148" i="176"/>
  <c r="AH138" i="176"/>
  <c r="AH145" i="176"/>
  <c r="AH132" i="176"/>
  <c r="AH151" i="176"/>
  <c r="AH134" i="176"/>
  <c r="AH137" i="176"/>
  <c r="AH155" i="176"/>
  <c r="AH143" i="176"/>
  <c r="AH142" i="176"/>
  <c r="AH131" i="176"/>
  <c r="AH147" i="176"/>
  <c r="AH152" i="176"/>
  <c r="AH136" i="176"/>
  <c r="AI140" i="176" a="1"/>
  <c r="AI154" i="176" a="1"/>
  <c r="AI144" i="176" a="1"/>
  <c r="AI150" i="176" a="1"/>
  <c r="AI137" i="176" a="1"/>
  <c r="AI133" i="176" a="1"/>
  <c r="AI131" i="176" a="1"/>
  <c r="AI152" i="176" a="1"/>
  <c r="AI139" i="176" a="1"/>
  <c r="AI151" i="176" a="1"/>
  <c r="AI136" i="176" a="1"/>
  <c r="AI135" i="176" a="1"/>
  <c r="AI143" i="176" a="1"/>
  <c r="AI149" i="176" a="1"/>
  <c r="AI147" i="176" a="1"/>
  <c r="AI146" i="176" a="1"/>
  <c r="AI138" i="176" a="1"/>
  <c r="AI155" i="176" a="1"/>
  <c r="AI132" i="176" a="1"/>
  <c r="AI153" i="176" a="1"/>
  <c r="AI156" i="176" a="1"/>
  <c r="AI141" i="176" a="1"/>
  <c r="AI134" i="176" a="1"/>
  <c r="AI145" i="176" a="1"/>
  <c r="AI148" i="176" a="1"/>
  <c r="AI142" i="176" a="1"/>
  <c r="AI130" i="176" a="1"/>
  <c r="AH128" i="176" l="1"/>
  <c r="AI135" i="176"/>
  <c r="AI134" i="176"/>
  <c r="AI154" i="176"/>
  <c r="AI136" i="176"/>
  <c r="AI139" i="176"/>
  <c r="AI145" i="176"/>
  <c r="AI152" i="176"/>
  <c r="AI149" i="176"/>
  <c r="AI144" i="176"/>
  <c r="AI142" i="176"/>
  <c r="AI141" i="176"/>
  <c r="AI137" i="176"/>
  <c r="AI140" i="176"/>
  <c r="AI143" i="176"/>
  <c r="AI156" i="176"/>
  <c r="AI146" i="176"/>
  <c r="AI155" i="176"/>
  <c r="AI133" i="176"/>
  <c r="AI130" i="176"/>
  <c r="AI150" i="176"/>
  <c r="AI138" i="176"/>
  <c r="AI153" i="176"/>
  <c r="AI148" i="176"/>
  <c r="AI151" i="176"/>
  <c r="AI132" i="176"/>
  <c r="AI147" i="176"/>
  <c r="AI131" i="176"/>
  <c r="AI128" i="176" l="1"/>
  <c r="R123" i="176" a="1"/>
  <c r="R123" i="176" s="1"/>
  <c r="N62" i="176" a="1"/>
  <c r="N62" i="176" s="1"/>
  <c r="O62" i="176" a="1"/>
  <c r="O62" i="176" s="1"/>
  <c r="P62" i="176" a="1"/>
  <c r="P62" i="176" s="1"/>
  <c r="Q62" i="176" a="1"/>
  <c r="Q62" i="176" s="1"/>
  <c r="N63" i="176" a="1"/>
  <c r="N63" i="176" s="1"/>
  <c r="O63" i="176" a="1"/>
  <c r="O63" i="176" s="1"/>
  <c r="P63" i="176" a="1"/>
  <c r="P63" i="176" s="1"/>
  <c r="Q63" i="176" a="1"/>
  <c r="Q63" i="176" s="1"/>
  <c r="N64" i="176" a="1"/>
  <c r="N64" i="176" s="1"/>
  <c r="O64" i="176" a="1"/>
  <c r="O64" i="176" s="1"/>
  <c r="P64" i="176" a="1"/>
  <c r="P64" i="176" s="1"/>
  <c r="Q64" i="176" a="1"/>
  <c r="Q64" i="176" s="1"/>
  <c r="N65" i="176" a="1"/>
  <c r="N65" i="176" s="1"/>
  <c r="O65" i="176" a="1"/>
  <c r="O65" i="176" s="1"/>
  <c r="P65" i="176" a="1"/>
  <c r="P65" i="176" s="1"/>
  <c r="Q65" i="176" a="1"/>
  <c r="Q65" i="176" s="1"/>
  <c r="N66" i="176" a="1"/>
  <c r="N66" i="176" s="1"/>
  <c r="O66" i="176" a="1"/>
  <c r="O66" i="176" s="1"/>
  <c r="P66" i="176" a="1"/>
  <c r="P66" i="176" s="1"/>
  <c r="Q66" i="176" a="1"/>
  <c r="Q66" i="176" s="1"/>
  <c r="N67" i="176" a="1"/>
  <c r="N67" i="176" s="1"/>
  <c r="O67" i="176" a="1"/>
  <c r="O67" i="176" s="1"/>
  <c r="P67" i="176" a="1"/>
  <c r="P67" i="176" s="1"/>
  <c r="Q67" i="176" a="1"/>
  <c r="Q67" i="176" s="1"/>
  <c r="N68" i="176" a="1"/>
  <c r="N68" i="176" s="1"/>
  <c r="O68" i="176" a="1"/>
  <c r="O68" i="176" s="1"/>
  <c r="P68" i="176" a="1"/>
  <c r="P68" i="176" s="1"/>
  <c r="Q68" i="176" a="1"/>
  <c r="Q68" i="176" s="1"/>
  <c r="N69" i="176" a="1"/>
  <c r="N69" i="176" s="1"/>
  <c r="O69" i="176" a="1"/>
  <c r="O69" i="176" s="1"/>
  <c r="P69" i="176" a="1"/>
  <c r="P69" i="176" s="1"/>
  <c r="Q69" i="176" a="1"/>
  <c r="Q69" i="176" s="1"/>
  <c r="N70" i="176" a="1"/>
  <c r="N70" i="176" s="1"/>
  <c r="O70" i="176" a="1"/>
  <c r="O70" i="176" s="1"/>
  <c r="P70" i="176" a="1"/>
  <c r="P70" i="176" s="1"/>
  <c r="Q70" i="176" a="1"/>
  <c r="Q70" i="176" s="1"/>
  <c r="N71" i="176" a="1"/>
  <c r="N71" i="176" s="1"/>
  <c r="O71" i="176" a="1"/>
  <c r="O71" i="176" s="1"/>
  <c r="P71" i="176" a="1"/>
  <c r="P71" i="176" s="1"/>
  <c r="Q71" i="176" a="1"/>
  <c r="Q71" i="176" s="1"/>
  <c r="N72" i="176" a="1"/>
  <c r="N72" i="176" s="1"/>
  <c r="O72" i="176" a="1"/>
  <c r="O72" i="176" s="1"/>
  <c r="P72" i="176" a="1"/>
  <c r="P72" i="176" s="1"/>
  <c r="Q72" i="176" a="1"/>
  <c r="Q72" i="176" s="1"/>
  <c r="N73" i="176" a="1"/>
  <c r="N73" i="176" s="1"/>
  <c r="O73" i="176" a="1"/>
  <c r="O73" i="176" s="1"/>
  <c r="P73" i="176" a="1"/>
  <c r="P73" i="176" s="1"/>
  <c r="Q73" i="176" a="1"/>
  <c r="Q73" i="176" s="1"/>
  <c r="N74" i="176" a="1"/>
  <c r="N74" i="176" s="1"/>
  <c r="O74" i="176" a="1"/>
  <c r="O74" i="176" s="1"/>
  <c r="P74" i="176" a="1"/>
  <c r="P74" i="176" s="1"/>
  <c r="Q74" i="176" a="1"/>
  <c r="Q74" i="176" s="1"/>
  <c r="N75" i="176" a="1"/>
  <c r="N75" i="176" s="1"/>
  <c r="O75" i="176" a="1"/>
  <c r="O75" i="176" s="1"/>
  <c r="P75" i="176" a="1"/>
  <c r="P75" i="176" s="1"/>
  <c r="Q75" i="176" a="1"/>
  <c r="Q75" i="176" s="1"/>
  <c r="N76" i="176" a="1"/>
  <c r="N76" i="176" s="1"/>
  <c r="O76" i="176" a="1"/>
  <c r="O76" i="176" s="1"/>
  <c r="P76" i="176" a="1"/>
  <c r="P76" i="176" s="1"/>
  <c r="Q76" i="176" a="1"/>
  <c r="Q76" i="176" s="1"/>
  <c r="N77" i="176" a="1"/>
  <c r="N77" i="176" s="1"/>
  <c r="O77" i="176" a="1"/>
  <c r="O77" i="176" s="1"/>
  <c r="P77" i="176" a="1"/>
  <c r="P77" i="176" s="1"/>
  <c r="Q77" i="176" a="1"/>
  <c r="Q77" i="176" s="1"/>
  <c r="N78" i="176" a="1"/>
  <c r="N78" i="176" s="1"/>
  <c r="O78" i="176" a="1"/>
  <c r="O78" i="176" s="1"/>
  <c r="P78" i="176" a="1"/>
  <c r="P78" i="176" s="1"/>
  <c r="Q78" i="176" a="1"/>
  <c r="Q78" i="176" s="1"/>
  <c r="N79" i="176" a="1"/>
  <c r="N79" i="176" s="1"/>
  <c r="O79" i="176" a="1"/>
  <c r="O79" i="176" s="1"/>
  <c r="P79" i="176" a="1"/>
  <c r="P79" i="176" s="1"/>
  <c r="Q79" i="176" a="1"/>
  <c r="Q79" i="176" s="1"/>
  <c r="N80" i="176" a="1"/>
  <c r="N80" i="176" s="1"/>
  <c r="O80" i="176" a="1"/>
  <c r="O80" i="176" s="1"/>
  <c r="P80" i="176" a="1"/>
  <c r="P80" i="176" s="1"/>
  <c r="Q80" i="176" a="1"/>
  <c r="Q80" i="176" s="1"/>
  <c r="N81" i="176" a="1"/>
  <c r="N81" i="176" s="1"/>
  <c r="O81" i="176" a="1"/>
  <c r="O81" i="176" s="1"/>
  <c r="P81" i="176" a="1"/>
  <c r="P81" i="176" s="1"/>
  <c r="Q81" i="176" a="1"/>
  <c r="Q81" i="176" s="1"/>
  <c r="N82" i="176" a="1"/>
  <c r="N82" i="176" s="1"/>
  <c r="O82" i="176" a="1"/>
  <c r="O82" i="176" s="1"/>
  <c r="P82" i="176" a="1"/>
  <c r="P82" i="176" s="1"/>
  <c r="Q82" i="176" a="1"/>
  <c r="Q82" i="176" s="1"/>
  <c r="N83" i="176" a="1"/>
  <c r="N83" i="176" s="1"/>
  <c r="O83" i="176" a="1"/>
  <c r="O83" i="176" s="1"/>
  <c r="P83" i="176" a="1"/>
  <c r="P83" i="176" s="1"/>
  <c r="Q83" i="176" a="1"/>
  <c r="Q83" i="176" s="1"/>
  <c r="N84" i="176" a="1"/>
  <c r="N84" i="176" s="1"/>
  <c r="O84" i="176" a="1"/>
  <c r="O84" i="176" s="1"/>
  <c r="P84" i="176" a="1"/>
  <c r="P84" i="176" s="1"/>
  <c r="Q84" i="176" a="1"/>
  <c r="Q84" i="176" s="1"/>
  <c r="N85" i="176" a="1"/>
  <c r="N85" i="176" s="1"/>
  <c r="O85" i="176" a="1"/>
  <c r="O85" i="176" s="1"/>
  <c r="P85" i="176" a="1"/>
  <c r="P85" i="176" s="1"/>
  <c r="Q85" i="176" a="1"/>
  <c r="Q85" i="176" s="1"/>
  <c r="N86" i="176" a="1"/>
  <c r="N86" i="176" s="1"/>
  <c r="O86" i="176" a="1"/>
  <c r="O86" i="176" s="1"/>
  <c r="P86" i="176" a="1"/>
  <c r="P86" i="176" s="1"/>
  <c r="Q86" i="176" a="1"/>
  <c r="Q86" i="176" s="1"/>
  <c r="N87" i="176" a="1"/>
  <c r="N87" i="176" s="1"/>
  <c r="O87" i="176" a="1"/>
  <c r="O87" i="176" s="1"/>
  <c r="P87" i="176" a="1"/>
  <c r="P87" i="176" s="1"/>
  <c r="Q87" i="176" a="1"/>
  <c r="Q87" i="176" s="1"/>
  <c r="N88" i="176" a="1"/>
  <c r="N88" i="176" s="1"/>
  <c r="O88" i="176" a="1"/>
  <c r="O88" i="176" s="1"/>
  <c r="P88" i="176" a="1"/>
  <c r="P88" i="176" s="1"/>
  <c r="Q88" i="176" a="1"/>
  <c r="Q88" i="176" s="1"/>
  <c r="N89" i="176" a="1"/>
  <c r="N89" i="176" s="1"/>
  <c r="O89" i="176" a="1"/>
  <c r="O89" i="176" s="1"/>
  <c r="P89" i="176" a="1"/>
  <c r="P89" i="176" s="1"/>
  <c r="Q89" i="176" a="1"/>
  <c r="Q89" i="176" s="1"/>
  <c r="N90" i="176" a="1"/>
  <c r="N90" i="176" s="1"/>
  <c r="O90" i="176" a="1"/>
  <c r="O90" i="176" s="1"/>
  <c r="P90" i="176" a="1"/>
  <c r="P90" i="176" s="1"/>
  <c r="Q90" i="176" a="1"/>
  <c r="Q90" i="176" s="1"/>
  <c r="N91" i="176" a="1"/>
  <c r="N91" i="176" s="1"/>
  <c r="O91" i="176" a="1"/>
  <c r="O91" i="176" s="1"/>
  <c r="P91" i="176" a="1"/>
  <c r="P91" i="176" s="1"/>
  <c r="Q91" i="176" a="1"/>
  <c r="Q91" i="176" s="1"/>
  <c r="N92" i="176" a="1"/>
  <c r="N92" i="176" s="1"/>
  <c r="O92" i="176" a="1"/>
  <c r="O92" i="176" s="1"/>
  <c r="P92" i="176" a="1"/>
  <c r="P92" i="176" s="1"/>
  <c r="Q92" i="176" a="1"/>
  <c r="Q92" i="176" s="1"/>
  <c r="N93" i="176" a="1"/>
  <c r="N93" i="176" s="1"/>
  <c r="O93" i="176" a="1"/>
  <c r="O93" i="176" s="1"/>
  <c r="P93" i="176" a="1"/>
  <c r="P93" i="176" s="1"/>
  <c r="Q93" i="176" a="1"/>
  <c r="Q93" i="176" s="1"/>
  <c r="N94" i="176" a="1"/>
  <c r="N94" i="176" s="1"/>
  <c r="O94" i="176" a="1"/>
  <c r="O94" i="176" s="1"/>
  <c r="P94" i="176" a="1"/>
  <c r="P94" i="176" s="1"/>
  <c r="Q94" i="176" a="1"/>
  <c r="Q94" i="176" s="1"/>
  <c r="N95" i="176" a="1"/>
  <c r="N95" i="176" s="1"/>
  <c r="O95" i="176" a="1"/>
  <c r="O95" i="176" s="1"/>
  <c r="P95" i="176" a="1"/>
  <c r="P95" i="176" s="1"/>
  <c r="Q95" i="176" a="1"/>
  <c r="Q95" i="176" s="1"/>
  <c r="N96" i="176" a="1"/>
  <c r="N96" i="176" s="1"/>
  <c r="O96" i="176" a="1"/>
  <c r="O96" i="176" s="1"/>
  <c r="P96" i="176" a="1"/>
  <c r="P96" i="176" s="1"/>
  <c r="Q96" i="176" a="1"/>
  <c r="Q96" i="176" s="1"/>
  <c r="N97" i="176" a="1"/>
  <c r="N97" i="176" s="1"/>
  <c r="O97" i="176" a="1"/>
  <c r="O97" i="176" s="1"/>
  <c r="P97" i="176" a="1"/>
  <c r="P97" i="176" s="1"/>
  <c r="Q97" i="176" a="1"/>
  <c r="Q97" i="176" s="1"/>
  <c r="N98" i="176" a="1"/>
  <c r="N98" i="176" s="1"/>
  <c r="O98" i="176" a="1"/>
  <c r="O98" i="176" s="1"/>
  <c r="P98" i="176" a="1"/>
  <c r="P98" i="176" s="1"/>
  <c r="Q98" i="176" a="1"/>
  <c r="Q98" i="176" s="1"/>
  <c r="N99" i="176" a="1"/>
  <c r="N99" i="176" s="1"/>
  <c r="O99" i="176" a="1"/>
  <c r="O99" i="176" s="1"/>
  <c r="P99" i="176" a="1"/>
  <c r="P99" i="176" s="1"/>
  <c r="Q99" i="176" a="1"/>
  <c r="Q99" i="176" s="1"/>
  <c r="N100" i="176" a="1"/>
  <c r="N100" i="176" s="1"/>
  <c r="O100" i="176" a="1"/>
  <c r="O100" i="176" s="1"/>
  <c r="P100" i="176" a="1"/>
  <c r="P100" i="176" s="1"/>
  <c r="Q100" i="176" a="1"/>
  <c r="Q100" i="176" s="1"/>
  <c r="N101" i="176" a="1"/>
  <c r="N101" i="176" s="1"/>
  <c r="O101" i="176" a="1"/>
  <c r="O101" i="176" s="1"/>
  <c r="P101" i="176" a="1"/>
  <c r="P101" i="176" s="1"/>
  <c r="Q101" i="176" a="1"/>
  <c r="Q101" i="176" s="1"/>
  <c r="N102" i="176" a="1"/>
  <c r="N102" i="176" s="1"/>
  <c r="O102" i="176" a="1"/>
  <c r="O102" i="176" s="1"/>
  <c r="P102" i="176" a="1"/>
  <c r="P102" i="176" s="1"/>
  <c r="Q102" i="176" a="1"/>
  <c r="Q102" i="176" s="1"/>
  <c r="N103" i="176" a="1"/>
  <c r="N103" i="176" s="1"/>
  <c r="O103" i="176" a="1"/>
  <c r="O103" i="176" s="1"/>
  <c r="P103" i="176" a="1"/>
  <c r="P103" i="176" s="1"/>
  <c r="Q103" i="176" a="1"/>
  <c r="Q103" i="176" s="1"/>
  <c r="N104" i="176" a="1"/>
  <c r="N104" i="176" s="1"/>
  <c r="O104" i="176" a="1"/>
  <c r="O104" i="176" s="1"/>
  <c r="P104" i="176" a="1"/>
  <c r="P104" i="176" s="1"/>
  <c r="Q104" i="176" a="1"/>
  <c r="Q104" i="176" s="1"/>
  <c r="N105" i="176" a="1"/>
  <c r="N105" i="176" s="1"/>
  <c r="O105" i="176" a="1"/>
  <c r="O105" i="176" s="1"/>
  <c r="P105" i="176" a="1"/>
  <c r="P105" i="176" s="1"/>
  <c r="Q105" i="176" a="1"/>
  <c r="Q105" i="176" s="1"/>
  <c r="N106" i="176" a="1"/>
  <c r="N106" i="176" s="1"/>
  <c r="O106" i="176" a="1"/>
  <c r="O106" i="176" s="1"/>
  <c r="P106" i="176" a="1"/>
  <c r="P106" i="176" s="1"/>
  <c r="Q106" i="176" a="1"/>
  <c r="Q106" i="176" s="1"/>
  <c r="N107" i="176" a="1"/>
  <c r="N107" i="176" s="1"/>
  <c r="O107" i="176" a="1"/>
  <c r="O107" i="176" s="1"/>
  <c r="P107" i="176" a="1"/>
  <c r="P107" i="176" s="1"/>
  <c r="Q107" i="176" a="1"/>
  <c r="Q107" i="176" s="1"/>
  <c r="N108" i="176" a="1"/>
  <c r="N108" i="176" s="1"/>
  <c r="O108" i="176" a="1"/>
  <c r="O108" i="176" s="1"/>
  <c r="P108" i="176" a="1"/>
  <c r="P108" i="176" s="1"/>
  <c r="Q108" i="176" a="1"/>
  <c r="Q108" i="176" s="1"/>
  <c r="N109" i="176" a="1"/>
  <c r="N109" i="176" s="1"/>
  <c r="O109" i="176" a="1"/>
  <c r="O109" i="176" s="1"/>
  <c r="P109" i="176" a="1"/>
  <c r="P109" i="176" s="1"/>
  <c r="Q109" i="176" a="1"/>
  <c r="Q109" i="176" s="1"/>
  <c r="P110" i="176" a="1"/>
  <c r="P110" i="176" s="1"/>
  <c r="Q110" i="176" a="1"/>
  <c r="Q110" i="176" s="1"/>
  <c r="P111" i="176" a="1"/>
  <c r="P111" i="176" s="1"/>
  <c r="Q111" i="176" a="1"/>
  <c r="Q111" i="176" s="1"/>
  <c r="P112" i="176" a="1"/>
  <c r="P112" i="176" s="1"/>
  <c r="Q112" i="176" a="1"/>
  <c r="Q112" i="176" s="1"/>
  <c r="P113" i="176" a="1"/>
  <c r="P113" i="176" s="1"/>
  <c r="Q113" i="176" a="1"/>
  <c r="Q113" i="176" s="1"/>
  <c r="P114" i="176" a="1"/>
  <c r="P114" i="176" s="1"/>
  <c r="Q114" i="176" a="1"/>
  <c r="Q114" i="176" s="1"/>
  <c r="P115" i="176" a="1"/>
  <c r="P115" i="176" s="1"/>
  <c r="Q115" i="176" a="1"/>
  <c r="Q115" i="176" s="1"/>
  <c r="P116" i="176" a="1"/>
  <c r="P116" i="176" s="1"/>
  <c r="Q116" i="176" a="1"/>
  <c r="Q116" i="176" s="1"/>
  <c r="P117" i="176" a="1"/>
  <c r="P117" i="176" s="1"/>
  <c r="Q117" i="176" a="1"/>
  <c r="Q117" i="176" s="1"/>
  <c r="P118" i="176" a="1"/>
  <c r="P118" i="176" s="1"/>
  <c r="Q118" i="176" a="1"/>
  <c r="Q118" i="176" s="1"/>
  <c r="P119" i="176" a="1"/>
  <c r="P119" i="176" s="1"/>
  <c r="Q119" i="176" a="1"/>
  <c r="Q119" i="176" s="1"/>
  <c r="P120" i="176" a="1"/>
  <c r="P120" i="176" s="1"/>
  <c r="Q120" i="176" a="1"/>
  <c r="Q120" i="176" s="1"/>
  <c r="P121" i="176" a="1"/>
  <c r="P121" i="176" s="1"/>
  <c r="Q121" i="176" a="1"/>
  <c r="Q121" i="176" s="1"/>
  <c r="N122" i="176" a="1"/>
  <c r="N122" i="176" s="1"/>
  <c r="O122" i="176" a="1"/>
  <c r="O122" i="176" s="1"/>
  <c r="P122" i="176" a="1"/>
  <c r="P122" i="176" s="1"/>
  <c r="Q122" i="176" a="1"/>
  <c r="Q122" i="176" s="1"/>
  <c r="S122" i="176" a="1"/>
  <c r="S122" i="176" s="1"/>
  <c r="T122" i="176" a="1"/>
  <c r="T122" i="176" s="1"/>
  <c r="U122" i="176" a="1"/>
  <c r="U122" i="176" s="1"/>
  <c r="X122" i="176" a="1"/>
  <c r="X122" i="176" s="1"/>
  <c r="Y122" i="176" a="1"/>
  <c r="Y122" i="176" s="1"/>
  <c r="Z122" i="176" a="1"/>
  <c r="Z122" i="176" s="1"/>
  <c r="AC122" i="176" a="1"/>
  <c r="AC122" i="176" s="1"/>
  <c r="AD122" i="176" a="1"/>
  <c r="AD122" i="176" s="1"/>
  <c r="AE122" i="176" a="1"/>
  <c r="AE122" i="176" s="1"/>
  <c r="AG122" i="176" a="1"/>
  <c r="AG122" i="176" s="1"/>
  <c r="AH122" i="176" a="1"/>
  <c r="AH122" i="176" s="1"/>
  <c r="AI122" i="176" a="1"/>
  <c r="AI122" i="176" s="1"/>
  <c r="N123" i="176" a="1"/>
  <c r="N123" i="176" s="1"/>
  <c r="O123" i="176" a="1"/>
  <c r="O123" i="176" s="1"/>
  <c r="P123" i="176" a="1"/>
  <c r="P123" i="176" s="1"/>
  <c r="Q123" i="176" a="1"/>
  <c r="Q123" i="176" s="1"/>
  <c r="S123" i="176" a="1"/>
  <c r="S123" i="176" s="1"/>
  <c r="T123" i="176" a="1"/>
  <c r="T123" i="176" s="1"/>
  <c r="U123" i="176" a="1"/>
  <c r="U123" i="176" s="1"/>
  <c r="X123" i="176" a="1"/>
  <c r="X123" i="176" s="1"/>
  <c r="Y123" i="176" a="1"/>
  <c r="Y123" i="176" s="1"/>
  <c r="Z123" i="176" a="1"/>
  <c r="Z123" i="176" s="1"/>
  <c r="AC123" i="176" a="1"/>
  <c r="AC123" i="176" s="1"/>
  <c r="AD123" i="176" a="1"/>
  <c r="AD123" i="176" s="1"/>
  <c r="AE123" i="176" a="1"/>
  <c r="AE123" i="176" s="1"/>
  <c r="AG123" i="176" a="1"/>
  <c r="AG123" i="176" s="1"/>
  <c r="AH123" i="176" a="1"/>
  <c r="AH123" i="176" s="1"/>
  <c r="AI123" i="176" a="1"/>
  <c r="AI123" i="176" s="1"/>
  <c r="N50" i="176" a="1"/>
  <c r="N50" i="176" s="1"/>
  <c r="O50" i="176" a="1"/>
  <c r="O50" i="176" s="1"/>
  <c r="P50" i="176" a="1"/>
  <c r="P50" i="176" s="1"/>
  <c r="Q50" i="176" a="1"/>
  <c r="Q50" i="176" s="1"/>
  <c r="N51" i="176" a="1"/>
  <c r="N51" i="176" s="1"/>
  <c r="O51" i="176" a="1"/>
  <c r="O51" i="176" s="1"/>
  <c r="P51" i="176" a="1"/>
  <c r="P51" i="176" s="1"/>
  <c r="Q51" i="176" a="1"/>
  <c r="Q51" i="176" s="1"/>
  <c r="N52" i="176" a="1"/>
  <c r="N52" i="176" s="1"/>
  <c r="O52" i="176" a="1"/>
  <c r="O52" i="176" s="1"/>
  <c r="P52" i="176" a="1"/>
  <c r="P52" i="176" s="1"/>
  <c r="Q52" i="176" a="1"/>
  <c r="Q52" i="176" s="1"/>
  <c r="N53" i="176" a="1"/>
  <c r="N53" i="176" s="1"/>
  <c r="O53" i="176" a="1"/>
  <c r="O53" i="176" s="1"/>
  <c r="P53" i="176" a="1"/>
  <c r="P53" i="176" s="1"/>
  <c r="Q53" i="176" a="1"/>
  <c r="Q53" i="176" s="1"/>
  <c r="N54" i="176" a="1"/>
  <c r="N54" i="176" s="1"/>
  <c r="O54" i="176" a="1"/>
  <c r="O54" i="176" s="1"/>
  <c r="P54" i="176" a="1"/>
  <c r="P54" i="176" s="1"/>
  <c r="Q54" i="176" a="1"/>
  <c r="Q54" i="176" s="1"/>
  <c r="N55" i="176" a="1"/>
  <c r="N55" i="176" s="1"/>
  <c r="O55" i="176" a="1"/>
  <c r="O55" i="176" s="1"/>
  <c r="P55" i="176" a="1"/>
  <c r="P55" i="176" s="1"/>
  <c r="Q55" i="176" a="1"/>
  <c r="Q55" i="176" s="1"/>
  <c r="N56" i="176" a="1"/>
  <c r="N56" i="176" s="1"/>
  <c r="O56" i="176" a="1"/>
  <c r="O56" i="176" s="1"/>
  <c r="P56" i="176" a="1"/>
  <c r="P56" i="176" s="1"/>
  <c r="Q56" i="176" a="1"/>
  <c r="Q56" i="176" s="1"/>
  <c r="N57" i="176" a="1"/>
  <c r="N57" i="176" s="1"/>
  <c r="O57" i="176" a="1"/>
  <c r="O57" i="176" s="1"/>
  <c r="P57" i="176" a="1"/>
  <c r="P57" i="176" s="1"/>
  <c r="Q57" i="176" a="1"/>
  <c r="Q57" i="176" s="1"/>
  <c r="N58" i="176" a="1"/>
  <c r="N58" i="176" s="1"/>
  <c r="O58" i="176" a="1"/>
  <c r="O58" i="176" s="1"/>
  <c r="P58" i="176" a="1"/>
  <c r="P58" i="176" s="1"/>
  <c r="Q58" i="176" a="1"/>
  <c r="Q58" i="176" s="1"/>
  <c r="N59" i="176" a="1"/>
  <c r="N59" i="176" s="1"/>
  <c r="O59" i="176" a="1"/>
  <c r="O59" i="176" s="1"/>
  <c r="P59" i="176" a="1"/>
  <c r="P59" i="176" s="1"/>
  <c r="Q59" i="176" a="1"/>
  <c r="Q59" i="176" s="1"/>
  <c r="N60" i="176" a="1"/>
  <c r="N60" i="176" s="1"/>
  <c r="O60" i="176" a="1"/>
  <c r="O60" i="176" s="1"/>
  <c r="P60" i="176" a="1"/>
  <c r="P60" i="176" s="1"/>
  <c r="Q60" i="176" a="1"/>
  <c r="Q60" i="176" s="1"/>
  <c r="N61" i="176" a="1"/>
  <c r="N61" i="176" s="1"/>
  <c r="O61" i="176" a="1"/>
  <c r="O61" i="176" s="1"/>
  <c r="P61" i="176" a="1"/>
  <c r="P61" i="176" s="1"/>
  <c r="Q61" i="176" a="1"/>
  <c r="Q61" i="176" s="1"/>
  <c r="N11" i="176"/>
  <c r="H16" i="176"/>
  <c r="G16" i="176"/>
  <c r="C5" i="158"/>
  <c r="AD5" i="158"/>
  <c r="AF102" i="158" a="1"/>
  <c r="AF102" i="158" s="1"/>
  <c r="AH102" i="158" a="1"/>
  <c r="AH102" i="158" s="1"/>
  <c r="AJ102" i="158" a="1"/>
  <c r="AJ102" i="158" s="1"/>
  <c r="P34" i="176" a="1"/>
  <c r="P37" i="176" a="1"/>
  <c r="P40" i="176" a="1"/>
  <c r="P43" i="176" a="1"/>
  <c r="P46" i="176" a="1"/>
  <c r="P49" i="176" a="1"/>
  <c r="P41" i="176" a="1"/>
  <c r="Q35" i="176" a="1"/>
  <c r="N42" i="176" a="1"/>
  <c r="O39" i="176" a="1"/>
  <c r="P39" i="176" a="1"/>
  <c r="Q48" i="176" a="1"/>
  <c r="N37" i="176" a="1"/>
  <c r="O43" i="176" a="1"/>
  <c r="Q34" i="176" a="1"/>
  <c r="Q37" i="176" a="1"/>
  <c r="Q40" i="176" a="1"/>
  <c r="Q43" i="176" a="1"/>
  <c r="Q46" i="176" a="1"/>
  <c r="Q49" i="176" a="1"/>
  <c r="P38" i="176" a="1"/>
  <c r="Q47" i="176" a="1"/>
  <c r="N45" i="176" a="1"/>
  <c r="O42" i="176" a="1"/>
  <c r="P42" i="176" a="1"/>
  <c r="Q39" i="176" a="1"/>
  <c r="N40" i="176" a="1"/>
  <c r="O34" i="176" a="1"/>
  <c r="N35" i="176" a="1"/>
  <c r="N38" i="176" a="1"/>
  <c r="N41" i="176" a="1"/>
  <c r="N44" i="176" a="1"/>
  <c r="N47" i="176" a="1"/>
  <c r="Q41" i="176" a="1"/>
  <c r="N36" i="176" a="1"/>
  <c r="O48" i="176" a="1"/>
  <c r="P48" i="176" a="1"/>
  <c r="Q42" i="176" a="1"/>
  <c r="N46" i="176" a="1"/>
  <c r="O40" i="176" a="1"/>
  <c r="O49" i="176" a="1"/>
  <c r="O35" i="176" a="1"/>
  <c r="O38" i="176" a="1"/>
  <c r="O41" i="176" a="1"/>
  <c r="O44" i="176" a="1"/>
  <c r="O47" i="176" a="1"/>
  <c r="P35" i="176" a="1"/>
  <c r="P44" i="176" a="1"/>
  <c r="P47" i="176" a="1"/>
  <c r="Q38" i="176" a="1"/>
  <c r="Q44" i="176" a="1"/>
  <c r="N39" i="176" a="1"/>
  <c r="N48" i="176" a="1"/>
  <c r="O36" i="176" a="1"/>
  <c r="O45" i="176" a="1"/>
  <c r="P36" i="176" a="1"/>
  <c r="P45" i="176" a="1"/>
  <c r="Q36" i="176" a="1"/>
  <c r="Q45" i="176" a="1"/>
  <c r="N34" i="176" a="1"/>
  <c r="N43" i="176" a="1"/>
  <c r="N49" i="176" a="1"/>
  <c r="O37" i="176" a="1"/>
  <c r="O46" i="176" a="1"/>
  <c r="Q33" i="176" a="1"/>
  <c r="N33" i="176" a="1"/>
  <c r="P33" i="176" a="1"/>
  <c r="O33" i="176" a="1"/>
  <c r="P32" i="176" a="1"/>
  <c r="O32" i="176" a="1"/>
  <c r="Q32" i="176" a="1"/>
  <c r="N32" i="176" a="1"/>
  <c r="P31" i="176" a="1"/>
  <c r="Q31" i="176" a="1"/>
  <c r="O31" i="176" a="1"/>
  <c r="N31" i="176" a="1"/>
  <c r="P30" i="176" a="1"/>
  <c r="N30" i="176" a="1"/>
  <c r="Q30" i="176" a="1"/>
  <c r="O30" i="176" a="1"/>
  <c r="P29" i="176" a="1"/>
  <c r="Q29" i="176" a="1"/>
  <c r="O29" i="176" a="1"/>
  <c r="N29" i="176" a="1"/>
  <c r="P28" i="176" a="1"/>
  <c r="O28" i="176" a="1"/>
  <c r="Q28" i="176" a="1"/>
  <c r="N28" i="176" a="1"/>
  <c r="P27" i="176" a="1"/>
  <c r="Q27" i="176" a="1"/>
  <c r="N27" i="176" a="1"/>
  <c r="O27" i="176" a="1"/>
  <c r="P26" i="176" a="1"/>
  <c r="Q26" i="176" a="1"/>
  <c r="N26" i="176" a="1"/>
  <c r="O26" i="176" a="1"/>
  <c r="Q25" i="176" a="1"/>
  <c r="O25" i="176" a="1"/>
  <c r="P25" i="176" a="1"/>
  <c r="N25" i="176" a="1"/>
  <c r="N24" i="176" a="1"/>
  <c r="O24" i="176" a="1"/>
  <c r="P24" i="176" a="1"/>
  <c r="Q24" i="176" a="1"/>
  <c r="O46" i="176" l="1"/>
  <c r="O37" i="176"/>
  <c r="N49" i="176"/>
  <c r="N43" i="176"/>
  <c r="N34" i="176"/>
  <c r="Q45" i="176"/>
  <c r="Q36" i="176"/>
  <c r="P45" i="176"/>
  <c r="P36" i="176"/>
  <c r="O45" i="176"/>
  <c r="O36" i="176"/>
  <c r="N48" i="176"/>
  <c r="N39" i="176"/>
  <c r="Q44" i="176"/>
  <c r="Q38" i="176"/>
  <c r="P47" i="176"/>
  <c r="P44" i="176"/>
  <c r="P35" i="176"/>
  <c r="O47" i="176"/>
  <c r="O44" i="176"/>
  <c r="O41" i="176"/>
  <c r="O38" i="176"/>
  <c r="O35" i="176"/>
  <c r="O49" i="176"/>
  <c r="O40" i="176"/>
  <c r="N46" i="176"/>
  <c r="Q42" i="176"/>
  <c r="P48" i="176"/>
  <c r="O48" i="176"/>
  <c r="N36" i="176"/>
  <c r="Q41" i="176"/>
  <c r="N47" i="176"/>
  <c r="N44" i="176"/>
  <c r="N41" i="176"/>
  <c r="N38" i="176"/>
  <c r="N35" i="176"/>
  <c r="O34" i="176"/>
  <c r="N40" i="176"/>
  <c r="Q39" i="176"/>
  <c r="P42" i="176"/>
  <c r="O42" i="176"/>
  <c r="N45" i="176"/>
  <c r="Q47" i="176"/>
  <c r="P38" i="176"/>
  <c r="Q49" i="176"/>
  <c r="Q46" i="176"/>
  <c r="Q43" i="176"/>
  <c r="Q40" i="176"/>
  <c r="Q37" i="176"/>
  <c r="Q34" i="176"/>
  <c r="O43" i="176"/>
  <c r="N37" i="176"/>
  <c r="Q48" i="176"/>
  <c r="P39" i="176"/>
  <c r="O39" i="176"/>
  <c r="N42" i="176"/>
  <c r="Q35" i="176"/>
  <c r="P41" i="176"/>
  <c r="P49" i="176"/>
  <c r="P46" i="176"/>
  <c r="P43" i="176"/>
  <c r="P40" i="176"/>
  <c r="P37" i="176"/>
  <c r="P34" i="176"/>
  <c r="O33" i="176"/>
  <c r="P33" i="176"/>
  <c r="N33" i="176"/>
  <c r="Q33" i="176"/>
  <c r="N32" i="176"/>
  <c r="Q32" i="176"/>
  <c r="O32" i="176"/>
  <c r="P32" i="176"/>
  <c r="N31" i="176"/>
  <c r="O31" i="176"/>
  <c r="Q31" i="176"/>
  <c r="P31" i="176"/>
  <c r="O30" i="176"/>
  <c r="Q30" i="176"/>
  <c r="N30" i="176"/>
  <c r="P30" i="176"/>
  <c r="N29" i="176"/>
  <c r="O29" i="176"/>
  <c r="Q29" i="176"/>
  <c r="P29" i="176"/>
  <c r="N28" i="176"/>
  <c r="Q28" i="176"/>
  <c r="O28" i="176"/>
  <c r="P28" i="176"/>
  <c r="O27" i="176"/>
  <c r="N27" i="176"/>
  <c r="Q27" i="176"/>
  <c r="P27" i="176"/>
  <c r="O26" i="176"/>
  <c r="N26" i="176"/>
  <c r="Q26" i="176"/>
  <c r="P26" i="176"/>
  <c r="N25" i="176"/>
  <c r="P25" i="176"/>
  <c r="O25" i="176"/>
  <c r="Q25" i="176"/>
  <c r="Q24" i="176"/>
  <c r="P24" i="176"/>
  <c r="O24" i="176"/>
  <c r="N24" i="176"/>
  <c r="E19" i="176" a="1"/>
  <c r="E19" i="176" s="1"/>
  <c r="E17" i="176" a="1"/>
  <c r="E17" i="176" s="1"/>
  <c r="E23" i="176" a="1"/>
  <c r="E23" i="176" s="1"/>
  <c r="E21" i="176" a="1"/>
  <c r="E21" i="176" s="1"/>
  <c r="T79" i="176" a="1"/>
  <c r="T79" i="176" s="1"/>
  <c r="U121" i="176" a="1"/>
  <c r="U121" i="176" s="1"/>
  <c r="AC120" i="176" a="1"/>
  <c r="AC120" i="176" s="1"/>
  <c r="S119" i="176" a="1"/>
  <c r="S119" i="176" s="1"/>
  <c r="Y118" i="176" a="1"/>
  <c r="Y118" i="176" s="1"/>
  <c r="U116" i="176" a="1"/>
  <c r="U116" i="176" s="1"/>
  <c r="AC115" i="176" a="1"/>
  <c r="AC115" i="176" s="1"/>
  <c r="S114" i="176" a="1"/>
  <c r="S114" i="176" s="1"/>
  <c r="Y113" i="176" a="1"/>
  <c r="Y113" i="176" s="1"/>
  <c r="U111" i="176" a="1"/>
  <c r="U111" i="176" s="1"/>
  <c r="AC110" i="176" a="1"/>
  <c r="AC110" i="176" s="1"/>
  <c r="S109" i="176" a="1"/>
  <c r="S109" i="176" s="1"/>
  <c r="AC108" i="176" a="1"/>
  <c r="AC108" i="176" s="1"/>
  <c r="U107" i="176" a="1"/>
  <c r="U107" i="176" s="1"/>
  <c r="Y105" i="176" a="1"/>
  <c r="Y105" i="176" s="1"/>
  <c r="S104" i="176" a="1"/>
  <c r="S104" i="176" s="1"/>
  <c r="AC103" i="176" a="1"/>
  <c r="AC103" i="176" s="1"/>
  <c r="U102" i="176" a="1"/>
  <c r="U102" i="176" s="1"/>
  <c r="Y100" i="176" a="1"/>
  <c r="Y100" i="176" s="1"/>
  <c r="S99" i="176" a="1"/>
  <c r="S99" i="176" s="1"/>
  <c r="AC98" i="176" a="1"/>
  <c r="AC98" i="176" s="1"/>
  <c r="U97" i="176" a="1"/>
  <c r="U97" i="176" s="1"/>
  <c r="Y95" i="176" a="1"/>
  <c r="Y95" i="176" s="1"/>
  <c r="S94" i="176" a="1"/>
  <c r="S94" i="176" s="1"/>
  <c r="AC93" i="176" a="1"/>
  <c r="AC93" i="176" s="1"/>
  <c r="U92" i="176" a="1"/>
  <c r="U92" i="176" s="1"/>
  <c r="Y90" i="176" a="1"/>
  <c r="Y90" i="176" s="1"/>
  <c r="S89" i="176" a="1"/>
  <c r="S89" i="176" s="1"/>
  <c r="AC88" i="176" a="1"/>
  <c r="AC88" i="176" s="1"/>
  <c r="U87" i="176" a="1"/>
  <c r="U87" i="176" s="1"/>
  <c r="Y85" i="176" a="1"/>
  <c r="Y85" i="176" s="1"/>
  <c r="S84" i="176" a="1"/>
  <c r="S84" i="176" s="1"/>
  <c r="AC83" i="176" a="1"/>
  <c r="AC83" i="176" s="1"/>
  <c r="U82" i="176" a="1"/>
  <c r="U82" i="176" s="1"/>
  <c r="Y80" i="176" a="1"/>
  <c r="Y80" i="176" s="1"/>
  <c r="S79" i="176" a="1"/>
  <c r="S79" i="176" s="1"/>
  <c r="AC78" i="176" a="1"/>
  <c r="AC78" i="176" s="1"/>
  <c r="U77" i="176" a="1"/>
  <c r="U77" i="176" s="1"/>
  <c r="T121" i="176" a="1"/>
  <c r="T121" i="176" s="1"/>
  <c r="Z120" i="176" a="1"/>
  <c r="Z120" i="176" s="1"/>
  <c r="T116" i="176" a="1"/>
  <c r="T116" i="176" s="1"/>
  <c r="Z115" i="176" a="1"/>
  <c r="Z115" i="176" s="1"/>
  <c r="T111" i="176" a="1"/>
  <c r="T111" i="176" s="1"/>
  <c r="Z110" i="176" a="1"/>
  <c r="Z110" i="176" s="1"/>
  <c r="Z108" i="176" a="1"/>
  <c r="Z108" i="176" s="1"/>
  <c r="T107" i="176" a="1"/>
  <c r="T107" i="176" s="1"/>
  <c r="Z103" i="176" a="1"/>
  <c r="Z103" i="176" s="1"/>
  <c r="T102" i="176" a="1"/>
  <c r="T102" i="176" s="1"/>
  <c r="Z98" i="176" a="1"/>
  <c r="Z98" i="176" s="1"/>
  <c r="T97" i="176" a="1"/>
  <c r="T97" i="176" s="1"/>
  <c r="Z93" i="176" a="1"/>
  <c r="Z93" i="176" s="1"/>
  <c r="T92" i="176" a="1"/>
  <c r="T92" i="176" s="1"/>
  <c r="Z88" i="176" a="1"/>
  <c r="Z88" i="176" s="1"/>
  <c r="T87" i="176" a="1"/>
  <c r="T87" i="176" s="1"/>
  <c r="Z83" i="176" a="1"/>
  <c r="Z83" i="176" s="1"/>
  <c r="T82" i="176" a="1"/>
  <c r="T82" i="176" s="1"/>
  <c r="Z78" i="176" a="1"/>
  <c r="Z78" i="176" s="1"/>
  <c r="T77" i="176" a="1"/>
  <c r="T77" i="176" s="1"/>
  <c r="S121" i="176" a="1"/>
  <c r="S121" i="176" s="1"/>
  <c r="Y120" i="176" a="1"/>
  <c r="Y120" i="176" s="1"/>
  <c r="U118" i="176" a="1"/>
  <c r="U118" i="176" s="1"/>
  <c r="AC117" i="176" a="1"/>
  <c r="AC117" i="176" s="1"/>
  <c r="S116" i="176" a="1"/>
  <c r="S116" i="176" s="1"/>
  <c r="Y115" i="176" a="1"/>
  <c r="Y115" i="176" s="1"/>
  <c r="U113" i="176" a="1"/>
  <c r="U113" i="176" s="1"/>
  <c r="AC112" i="176" a="1"/>
  <c r="AC112" i="176" s="1"/>
  <c r="S111" i="176" a="1"/>
  <c r="S111" i="176" s="1"/>
  <c r="Y110" i="176" a="1"/>
  <c r="Y110" i="176" s="1"/>
  <c r="Y108" i="176" a="1"/>
  <c r="Y108" i="176" s="1"/>
  <c r="S107" i="176" a="1"/>
  <c r="S107" i="176" s="1"/>
  <c r="AC106" i="176" a="1"/>
  <c r="AC106" i="176" s="1"/>
  <c r="U105" i="176" a="1"/>
  <c r="U105" i="176" s="1"/>
  <c r="Y103" i="176" a="1"/>
  <c r="Y103" i="176" s="1"/>
  <c r="S102" i="176" a="1"/>
  <c r="S102" i="176" s="1"/>
  <c r="AC101" i="176" a="1"/>
  <c r="AC101" i="176" s="1"/>
  <c r="U100" i="176" a="1"/>
  <c r="U100" i="176" s="1"/>
  <c r="Y98" i="176" a="1"/>
  <c r="Y98" i="176" s="1"/>
  <c r="S97" i="176" a="1"/>
  <c r="S97" i="176" s="1"/>
  <c r="AC96" i="176" a="1"/>
  <c r="AC96" i="176" s="1"/>
  <c r="U95" i="176" a="1"/>
  <c r="U95" i="176" s="1"/>
  <c r="Y93" i="176" a="1"/>
  <c r="Y93" i="176" s="1"/>
  <c r="S92" i="176" a="1"/>
  <c r="S92" i="176" s="1"/>
  <c r="AC91" i="176" a="1"/>
  <c r="AC91" i="176" s="1"/>
  <c r="U90" i="176" a="1"/>
  <c r="U90" i="176" s="1"/>
  <c r="Y88" i="176" a="1"/>
  <c r="Y88" i="176" s="1"/>
  <c r="S87" i="176" a="1"/>
  <c r="S87" i="176" s="1"/>
  <c r="AC86" i="176" a="1"/>
  <c r="AC86" i="176" s="1"/>
  <c r="U85" i="176" a="1"/>
  <c r="U85" i="176" s="1"/>
  <c r="Y83" i="176" a="1"/>
  <c r="Y83" i="176" s="1"/>
  <c r="S82" i="176" a="1"/>
  <c r="S82" i="176" s="1"/>
  <c r="AC81" i="176" a="1"/>
  <c r="AC81" i="176" s="1"/>
  <c r="U80" i="176" a="1"/>
  <c r="U80" i="176" s="1"/>
  <c r="Y78" i="176" a="1"/>
  <c r="Y78" i="176" s="1"/>
  <c r="S77" i="176" a="1"/>
  <c r="S77" i="176" s="1"/>
  <c r="AC76" i="176" a="1"/>
  <c r="AC76" i="176" s="1"/>
  <c r="T118" i="176" a="1"/>
  <c r="T118" i="176" s="1"/>
  <c r="Z117" i="176" a="1"/>
  <c r="Z117" i="176" s="1"/>
  <c r="T113" i="176" a="1"/>
  <c r="T113" i="176" s="1"/>
  <c r="Z112" i="176" a="1"/>
  <c r="Z112" i="176" s="1"/>
  <c r="Z106" i="176" a="1"/>
  <c r="Z106" i="176" s="1"/>
  <c r="T105" i="176" a="1"/>
  <c r="T105" i="176" s="1"/>
  <c r="Z101" i="176" a="1"/>
  <c r="Z101" i="176" s="1"/>
  <c r="T100" i="176" a="1"/>
  <c r="T100" i="176" s="1"/>
  <c r="Z96" i="176" a="1"/>
  <c r="Z96" i="176" s="1"/>
  <c r="T95" i="176" a="1"/>
  <c r="T95" i="176" s="1"/>
  <c r="Z91" i="176" a="1"/>
  <c r="Z91" i="176" s="1"/>
  <c r="T90" i="176" a="1"/>
  <c r="T90" i="176" s="1"/>
  <c r="Z86" i="176" a="1"/>
  <c r="Z86" i="176" s="1"/>
  <c r="T85" i="176" a="1"/>
  <c r="T85" i="176" s="1"/>
  <c r="Z81" i="176" a="1"/>
  <c r="Z81" i="176" s="1"/>
  <c r="T80" i="176" a="1"/>
  <c r="T80" i="176" s="1"/>
  <c r="Z76" i="176" a="1"/>
  <c r="Z76" i="176" s="1"/>
  <c r="U120" i="176" a="1"/>
  <c r="U120" i="176" s="1"/>
  <c r="AC119" i="176" a="1"/>
  <c r="AC119" i="176" s="1"/>
  <c r="S118" i="176" a="1"/>
  <c r="S118" i="176" s="1"/>
  <c r="Y117" i="176" a="1"/>
  <c r="Y117" i="176" s="1"/>
  <c r="U115" i="176" a="1"/>
  <c r="U115" i="176" s="1"/>
  <c r="AC114" i="176" a="1"/>
  <c r="AC114" i="176" s="1"/>
  <c r="S113" i="176" a="1"/>
  <c r="S113" i="176" s="1"/>
  <c r="Y112" i="176" a="1"/>
  <c r="Y112" i="176" s="1"/>
  <c r="U110" i="176" a="1"/>
  <c r="U110" i="176" s="1"/>
  <c r="AC109" i="176" a="1"/>
  <c r="AC109" i="176" s="1"/>
  <c r="U108" i="176" a="1"/>
  <c r="U108" i="176" s="1"/>
  <c r="Y106" i="176" a="1"/>
  <c r="Y106" i="176" s="1"/>
  <c r="S105" i="176" a="1"/>
  <c r="S105" i="176" s="1"/>
  <c r="AC104" i="176" a="1"/>
  <c r="AC104" i="176" s="1"/>
  <c r="U103" i="176" a="1"/>
  <c r="U103" i="176" s="1"/>
  <c r="Y101" i="176" a="1"/>
  <c r="Y101" i="176" s="1"/>
  <c r="S100" i="176" a="1"/>
  <c r="S100" i="176" s="1"/>
  <c r="AC99" i="176" a="1"/>
  <c r="AC99" i="176" s="1"/>
  <c r="U98" i="176" a="1"/>
  <c r="U98" i="176" s="1"/>
  <c r="Y96" i="176" a="1"/>
  <c r="Y96" i="176" s="1"/>
  <c r="S95" i="176" a="1"/>
  <c r="S95" i="176" s="1"/>
  <c r="AC94" i="176" a="1"/>
  <c r="AC94" i="176" s="1"/>
  <c r="U93" i="176" a="1"/>
  <c r="U93" i="176" s="1"/>
  <c r="Y91" i="176" a="1"/>
  <c r="Y91" i="176" s="1"/>
  <c r="S90" i="176" a="1"/>
  <c r="S90" i="176" s="1"/>
  <c r="AC89" i="176" a="1"/>
  <c r="AC89" i="176" s="1"/>
  <c r="U88" i="176" a="1"/>
  <c r="U88" i="176" s="1"/>
  <c r="Y86" i="176" a="1"/>
  <c r="Y86" i="176" s="1"/>
  <c r="S85" i="176" a="1"/>
  <c r="S85" i="176" s="1"/>
  <c r="AC84" i="176" a="1"/>
  <c r="AC84" i="176" s="1"/>
  <c r="U83" i="176" a="1"/>
  <c r="U83" i="176" s="1"/>
  <c r="Y81" i="176" a="1"/>
  <c r="Y81" i="176" s="1"/>
  <c r="S80" i="176" a="1"/>
  <c r="S80" i="176" s="1"/>
  <c r="AC79" i="176" a="1"/>
  <c r="AC79" i="176" s="1"/>
  <c r="U78" i="176" a="1"/>
  <c r="U78" i="176" s="1"/>
  <c r="Y76" i="176" a="1"/>
  <c r="Y76" i="176" s="1"/>
  <c r="T120" i="176" a="1"/>
  <c r="T120" i="176" s="1"/>
  <c r="Z119" i="176" a="1"/>
  <c r="Z119" i="176" s="1"/>
  <c r="T115" i="176" a="1"/>
  <c r="T115" i="176" s="1"/>
  <c r="Z114" i="176" a="1"/>
  <c r="Z114" i="176" s="1"/>
  <c r="T110" i="176" a="1"/>
  <c r="T110" i="176" s="1"/>
  <c r="Z109" i="176" a="1"/>
  <c r="Z109" i="176" s="1"/>
  <c r="T108" i="176" a="1"/>
  <c r="T108" i="176" s="1"/>
  <c r="Z104" i="176" a="1"/>
  <c r="Z104" i="176" s="1"/>
  <c r="T103" i="176" a="1"/>
  <c r="T103" i="176" s="1"/>
  <c r="Z99" i="176" a="1"/>
  <c r="Z99" i="176" s="1"/>
  <c r="T98" i="176" a="1"/>
  <c r="T98" i="176" s="1"/>
  <c r="Z94" i="176" a="1"/>
  <c r="Z94" i="176" s="1"/>
  <c r="T93" i="176" a="1"/>
  <c r="T93" i="176" s="1"/>
  <c r="Z89" i="176" a="1"/>
  <c r="Z89" i="176" s="1"/>
  <c r="T88" i="176" a="1"/>
  <c r="T88" i="176" s="1"/>
  <c r="Z84" i="176" a="1"/>
  <c r="Z84" i="176" s="1"/>
  <c r="T83" i="176" a="1"/>
  <c r="T83" i="176" s="1"/>
  <c r="Z79" i="176" a="1"/>
  <c r="Z79" i="176" s="1"/>
  <c r="T78" i="176" a="1"/>
  <c r="T78" i="176" s="1"/>
  <c r="AC121" i="176" a="1"/>
  <c r="AC121" i="176" s="1"/>
  <c r="S120" i="176" a="1"/>
  <c r="S120" i="176" s="1"/>
  <c r="Y119" i="176" a="1"/>
  <c r="Y119" i="176" s="1"/>
  <c r="U117" i="176" a="1"/>
  <c r="U117" i="176" s="1"/>
  <c r="AC116" i="176" a="1"/>
  <c r="AC116" i="176" s="1"/>
  <c r="S115" i="176" a="1"/>
  <c r="S115" i="176" s="1"/>
  <c r="Y114" i="176" a="1"/>
  <c r="Y114" i="176" s="1"/>
  <c r="U112" i="176" a="1"/>
  <c r="U112" i="176" s="1"/>
  <c r="AC111" i="176" a="1"/>
  <c r="AC111" i="176" s="1"/>
  <c r="S110" i="176" a="1"/>
  <c r="S110" i="176" s="1"/>
  <c r="Y109" i="176" a="1"/>
  <c r="Y109" i="176" s="1"/>
  <c r="S108" i="176" a="1"/>
  <c r="S108" i="176" s="1"/>
  <c r="AC107" i="176" a="1"/>
  <c r="AC107" i="176" s="1"/>
  <c r="U106" i="176" a="1"/>
  <c r="U106" i="176" s="1"/>
  <c r="Y104" i="176" a="1"/>
  <c r="Y104" i="176" s="1"/>
  <c r="S103" i="176" a="1"/>
  <c r="S103" i="176" s="1"/>
  <c r="AC102" i="176" a="1"/>
  <c r="AC102" i="176" s="1"/>
  <c r="U101" i="176" a="1"/>
  <c r="U101" i="176" s="1"/>
  <c r="Y99" i="176" a="1"/>
  <c r="Y99" i="176" s="1"/>
  <c r="S98" i="176" a="1"/>
  <c r="S98" i="176" s="1"/>
  <c r="AC97" i="176" a="1"/>
  <c r="AC97" i="176" s="1"/>
  <c r="U96" i="176" a="1"/>
  <c r="U96" i="176" s="1"/>
  <c r="Y94" i="176" a="1"/>
  <c r="Y94" i="176" s="1"/>
  <c r="S93" i="176" a="1"/>
  <c r="S93" i="176" s="1"/>
  <c r="AC92" i="176" a="1"/>
  <c r="AC92" i="176" s="1"/>
  <c r="U91" i="176" a="1"/>
  <c r="U91" i="176" s="1"/>
  <c r="Y89" i="176" a="1"/>
  <c r="Y89" i="176" s="1"/>
  <c r="S88" i="176" a="1"/>
  <c r="S88" i="176" s="1"/>
  <c r="AC87" i="176" a="1"/>
  <c r="AC87" i="176" s="1"/>
  <c r="U86" i="176" a="1"/>
  <c r="U86" i="176" s="1"/>
  <c r="Y84" i="176" a="1"/>
  <c r="Y84" i="176" s="1"/>
  <c r="S83" i="176" a="1"/>
  <c r="S83" i="176" s="1"/>
  <c r="AC82" i="176" a="1"/>
  <c r="AC82" i="176" s="1"/>
  <c r="U81" i="176" a="1"/>
  <c r="U81" i="176" s="1"/>
  <c r="Y79" i="176" a="1"/>
  <c r="Y79" i="176" s="1"/>
  <c r="S78" i="176" a="1"/>
  <c r="S78" i="176" s="1"/>
  <c r="AC77" i="176" a="1"/>
  <c r="AC77" i="176" s="1"/>
  <c r="U76" i="176" a="1"/>
  <c r="U76" i="176" s="1"/>
  <c r="Z121" i="176" a="1"/>
  <c r="Z121" i="176" s="1"/>
  <c r="T117" i="176" a="1"/>
  <c r="T117" i="176" s="1"/>
  <c r="Z116" i="176" a="1"/>
  <c r="Z116" i="176" s="1"/>
  <c r="T112" i="176" a="1"/>
  <c r="T112" i="176" s="1"/>
  <c r="Z111" i="176" a="1"/>
  <c r="Z111" i="176" s="1"/>
  <c r="Z107" i="176" a="1"/>
  <c r="Z107" i="176" s="1"/>
  <c r="T106" i="176" a="1"/>
  <c r="T106" i="176" s="1"/>
  <c r="Z102" i="176" a="1"/>
  <c r="Z102" i="176" s="1"/>
  <c r="T101" i="176" a="1"/>
  <c r="T101" i="176" s="1"/>
  <c r="Z97" i="176" a="1"/>
  <c r="Z97" i="176" s="1"/>
  <c r="T96" i="176" a="1"/>
  <c r="T96" i="176" s="1"/>
  <c r="Z92" i="176" a="1"/>
  <c r="Z92" i="176" s="1"/>
  <c r="T91" i="176" a="1"/>
  <c r="T91" i="176" s="1"/>
  <c r="Z87" i="176" a="1"/>
  <c r="Z87" i="176" s="1"/>
  <c r="T86" i="176" a="1"/>
  <c r="T86" i="176" s="1"/>
  <c r="Z82" i="176" a="1"/>
  <c r="Z82" i="176" s="1"/>
  <c r="T81" i="176" a="1"/>
  <c r="T81" i="176" s="1"/>
  <c r="Z77" i="176" a="1"/>
  <c r="Z77" i="176" s="1"/>
  <c r="T76" i="176" a="1"/>
  <c r="T76" i="176" s="1"/>
  <c r="Y121" i="176" a="1"/>
  <c r="Y121" i="176" s="1"/>
  <c r="U119" i="176" a="1"/>
  <c r="U119" i="176" s="1"/>
  <c r="AC118" i="176" a="1"/>
  <c r="AC118" i="176" s="1"/>
  <c r="S117" i="176" a="1"/>
  <c r="S117" i="176" s="1"/>
  <c r="Y116" i="176" a="1"/>
  <c r="Y116" i="176" s="1"/>
  <c r="U114" i="176" a="1"/>
  <c r="U114" i="176" s="1"/>
  <c r="AC113" i="176" a="1"/>
  <c r="AC113" i="176" s="1"/>
  <c r="S112" i="176" a="1"/>
  <c r="S112" i="176" s="1"/>
  <c r="Y111" i="176" a="1"/>
  <c r="Y111" i="176" s="1"/>
  <c r="U109" i="176" a="1"/>
  <c r="U109" i="176" s="1"/>
  <c r="Y107" i="176" a="1"/>
  <c r="Y107" i="176" s="1"/>
  <c r="S106" i="176" a="1"/>
  <c r="S106" i="176" s="1"/>
  <c r="AC105" i="176" a="1"/>
  <c r="AC105" i="176" s="1"/>
  <c r="U104" i="176" a="1"/>
  <c r="U104" i="176" s="1"/>
  <c r="Y102" i="176" a="1"/>
  <c r="Y102" i="176" s="1"/>
  <c r="S101" i="176" a="1"/>
  <c r="S101" i="176" s="1"/>
  <c r="AC100" i="176" a="1"/>
  <c r="AC100" i="176" s="1"/>
  <c r="U99" i="176" a="1"/>
  <c r="U99" i="176" s="1"/>
  <c r="Y97" i="176" a="1"/>
  <c r="Y97" i="176" s="1"/>
  <c r="S96" i="176" a="1"/>
  <c r="S96" i="176" s="1"/>
  <c r="AC95" i="176" a="1"/>
  <c r="AC95" i="176" s="1"/>
  <c r="U94" i="176" a="1"/>
  <c r="U94" i="176" s="1"/>
  <c r="Y92" i="176" a="1"/>
  <c r="Y92" i="176" s="1"/>
  <c r="S91" i="176" a="1"/>
  <c r="S91" i="176" s="1"/>
  <c r="AC90" i="176" a="1"/>
  <c r="AC90" i="176" s="1"/>
  <c r="U89" i="176" a="1"/>
  <c r="U89" i="176" s="1"/>
  <c r="Y87" i="176" a="1"/>
  <c r="Y87" i="176" s="1"/>
  <c r="S86" i="176" a="1"/>
  <c r="S86" i="176" s="1"/>
  <c r="AC85" i="176" a="1"/>
  <c r="AC85" i="176" s="1"/>
  <c r="U84" i="176" a="1"/>
  <c r="U84" i="176" s="1"/>
  <c r="Y82" i="176" a="1"/>
  <c r="Y82" i="176" s="1"/>
  <c r="S81" i="176" a="1"/>
  <c r="S81" i="176" s="1"/>
  <c r="AC80" i="176" a="1"/>
  <c r="AC80" i="176" s="1"/>
  <c r="U79" i="176" a="1"/>
  <c r="U79" i="176" s="1"/>
  <c r="Y77" i="176" a="1"/>
  <c r="Y77" i="176" s="1"/>
  <c r="S76" i="176" a="1"/>
  <c r="S76" i="176" s="1"/>
  <c r="T119" i="176" a="1"/>
  <c r="T119" i="176" s="1"/>
  <c r="Z118" i="176" a="1"/>
  <c r="Z118" i="176" s="1"/>
  <c r="T114" i="176" a="1"/>
  <c r="T114" i="176" s="1"/>
  <c r="Z113" i="176" a="1"/>
  <c r="Z113" i="176" s="1"/>
  <c r="T109" i="176" a="1"/>
  <c r="T109" i="176" s="1"/>
  <c r="Z105" i="176" a="1"/>
  <c r="Z105" i="176" s="1"/>
  <c r="T104" i="176" a="1"/>
  <c r="T104" i="176" s="1"/>
  <c r="Z100" i="176" a="1"/>
  <c r="Z100" i="176" s="1"/>
  <c r="T99" i="176" a="1"/>
  <c r="T99" i="176" s="1"/>
  <c r="Z95" i="176" a="1"/>
  <c r="Z95" i="176" s="1"/>
  <c r="T94" i="176" a="1"/>
  <c r="T94" i="176" s="1"/>
  <c r="Z90" i="176" a="1"/>
  <c r="Z90" i="176" s="1"/>
  <c r="T89" i="176" a="1"/>
  <c r="T89" i="176" s="1"/>
  <c r="Z85" i="176" a="1"/>
  <c r="Z85" i="176" s="1"/>
  <c r="T84" i="176" a="1"/>
  <c r="T84" i="176" s="1"/>
  <c r="Z80" i="176" a="1"/>
  <c r="Z80" i="176" s="1"/>
  <c r="V21" i="176"/>
  <c r="V13" i="176"/>
  <c r="AA13" i="176"/>
  <c r="AA21" i="176"/>
  <c r="T65" i="176" a="1"/>
  <c r="T65" i="176" s="1"/>
  <c r="S75" i="176" a="1"/>
  <c r="S75" i="176" s="1"/>
  <c r="AC74" i="176" a="1"/>
  <c r="AC74" i="176" s="1"/>
  <c r="U73" i="176" a="1"/>
  <c r="U73" i="176" s="1"/>
  <c r="Y71" i="176" a="1"/>
  <c r="Y71" i="176" s="1"/>
  <c r="S70" i="176" a="1"/>
  <c r="S70" i="176" s="1"/>
  <c r="AC69" i="176" a="1"/>
  <c r="AC69" i="176" s="1"/>
  <c r="U68" i="176" a="1"/>
  <c r="U68" i="176" s="1"/>
  <c r="Y66" i="176" a="1"/>
  <c r="Y66" i="176" s="1"/>
  <c r="S65" i="176" a="1"/>
  <c r="S65" i="176" s="1"/>
  <c r="AC64" i="176" a="1"/>
  <c r="AC64" i="176" s="1"/>
  <c r="U63" i="176" a="1"/>
  <c r="U63" i="176" s="1"/>
  <c r="Z74" i="176" a="1"/>
  <c r="Z74" i="176" s="1"/>
  <c r="T73" i="176" a="1"/>
  <c r="T73" i="176" s="1"/>
  <c r="Z69" i="176" a="1"/>
  <c r="Z69" i="176" s="1"/>
  <c r="T68" i="176" a="1"/>
  <c r="T68" i="176" s="1"/>
  <c r="Z64" i="176" a="1"/>
  <c r="Z64" i="176" s="1"/>
  <c r="T63" i="176" a="1"/>
  <c r="T63" i="176" s="1"/>
  <c r="Y74" i="176" a="1"/>
  <c r="Y74" i="176" s="1"/>
  <c r="S73" i="176" a="1"/>
  <c r="S73" i="176" s="1"/>
  <c r="AC72" i="176" a="1"/>
  <c r="AC72" i="176" s="1"/>
  <c r="U71" i="176" a="1"/>
  <c r="U71" i="176" s="1"/>
  <c r="Y69" i="176" a="1"/>
  <c r="Y69" i="176" s="1"/>
  <c r="S68" i="176" a="1"/>
  <c r="S68" i="176" s="1"/>
  <c r="AC67" i="176" a="1"/>
  <c r="AC67" i="176" s="1"/>
  <c r="U66" i="176" a="1"/>
  <c r="U66" i="176" s="1"/>
  <c r="Y64" i="176" a="1"/>
  <c r="Y64" i="176" s="1"/>
  <c r="S63" i="176" a="1"/>
  <c r="S63" i="176" s="1"/>
  <c r="AC62" i="176" a="1"/>
  <c r="AC62" i="176" s="1"/>
  <c r="Z72" i="176" a="1"/>
  <c r="Z72" i="176" s="1"/>
  <c r="T71" i="176" a="1"/>
  <c r="T71" i="176" s="1"/>
  <c r="Z67" i="176" a="1"/>
  <c r="Z67" i="176" s="1"/>
  <c r="T66" i="176" a="1"/>
  <c r="T66" i="176" s="1"/>
  <c r="Z62" i="176" a="1"/>
  <c r="Z62" i="176" s="1"/>
  <c r="AC75" i="176" a="1"/>
  <c r="AC75" i="176" s="1"/>
  <c r="U74" i="176" a="1"/>
  <c r="U74" i="176" s="1"/>
  <c r="Y72" i="176" a="1"/>
  <c r="Y72" i="176" s="1"/>
  <c r="S71" i="176" a="1"/>
  <c r="S71" i="176" s="1"/>
  <c r="AC70" i="176" a="1"/>
  <c r="AC70" i="176" s="1"/>
  <c r="U69" i="176" a="1"/>
  <c r="U69" i="176" s="1"/>
  <c r="Y67" i="176" a="1"/>
  <c r="Y67" i="176" s="1"/>
  <c r="S66" i="176" a="1"/>
  <c r="S66" i="176" s="1"/>
  <c r="AC65" i="176" a="1"/>
  <c r="AC65" i="176" s="1"/>
  <c r="U64" i="176" a="1"/>
  <c r="U64" i="176" s="1"/>
  <c r="Y62" i="176" a="1"/>
  <c r="Y62" i="176" s="1"/>
  <c r="Z75" i="176" a="1"/>
  <c r="Z75" i="176" s="1"/>
  <c r="T74" i="176" a="1"/>
  <c r="T74" i="176" s="1"/>
  <c r="Z70" i="176" a="1"/>
  <c r="Z70" i="176" s="1"/>
  <c r="T69" i="176" a="1"/>
  <c r="T69" i="176" s="1"/>
  <c r="Z65" i="176" a="1"/>
  <c r="Z65" i="176" s="1"/>
  <c r="T64" i="176" a="1"/>
  <c r="T64" i="176" s="1"/>
  <c r="Y75" i="176" a="1"/>
  <c r="Y75" i="176" s="1"/>
  <c r="S74" i="176" a="1"/>
  <c r="S74" i="176" s="1"/>
  <c r="AC73" i="176" a="1"/>
  <c r="AC73" i="176" s="1"/>
  <c r="U72" i="176" a="1"/>
  <c r="U72" i="176" s="1"/>
  <c r="Y70" i="176" a="1"/>
  <c r="Y70" i="176" s="1"/>
  <c r="S69" i="176" a="1"/>
  <c r="S69" i="176" s="1"/>
  <c r="AC68" i="176" a="1"/>
  <c r="AC68" i="176" s="1"/>
  <c r="U67" i="176" a="1"/>
  <c r="U67" i="176" s="1"/>
  <c r="Y65" i="176" a="1"/>
  <c r="Y65" i="176" s="1"/>
  <c r="S64" i="176" a="1"/>
  <c r="S64" i="176" s="1"/>
  <c r="AC63" i="176" a="1"/>
  <c r="AC63" i="176" s="1"/>
  <c r="U62" i="176" a="1"/>
  <c r="U62" i="176" s="1"/>
  <c r="Z73" i="176" a="1"/>
  <c r="Z73" i="176" s="1"/>
  <c r="T72" i="176" a="1"/>
  <c r="T72" i="176" s="1"/>
  <c r="Z68" i="176" a="1"/>
  <c r="Z68" i="176" s="1"/>
  <c r="T67" i="176" a="1"/>
  <c r="T67" i="176" s="1"/>
  <c r="Z63" i="176" a="1"/>
  <c r="Z63" i="176" s="1"/>
  <c r="T62" i="176" a="1"/>
  <c r="T62" i="176" s="1"/>
  <c r="U75" i="176" a="1"/>
  <c r="U75" i="176" s="1"/>
  <c r="Y73" i="176" a="1"/>
  <c r="Y73" i="176" s="1"/>
  <c r="S72" i="176" a="1"/>
  <c r="S72" i="176" s="1"/>
  <c r="AC71" i="176" a="1"/>
  <c r="AC71" i="176" s="1"/>
  <c r="U70" i="176" a="1"/>
  <c r="U70" i="176" s="1"/>
  <c r="Y68" i="176" a="1"/>
  <c r="Y68" i="176" s="1"/>
  <c r="S67" i="176" a="1"/>
  <c r="S67" i="176" s="1"/>
  <c r="AC66" i="176" a="1"/>
  <c r="AC66" i="176" s="1"/>
  <c r="U65" i="176" a="1"/>
  <c r="U65" i="176" s="1"/>
  <c r="Y63" i="176" a="1"/>
  <c r="Y63" i="176" s="1"/>
  <c r="S62" i="176" a="1"/>
  <c r="S62" i="176" s="1"/>
  <c r="T75" i="176" a="1"/>
  <c r="T75" i="176" s="1"/>
  <c r="Z71" i="176" a="1"/>
  <c r="Z71" i="176" s="1"/>
  <c r="T70" i="176" a="1"/>
  <c r="T70" i="176" s="1"/>
  <c r="Z66" i="176" a="1"/>
  <c r="Z66" i="176" s="1"/>
  <c r="AD21" i="176"/>
  <c r="AD19" i="176" s="1"/>
  <c r="S50" i="176" a="1"/>
  <c r="S50" i="176" s="1"/>
  <c r="Z50" i="176" a="1"/>
  <c r="Z50" i="176" s="1"/>
  <c r="T51" i="176" a="1"/>
  <c r="T51" i="176" s="1"/>
  <c r="AC51" i="176" a="1"/>
  <c r="AC51" i="176" s="1"/>
  <c r="Y52" i="176" a="1"/>
  <c r="Y52" i="176" s="1"/>
  <c r="AC50" i="176" a="1"/>
  <c r="AC50" i="176" s="1"/>
  <c r="Y54" i="176" a="1"/>
  <c r="Y54" i="176" s="1"/>
  <c r="U51" i="176" a="1"/>
  <c r="U51" i="176" s="1"/>
  <c r="Z53" i="176" a="1"/>
  <c r="Z53" i="176" s="1"/>
  <c r="Y55" i="176" a="1"/>
  <c r="Y55" i="176" s="1"/>
  <c r="Z52" i="176" a="1"/>
  <c r="Z52" i="176" s="1"/>
  <c r="S53" i="176" a="1"/>
  <c r="S53" i="176" s="1"/>
  <c r="Z54" i="176" a="1"/>
  <c r="Z54" i="176" s="1"/>
  <c r="Z55" i="176" a="1"/>
  <c r="Z55" i="176" s="1"/>
  <c r="Y57" i="176" a="1"/>
  <c r="Y57" i="176" s="1"/>
  <c r="T50" i="176" a="1"/>
  <c r="T50" i="176" s="1"/>
  <c r="Y51" i="176" a="1"/>
  <c r="Y51" i="176" s="1"/>
  <c r="AC52" i="176" a="1"/>
  <c r="AC52" i="176" s="1"/>
  <c r="AC53" i="176" a="1"/>
  <c r="AC53" i="176" s="1"/>
  <c r="S54" i="176" a="1"/>
  <c r="S54" i="176" s="1"/>
  <c r="S52" i="176" a="1"/>
  <c r="S52" i="176" s="1"/>
  <c r="T53" i="176" a="1"/>
  <c r="T53" i="176" s="1"/>
  <c r="AC54" i="176" a="1"/>
  <c r="AC54" i="176" s="1"/>
  <c r="AC55" i="176" a="1"/>
  <c r="AC55" i="176" s="1"/>
  <c r="S56" i="176" a="1"/>
  <c r="S56" i="176" s="1"/>
  <c r="Z57" i="176" a="1"/>
  <c r="Z57" i="176" s="1"/>
  <c r="U50" i="176" a="1"/>
  <c r="U50" i="176" s="1"/>
  <c r="Z51" i="176" a="1"/>
  <c r="Z51" i="176" s="1"/>
  <c r="T52" i="176" a="1"/>
  <c r="T52" i="176" s="1"/>
  <c r="T54" i="176" a="1"/>
  <c r="T54" i="176" s="1"/>
  <c r="T55" i="176" a="1"/>
  <c r="T55" i="176" s="1"/>
  <c r="U53" i="176" a="1"/>
  <c r="U53" i="176" s="1"/>
  <c r="U54" i="176" a="1"/>
  <c r="U54" i="176" s="1"/>
  <c r="T56" i="176" a="1"/>
  <c r="T56" i="176" s="1"/>
  <c r="T57" i="176" a="1"/>
  <c r="T57" i="176" s="1"/>
  <c r="U52" i="176" a="1"/>
  <c r="U52" i="176" s="1"/>
  <c r="U55" i="176" a="1"/>
  <c r="U55" i="176" s="1"/>
  <c r="T58" i="176" a="1"/>
  <c r="T58" i="176" s="1"/>
  <c r="Y50" i="176" a="1"/>
  <c r="Y50" i="176" s="1"/>
  <c r="S51" i="176" a="1"/>
  <c r="S51" i="176" s="1"/>
  <c r="Y56" i="176" a="1"/>
  <c r="Y56" i="176" s="1"/>
  <c r="T60" i="176" a="1"/>
  <c r="T60" i="176" s="1"/>
  <c r="T61" i="176" a="1"/>
  <c r="T61" i="176" s="1"/>
  <c r="Z56" i="176" a="1"/>
  <c r="Z56" i="176" s="1"/>
  <c r="U58" i="176" a="1"/>
  <c r="U58" i="176" s="1"/>
  <c r="U59" i="176" a="1"/>
  <c r="U59" i="176" s="1"/>
  <c r="AC56" i="176" a="1"/>
  <c r="AC56" i="176" s="1"/>
  <c r="AC57" i="176" a="1"/>
  <c r="AC57" i="176" s="1"/>
  <c r="Y58" i="176" a="1"/>
  <c r="Y58" i="176" s="1"/>
  <c r="Y53" i="176" a="1"/>
  <c r="Y53" i="176" s="1"/>
  <c r="S57" i="176" a="1"/>
  <c r="S57" i="176" s="1"/>
  <c r="Z58" i="176" a="1"/>
  <c r="Z58" i="176" s="1"/>
  <c r="Z59" i="176" a="1"/>
  <c r="Z59" i="176" s="1"/>
  <c r="Y61" i="176" a="1"/>
  <c r="Y61" i="176" s="1"/>
  <c r="U56" i="176" a="1"/>
  <c r="U56" i="176" s="1"/>
  <c r="U57" i="176" a="1"/>
  <c r="U57" i="176" s="1"/>
  <c r="S59" i="176" a="1"/>
  <c r="S59" i="176" s="1"/>
  <c r="Z60" i="176" a="1"/>
  <c r="Z60" i="176" s="1"/>
  <c r="S55" i="176" a="1"/>
  <c r="S55" i="176" s="1"/>
  <c r="S58" i="176" a="1"/>
  <c r="S58" i="176" s="1"/>
  <c r="AC58" i="176" a="1"/>
  <c r="AC58" i="176" s="1"/>
  <c r="T59" i="176" a="1"/>
  <c r="T59" i="176" s="1"/>
  <c r="AC60" i="176" a="1"/>
  <c r="AC60" i="176" s="1"/>
  <c r="S61" i="176" a="1"/>
  <c r="S61" i="176" s="1"/>
  <c r="AC61" i="176" a="1"/>
  <c r="AC61" i="176" s="1"/>
  <c r="Y59" i="176" a="1"/>
  <c r="Y59" i="176" s="1"/>
  <c r="AC59" i="176" a="1"/>
  <c r="AC59" i="176" s="1"/>
  <c r="S60" i="176" a="1"/>
  <c r="S60" i="176" s="1"/>
  <c r="U61" i="176" a="1"/>
  <c r="U61" i="176" s="1"/>
  <c r="U60" i="176" a="1"/>
  <c r="U60" i="176" s="1"/>
  <c r="Z61" i="176" a="1"/>
  <c r="Z61" i="176" s="1"/>
  <c r="Y60" i="176" a="1"/>
  <c r="Y60" i="176" s="1"/>
  <c r="AG13" i="176"/>
  <c r="AH13" i="176"/>
  <c r="AI13" i="176"/>
  <c r="AI21" i="176"/>
  <c r="AH21" i="176"/>
  <c r="AG21" i="176"/>
  <c r="X13" i="176"/>
  <c r="Y13" i="176"/>
  <c r="Z13" i="176"/>
  <c r="AC13" i="176"/>
  <c r="AD13" i="176"/>
  <c r="AD11" i="176" s="1"/>
  <c r="AE13" i="176"/>
  <c r="AE21" i="176"/>
  <c r="AC21" i="176"/>
  <c r="Z21" i="176"/>
  <c r="Y21" i="176"/>
  <c r="X21" i="176"/>
  <c r="U13" i="176"/>
  <c r="T13" i="176"/>
  <c r="S13" i="176"/>
  <c r="U21" i="176"/>
  <c r="T21" i="176"/>
  <c r="S21" i="176"/>
  <c r="F16" i="176"/>
  <c r="E16" i="176"/>
  <c r="B2" i="176"/>
  <c r="F6" i="92"/>
  <c r="J162" i="110"/>
  <c r="K162" i="110"/>
  <c r="L162" i="110"/>
  <c r="M162" i="110"/>
  <c r="N162" i="110"/>
  <c r="O162" i="110"/>
  <c r="P162" i="110"/>
  <c r="Q162" i="110"/>
  <c r="H162" i="110"/>
  <c r="C25" i="98"/>
  <c r="B13" i="94"/>
  <c r="Z27" i="176" a="1"/>
  <c r="U48" i="176" a="1"/>
  <c r="Y37" i="176" a="1"/>
  <c r="S46" i="176" a="1"/>
  <c r="Z32" i="176" a="1"/>
  <c r="AC34" i="176" a="1"/>
  <c r="S40" i="176" a="1"/>
  <c r="T48" i="176" a="1"/>
  <c r="U35" i="176" a="1"/>
  <c r="AC29" i="176" a="1"/>
  <c r="AC47" i="176" a="1"/>
  <c r="Y49" i="176" a="1"/>
  <c r="AC23" i="176" a="1"/>
  <c r="AC27" i="176" a="1"/>
  <c r="S45" i="176" a="1"/>
  <c r="U41" i="176" a="1"/>
  <c r="U29" i="176" a="1"/>
  <c r="AC46" i="176" a="1"/>
  <c r="Z24" i="176" a="1"/>
  <c r="Z47" i="176" a="1"/>
  <c r="Y26" i="176" a="1"/>
  <c r="Y24" i="176" a="1"/>
  <c r="Z25" i="176" a="1"/>
  <c r="Z48" i="176" a="1"/>
  <c r="Z37" i="176" a="1"/>
  <c r="Z43" i="176" a="1"/>
  <c r="T47" i="176" a="1"/>
  <c r="Z39" i="176" a="1"/>
  <c r="U42" i="176" a="1"/>
  <c r="AC33" i="176" a="1"/>
  <c r="U32" i="176" a="1"/>
  <c r="U38" i="176" a="1"/>
  <c r="Y36" i="176" a="1"/>
  <c r="Y45" i="176" a="1"/>
  <c r="U34" i="176" a="1"/>
  <c r="Y28" i="176" a="1"/>
  <c r="AC42" i="176" a="1"/>
  <c r="Y29" i="176" a="1"/>
  <c r="AC36" i="176" a="1"/>
  <c r="AC32" i="176" a="1"/>
  <c r="AC38" i="176" a="1"/>
  <c r="Y48" i="176" a="1"/>
  <c r="Z26" i="176" a="1"/>
  <c r="AC44" i="176" a="1"/>
  <c r="S41" i="176" a="1"/>
  <c r="S36" i="176" a="1"/>
  <c r="S34" i="176" a="1"/>
  <c r="T26" i="176" a="1"/>
  <c r="U31" i="176" a="1"/>
  <c r="U40" i="176" a="1"/>
  <c r="U49" i="176" a="1"/>
  <c r="U36" i="176" a="1"/>
  <c r="S39" i="176" a="1"/>
  <c r="Y40" i="176" a="1"/>
  <c r="AC48" i="176" a="1"/>
  <c r="S28" i="176" a="1"/>
  <c r="T35" i="176" a="1"/>
  <c r="T29" i="176" a="1"/>
  <c r="AC25" i="176" a="1"/>
  <c r="T49" i="176" a="1"/>
  <c r="U43" i="176" a="1"/>
  <c r="Y30" i="176" a="1"/>
  <c r="U25" i="176" a="1"/>
  <c r="T39" i="176" a="1"/>
  <c r="Z28" i="176" a="1"/>
  <c r="S38" i="176" a="1"/>
  <c r="Z46" i="176" a="1"/>
  <c r="AC35" i="176" a="1"/>
  <c r="U45" i="176" a="1"/>
  <c r="T37" i="176" a="1"/>
  <c r="Y31" i="176" a="1"/>
  <c r="S37" i="176" a="1"/>
  <c r="U24" i="176" a="1"/>
  <c r="T34" i="176" a="1"/>
  <c r="U28" i="176" a="1"/>
  <c r="T42" i="176" a="1"/>
  <c r="S23" i="176" a="1"/>
  <c r="Z44" i="176" a="1"/>
  <c r="Z34" i="176" a="1"/>
  <c r="AC31" i="176" a="1"/>
  <c r="AC40" i="176" a="1"/>
  <c r="T36" i="176" a="1"/>
  <c r="AC45" i="176" a="1"/>
  <c r="T30" i="176" a="1"/>
  <c r="Y33" i="176" a="1"/>
  <c r="AC37" i="176" a="1"/>
  <c r="U30" i="176" a="1"/>
  <c r="T25" i="176" a="1"/>
  <c r="Y47" i="176" a="1"/>
  <c r="Z45" i="176" a="1"/>
  <c r="U46" i="176" a="1"/>
  <c r="S43" i="176" a="1"/>
  <c r="U23" i="176" a="1"/>
  <c r="S48" i="176" a="1"/>
  <c r="S47" i="176" a="1"/>
  <c r="Z30" i="176" a="1"/>
  <c r="T23" i="176" a="1"/>
  <c r="S26" i="176" a="1"/>
  <c r="AC26" i="176" a="1"/>
  <c r="Z29" i="176" a="1"/>
  <c r="Y32" i="176" a="1"/>
  <c r="T27" i="176" a="1"/>
  <c r="T38" i="176" a="1"/>
  <c r="Y35" i="176" a="1"/>
  <c r="S27" i="176" a="1"/>
  <c r="AC24" i="176" a="1"/>
  <c r="S30" i="176" a="1"/>
  <c r="Y34" i="176" a="1"/>
  <c r="Y43" i="176" a="1"/>
  <c r="Z36" i="176" a="1"/>
  <c r="Y27" i="176" a="1"/>
  <c r="S24" i="176" a="1"/>
  <c r="U37" i="176" a="1"/>
  <c r="U39" i="176" a="1"/>
  <c r="AC41" i="176" a="1"/>
  <c r="Z49" i="176" a="1"/>
  <c r="Y42" i="176" a="1"/>
  <c r="S33" i="176" a="1"/>
  <c r="T33" i="176" a="1"/>
  <c r="T31" i="176" a="1"/>
  <c r="T46" i="176" a="1"/>
  <c r="AC49" i="176" a="1"/>
  <c r="Y41" i="176" a="1"/>
  <c r="T41" i="176" a="1"/>
  <c r="S49" i="176" a="1"/>
  <c r="Z31" i="176" a="1"/>
  <c r="U27" i="176" a="1"/>
  <c r="Y44" i="176" a="1"/>
  <c r="T24" i="176" a="1"/>
  <c r="S44" i="176" a="1"/>
  <c r="U26" i="176" a="1"/>
  <c r="Y38" i="176" a="1"/>
  <c r="AC28" i="176" a="1"/>
  <c r="T32" i="176" a="1"/>
  <c r="Y25" i="176" a="1"/>
  <c r="S31" i="176" a="1"/>
  <c r="T45" i="176" a="1"/>
  <c r="T44" i="176" a="1"/>
  <c r="S35" i="176" a="1"/>
  <c r="Z38" i="176" a="1"/>
  <c r="Z41" i="176" a="1"/>
  <c r="AC39" i="176" a="1"/>
  <c r="Y46" i="176" a="1"/>
  <c r="Z23" i="176" a="1"/>
  <c r="S25" i="176" a="1"/>
  <c r="Z33" i="176" a="1"/>
  <c r="S29" i="176" a="1"/>
  <c r="Y23" i="176" a="1"/>
  <c r="T40" i="176" a="1"/>
  <c r="Y39" i="176" a="1"/>
  <c r="Z35" i="176" a="1"/>
  <c r="U47" i="176" a="1"/>
  <c r="S42" i="176" a="1"/>
  <c r="T28" i="176" a="1"/>
  <c r="AC43" i="176" a="1"/>
  <c r="Z40" i="176" a="1"/>
  <c r="U44" i="176" a="1"/>
  <c r="Z42" i="176" a="1"/>
  <c r="AC30" i="176" a="1"/>
  <c r="S32" i="176" a="1"/>
  <c r="T43" i="176" a="1"/>
  <c r="U33" i="176" a="1"/>
  <c r="T47" i="176" l="1"/>
  <c r="Z30" i="176"/>
  <c r="Y40" i="176"/>
  <c r="S31" i="176"/>
  <c r="U34" i="176"/>
  <c r="Y48" i="176"/>
  <c r="S26" i="176"/>
  <c r="U24" i="176"/>
  <c r="S30" i="176"/>
  <c r="Y45" i="176"/>
  <c r="Y38" i="176"/>
  <c r="Z45" i="176"/>
  <c r="Y26" i="176"/>
  <c r="S29" i="176"/>
  <c r="Z26" i="176"/>
  <c r="Z35" i="176"/>
  <c r="T42" i="176"/>
  <c r="Z39" i="176"/>
  <c r="Y46" i="176"/>
  <c r="S34" i="176"/>
  <c r="AC47" i="176"/>
  <c r="U42" i="176"/>
  <c r="T26" i="176"/>
  <c r="U40" i="176"/>
  <c r="AC42" i="176"/>
  <c r="AC41" i="176"/>
  <c r="AC40" i="176"/>
  <c r="Y44" i="176"/>
  <c r="S38" i="176"/>
  <c r="T33" i="176"/>
  <c r="AC23" i="176"/>
  <c r="Z32" i="176"/>
  <c r="AC38" i="176"/>
  <c r="S32" i="176"/>
  <c r="Y30" i="176"/>
  <c r="Z38" i="176"/>
  <c r="T24" i="176"/>
  <c r="Y27" i="176"/>
  <c r="T27" i="176"/>
  <c r="U26" i="176"/>
  <c r="U28" i="176"/>
  <c r="AC44" i="176"/>
  <c r="AC27" i="176"/>
  <c r="Z24" i="176"/>
  <c r="S49" i="176"/>
  <c r="S43" i="176"/>
  <c r="S35" i="176"/>
  <c r="S42" i="176"/>
  <c r="AC33" i="176"/>
  <c r="T46" i="176"/>
  <c r="U41" i="176"/>
  <c r="AC25" i="176"/>
  <c r="U39" i="176"/>
  <c r="T41" i="176"/>
  <c r="T40" i="176"/>
  <c r="S40" i="176"/>
  <c r="Y43" i="176"/>
  <c r="S37" i="176"/>
  <c r="T49" i="176"/>
  <c r="T32" i="176"/>
  <c r="U23" i="176"/>
  <c r="S33" i="176"/>
  <c r="U35" i="176"/>
  <c r="AC24" i="176"/>
  <c r="Y28" i="176"/>
  <c r="AC31" i="176"/>
  <c r="Z25" i="176"/>
  <c r="T28" i="176"/>
  <c r="Y39" i="176"/>
  <c r="Z46" i="176"/>
  <c r="U33" i="176"/>
  <c r="S25" i="176"/>
  <c r="S27" i="176"/>
  <c r="Y47" i="176"/>
  <c r="Z42" i="176"/>
  <c r="T44" i="176"/>
  <c r="S41" i="176"/>
  <c r="Z49" i="176"/>
  <c r="S48" i="176"/>
  <c r="AC32" i="176"/>
  <c r="U43" i="176"/>
  <c r="Y36" i="176"/>
  <c r="Y34" i="176"/>
  <c r="U38" i="176"/>
  <c r="T39" i="176"/>
  <c r="AC39" i="176"/>
  <c r="Z41" i="176"/>
  <c r="AC36" i="176"/>
  <c r="U47" i="176"/>
  <c r="U30" i="176"/>
  <c r="Z23" i="176"/>
  <c r="AC28" i="176"/>
  <c r="U27" i="176"/>
  <c r="U32" i="176"/>
  <c r="S28" i="176"/>
  <c r="Z47" i="176"/>
  <c r="AC37" i="176"/>
  <c r="Y49" i="176"/>
  <c r="AC30" i="176"/>
  <c r="Y29" i="176"/>
  <c r="Z37" i="176"/>
  <c r="U48" i="176"/>
  <c r="S45" i="176"/>
  <c r="Z27" i="176"/>
  <c r="AC29" i="176"/>
  <c r="Z43" i="176"/>
  <c r="T45" i="176"/>
  <c r="S44" i="176"/>
  <c r="U25" i="176"/>
  <c r="Z28" i="176"/>
  <c r="AC34" i="176"/>
  <c r="S47" i="176"/>
  <c r="AC46" i="176"/>
  <c r="AC49" i="176"/>
  <c r="T31" i="176"/>
  <c r="Y37" i="176"/>
  <c r="Y35" i="176"/>
  <c r="Y33" i="176"/>
  <c r="Y32" i="176"/>
  <c r="U37" i="176"/>
  <c r="T38" i="176"/>
  <c r="Z40" i="176"/>
  <c r="T35" i="176"/>
  <c r="U46" i="176"/>
  <c r="U29" i="176"/>
  <c r="T23" i="176"/>
  <c r="S24" i="176"/>
  <c r="Z48" i="176"/>
  <c r="Y31" i="176"/>
  <c r="S46" i="176"/>
  <c r="U45" i="176"/>
  <c r="AC26" i="176"/>
  <c r="U31" i="176"/>
  <c r="U44" i="176"/>
  <c r="AC45" i="176"/>
  <c r="T36" i="176"/>
  <c r="T30" i="176"/>
  <c r="Y25" i="176"/>
  <c r="S36" i="176"/>
  <c r="Y24" i="176"/>
  <c r="T25" i="176"/>
  <c r="Z44" i="176"/>
  <c r="AC35" i="176"/>
  <c r="Z36" i="176"/>
  <c r="T43" i="176"/>
  <c r="Y42" i="176"/>
  <c r="Y23" i="176"/>
  <c r="AC48" i="176"/>
  <c r="AC43" i="176"/>
  <c r="U49" i="176"/>
  <c r="S23" i="176"/>
  <c r="T48" i="176"/>
  <c r="T29" i="176"/>
  <c r="Z34" i="176"/>
  <c r="Z33" i="176"/>
  <c r="Z31" i="176"/>
  <c r="Z29" i="176"/>
  <c r="U36" i="176"/>
  <c r="T37" i="176"/>
  <c r="S39" i="176"/>
  <c r="T34" i="176"/>
  <c r="Y41" i="176"/>
  <c r="AG76" i="176" a="1"/>
  <c r="AG76" i="176" s="1"/>
  <c r="AG81" i="176" a="1"/>
  <c r="AG81" i="176" s="1"/>
  <c r="AG86" i="176" a="1"/>
  <c r="AG86" i="176" s="1"/>
  <c r="AG91" i="176" a="1"/>
  <c r="AG91" i="176" s="1"/>
  <c r="AG96" i="176" a="1"/>
  <c r="AG96" i="176" s="1"/>
  <c r="AG101" i="176" a="1"/>
  <c r="AG101" i="176" s="1"/>
  <c r="AG106" i="176" a="1"/>
  <c r="AG106" i="176" s="1"/>
  <c r="AG112" i="176" a="1"/>
  <c r="AG112" i="176" s="1"/>
  <c r="AG117" i="176" a="1"/>
  <c r="AG117" i="176" s="1"/>
  <c r="AG78" i="176" a="1"/>
  <c r="AG78" i="176" s="1"/>
  <c r="AG83" i="176" a="1"/>
  <c r="AG83" i="176" s="1"/>
  <c r="AG88" i="176" a="1"/>
  <c r="AG88" i="176" s="1"/>
  <c r="AG93" i="176" a="1"/>
  <c r="AG93" i="176" s="1"/>
  <c r="AG98" i="176" a="1"/>
  <c r="AG98" i="176" s="1"/>
  <c r="AG103" i="176" a="1"/>
  <c r="AG103" i="176" s="1"/>
  <c r="AG108" i="176" a="1"/>
  <c r="AG108" i="176" s="1"/>
  <c r="AG110" i="176" a="1"/>
  <c r="AG110" i="176" s="1"/>
  <c r="AG115" i="176" a="1"/>
  <c r="AG115" i="176" s="1"/>
  <c r="AG120" i="176" a="1"/>
  <c r="AG120" i="176" s="1"/>
  <c r="AG80" i="176" a="1"/>
  <c r="AG80" i="176" s="1"/>
  <c r="AG85" i="176" a="1"/>
  <c r="AG85" i="176" s="1"/>
  <c r="AG90" i="176" a="1"/>
  <c r="AG90" i="176" s="1"/>
  <c r="AG95" i="176" a="1"/>
  <c r="AG95" i="176" s="1"/>
  <c r="AG100" i="176" a="1"/>
  <c r="AG100" i="176" s="1"/>
  <c r="AG105" i="176" a="1"/>
  <c r="AG105" i="176" s="1"/>
  <c r="AG113" i="176" a="1"/>
  <c r="AG113" i="176" s="1"/>
  <c r="AG118" i="176" a="1"/>
  <c r="AG118" i="176" s="1"/>
  <c r="AG77" i="176" a="1"/>
  <c r="AG77" i="176" s="1"/>
  <c r="AG82" i="176" a="1"/>
  <c r="AG82" i="176" s="1"/>
  <c r="AG87" i="176" a="1"/>
  <c r="AG87" i="176" s="1"/>
  <c r="AG92" i="176" a="1"/>
  <c r="AG92" i="176" s="1"/>
  <c r="AG97" i="176" a="1"/>
  <c r="AG97" i="176" s="1"/>
  <c r="AG102" i="176" a="1"/>
  <c r="AG102" i="176" s="1"/>
  <c r="AG107" i="176" a="1"/>
  <c r="AG107" i="176" s="1"/>
  <c r="AG111" i="176" a="1"/>
  <c r="AG111" i="176" s="1"/>
  <c r="AG116" i="176" a="1"/>
  <c r="AG116" i="176" s="1"/>
  <c r="AG121" i="176" a="1"/>
  <c r="AG121" i="176" s="1"/>
  <c r="AG79" i="176" a="1"/>
  <c r="AG79" i="176" s="1"/>
  <c r="AG84" i="176" a="1"/>
  <c r="AG84" i="176" s="1"/>
  <c r="AG89" i="176" a="1"/>
  <c r="AG89" i="176" s="1"/>
  <c r="AG94" i="176" a="1"/>
  <c r="AG94" i="176" s="1"/>
  <c r="AG99" i="176" a="1"/>
  <c r="AG99" i="176" s="1"/>
  <c r="AG104" i="176" a="1"/>
  <c r="AG104" i="176" s="1"/>
  <c r="AG109" i="176" a="1"/>
  <c r="AG109" i="176" s="1"/>
  <c r="AG114" i="176" a="1"/>
  <c r="AG114" i="176" s="1"/>
  <c r="AG119" i="176" a="1"/>
  <c r="AG119" i="176" s="1"/>
  <c r="X77" i="176" a="1"/>
  <c r="X77" i="176" s="1"/>
  <c r="X82" i="176" a="1"/>
  <c r="X82" i="176" s="1"/>
  <c r="X87" i="176" a="1"/>
  <c r="X87" i="176" s="1"/>
  <c r="X92" i="176" a="1"/>
  <c r="X92" i="176" s="1"/>
  <c r="X97" i="176" a="1"/>
  <c r="X97" i="176" s="1"/>
  <c r="X102" i="176" a="1"/>
  <c r="X102" i="176" s="1"/>
  <c r="X107" i="176" a="1"/>
  <c r="X107" i="176" s="1"/>
  <c r="X111" i="176" a="1"/>
  <c r="X111" i="176" s="1"/>
  <c r="X116" i="176" a="1"/>
  <c r="X116" i="176" s="1"/>
  <c r="X121" i="176" a="1"/>
  <c r="X121" i="176" s="1"/>
  <c r="X79" i="176" a="1"/>
  <c r="X79" i="176" s="1"/>
  <c r="X84" i="176" a="1"/>
  <c r="X84" i="176" s="1"/>
  <c r="X89" i="176" a="1"/>
  <c r="X89" i="176" s="1"/>
  <c r="X94" i="176" a="1"/>
  <c r="X94" i="176" s="1"/>
  <c r="X99" i="176" a="1"/>
  <c r="X99" i="176" s="1"/>
  <c r="X104" i="176" a="1"/>
  <c r="X104" i="176" s="1"/>
  <c r="X109" i="176" a="1"/>
  <c r="X109" i="176" s="1"/>
  <c r="X114" i="176" a="1"/>
  <c r="X114" i="176" s="1"/>
  <c r="X119" i="176" a="1"/>
  <c r="X119" i="176" s="1"/>
  <c r="X76" i="176" a="1"/>
  <c r="X76" i="176" s="1"/>
  <c r="X81" i="176" a="1"/>
  <c r="X81" i="176" s="1"/>
  <c r="X86" i="176" a="1"/>
  <c r="X86" i="176" s="1"/>
  <c r="X91" i="176" a="1"/>
  <c r="X91" i="176" s="1"/>
  <c r="X96" i="176" a="1"/>
  <c r="X96" i="176" s="1"/>
  <c r="X101" i="176" a="1"/>
  <c r="X101" i="176" s="1"/>
  <c r="X106" i="176" a="1"/>
  <c r="X106" i="176" s="1"/>
  <c r="X112" i="176" a="1"/>
  <c r="X112" i="176" s="1"/>
  <c r="X117" i="176" a="1"/>
  <c r="X117" i="176" s="1"/>
  <c r="X78" i="176" a="1"/>
  <c r="X78" i="176" s="1"/>
  <c r="X83" i="176" a="1"/>
  <c r="X83" i="176" s="1"/>
  <c r="X88" i="176" a="1"/>
  <c r="X88" i="176" s="1"/>
  <c r="X93" i="176" a="1"/>
  <c r="X93" i="176" s="1"/>
  <c r="X98" i="176" a="1"/>
  <c r="X98" i="176" s="1"/>
  <c r="X103" i="176" a="1"/>
  <c r="X103" i="176" s="1"/>
  <c r="X108" i="176" a="1"/>
  <c r="X108" i="176" s="1"/>
  <c r="X110" i="176" a="1"/>
  <c r="X110" i="176" s="1"/>
  <c r="X115" i="176" a="1"/>
  <c r="X115" i="176" s="1"/>
  <c r="X120" i="176" a="1"/>
  <c r="X120" i="176" s="1"/>
  <c r="X80" i="176" a="1"/>
  <c r="X80" i="176" s="1"/>
  <c r="X85" i="176" a="1"/>
  <c r="X85" i="176" s="1"/>
  <c r="X90" i="176" a="1"/>
  <c r="X90" i="176" s="1"/>
  <c r="X95" i="176" a="1"/>
  <c r="X95" i="176" s="1"/>
  <c r="X100" i="176" a="1"/>
  <c r="X100" i="176" s="1"/>
  <c r="X105" i="176" a="1"/>
  <c r="X105" i="176" s="1"/>
  <c r="X113" i="176" a="1"/>
  <c r="X113" i="176" s="1"/>
  <c r="X118" i="176" a="1"/>
  <c r="X118" i="176" s="1"/>
  <c r="AA79" i="176" a="1"/>
  <c r="AA79" i="176" s="1"/>
  <c r="AA89" i="176" a="1"/>
  <c r="AA89" i="176" s="1"/>
  <c r="AA99" i="176" a="1"/>
  <c r="AA99" i="176" s="1"/>
  <c r="AA109" i="176" a="1"/>
  <c r="AA109" i="176" s="1"/>
  <c r="AA119" i="176" a="1"/>
  <c r="AA119" i="176" s="1"/>
  <c r="AA91" i="176" a="1"/>
  <c r="AA91" i="176" s="1"/>
  <c r="AA111" i="176" a="1"/>
  <c r="AA111" i="176" s="1"/>
  <c r="AA103" i="176" a="1"/>
  <c r="AA103" i="176" s="1"/>
  <c r="AA80" i="176" a="1"/>
  <c r="AA80" i="176" s="1"/>
  <c r="AA90" i="176" a="1"/>
  <c r="AA90" i="176" s="1"/>
  <c r="AA100" i="176" a="1"/>
  <c r="AA100" i="176" s="1"/>
  <c r="AA110" i="176" a="1"/>
  <c r="AA110" i="176" s="1"/>
  <c r="AA120" i="176" a="1"/>
  <c r="AA120" i="176" s="1"/>
  <c r="AA82" i="176" a="1"/>
  <c r="AA82" i="176" s="1"/>
  <c r="AA92" i="176" a="1"/>
  <c r="AA92" i="176" s="1"/>
  <c r="AA102" i="176" a="1"/>
  <c r="AA102" i="176" s="1"/>
  <c r="AA112" i="176" a="1"/>
  <c r="AA112" i="176" s="1"/>
  <c r="AA93" i="176" a="1"/>
  <c r="AA93" i="176" s="1"/>
  <c r="AA113" i="176" a="1"/>
  <c r="AA113" i="176" s="1"/>
  <c r="AA83" i="176" a="1"/>
  <c r="AA83" i="176" s="1"/>
  <c r="AA84" i="176" a="1"/>
  <c r="AA84" i="176" s="1"/>
  <c r="AA94" i="176" a="1"/>
  <c r="AA94" i="176" s="1"/>
  <c r="AA104" i="176" a="1"/>
  <c r="AA104" i="176" s="1"/>
  <c r="AA114" i="176" a="1"/>
  <c r="AA114" i="176" s="1"/>
  <c r="AA95" i="176" a="1"/>
  <c r="AA95" i="176" s="1"/>
  <c r="AA115" i="176" a="1"/>
  <c r="AA115" i="176" s="1"/>
  <c r="AA121" i="176" a="1"/>
  <c r="AA121" i="176" s="1"/>
  <c r="AA85" i="176" a="1"/>
  <c r="AA85" i="176" s="1"/>
  <c r="AA105" i="176" a="1"/>
  <c r="AA105" i="176" s="1"/>
  <c r="AA81" i="176" a="1"/>
  <c r="AA81" i="176" s="1"/>
  <c r="AA76" i="176" a="1"/>
  <c r="AA76" i="176" s="1"/>
  <c r="AA86" i="176" a="1"/>
  <c r="AA86" i="176" s="1"/>
  <c r="AA96" i="176" a="1"/>
  <c r="AA96" i="176" s="1"/>
  <c r="AA106" i="176" a="1"/>
  <c r="AA106" i="176" s="1"/>
  <c r="AA116" i="176" a="1"/>
  <c r="AA116" i="176" s="1"/>
  <c r="AA87" i="176" a="1"/>
  <c r="AA87" i="176" s="1"/>
  <c r="AA97" i="176" a="1"/>
  <c r="AA97" i="176" s="1"/>
  <c r="AA107" i="176" a="1"/>
  <c r="AA107" i="176" s="1"/>
  <c r="AA117" i="176" a="1"/>
  <c r="AA117" i="176" s="1"/>
  <c r="AA101" i="176" a="1"/>
  <c r="AA101" i="176" s="1"/>
  <c r="AA77" i="176" a="1"/>
  <c r="AA77" i="176" s="1"/>
  <c r="AA78" i="176" a="1"/>
  <c r="AA78" i="176" s="1"/>
  <c r="AA88" i="176" a="1"/>
  <c r="AA88" i="176" s="1"/>
  <c r="AA98" i="176" a="1"/>
  <c r="AA98" i="176" s="1"/>
  <c r="AA108" i="176" a="1"/>
  <c r="AA108" i="176" s="1"/>
  <c r="AA118" i="176" a="1"/>
  <c r="AA118" i="176" s="1"/>
  <c r="AH76" i="176" a="1"/>
  <c r="AH76" i="176" s="1"/>
  <c r="AH81" i="176" a="1"/>
  <c r="AH81" i="176" s="1"/>
  <c r="AH86" i="176" a="1"/>
  <c r="AH86" i="176" s="1"/>
  <c r="AH91" i="176" a="1"/>
  <c r="AH91" i="176" s="1"/>
  <c r="AH96" i="176" a="1"/>
  <c r="AH96" i="176" s="1"/>
  <c r="AH101" i="176" a="1"/>
  <c r="AH101" i="176" s="1"/>
  <c r="AH106" i="176" a="1"/>
  <c r="AH106" i="176" s="1"/>
  <c r="AH112" i="176" a="1"/>
  <c r="AH112" i="176" s="1"/>
  <c r="AH117" i="176" a="1"/>
  <c r="AH117" i="176" s="1"/>
  <c r="AH78" i="176" a="1"/>
  <c r="AH78" i="176" s="1"/>
  <c r="AH83" i="176" a="1"/>
  <c r="AH83" i="176" s="1"/>
  <c r="AH88" i="176" a="1"/>
  <c r="AH88" i="176" s="1"/>
  <c r="AH93" i="176" a="1"/>
  <c r="AH93" i="176" s="1"/>
  <c r="AH98" i="176" a="1"/>
  <c r="AH98" i="176" s="1"/>
  <c r="AH103" i="176" a="1"/>
  <c r="AH103" i="176" s="1"/>
  <c r="AH108" i="176" a="1"/>
  <c r="AH108" i="176" s="1"/>
  <c r="AH110" i="176" a="1"/>
  <c r="AH110" i="176" s="1"/>
  <c r="AH115" i="176" a="1"/>
  <c r="AH115" i="176" s="1"/>
  <c r="AH120" i="176" a="1"/>
  <c r="AH120" i="176" s="1"/>
  <c r="AH80" i="176" a="1"/>
  <c r="AH80" i="176" s="1"/>
  <c r="AH85" i="176" a="1"/>
  <c r="AH85" i="176" s="1"/>
  <c r="AH90" i="176" a="1"/>
  <c r="AH90" i="176" s="1"/>
  <c r="AH95" i="176" a="1"/>
  <c r="AH95" i="176" s="1"/>
  <c r="AH100" i="176" a="1"/>
  <c r="AH100" i="176" s="1"/>
  <c r="AH105" i="176" a="1"/>
  <c r="AH105" i="176" s="1"/>
  <c r="AH113" i="176" a="1"/>
  <c r="AH113" i="176" s="1"/>
  <c r="AH118" i="176" a="1"/>
  <c r="AH118" i="176" s="1"/>
  <c r="AH77" i="176" a="1"/>
  <c r="AH77" i="176" s="1"/>
  <c r="AH82" i="176" a="1"/>
  <c r="AH82" i="176" s="1"/>
  <c r="AH87" i="176" a="1"/>
  <c r="AH87" i="176" s="1"/>
  <c r="AH92" i="176" a="1"/>
  <c r="AH92" i="176" s="1"/>
  <c r="AH97" i="176" a="1"/>
  <c r="AH97" i="176" s="1"/>
  <c r="AH102" i="176" a="1"/>
  <c r="AH102" i="176" s="1"/>
  <c r="AH107" i="176" a="1"/>
  <c r="AH107" i="176" s="1"/>
  <c r="AH111" i="176" a="1"/>
  <c r="AH111" i="176" s="1"/>
  <c r="AH116" i="176" a="1"/>
  <c r="AH116" i="176" s="1"/>
  <c r="AH121" i="176" a="1"/>
  <c r="AH121" i="176" s="1"/>
  <c r="AH79" i="176" a="1"/>
  <c r="AH79" i="176" s="1"/>
  <c r="AH84" i="176" a="1"/>
  <c r="AH84" i="176" s="1"/>
  <c r="AH89" i="176" a="1"/>
  <c r="AH89" i="176" s="1"/>
  <c r="AH94" i="176" a="1"/>
  <c r="AH94" i="176" s="1"/>
  <c r="AH99" i="176" a="1"/>
  <c r="AH99" i="176" s="1"/>
  <c r="AH104" i="176" a="1"/>
  <c r="AH104" i="176" s="1"/>
  <c r="AH109" i="176" a="1"/>
  <c r="AH109" i="176" s="1"/>
  <c r="AH114" i="176" a="1"/>
  <c r="AH114" i="176" s="1"/>
  <c r="AH119" i="176" a="1"/>
  <c r="AH119" i="176" s="1"/>
  <c r="V83" i="176" a="1"/>
  <c r="V83" i="176" s="1"/>
  <c r="V93" i="176" a="1"/>
  <c r="V93" i="176" s="1"/>
  <c r="V103" i="176" a="1"/>
  <c r="V103" i="176" s="1"/>
  <c r="V113" i="176" a="1"/>
  <c r="V113" i="176" s="1"/>
  <c r="V95" i="176" a="1"/>
  <c r="V95" i="176" s="1"/>
  <c r="V84" i="176" a="1"/>
  <c r="V84" i="176" s="1"/>
  <c r="V94" i="176" a="1"/>
  <c r="V94" i="176" s="1"/>
  <c r="V104" i="176" a="1"/>
  <c r="V104" i="176" s="1"/>
  <c r="V114" i="176" a="1"/>
  <c r="V114" i="176" s="1"/>
  <c r="V76" i="176" a="1"/>
  <c r="V76" i="176" s="1"/>
  <c r="V86" i="176" a="1"/>
  <c r="V86" i="176" s="1"/>
  <c r="V96" i="176" a="1"/>
  <c r="V96" i="176" s="1"/>
  <c r="V106" i="176" a="1"/>
  <c r="V106" i="176" s="1"/>
  <c r="V116" i="176" a="1"/>
  <c r="V116" i="176" s="1"/>
  <c r="V78" i="176" a="1"/>
  <c r="V78" i="176" s="1"/>
  <c r="V88" i="176" a="1"/>
  <c r="V88" i="176" s="1"/>
  <c r="V98" i="176" a="1"/>
  <c r="V98" i="176" s="1"/>
  <c r="V108" i="176" a="1"/>
  <c r="V108" i="176" s="1"/>
  <c r="V118" i="176" a="1"/>
  <c r="V118" i="176" s="1"/>
  <c r="V79" i="176" a="1"/>
  <c r="V79" i="176" s="1"/>
  <c r="V99" i="176" a="1"/>
  <c r="V99" i="176" s="1"/>
  <c r="V109" i="176" a="1"/>
  <c r="V109" i="176" s="1"/>
  <c r="V119" i="176" a="1"/>
  <c r="V119" i="176" s="1"/>
  <c r="V105" i="176" a="1"/>
  <c r="V105" i="176" s="1"/>
  <c r="V89" i="176" a="1"/>
  <c r="V89" i="176" s="1"/>
  <c r="V97" i="176" a="1"/>
  <c r="V97" i="176" s="1"/>
  <c r="V107" i="176" a="1"/>
  <c r="V107" i="176" s="1"/>
  <c r="V80" i="176" a="1"/>
  <c r="V80" i="176" s="1"/>
  <c r="V90" i="176" a="1"/>
  <c r="V90" i="176" s="1"/>
  <c r="V100" i="176" a="1"/>
  <c r="V100" i="176" s="1"/>
  <c r="V110" i="176" a="1"/>
  <c r="V110" i="176" s="1"/>
  <c r="V120" i="176" a="1"/>
  <c r="V120" i="176" s="1"/>
  <c r="V91" i="176" a="1"/>
  <c r="V91" i="176" s="1"/>
  <c r="V77" i="176" a="1"/>
  <c r="V77" i="176" s="1"/>
  <c r="V81" i="176" a="1"/>
  <c r="V81" i="176" s="1"/>
  <c r="V101" i="176" a="1"/>
  <c r="V101" i="176" s="1"/>
  <c r="V111" i="176" a="1"/>
  <c r="V111" i="176" s="1"/>
  <c r="V121" i="176" a="1"/>
  <c r="V121" i="176" s="1"/>
  <c r="V87" i="176" a="1"/>
  <c r="V87" i="176" s="1"/>
  <c r="V82" i="176" a="1"/>
  <c r="V82" i="176" s="1"/>
  <c r="V92" i="176" a="1"/>
  <c r="V92" i="176" s="1"/>
  <c r="V102" i="176" a="1"/>
  <c r="V102" i="176" s="1"/>
  <c r="V112" i="176" a="1"/>
  <c r="V112" i="176" s="1"/>
  <c r="V85" i="176" a="1"/>
  <c r="V85" i="176" s="1"/>
  <c r="V115" i="176" a="1"/>
  <c r="V115" i="176" s="1"/>
  <c r="V117" i="176" a="1"/>
  <c r="V117" i="176" s="1"/>
  <c r="AI79" i="176" a="1"/>
  <c r="AI79" i="176" s="1"/>
  <c r="AI84" i="176" a="1"/>
  <c r="AI84" i="176" s="1"/>
  <c r="AI89" i="176" a="1"/>
  <c r="AI89" i="176" s="1"/>
  <c r="AI94" i="176" a="1"/>
  <c r="AI94" i="176" s="1"/>
  <c r="AI99" i="176" a="1"/>
  <c r="AI99" i="176" s="1"/>
  <c r="AI104" i="176" a="1"/>
  <c r="AI104" i="176" s="1"/>
  <c r="AI109" i="176" a="1"/>
  <c r="AI109" i="176" s="1"/>
  <c r="AI114" i="176" a="1"/>
  <c r="AI114" i="176" s="1"/>
  <c r="AI119" i="176" a="1"/>
  <c r="AI119" i="176" s="1"/>
  <c r="AI76" i="176" a="1"/>
  <c r="AI76" i="176" s="1"/>
  <c r="AI81" i="176" a="1"/>
  <c r="AI81" i="176" s="1"/>
  <c r="AI86" i="176" a="1"/>
  <c r="AI86" i="176" s="1"/>
  <c r="AI91" i="176" a="1"/>
  <c r="AI91" i="176" s="1"/>
  <c r="AI96" i="176" a="1"/>
  <c r="AI96" i="176" s="1"/>
  <c r="AI101" i="176" a="1"/>
  <c r="AI101" i="176" s="1"/>
  <c r="AI106" i="176" a="1"/>
  <c r="AI106" i="176" s="1"/>
  <c r="AI112" i="176" a="1"/>
  <c r="AI112" i="176" s="1"/>
  <c r="AI117" i="176" a="1"/>
  <c r="AI117" i="176" s="1"/>
  <c r="AI78" i="176" a="1"/>
  <c r="AI78" i="176" s="1"/>
  <c r="AI83" i="176" a="1"/>
  <c r="AI83" i="176" s="1"/>
  <c r="AI88" i="176" a="1"/>
  <c r="AI88" i="176" s="1"/>
  <c r="AI93" i="176" a="1"/>
  <c r="AI93" i="176" s="1"/>
  <c r="AI98" i="176" a="1"/>
  <c r="AI98" i="176" s="1"/>
  <c r="AI103" i="176" a="1"/>
  <c r="AI103" i="176" s="1"/>
  <c r="AI108" i="176" a="1"/>
  <c r="AI108" i="176" s="1"/>
  <c r="AI110" i="176" a="1"/>
  <c r="AI110" i="176" s="1"/>
  <c r="AI115" i="176" a="1"/>
  <c r="AI115" i="176" s="1"/>
  <c r="AI120" i="176" a="1"/>
  <c r="AI120" i="176" s="1"/>
  <c r="AI80" i="176" a="1"/>
  <c r="AI80" i="176" s="1"/>
  <c r="AI85" i="176" a="1"/>
  <c r="AI85" i="176" s="1"/>
  <c r="AI90" i="176" a="1"/>
  <c r="AI90" i="176" s="1"/>
  <c r="AI95" i="176" a="1"/>
  <c r="AI95" i="176" s="1"/>
  <c r="AI100" i="176" a="1"/>
  <c r="AI100" i="176" s="1"/>
  <c r="AI105" i="176" a="1"/>
  <c r="AI105" i="176" s="1"/>
  <c r="AI113" i="176" a="1"/>
  <c r="AI113" i="176" s="1"/>
  <c r="AI118" i="176" a="1"/>
  <c r="AI118" i="176" s="1"/>
  <c r="AI77" i="176" a="1"/>
  <c r="AI77" i="176" s="1"/>
  <c r="AI82" i="176" a="1"/>
  <c r="AI82" i="176" s="1"/>
  <c r="AI87" i="176" a="1"/>
  <c r="AI87" i="176" s="1"/>
  <c r="AI92" i="176" a="1"/>
  <c r="AI92" i="176" s="1"/>
  <c r="AI97" i="176" a="1"/>
  <c r="AI97" i="176" s="1"/>
  <c r="AI102" i="176" a="1"/>
  <c r="AI102" i="176" s="1"/>
  <c r="AI107" i="176" a="1"/>
  <c r="AI107" i="176" s="1"/>
  <c r="AI111" i="176" a="1"/>
  <c r="AI111" i="176" s="1"/>
  <c r="AI116" i="176" a="1"/>
  <c r="AI116" i="176" s="1"/>
  <c r="AI121" i="176" a="1"/>
  <c r="AI121" i="176" s="1"/>
  <c r="AE78" i="176" a="1"/>
  <c r="AE78" i="176" s="1"/>
  <c r="AE83" i="176" a="1"/>
  <c r="AE83" i="176" s="1"/>
  <c r="AE88" i="176" a="1"/>
  <c r="AE88" i="176" s="1"/>
  <c r="AE93" i="176" a="1"/>
  <c r="AE93" i="176" s="1"/>
  <c r="AE98" i="176" a="1"/>
  <c r="AE98" i="176" s="1"/>
  <c r="AE103" i="176" a="1"/>
  <c r="AE103" i="176" s="1"/>
  <c r="AE108" i="176" a="1"/>
  <c r="AE108" i="176" s="1"/>
  <c r="AE110" i="176" a="1"/>
  <c r="AE110" i="176" s="1"/>
  <c r="AE115" i="176" a="1"/>
  <c r="AE115" i="176" s="1"/>
  <c r="AE120" i="176" a="1"/>
  <c r="AE120" i="176" s="1"/>
  <c r="AE80" i="176" a="1"/>
  <c r="AE80" i="176" s="1"/>
  <c r="AE85" i="176" a="1"/>
  <c r="AE85" i="176" s="1"/>
  <c r="AE90" i="176" a="1"/>
  <c r="AE90" i="176" s="1"/>
  <c r="AE95" i="176" a="1"/>
  <c r="AE95" i="176" s="1"/>
  <c r="AE100" i="176" a="1"/>
  <c r="AE100" i="176" s="1"/>
  <c r="AE105" i="176" a="1"/>
  <c r="AE105" i="176" s="1"/>
  <c r="AE113" i="176" a="1"/>
  <c r="AE113" i="176" s="1"/>
  <c r="AE118" i="176" a="1"/>
  <c r="AE118" i="176" s="1"/>
  <c r="AE77" i="176" a="1"/>
  <c r="AE77" i="176" s="1"/>
  <c r="AE82" i="176" a="1"/>
  <c r="AE82" i="176" s="1"/>
  <c r="AE87" i="176" a="1"/>
  <c r="AE87" i="176" s="1"/>
  <c r="AE92" i="176" a="1"/>
  <c r="AE92" i="176" s="1"/>
  <c r="AE97" i="176" a="1"/>
  <c r="AE97" i="176" s="1"/>
  <c r="AE102" i="176" a="1"/>
  <c r="AE102" i="176" s="1"/>
  <c r="AE107" i="176" a="1"/>
  <c r="AE107" i="176" s="1"/>
  <c r="AE111" i="176" a="1"/>
  <c r="AE111" i="176" s="1"/>
  <c r="AE116" i="176" a="1"/>
  <c r="AE116" i="176" s="1"/>
  <c r="AE121" i="176" a="1"/>
  <c r="AE121" i="176" s="1"/>
  <c r="AE79" i="176" a="1"/>
  <c r="AE79" i="176" s="1"/>
  <c r="AE84" i="176" a="1"/>
  <c r="AE84" i="176" s="1"/>
  <c r="AE89" i="176" a="1"/>
  <c r="AE89" i="176" s="1"/>
  <c r="AE94" i="176" a="1"/>
  <c r="AE94" i="176" s="1"/>
  <c r="AE99" i="176" a="1"/>
  <c r="AE99" i="176" s="1"/>
  <c r="AE104" i="176" a="1"/>
  <c r="AE104" i="176" s="1"/>
  <c r="AE109" i="176" a="1"/>
  <c r="AE109" i="176" s="1"/>
  <c r="AE114" i="176" a="1"/>
  <c r="AE114" i="176" s="1"/>
  <c r="AE119" i="176" a="1"/>
  <c r="AE119" i="176" s="1"/>
  <c r="AE76" i="176" a="1"/>
  <c r="AE76" i="176" s="1"/>
  <c r="AE81" i="176" a="1"/>
  <c r="AE81" i="176" s="1"/>
  <c r="AE86" i="176" a="1"/>
  <c r="AE86" i="176" s="1"/>
  <c r="AE91" i="176" a="1"/>
  <c r="AE91" i="176" s="1"/>
  <c r="AE96" i="176" a="1"/>
  <c r="AE96" i="176" s="1"/>
  <c r="AE101" i="176" a="1"/>
  <c r="AE101" i="176" s="1"/>
  <c r="AE106" i="176" a="1"/>
  <c r="AE106" i="176" s="1"/>
  <c r="AE112" i="176" a="1"/>
  <c r="AE112" i="176" s="1"/>
  <c r="AE117" i="176" a="1"/>
  <c r="AE117" i="176" s="1"/>
  <c r="AD78" i="176" a="1"/>
  <c r="AD78" i="176" s="1"/>
  <c r="AD83" i="176" a="1"/>
  <c r="AD83" i="176" s="1"/>
  <c r="AD88" i="176" a="1"/>
  <c r="AD88" i="176" s="1"/>
  <c r="AD93" i="176" a="1"/>
  <c r="AD93" i="176" s="1"/>
  <c r="AD98" i="176" a="1"/>
  <c r="AD98" i="176" s="1"/>
  <c r="AD103" i="176" a="1"/>
  <c r="AD103" i="176" s="1"/>
  <c r="AD108" i="176" a="1"/>
  <c r="AD108" i="176" s="1"/>
  <c r="AD110" i="176" a="1"/>
  <c r="AD110" i="176" s="1"/>
  <c r="AD115" i="176" a="1"/>
  <c r="AD115" i="176" s="1"/>
  <c r="AD120" i="176" a="1"/>
  <c r="AD120" i="176" s="1"/>
  <c r="AD80" i="176" a="1"/>
  <c r="AD80" i="176" s="1"/>
  <c r="AD85" i="176" a="1"/>
  <c r="AD85" i="176" s="1"/>
  <c r="AD90" i="176" a="1"/>
  <c r="AD90" i="176" s="1"/>
  <c r="AD95" i="176" a="1"/>
  <c r="AD95" i="176" s="1"/>
  <c r="AD100" i="176" a="1"/>
  <c r="AD100" i="176" s="1"/>
  <c r="AD105" i="176" a="1"/>
  <c r="AD105" i="176" s="1"/>
  <c r="AD113" i="176" a="1"/>
  <c r="AD113" i="176" s="1"/>
  <c r="AD118" i="176" a="1"/>
  <c r="AD118" i="176" s="1"/>
  <c r="AD77" i="176" a="1"/>
  <c r="AD77" i="176" s="1"/>
  <c r="AD82" i="176" a="1"/>
  <c r="AD82" i="176" s="1"/>
  <c r="AD87" i="176" a="1"/>
  <c r="AD87" i="176" s="1"/>
  <c r="AD92" i="176" a="1"/>
  <c r="AD92" i="176" s="1"/>
  <c r="AD97" i="176" a="1"/>
  <c r="AD97" i="176" s="1"/>
  <c r="AD102" i="176" a="1"/>
  <c r="AD102" i="176" s="1"/>
  <c r="AD107" i="176" a="1"/>
  <c r="AD107" i="176" s="1"/>
  <c r="AD111" i="176" a="1"/>
  <c r="AD111" i="176" s="1"/>
  <c r="AD116" i="176" a="1"/>
  <c r="AD116" i="176" s="1"/>
  <c r="AD121" i="176" a="1"/>
  <c r="AD121" i="176" s="1"/>
  <c r="AD79" i="176" a="1"/>
  <c r="AD79" i="176" s="1"/>
  <c r="AD84" i="176" a="1"/>
  <c r="AD84" i="176" s="1"/>
  <c r="AD89" i="176" a="1"/>
  <c r="AD89" i="176" s="1"/>
  <c r="AD94" i="176" a="1"/>
  <c r="AD94" i="176" s="1"/>
  <c r="AD99" i="176" a="1"/>
  <c r="AD99" i="176" s="1"/>
  <c r="AD104" i="176" a="1"/>
  <c r="AD104" i="176" s="1"/>
  <c r="AD109" i="176" a="1"/>
  <c r="AD109" i="176" s="1"/>
  <c r="AD114" i="176" a="1"/>
  <c r="AD114" i="176" s="1"/>
  <c r="AD119" i="176" a="1"/>
  <c r="AD119" i="176" s="1"/>
  <c r="AD76" i="176" a="1"/>
  <c r="AD76" i="176" s="1"/>
  <c r="AD81" i="176" a="1"/>
  <c r="AD81" i="176" s="1"/>
  <c r="AD86" i="176" a="1"/>
  <c r="AD86" i="176" s="1"/>
  <c r="AD91" i="176" a="1"/>
  <c r="AD91" i="176" s="1"/>
  <c r="AD96" i="176" a="1"/>
  <c r="AD96" i="176" s="1"/>
  <c r="AD101" i="176" a="1"/>
  <c r="AD101" i="176" s="1"/>
  <c r="AD106" i="176" a="1"/>
  <c r="AD106" i="176" s="1"/>
  <c r="AD112" i="176" a="1"/>
  <c r="AD112" i="176" s="1"/>
  <c r="AD117" i="176" a="1"/>
  <c r="AD117" i="176" s="1"/>
  <c r="AA54" i="176" a="1"/>
  <c r="AA54" i="176" s="1"/>
  <c r="AA59" i="176" a="1"/>
  <c r="AA59" i="176" s="1"/>
  <c r="AA64" i="176" a="1"/>
  <c r="AA64" i="176" s="1"/>
  <c r="AA69" i="176" a="1"/>
  <c r="AA69" i="176" s="1"/>
  <c r="AA74" i="176" a="1"/>
  <c r="AA74" i="176" s="1"/>
  <c r="AA55" i="176" a="1"/>
  <c r="AA55" i="176" s="1"/>
  <c r="AA65" i="176" a="1"/>
  <c r="AA65" i="176" s="1"/>
  <c r="AA50" i="176" a="1"/>
  <c r="AA50" i="176" s="1"/>
  <c r="AA60" i="176" a="1"/>
  <c r="AA60" i="176" s="1"/>
  <c r="AA70" i="176" a="1"/>
  <c r="AA70" i="176" s="1"/>
  <c r="AA75" i="176" a="1"/>
  <c r="AA75" i="176" s="1"/>
  <c r="AA56" i="176" a="1"/>
  <c r="AA56" i="176" s="1"/>
  <c r="AA61" i="176" a="1"/>
  <c r="AA61" i="176" s="1"/>
  <c r="AA66" i="176" a="1"/>
  <c r="AA66" i="176" s="1"/>
  <c r="AA51" i="176" a="1"/>
  <c r="AA51" i="176" s="1"/>
  <c r="AA71" i="176" a="1"/>
  <c r="AA71" i="176" s="1"/>
  <c r="AA52" i="176" a="1"/>
  <c r="AA52" i="176" s="1"/>
  <c r="AA57" i="176" a="1"/>
  <c r="AA57" i="176" s="1"/>
  <c r="AA62" i="176" a="1"/>
  <c r="AA62" i="176" s="1"/>
  <c r="AA67" i="176" a="1"/>
  <c r="AA67" i="176" s="1"/>
  <c r="AA72" i="176" a="1"/>
  <c r="AA72" i="176" s="1"/>
  <c r="AA53" i="176" a="1"/>
  <c r="AA53" i="176" s="1"/>
  <c r="AA58" i="176" a="1"/>
  <c r="AA58" i="176" s="1"/>
  <c r="AA63" i="176" a="1"/>
  <c r="AA63" i="176" s="1"/>
  <c r="AA68" i="176" a="1"/>
  <c r="AA68" i="176" s="1"/>
  <c r="AA73" i="176" a="1"/>
  <c r="AA73" i="176" s="1"/>
  <c r="V54" i="176" a="1"/>
  <c r="V54" i="176" s="1"/>
  <c r="V69" i="176" a="1"/>
  <c r="V69" i="176" s="1"/>
  <c r="V70" i="176" a="1"/>
  <c r="V70" i="176" s="1"/>
  <c r="V75" i="176" a="1"/>
  <c r="V75" i="176" s="1"/>
  <c r="V50" i="176" a="1"/>
  <c r="V50" i="176" s="1"/>
  <c r="V55" i="176" a="1"/>
  <c r="V55" i="176" s="1"/>
  <c r="V60" i="176" a="1"/>
  <c r="V60" i="176" s="1"/>
  <c r="V65" i="176" a="1"/>
  <c r="V65" i="176" s="1"/>
  <c r="V66" i="176" a="1"/>
  <c r="V66" i="176" s="1"/>
  <c r="V51" i="176" a="1"/>
  <c r="V51" i="176" s="1"/>
  <c r="V56" i="176" a="1"/>
  <c r="V56" i="176" s="1"/>
  <c r="V61" i="176" a="1"/>
  <c r="V61" i="176" s="1"/>
  <c r="V71" i="176" a="1"/>
  <c r="V71" i="176" s="1"/>
  <c r="V52" i="176" a="1"/>
  <c r="V52" i="176" s="1"/>
  <c r="V57" i="176" a="1"/>
  <c r="V57" i="176" s="1"/>
  <c r="V62" i="176" a="1"/>
  <c r="V62" i="176" s="1"/>
  <c r="V67" i="176" a="1"/>
  <c r="V67" i="176" s="1"/>
  <c r="V72" i="176" a="1"/>
  <c r="V72" i="176" s="1"/>
  <c r="V74" i="176" a="1"/>
  <c r="V74" i="176" s="1"/>
  <c r="V53" i="176" a="1"/>
  <c r="V53" i="176" s="1"/>
  <c r="V58" i="176" a="1"/>
  <c r="V58" i="176" s="1"/>
  <c r="V63" i="176" a="1"/>
  <c r="V63" i="176" s="1"/>
  <c r="V68" i="176" a="1"/>
  <c r="V68" i="176" s="1"/>
  <c r="V73" i="176" a="1"/>
  <c r="V73" i="176" s="1"/>
  <c r="V59" i="176" a="1"/>
  <c r="V59" i="176" s="1"/>
  <c r="V64" i="176" a="1"/>
  <c r="V64" i="176" s="1"/>
  <c r="X60" i="176" a="1"/>
  <c r="X60" i="176" s="1"/>
  <c r="X63" i="176" a="1"/>
  <c r="X63" i="176" s="1"/>
  <c r="X68" i="176" a="1"/>
  <c r="X68" i="176" s="1"/>
  <c r="X73" i="176" a="1"/>
  <c r="X73" i="176" s="1"/>
  <c r="X65" i="176" a="1"/>
  <c r="X65" i="176" s="1"/>
  <c r="X70" i="176" a="1"/>
  <c r="X70" i="176" s="1"/>
  <c r="X75" i="176" a="1"/>
  <c r="X75" i="176" s="1"/>
  <c r="X62" i="176" a="1"/>
  <c r="X62" i="176" s="1"/>
  <c r="X67" i="176" a="1"/>
  <c r="X67" i="176" s="1"/>
  <c r="X72" i="176" a="1"/>
  <c r="X72" i="176" s="1"/>
  <c r="X64" i="176" a="1"/>
  <c r="X64" i="176" s="1"/>
  <c r="X69" i="176" a="1"/>
  <c r="X69" i="176" s="1"/>
  <c r="X74" i="176" a="1"/>
  <c r="X74" i="176" s="1"/>
  <c r="X66" i="176" a="1"/>
  <c r="X66" i="176" s="1"/>
  <c r="X71" i="176" a="1"/>
  <c r="X71" i="176" s="1"/>
  <c r="AE64" i="176" a="1"/>
  <c r="AE64" i="176" s="1"/>
  <c r="AE69" i="176" a="1"/>
  <c r="AE69" i="176" s="1"/>
  <c r="AE74" i="176" a="1"/>
  <c r="AE74" i="176" s="1"/>
  <c r="AE66" i="176" a="1"/>
  <c r="AE66" i="176" s="1"/>
  <c r="AE71" i="176" a="1"/>
  <c r="AE71" i="176" s="1"/>
  <c r="AE63" i="176" a="1"/>
  <c r="AE63" i="176" s="1"/>
  <c r="AE68" i="176" a="1"/>
  <c r="AE68" i="176" s="1"/>
  <c r="AE73" i="176" a="1"/>
  <c r="AE73" i="176" s="1"/>
  <c r="AE65" i="176" a="1"/>
  <c r="AE65" i="176" s="1"/>
  <c r="AE70" i="176" a="1"/>
  <c r="AE70" i="176" s="1"/>
  <c r="AE75" i="176" a="1"/>
  <c r="AE75" i="176" s="1"/>
  <c r="AE62" i="176" a="1"/>
  <c r="AE62" i="176" s="1"/>
  <c r="AE67" i="176" a="1"/>
  <c r="AE67" i="176" s="1"/>
  <c r="AE72" i="176" a="1"/>
  <c r="AE72" i="176" s="1"/>
  <c r="AG62" i="176" a="1"/>
  <c r="AG62" i="176" s="1"/>
  <c r="AG67" i="176" a="1"/>
  <c r="AG67" i="176" s="1"/>
  <c r="AG72" i="176" a="1"/>
  <c r="AG72" i="176" s="1"/>
  <c r="AG64" i="176" a="1"/>
  <c r="AG64" i="176" s="1"/>
  <c r="AG69" i="176" a="1"/>
  <c r="AG69" i="176" s="1"/>
  <c r="AG74" i="176" a="1"/>
  <c r="AG74" i="176" s="1"/>
  <c r="AG66" i="176" a="1"/>
  <c r="AG66" i="176" s="1"/>
  <c r="AG71" i="176" a="1"/>
  <c r="AG71" i="176" s="1"/>
  <c r="AG63" i="176" a="1"/>
  <c r="AG63" i="176" s="1"/>
  <c r="AG68" i="176" a="1"/>
  <c r="AG68" i="176" s="1"/>
  <c r="AG73" i="176" a="1"/>
  <c r="AG73" i="176" s="1"/>
  <c r="AG65" i="176" a="1"/>
  <c r="AG65" i="176" s="1"/>
  <c r="AG70" i="176" a="1"/>
  <c r="AG70" i="176" s="1"/>
  <c r="AG75" i="176" a="1"/>
  <c r="AG75" i="176" s="1"/>
  <c r="AD64" i="176" a="1"/>
  <c r="AD64" i="176" s="1"/>
  <c r="AD69" i="176" a="1"/>
  <c r="AD69" i="176" s="1"/>
  <c r="AD74" i="176" a="1"/>
  <c r="AD74" i="176" s="1"/>
  <c r="AD66" i="176" a="1"/>
  <c r="AD66" i="176" s="1"/>
  <c r="AD71" i="176" a="1"/>
  <c r="AD71" i="176" s="1"/>
  <c r="AD63" i="176" a="1"/>
  <c r="AD63" i="176" s="1"/>
  <c r="AD68" i="176" a="1"/>
  <c r="AD68" i="176" s="1"/>
  <c r="AD73" i="176" a="1"/>
  <c r="AD73" i="176" s="1"/>
  <c r="AD65" i="176" a="1"/>
  <c r="AD65" i="176" s="1"/>
  <c r="AD70" i="176" a="1"/>
  <c r="AD70" i="176" s="1"/>
  <c r="AD75" i="176" a="1"/>
  <c r="AD75" i="176" s="1"/>
  <c r="AD62" i="176" a="1"/>
  <c r="AD62" i="176" s="1"/>
  <c r="AD67" i="176" a="1"/>
  <c r="AD67" i="176" s="1"/>
  <c r="AD72" i="176" a="1"/>
  <c r="AD72" i="176" s="1"/>
  <c r="AI65" i="176" a="1"/>
  <c r="AI65" i="176" s="1"/>
  <c r="AI70" i="176" a="1"/>
  <c r="AI70" i="176" s="1"/>
  <c r="AI75" i="176" a="1"/>
  <c r="AI75" i="176" s="1"/>
  <c r="AI62" i="176" a="1"/>
  <c r="AI62" i="176" s="1"/>
  <c r="AI67" i="176" a="1"/>
  <c r="AI67" i="176" s="1"/>
  <c r="AI72" i="176" a="1"/>
  <c r="AI72" i="176" s="1"/>
  <c r="AI64" i="176" a="1"/>
  <c r="AI64" i="176" s="1"/>
  <c r="AI69" i="176" a="1"/>
  <c r="AI69" i="176" s="1"/>
  <c r="AI74" i="176" a="1"/>
  <c r="AI74" i="176" s="1"/>
  <c r="AI66" i="176" a="1"/>
  <c r="AI66" i="176" s="1"/>
  <c r="AI71" i="176" a="1"/>
  <c r="AI71" i="176" s="1"/>
  <c r="AI63" i="176" a="1"/>
  <c r="AI63" i="176" s="1"/>
  <c r="AI68" i="176" a="1"/>
  <c r="AI68" i="176" s="1"/>
  <c r="AI73" i="176" a="1"/>
  <c r="AI73" i="176" s="1"/>
  <c r="AH62" i="176" a="1"/>
  <c r="AH62" i="176" s="1"/>
  <c r="AH67" i="176" a="1"/>
  <c r="AH67" i="176" s="1"/>
  <c r="AH72" i="176" a="1"/>
  <c r="AH72" i="176" s="1"/>
  <c r="AH64" i="176" a="1"/>
  <c r="AH64" i="176" s="1"/>
  <c r="AH69" i="176" a="1"/>
  <c r="AH69" i="176" s="1"/>
  <c r="AH74" i="176" a="1"/>
  <c r="AH74" i="176" s="1"/>
  <c r="AH66" i="176" a="1"/>
  <c r="AH66" i="176" s="1"/>
  <c r="AH71" i="176" a="1"/>
  <c r="AH71" i="176" s="1"/>
  <c r="AH63" i="176" a="1"/>
  <c r="AH63" i="176" s="1"/>
  <c r="AH68" i="176" a="1"/>
  <c r="AH68" i="176" s="1"/>
  <c r="AH73" i="176" a="1"/>
  <c r="AH73" i="176" s="1"/>
  <c r="AH65" i="176" a="1"/>
  <c r="AH65" i="176" s="1"/>
  <c r="AH70" i="176" a="1"/>
  <c r="AH70" i="176" s="1"/>
  <c r="AH75" i="176" a="1"/>
  <c r="AH75" i="176" s="1"/>
  <c r="AE51" i="176" a="1"/>
  <c r="AE51" i="176" s="1"/>
  <c r="AE50" i="176" a="1"/>
  <c r="AE50" i="176" s="1"/>
  <c r="AE52" i="176" a="1"/>
  <c r="AE52" i="176" s="1"/>
  <c r="AE53" i="176" a="1"/>
  <c r="AE53" i="176" s="1"/>
  <c r="AE54" i="176" a="1"/>
  <c r="AE54" i="176" s="1"/>
  <c r="AE58" i="176" a="1"/>
  <c r="AE58" i="176" s="1"/>
  <c r="AE56" i="176" a="1"/>
  <c r="AE56" i="176" s="1"/>
  <c r="AE61" i="176" a="1"/>
  <c r="AE61" i="176" s="1"/>
  <c r="AE55" i="176" a="1"/>
  <c r="AE55" i="176" s="1"/>
  <c r="AE57" i="176" a="1"/>
  <c r="AE57" i="176" s="1"/>
  <c r="AE60" i="176" a="1"/>
  <c r="AE60" i="176" s="1"/>
  <c r="AE59" i="176" a="1"/>
  <c r="AE59" i="176" s="1"/>
  <c r="AG52" i="176" a="1"/>
  <c r="AG52" i="176" s="1"/>
  <c r="AG51" i="176" a="1"/>
  <c r="AG51" i="176" s="1"/>
  <c r="AG50" i="176" a="1"/>
  <c r="AG50" i="176" s="1"/>
  <c r="AG53" i="176" a="1"/>
  <c r="AG53" i="176" s="1"/>
  <c r="AG58" i="176" a="1"/>
  <c r="AG58" i="176" s="1"/>
  <c r="AG59" i="176" a="1"/>
  <c r="AG59" i="176" s="1"/>
  <c r="AG56" i="176" a="1"/>
  <c r="AG56" i="176" s="1"/>
  <c r="AG55" i="176" a="1"/>
  <c r="AG55" i="176" s="1"/>
  <c r="AG57" i="176" a="1"/>
  <c r="AG57" i="176" s="1"/>
  <c r="AG54" i="176" a="1"/>
  <c r="AG54" i="176" s="1"/>
  <c r="AG61" i="176" a="1"/>
  <c r="AG61" i="176" s="1"/>
  <c r="AG60" i="176" a="1"/>
  <c r="AG60" i="176" s="1"/>
  <c r="AH50" i="176" a="1"/>
  <c r="AH50" i="176" s="1"/>
  <c r="AH52" i="176" a="1"/>
  <c r="AH52" i="176" s="1"/>
  <c r="AH53" i="176" a="1"/>
  <c r="AH53" i="176" s="1"/>
  <c r="AH54" i="176" a="1"/>
  <c r="AH54" i="176" s="1"/>
  <c r="AH55" i="176" a="1"/>
  <c r="AH55" i="176" s="1"/>
  <c r="AH51" i="176" a="1"/>
  <c r="AH51" i="176" s="1"/>
  <c r="AH56" i="176" a="1"/>
  <c r="AH56" i="176" s="1"/>
  <c r="AH58" i="176" a="1"/>
  <c r="AH58" i="176" s="1"/>
  <c r="AH60" i="176" a="1"/>
  <c r="AH60" i="176" s="1"/>
  <c r="AH61" i="176" a="1"/>
  <c r="AH61" i="176" s="1"/>
  <c r="AH57" i="176" a="1"/>
  <c r="AH57" i="176" s="1"/>
  <c r="AH59" i="176" a="1"/>
  <c r="AH59" i="176" s="1"/>
  <c r="AI51" i="176" a="1"/>
  <c r="AI51" i="176" s="1"/>
  <c r="AI52" i="176" a="1"/>
  <c r="AI52" i="176" s="1"/>
  <c r="AI53" i="176" a="1"/>
  <c r="AI53" i="176" s="1"/>
  <c r="AI56" i="176" a="1"/>
  <c r="AI56" i="176" s="1"/>
  <c r="AI57" i="176" a="1"/>
  <c r="AI57" i="176" s="1"/>
  <c r="AI50" i="176" a="1"/>
  <c r="AI50" i="176" s="1"/>
  <c r="AI54" i="176" a="1"/>
  <c r="AI54" i="176" s="1"/>
  <c r="AI55" i="176" a="1"/>
  <c r="AI55" i="176" s="1"/>
  <c r="AI58" i="176" a="1"/>
  <c r="AI58" i="176" s="1"/>
  <c r="AI59" i="176" a="1"/>
  <c r="AI59" i="176" s="1"/>
  <c r="AI61" i="176" a="1"/>
  <c r="AI61" i="176" s="1"/>
  <c r="AI60" i="176" a="1"/>
  <c r="AI60" i="176" s="1"/>
  <c r="X51" i="176" a="1"/>
  <c r="X51" i="176" s="1"/>
  <c r="X50" i="176" a="1"/>
  <c r="X50" i="176" s="1"/>
  <c r="X53" i="176" a="1"/>
  <c r="X53" i="176" s="1"/>
  <c r="X55" i="176" a="1"/>
  <c r="X55" i="176" s="1"/>
  <c r="X58" i="176" a="1"/>
  <c r="X58" i="176" s="1"/>
  <c r="X59" i="176" a="1"/>
  <c r="X59" i="176" s="1"/>
  <c r="X54" i="176" a="1"/>
  <c r="X54" i="176" s="1"/>
  <c r="X52" i="176" a="1"/>
  <c r="X52" i="176" s="1"/>
  <c r="X56" i="176" a="1"/>
  <c r="X56" i="176" s="1"/>
  <c r="X57" i="176" a="1"/>
  <c r="X57" i="176" s="1"/>
  <c r="X61" i="176" a="1"/>
  <c r="X61" i="176" s="1"/>
  <c r="AD50" i="176" a="1"/>
  <c r="AD50" i="176" s="1"/>
  <c r="AD52" i="176" a="1"/>
  <c r="AD52" i="176" s="1"/>
  <c r="AD53" i="176" a="1"/>
  <c r="AD53" i="176" s="1"/>
  <c r="AD54" i="176" a="1"/>
  <c r="AD54" i="176" s="1"/>
  <c r="AD55" i="176" a="1"/>
  <c r="AD55" i="176" s="1"/>
  <c r="AD56" i="176" a="1"/>
  <c r="AD56" i="176" s="1"/>
  <c r="AD57" i="176" a="1"/>
  <c r="AD57" i="176" s="1"/>
  <c r="AD51" i="176" a="1"/>
  <c r="AD51" i="176" s="1"/>
  <c r="AD59" i="176" a="1"/>
  <c r="AD59" i="176" s="1"/>
  <c r="AD58" i="176" a="1"/>
  <c r="AD58" i="176" s="1"/>
  <c r="AD60" i="176" a="1"/>
  <c r="AD60" i="176" s="1"/>
  <c r="AD61" i="176" a="1"/>
  <c r="AD61" i="176" s="1"/>
  <c r="B241" i="146"/>
  <c r="B22" i="146"/>
  <c r="B23" i="146"/>
  <c r="B24" i="146"/>
  <c r="B26" i="146"/>
  <c r="V30" i="176" a="1"/>
  <c r="X44" i="176" a="1"/>
  <c r="AE44" i="176" a="1"/>
  <c r="V42" i="176" a="1"/>
  <c r="AA24" i="176" a="1"/>
  <c r="AI25" i="176" a="1"/>
  <c r="AA26" i="176" a="1"/>
  <c r="AD34" i="176" a="1"/>
  <c r="AA38" i="176" a="1"/>
  <c r="V44" i="176" a="1"/>
  <c r="AD23" i="176" a="1"/>
  <c r="AG26" i="176" a="1"/>
  <c r="AD28" i="176" a="1"/>
  <c r="AA25" i="176" a="1"/>
  <c r="X47" i="176" a="1"/>
  <c r="AD45" i="176" a="1"/>
  <c r="X38" i="176" a="1"/>
  <c r="X37" i="176" a="1"/>
  <c r="AE48" i="176" a="1"/>
  <c r="V28" i="176" a="1"/>
  <c r="AI33" i="176" a="1"/>
  <c r="AA36" i="176" a="1"/>
  <c r="V25" i="176" a="1"/>
  <c r="AG37" i="176" a="1"/>
  <c r="AA37" i="176" a="1"/>
  <c r="AI26" i="176" a="1"/>
  <c r="AD27" i="176" a="1"/>
  <c r="AG27" i="176" a="1"/>
  <c r="AA31" i="176" a="1"/>
  <c r="AG43" i="176" a="1"/>
  <c r="AD39" i="176" a="1"/>
  <c r="AI23" i="176" a="1"/>
  <c r="AH40" i="176" a="1"/>
  <c r="X30" i="176" a="1"/>
  <c r="AH48" i="176" a="1"/>
  <c r="AE31" i="176" a="1"/>
  <c r="X36" i="176" a="1"/>
  <c r="V32" i="176" a="1"/>
  <c r="V29" i="176" a="1"/>
  <c r="AG36" i="176" a="1"/>
  <c r="AH46" i="176" a="1"/>
  <c r="AI46" i="176" a="1"/>
  <c r="AG23" i="176" a="1"/>
  <c r="AE40" i="176" a="1"/>
  <c r="X46" i="176" a="1"/>
  <c r="AH36" i="176" a="1"/>
  <c r="X26" i="176" a="1"/>
  <c r="AI24" i="176" a="1"/>
  <c r="AE47" i="176" a="1"/>
  <c r="AI31" i="176" a="1"/>
  <c r="V48" i="176" a="1"/>
  <c r="AG42" i="176" a="1"/>
  <c r="AI40" i="176" a="1"/>
  <c r="X42" i="176" a="1"/>
  <c r="AA35" i="176" a="1"/>
  <c r="AD25" i="176" a="1"/>
  <c r="AI47" i="176" a="1"/>
  <c r="AA28" i="176" a="1"/>
  <c r="AI45" i="176" a="1"/>
  <c r="AE32" i="176" a="1"/>
  <c r="AH33" i="176" a="1"/>
  <c r="AA23" i="176" a="1"/>
  <c r="AH34" i="176" a="1"/>
  <c r="AG28" i="176" a="1"/>
  <c r="AG30" i="176" a="1"/>
  <c r="AD47" i="176" a="1"/>
  <c r="AG24" i="176" a="1"/>
  <c r="AE41" i="176" a="1"/>
  <c r="AA46" i="176" a="1"/>
  <c r="AA44" i="176" a="1"/>
  <c r="X25" i="176" a="1"/>
  <c r="AI43" i="176" a="1"/>
  <c r="V24" i="176" a="1"/>
  <c r="AA29" i="176" a="1"/>
  <c r="X34" i="176" a="1"/>
  <c r="AI38" i="176" a="1"/>
  <c r="AG40" i="176" a="1"/>
  <c r="AG33" i="176" a="1"/>
  <c r="AE43" i="176" a="1"/>
  <c r="AD32" i="176" a="1"/>
  <c r="X41" i="176" a="1"/>
  <c r="AA30" i="176" a="1"/>
  <c r="X23" i="176" a="1"/>
  <c r="AG46" i="176" a="1"/>
  <c r="AE45" i="176" a="1"/>
  <c r="X49" i="176" a="1"/>
  <c r="V37" i="176" a="1"/>
  <c r="AD38" i="176" a="1"/>
  <c r="X32" i="176" a="1"/>
  <c r="AH32" i="176" a="1"/>
  <c r="AA41" i="176" a="1"/>
  <c r="AH35" i="176" a="1"/>
  <c r="AI49" i="176" a="1"/>
  <c r="AD36" i="176" a="1"/>
  <c r="AE26" i="176" a="1"/>
  <c r="AA40" i="176" a="1"/>
  <c r="AD31" i="176" a="1"/>
  <c r="AE37" i="176" a="1"/>
  <c r="AA43" i="176" a="1"/>
  <c r="X31" i="176" a="1"/>
  <c r="AH41" i="176" a="1"/>
  <c r="X39" i="176" a="1"/>
  <c r="AG29" i="176" a="1"/>
  <c r="AA45" i="176" a="1"/>
  <c r="AH42" i="176" a="1"/>
  <c r="V33" i="176" a="1"/>
  <c r="V45" i="176" a="1"/>
  <c r="AI28" i="176" a="1"/>
  <c r="AI42" i="176" a="1"/>
  <c r="AI35" i="176" a="1"/>
  <c r="AD33" i="176" a="1"/>
  <c r="AE38" i="176" a="1"/>
  <c r="X43" i="176" a="1"/>
  <c r="AH37" i="176" a="1"/>
  <c r="AG38" i="176" a="1"/>
  <c r="AD41" i="176" a="1"/>
  <c r="AE33" i="176" a="1"/>
  <c r="AH43" i="176" a="1"/>
  <c r="X33" i="176" a="1"/>
  <c r="AG34" i="176" a="1"/>
  <c r="V43" i="176" a="1"/>
  <c r="AE24" i="176" a="1"/>
  <c r="AI29" i="176" a="1"/>
  <c r="X27" i="176" a="1"/>
  <c r="AE35" i="176" a="1"/>
  <c r="AH45" i="176" a="1"/>
  <c r="AA42" i="176" a="1"/>
  <c r="AG48" i="176" a="1"/>
  <c r="AA49" i="176" a="1"/>
  <c r="AI32" i="176" a="1"/>
  <c r="AD42" i="176" a="1"/>
  <c r="AE25" i="176" a="1"/>
  <c r="AH30" i="176" a="1"/>
  <c r="V46" i="176" a="1"/>
  <c r="AG39" i="176" a="1"/>
  <c r="V40" i="176" a="1"/>
  <c r="AH49" i="176" a="1"/>
  <c r="AD43" i="176" a="1"/>
  <c r="AH38" i="176" a="1"/>
  <c r="AG41" i="176" a="1"/>
  <c r="AA32" i="176" a="1"/>
  <c r="V31" i="176" a="1"/>
  <c r="AD46" i="176" a="1"/>
  <c r="AI30" i="176" a="1"/>
  <c r="AH26" i="176" a="1"/>
  <c r="V36" i="176" a="1"/>
  <c r="AH39" i="176" a="1"/>
  <c r="AE23" i="176" a="1"/>
  <c r="AI27" i="176" a="1"/>
  <c r="AG47" i="176" a="1"/>
  <c r="AG32" i="176" a="1"/>
  <c r="V41" i="176" a="1"/>
  <c r="V49" i="176" a="1"/>
  <c r="AD35" i="176" a="1"/>
  <c r="AI44" i="176" a="1"/>
  <c r="AE46" i="176" a="1"/>
  <c r="AA34" i="176" a="1"/>
  <c r="AI41" i="176" a="1"/>
  <c r="AD44" i="176" a="1"/>
  <c r="AE29" i="176" a="1"/>
  <c r="AI37" i="176" a="1"/>
  <c r="X35" i="176" a="1"/>
  <c r="AA39" i="176" a="1"/>
  <c r="AH25" i="176" a="1"/>
  <c r="AG35" i="176" a="1"/>
  <c r="AH27" i="176" a="1"/>
  <c r="AG45" i="176" a="1"/>
  <c r="V34" i="176" a="1"/>
  <c r="AD40" i="176" a="1"/>
  <c r="X40" i="176" a="1"/>
  <c r="V27" i="176" a="1"/>
  <c r="AH29" i="176" a="1"/>
  <c r="AG25" i="176" a="1"/>
  <c r="AE34" i="176" a="1"/>
  <c r="AI48" i="176" a="1"/>
  <c r="X48" i="176" a="1"/>
  <c r="AG49" i="176" a="1"/>
  <c r="AD49" i="176" a="1"/>
  <c r="X45" i="176" a="1"/>
  <c r="AE36" i="176" a="1"/>
  <c r="AA27" i="176" a="1"/>
  <c r="AD29" i="176" a="1"/>
  <c r="AI39" i="176" a="1"/>
  <c r="AA47" i="176" a="1"/>
  <c r="V23" i="176" a="1"/>
  <c r="AE28" i="176" a="1"/>
  <c r="X24" i="176" a="1"/>
  <c r="AD37" i="176" a="1"/>
  <c r="AE27" i="176" a="1"/>
  <c r="V47" i="176" a="1"/>
  <c r="X29" i="176" a="1"/>
  <c r="AH28" i="176" a="1"/>
  <c r="X28" i="176" a="1"/>
  <c r="AA48" i="176" a="1"/>
  <c r="AH31" i="176" a="1"/>
  <c r="AD48" i="176" a="1"/>
  <c r="AH44" i="176" a="1"/>
  <c r="AE49" i="176" a="1"/>
  <c r="V35" i="176" a="1"/>
  <c r="AE39" i="176" a="1"/>
  <c r="AI34" i="176" a="1"/>
  <c r="AE30" i="176" a="1"/>
  <c r="AG31" i="176" a="1"/>
  <c r="AD30" i="176" a="1"/>
  <c r="AD26" i="176" a="1"/>
  <c r="AH24" i="176" a="1"/>
  <c r="AH47" i="176" a="1"/>
  <c r="AD24" i="176" a="1"/>
  <c r="AG44" i="176" a="1"/>
  <c r="AE42" i="176" a="1"/>
  <c r="V38" i="176" a="1"/>
  <c r="V39" i="176" a="1"/>
  <c r="V26" i="176" a="1"/>
  <c r="AI36" i="176" a="1"/>
  <c r="AA33" i="176" a="1"/>
  <c r="AH23" i="176" a="1"/>
  <c r="T18" i="176" l="1"/>
  <c r="Y18" i="176"/>
  <c r="S14" i="176"/>
  <c r="T14" i="176"/>
  <c r="S16" i="176"/>
  <c r="T16" i="176"/>
  <c r="S18" i="176"/>
  <c r="Y17" i="176"/>
  <c r="S17" i="176"/>
  <c r="Y15" i="176"/>
  <c r="Y14" i="176"/>
  <c r="T17" i="176"/>
  <c r="Y16" i="176"/>
  <c r="V43" i="176"/>
  <c r="V32" i="176"/>
  <c r="AA37" i="176"/>
  <c r="AA26" i="176"/>
  <c r="AA29" i="176"/>
  <c r="AD23" i="176"/>
  <c r="X40" i="176"/>
  <c r="AD25" i="176"/>
  <c r="X46" i="176"/>
  <c r="AH37" i="176"/>
  <c r="AE43" i="176"/>
  <c r="AD45" i="176"/>
  <c r="AI32" i="176"/>
  <c r="AG40" i="176"/>
  <c r="AH36" i="176"/>
  <c r="V38" i="176"/>
  <c r="V27" i="176"/>
  <c r="AA24" i="176"/>
  <c r="AD38" i="176"/>
  <c r="AI35" i="176"/>
  <c r="AD27" i="176"/>
  <c r="AI33" i="176"/>
  <c r="AG41" i="176"/>
  <c r="AI24" i="176"/>
  <c r="AD35" i="176"/>
  <c r="AI41" i="176"/>
  <c r="AH25" i="176"/>
  <c r="AE42" i="176"/>
  <c r="AH24" i="176"/>
  <c r="AD44" i="176"/>
  <c r="X37" i="176"/>
  <c r="AI31" i="176"/>
  <c r="AH46" i="176"/>
  <c r="AH44" i="176"/>
  <c r="AG26" i="176"/>
  <c r="AE41" i="176"/>
  <c r="AE28" i="176"/>
  <c r="AA32" i="176"/>
  <c r="AG24" i="176"/>
  <c r="AD43" i="176"/>
  <c r="AD33" i="176"/>
  <c r="X36" i="176"/>
  <c r="X29" i="176"/>
  <c r="AI48" i="176"/>
  <c r="AI28" i="176"/>
  <c r="AI40" i="176"/>
  <c r="AH48" i="176"/>
  <c r="AH35" i="176"/>
  <c r="AH43" i="176"/>
  <c r="AG39" i="176"/>
  <c r="AG30" i="176"/>
  <c r="AE26" i="176"/>
  <c r="AE49" i="176"/>
  <c r="V33" i="176"/>
  <c r="V44" i="176"/>
  <c r="AA27" i="176"/>
  <c r="AA45" i="176"/>
  <c r="V28" i="176"/>
  <c r="V39" i="176"/>
  <c r="AA48" i="176"/>
  <c r="AE24" i="176"/>
  <c r="AD26" i="176"/>
  <c r="AD28" i="176"/>
  <c r="X35" i="176"/>
  <c r="AI47" i="176"/>
  <c r="AI39" i="176"/>
  <c r="AH47" i="176"/>
  <c r="AH34" i="176"/>
  <c r="AH42" i="176"/>
  <c r="AG38" i="176"/>
  <c r="AG25" i="176"/>
  <c r="AE40" i="176"/>
  <c r="AE48" i="176"/>
  <c r="AD24" i="176"/>
  <c r="AD42" i="176"/>
  <c r="AD48" i="176"/>
  <c r="X48" i="176"/>
  <c r="X28" i="176"/>
  <c r="X44" i="176"/>
  <c r="AI46" i="176"/>
  <c r="AI38" i="176"/>
  <c r="AH49" i="176"/>
  <c r="AH41" i="176"/>
  <c r="AG37" i="176"/>
  <c r="AG46" i="176"/>
  <c r="AE32" i="176"/>
  <c r="AA43" i="176"/>
  <c r="AA38" i="176"/>
  <c r="AA42" i="176"/>
  <c r="AG23" i="176"/>
  <c r="AD41" i="176"/>
  <c r="X49" i="176"/>
  <c r="X43" i="176"/>
  <c r="AI37" i="176"/>
  <c r="AH40" i="176"/>
  <c r="AG27" i="176"/>
  <c r="AE31" i="176"/>
  <c r="V49" i="176"/>
  <c r="V45" i="176"/>
  <c r="AD31" i="176"/>
  <c r="X42" i="176"/>
  <c r="X33" i="176"/>
  <c r="X26" i="176"/>
  <c r="AI29" i="176"/>
  <c r="AI36" i="176"/>
  <c r="AH32" i="176"/>
  <c r="AH26" i="176"/>
  <c r="AG29" i="176"/>
  <c r="AE38" i="176"/>
  <c r="AE30" i="176"/>
  <c r="V40" i="176"/>
  <c r="V24" i="176"/>
  <c r="AA33" i="176"/>
  <c r="X23" i="176"/>
  <c r="X31" i="176"/>
  <c r="AD49" i="176"/>
  <c r="X27" i="176"/>
  <c r="AI42" i="176"/>
  <c r="AH29" i="176"/>
  <c r="AG32" i="176"/>
  <c r="AE34" i="176"/>
  <c r="X30" i="176"/>
  <c r="AH27" i="176"/>
  <c r="AG28" i="176"/>
  <c r="AE33" i="176"/>
  <c r="AD34" i="176"/>
  <c r="X45" i="176"/>
  <c r="AI26" i="176"/>
  <c r="AG31" i="176"/>
  <c r="V34" i="176"/>
  <c r="AA47" i="176"/>
  <c r="X24" i="176"/>
  <c r="AD32" i="176"/>
  <c r="X34" i="176"/>
  <c r="AI30" i="176"/>
  <c r="AH33" i="176"/>
  <c r="AG45" i="176"/>
  <c r="AE39" i="176"/>
  <c r="V29" i="176"/>
  <c r="AD40" i="176"/>
  <c r="AD47" i="176"/>
  <c r="AD39" i="176"/>
  <c r="X41" i="176"/>
  <c r="X32" i="176"/>
  <c r="AI45" i="176"/>
  <c r="AI27" i="176"/>
  <c r="AH31" i="176"/>
  <c r="AG48" i="176"/>
  <c r="AG36" i="176"/>
  <c r="AG44" i="176"/>
  <c r="AE37" i="176"/>
  <c r="AE25" i="176"/>
  <c r="V46" i="176"/>
  <c r="V35" i="176"/>
  <c r="AA28" i="176"/>
  <c r="AA23" i="176"/>
  <c r="AD46" i="176"/>
  <c r="AI44" i="176"/>
  <c r="AH30" i="176"/>
  <c r="AH39" i="176"/>
  <c r="AG47" i="176"/>
  <c r="AG35" i="176"/>
  <c r="AG43" i="176"/>
  <c r="V41" i="176"/>
  <c r="V25" i="176"/>
  <c r="AA46" i="176"/>
  <c r="AA40" i="176"/>
  <c r="AA49" i="176"/>
  <c r="AH23" i="176"/>
  <c r="V47" i="176"/>
  <c r="V36" i="176"/>
  <c r="AA41" i="176"/>
  <c r="AA35" i="176"/>
  <c r="AA44" i="176"/>
  <c r="V23" i="176"/>
  <c r="AE46" i="176"/>
  <c r="AE36" i="176"/>
  <c r="AD30" i="176"/>
  <c r="AD37" i="176"/>
  <c r="X39" i="176"/>
  <c r="X25" i="176"/>
  <c r="AI34" i="176"/>
  <c r="AI25" i="176"/>
  <c r="AH28" i="176"/>
  <c r="AG34" i="176"/>
  <c r="AG42" i="176"/>
  <c r="AE47" i="176"/>
  <c r="AE27" i="176"/>
  <c r="AE45" i="176"/>
  <c r="AD29" i="176"/>
  <c r="AD36" i="176"/>
  <c r="X38" i="176"/>
  <c r="X47" i="176"/>
  <c r="AI49" i="176"/>
  <c r="AI43" i="176"/>
  <c r="AH38" i="176"/>
  <c r="AH45" i="176"/>
  <c r="AG49" i="176"/>
  <c r="AG33" i="176"/>
  <c r="AE44" i="176"/>
  <c r="AE35" i="176"/>
  <c r="AE29" i="176"/>
  <c r="V42" i="176"/>
  <c r="V31" i="176"/>
  <c r="AA36" i="176"/>
  <c r="AA30" i="176"/>
  <c r="AA39" i="176"/>
  <c r="AI23" i="176"/>
  <c r="V48" i="176"/>
  <c r="V37" i="176"/>
  <c r="V26" i="176"/>
  <c r="V30" i="176"/>
  <c r="AA31" i="176"/>
  <c r="AA25" i="176"/>
  <c r="AA34" i="176"/>
  <c r="AE23" i="176"/>
  <c r="S15" i="176"/>
  <c r="T15" i="176"/>
  <c r="B2" i="150"/>
  <c r="B2" i="171"/>
  <c r="B2" i="172"/>
  <c r="B2" i="173"/>
  <c r="B2" i="158"/>
  <c r="B2" i="109"/>
  <c r="B2" i="98"/>
  <c r="B11" i="146"/>
  <c r="B21" i="146" s="1"/>
  <c r="B10" i="146"/>
  <c r="B20" i="146" s="1"/>
  <c r="B9" i="146"/>
  <c r="B19" i="146" s="1"/>
  <c r="H20" i="146"/>
  <c r="H21" i="146"/>
  <c r="H22" i="146"/>
  <c r="H23" i="146"/>
  <c r="H24" i="146"/>
  <c r="H25" i="146"/>
  <c r="H19" i="146"/>
  <c r="E25" i="176"/>
  <c r="E27" i="176" a="1"/>
  <c r="E27" i="176" s="1"/>
  <c r="X17" i="121"/>
  <c r="AB17" i="121"/>
  <c r="AU8" i="158"/>
  <c r="AV8" i="158"/>
  <c r="AW8" i="158"/>
  <c r="AX8" i="158"/>
  <c r="AY8" i="158"/>
  <c r="AU9" i="158"/>
  <c r="AV9" i="158"/>
  <c r="AW9" i="158"/>
  <c r="AX9" i="158"/>
  <c r="AY9" i="158"/>
  <c r="AU10" i="158"/>
  <c r="AV10" i="158"/>
  <c r="AW10" i="158"/>
  <c r="AX10" i="158"/>
  <c r="AY10" i="158"/>
  <c r="AU11" i="158"/>
  <c r="AV11" i="158"/>
  <c r="AW11" i="158"/>
  <c r="AX11" i="158"/>
  <c r="AY11" i="158"/>
  <c r="AU12" i="158"/>
  <c r="AV12" i="158"/>
  <c r="AW12" i="158"/>
  <c r="AX12" i="158"/>
  <c r="AY12" i="158"/>
  <c r="AU13" i="158"/>
  <c r="AV13" i="158"/>
  <c r="AW13" i="158"/>
  <c r="AX13" i="158"/>
  <c r="AY13" i="158"/>
  <c r="AU14" i="158"/>
  <c r="AV14" i="158"/>
  <c r="AW14" i="158"/>
  <c r="AX14" i="158"/>
  <c r="AY14" i="158"/>
  <c r="AU15" i="158"/>
  <c r="AV15" i="158"/>
  <c r="AW15" i="158"/>
  <c r="AX15" i="158"/>
  <c r="AY15" i="158"/>
  <c r="AU16" i="158"/>
  <c r="AV16" i="158"/>
  <c r="AW16" i="158"/>
  <c r="AX16" i="158"/>
  <c r="AY16" i="158"/>
  <c r="AU17" i="158"/>
  <c r="AV17" i="158"/>
  <c r="AW17" i="158"/>
  <c r="AX17" i="158"/>
  <c r="AY17" i="158"/>
  <c r="AU18" i="158"/>
  <c r="AV18" i="158"/>
  <c r="AW18" i="158"/>
  <c r="AX18" i="158"/>
  <c r="AY18" i="158"/>
  <c r="AU19" i="158"/>
  <c r="AV19" i="158"/>
  <c r="AW19" i="158"/>
  <c r="AX19" i="158"/>
  <c r="AY19" i="158"/>
  <c r="AU20" i="158"/>
  <c r="AV20" i="158"/>
  <c r="AW20" i="158"/>
  <c r="AX20" i="158"/>
  <c r="AY20" i="158"/>
  <c r="AU21" i="158"/>
  <c r="AV21" i="158"/>
  <c r="AW21" i="158"/>
  <c r="AX21" i="158"/>
  <c r="AY21" i="158"/>
  <c r="AU22" i="158"/>
  <c r="AV22" i="158"/>
  <c r="AW22" i="158"/>
  <c r="AX22" i="158"/>
  <c r="AY22" i="158"/>
  <c r="AU23" i="158"/>
  <c r="AV23" i="158"/>
  <c r="AW23" i="158"/>
  <c r="AX23" i="158"/>
  <c r="AY23" i="158"/>
  <c r="AV7" i="158"/>
  <c r="AW7" i="158"/>
  <c r="AX7" i="158"/>
  <c r="AY7" i="158"/>
  <c r="AU7" i="158"/>
  <c r="AL8" i="158"/>
  <c r="AM8" i="158"/>
  <c r="AO8" i="158"/>
  <c r="AQ8" i="158"/>
  <c r="AS8" i="158"/>
  <c r="AL9" i="158"/>
  <c r="AM9" i="158"/>
  <c r="AO9" i="158"/>
  <c r="AQ9" i="158"/>
  <c r="AS9" i="158"/>
  <c r="AL10" i="158"/>
  <c r="AM10" i="158"/>
  <c r="AO10" i="158"/>
  <c r="AQ10" i="158"/>
  <c r="AS10" i="158"/>
  <c r="AL11" i="158"/>
  <c r="AM11" i="158"/>
  <c r="AO11" i="158"/>
  <c r="AQ11" i="158"/>
  <c r="AS11" i="158"/>
  <c r="AL12" i="158"/>
  <c r="AM12" i="158"/>
  <c r="AO12" i="158"/>
  <c r="AQ12" i="158"/>
  <c r="AS12" i="158"/>
  <c r="AL13" i="158"/>
  <c r="AM13" i="158"/>
  <c r="AO13" i="158"/>
  <c r="AQ13" i="158"/>
  <c r="AS13" i="158"/>
  <c r="AL14" i="158"/>
  <c r="AM14" i="158"/>
  <c r="AO14" i="158"/>
  <c r="AQ14" i="158"/>
  <c r="AS14" i="158"/>
  <c r="AL15" i="158"/>
  <c r="AM15" i="158"/>
  <c r="AO15" i="158"/>
  <c r="AQ15" i="158"/>
  <c r="AS15" i="158"/>
  <c r="AL16" i="158"/>
  <c r="AM16" i="158"/>
  <c r="AO16" i="158"/>
  <c r="AQ16" i="158"/>
  <c r="AS16" i="158"/>
  <c r="AL17" i="158"/>
  <c r="AM17" i="158"/>
  <c r="AO17" i="158"/>
  <c r="AQ17" i="158"/>
  <c r="AS17" i="158"/>
  <c r="AL18" i="158"/>
  <c r="AM18" i="158"/>
  <c r="AO18" i="158"/>
  <c r="AQ18" i="158"/>
  <c r="AS18" i="158"/>
  <c r="AL19" i="158"/>
  <c r="AM19" i="158"/>
  <c r="AO19" i="158"/>
  <c r="AQ19" i="158"/>
  <c r="AS19" i="158"/>
  <c r="AL20" i="158"/>
  <c r="AM20" i="158"/>
  <c r="AO20" i="158"/>
  <c r="AQ20" i="158"/>
  <c r="AS20" i="158"/>
  <c r="AL21" i="158"/>
  <c r="AM21" i="158"/>
  <c r="AO21" i="158"/>
  <c r="AQ21" i="158"/>
  <c r="AS21" i="158"/>
  <c r="AL22" i="158"/>
  <c r="AM22" i="158"/>
  <c r="AO22" i="158"/>
  <c r="AQ22" i="158"/>
  <c r="AS22" i="158"/>
  <c r="AL23" i="158"/>
  <c r="AM23" i="158"/>
  <c r="AO23" i="158"/>
  <c r="AQ23" i="158"/>
  <c r="AS23" i="158"/>
  <c r="AL24" i="158"/>
  <c r="AM24" i="158"/>
  <c r="AO24" i="158"/>
  <c r="AQ24" i="158"/>
  <c r="AS24" i="158"/>
  <c r="AL25" i="158"/>
  <c r="AM25" i="158"/>
  <c r="AO25" i="158"/>
  <c r="AQ25" i="158"/>
  <c r="AS25" i="158"/>
  <c r="AL26" i="158"/>
  <c r="AM26" i="158"/>
  <c r="AO26" i="158"/>
  <c r="AQ26" i="158"/>
  <c r="AS26" i="158"/>
  <c r="AL27" i="158"/>
  <c r="AM27" i="158"/>
  <c r="AO27" i="158"/>
  <c r="AQ27" i="158"/>
  <c r="AS27" i="158"/>
  <c r="AL28" i="158"/>
  <c r="AM28" i="158"/>
  <c r="AO28" i="158"/>
  <c r="AQ28" i="158"/>
  <c r="AS28" i="158"/>
  <c r="AL29" i="158"/>
  <c r="AM29" i="158"/>
  <c r="AO29" i="158"/>
  <c r="AQ29" i="158"/>
  <c r="AS29" i="158"/>
  <c r="AL30" i="158"/>
  <c r="AM30" i="158"/>
  <c r="AO30" i="158"/>
  <c r="AQ30" i="158"/>
  <c r="AS30" i="158"/>
  <c r="AL31" i="158"/>
  <c r="AM31" i="158"/>
  <c r="AO31" i="158"/>
  <c r="AQ31" i="158"/>
  <c r="AS31" i="158"/>
  <c r="AL32" i="158"/>
  <c r="AM32" i="158"/>
  <c r="AO32" i="158"/>
  <c r="AQ32" i="158"/>
  <c r="AS32" i="158"/>
  <c r="AL33" i="158"/>
  <c r="AM33" i="158"/>
  <c r="AO33" i="158"/>
  <c r="AQ33" i="158"/>
  <c r="AS33" i="158"/>
  <c r="AL34" i="158"/>
  <c r="AM34" i="158"/>
  <c r="AO34" i="158"/>
  <c r="AQ34" i="158"/>
  <c r="AS34" i="158"/>
  <c r="AL35" i="158"/>
  <c r="AM35" i="158"/>
  <c r="AO35" i="158"/>
  <c r="AQ35" i="158"/>
  <c r="AS35" i="158"/>
  <c r="AL36" i="158"/>
  <c r="AM36" i="158"/>
  <c r="AO36" i="158"/>
  <c r="AQ36" i="158"/>
  <c r="AS36" i="158"/>
  <c r="AM7" i="158"/>
  <c r="AO7" i="158"/>
  <c r="AQ7" i="158"/>
  <c r="AS7" i="158"/>
  <c r="AL7" i="158"/>
  <c r="V25" i="109"/>
  <c r="U14" i="176" l="1"/>
  <c r="AC16" i="176"/>
  <c r="Z7" i="121" s="1"/>
  <c r="AC15" i="176"/>
  <c r="AA7" i="121" s="1"/>
  <c r="Z18" i="176"/>
  <c r="Z17" i="176"/>
  <c r="AC14" i="176"/>
  <c r="AB7" i="121" s="1"/>
  <c r="U16" i="176"/>
  <c r="AC17" i="176"/>
  <c r="Y7" i="121" s="1"/>
  <c r="AC18" i="176"/>
  <c r="X7" i="121" s="1"/>
  <c r="U18" i="176"/>
  <c r="U17" i="176"/>
  <c r="Z14" i="176"/>
  <c r="U15" i="176"/>
  <c r="Z16" i="176"/>
  <c r="Z15" i="176"/>
  <c r="AB18" i="121"/>
  <c r="X18" i="121"/>
  <c r="AG15" i="176"/>
  <c r="V16" i="176"/>
  <c r="AH14" i="176"/>
  <c r="AI14" i="176"/>
  <c r="V14" i="176"/>
  <c r="AG16" i="176"/>
  <c r="X15" i="176"/>
  <c r="AD18" i="176"/>
  <c r="X8" i="121" s="1"/>
  <c r="AH16" i="176"/>
  <c r="AD15" i="176"/>
  <c r="AA8" i="121" s="1"/>
  <c r="AE18" i="176"/>
  <c r="X9" i="121" s="1"/>
  <c r="AA15" i="176"/>
  <c r="AG14" i="176"/>
  <c r="AD14" i="176"/>
  <c r="AB8" i="121" s="1"/>
  <c r="X18" i="176"/>
  <c r="AI17" i="176"/>
  <c r="AE17" i="176"/>
  <c r="Y9" i="121" s="1"/>
  <c r="V18" i="176"/>
  <c r="AE15" i="176"/>
  <c r="AA9" i="121" s="1"/>
  <c r="AA17" i="176"/>
  <c r="X14" i="176"/>
  <c r="AE14" i="176"/>
  <c r="AB9" i="121" s="1"/>
  <c r="AD17" i="176"/>
  <c r="Y8" i="121" s="1"/>
  <c r="AA18" i="176"/>
  <c r="X16" i="176"/>
  <c r="AH18" i="176"/>
  <c r="AD16" i="176"/>
  <c r="Z8" i="121" s="1"/>
  <c r="AA16" i="176"/>
  <c r="X17" i="176"/>
  <c r="AH17" i="176"/>
  <c r="AA14" i="176"/>
  <c r="AE16" i="176"/>
  <c r="Z9" i="121" s="1"/>
  <c r="AI18" i="176"/>
  <c r="AH15" i="176"/>
  <c r="AI16" i="176"/>
  <c r="AI15" i="176"/>
  <c r="AG18" i="176"/>
  <c r="V15" i="176"/>
  <c r="AG17" i="176"/>
  <c r="V17" i="176"/>
  <c r="H27" i="176"/>
  <c r="AB19" i="121" s="1"/>
  <c r="H26" i="176"/>
  <c r="H25" i="176"/>
  <c r="X19" i="121" s="1"/>
  <c r="G22" i="176"/>
  <c r="G18" i="176"/>
  <c r="B15" i="146"/>
  <c r="B25" i="146" s="1"/>
  <c r="A126" i="110" l="1"/>
  <c r="C4" i="121" l="1"/>
  <c r="D11" i="94" l="1"/>
  <c r="D45" i="94"/>
  <c r="D47" i="94"/>
  <c r="D51" i="94"/>
  <c r="D54" i="94"/>
  <c r="D5" i="94"/>
  <c r="B181" i="160"/>
  <c r="B33" i="84" s="1"/>
  <c r="B130" i="147" s="1"/>
  <c r="A144" i="110"/>
  <c r="I162" i="110"/>
  <c r="D8" i="94"/>
  <c r="D52" i="94"/>
  <c r="D44" i="94"/>
  <c r="D46" i="94"/>
  <c r="D10" i="94"/>
  <c r="D34" i="110"/>
  <c r="D9" i="106"/>
  <c r="D8" i="110" s="1"/>
  <c r="D15" i="110" s="1"/>
  <c r="D10" i="106"/>
  <c r="D16" i="106"/>
  <c r="D17" i="106"/>
  <c r="D26" i="106"/>
  <c r="D27" i="106"/>
  <c r="D47" i="106"/>
  <c r="D82" i="110" s="1"/>
  <c r="D84" i="110" s="1"/>
  <c r="D48" i="110"/>
  <c r="D37" i="110"/>
  <c r="D76" i="106"/>
  <c r="D77" i="106"/>
  <c r="H156" i="110"/>
  <c r="H117" i="110"/>
  <c r="H59" i="110"/>
  <c r="D31" i="110"/>
  <c r="E31" i="110"/>
  <c r="D33" i="110"/>
  <c r="E33" i="110"/>
  <c r="D53" i="110"/>
  <c r="E34" i="84"/>
  <c r="F34" i="110"/>
  <c r="G34" i="110"/>
  <c r="E34" i="110"/>
  <c r="E32" i="110"/>
  <c r="G10" i="84"/>
  <c r="G11" i="84"/>
  <c r="E53" i="110"/>
  <c r="F10" i="106"/>
  <c r="G10" i="106"/>
  <c r="F77" i="106"/>
  <c r="G77" i="106"/>
  <c r="E77" i="106"/>
  <c r="E37" i="110"/>
  <c r="E48" i="110"/>
  <c r="E21" i="84"/>
  <c r="E37" i="84"/>
  <c r="G9" i="84" l="1"/>
  <c r="E18" i="84"/>
  <c r="G18" i="84"/>
  <c r="E33" i="84"/>
  <c r="E70" i="110"/>
  <c r="D49" i="94"/>
  <c r="D9" i="81"/>
  <c r="D75" i="110" s="1"/>
  <c r="E66" i="110" s="1"/>
  <c r="D46" i="106"/>
  <c r="D48" i="94"/>
  <c r="E38" i="84"/>
  <c r="E10" i="84"/>
  <c r="D14" i="82"/>
  <c r="E9" i="84"/>
  <c r="D28" i="81"/>
  <c r="E19" i="84"/>
  <c r="D9" i="110"/>
  <c r="D17" i="110" s="1"/>
  <c r="D34" i="81"/>
  <c r="D14" i="81"/>
  <c r="D32" i="110"/>
  <c r="D35" i="110" s="1"/>
  <c r="D40" i="110" s="1"/>
  <c r="E11" i="84"/>
  <c r="E20" i="84"/>
  <c r="D20" i="82"/>
  <c r="E31" i="84"/>
  <c r="E45" i="110"/>
  <c r="E35" i="110"/>
  <c r="E40" i="110" s="1"/>
  <c r="E12" i="84"/>
  <c r="E13" i="84"/>
  <c r="D41" i="110" l="1"/>
  <c r="E72" i="110"/>
  <c r="D7" i="94"/>
  <c r="D13" i="94" s="1"/>
  <c r="D70" i="110"/>
  <c r="D72" i="110" s="1"/>
  <c r="E14" i="84"/>
  <c r="D87" i="110"/>
  <c r="D79" i="110" s="1"/>
  <c r="D81" i="110" s="1"/>
  <c r="D45" i="110"/>
  <c r="D53" i="94"/>
  <c r="D67" i="110"/>
  <c r="D69" i="110" s="1"/>
  <c r="D26" i="81"/>
  <c r="E78" i="110" l="1"/>
  <c r="D85" i="106"/>
  <c r="F11" i="160" l="1"/>
  <c r="G11" i="160"/>
  <c r="B12" i="160"/>
  <c r="B13" i="160"/>
  <c r="E172" i="146"/>
  <c r="F172" i="146"/>
  <c r="E173" i="146"/>
  <c r="F173" i="146"/>
  <c r="E175" i="146"/>
  <c r="F175" i="146"/>
  <c r="E178" i="146"/>
  <c r="F178" i="146"/>
  <c r="E179" i="146"/>
  <c r="F179" i="146"/>
  <c r="D179" i="146"/>
  <c r="D178" i="146"/>
  <c r="D175" i="146"/>
  <c r="D173" i="146"/>
  <c r="D172" i="146"/>
  <c r="B169" i="146"/>
  <c r="B258" i="160"/>
  <c r="B172" i="146" s="1"/>
  <c r="B259" i="160"/>
  <c r="B173" i="146" s="1"/>
  <c r="B260" i="160"/>
  <c r="B174" i="146" s="1"/>
  <c r="B261" i="160"/>
  <c r="B175" i="146" s="1"/>
  <c r="B262" i="160"/>
  <c r="B176" i="146" s="1"/>
  <c r="B265" i="160"/>
  <c r="B177" i="146" s="1"/>
  <c r="B266" i="160"/>
  <c r="B178" i="146" s="1"/>
  <c r="B267" i="160"/>
  <c r="B179" i="146" s="1"/>
  <c r="B268" i="160"/>
  <c r="B180" i="146" s="1"/>
  <c r="B269" i="160"/>
  <c r="B181" i="146" s="1"/>
  <c r="B270" i="160"/>
  <c r="B182" i="146" s="1"/>
  <c r="B271" i="160"/>
  <c r="B183" i="146" s="1"/>
  <c r="B272" i="160"/>
  <c r="B184" i="146" s="1"/>
  <c r="B273" i="160"/>
  <c r="B185" i="146" s="1"/>
  <c r="B274" i="160"/>
  <c r="B186" i="146" s="1"/>
  <c r="B275" i="160"/>
  <c r="B188" i="146" s="1"/>
  <c r="B276" i="160"/>
  <c r="B187" i="146" s="1"/>
  <c r="B277" i="160"/>
  <c r="B278" i="160"/>
  <c r="B189" i="146" s="1"/>
  <c r="B279" i="160"/>
  <c r="B190" i="146" s="1"/>
  <c r="B280" i="160"/>
  <c r="B35" i="84" s="1"/>
  <c r="B132" i="147" s="1"/>
  <c r="B281" i="160"/>
  <c r="B282" i="160"/>
  <c r="B283" i="160"/>
  <c r="B284" i="160"/>
  <c r="B285" i="160"/>
  <c r="B286" i="160"/>
  <c r="B287" i="160"/>
  <c r="B288" i="160"/>
  <c r="B11" i="160" l="1"/>
  <c r="B5" i="170" s="1"/>
  <c r="E174" i="146"/>
  <c r="F176" i="146"/>
  <c r="F177" i="146" s="1"/>
  <c r="F174" i="146"/>
  <c r="E176" i="146"/>
  <c r="E177" i="146" s="1"/>
  <c r="D174" i="146"/>
  <c r="D176" i="146"/>
  <c r="D177" i="146" l="1"/>
  <c r="E45" i="94" l="1"/>
  <c r="R25" i="109" l="1"/>
  <c r="B103" i="150" l="1"/>
  <c r="I105" i="161"/>
  <c r="J105" i="161"/>
  <c r="K105" i="161"/>
  <c r="L105" i="161"/>
  <c r="M105" i="161"/>
  <c r="N105" i="161"/>
  <c r="O105" i="161"/>
  <c r="P105" i="161"/>
  <c r="Q105" i="161"/>
  <c r="H105" i="161"/>
  <c r="B36" i="150"/>
  <c r="B37" i="150"/>
  <c r="B38" i="150"/>
  <c r="B39" i="150"/>
  <c r="B40" i="150"/>
  <c r="B41" i="150"/>
  <c r="B42" i="150"/>
  <c r="B35" i="150"/>
  <c r="B28" i="150"/>
  <c r="B29" i="150"/>
  <c r="B30" i="150"/>
  <c r="B31" i="150"/>
  <c r="B32" i="150"/>
  <c r="B33" i="150"/>
  <c r="B27" i="150"/>
  <c r="F9" i="92" a="1"/>
  <c r="F9" i="92" l="1"/>
  <c r="F15" i="92"/>
  <c r="B248" i="160"/>
  <c r="B249" i="160"/>
  <c r="B250" i="160"/>
  <c r="B237" i="146" s="1"/>
  <c r="B251" i="160"/>
  <c r="B252" i="160"/>
  <c r="B253" i="160"/>
  <c r="B254" i="160"/>
  <c r="B255" i="160"/>
  <c r="B256" i="160"/>
  <c r="B257" i="160"/>
  <c r="B171" i="146" s="1"/>
  <c r="B33" i="147"/>
  <c r="B26" i="147"/>
  <c r="B19" i="147"/>
  <c r="B5" i="145"/>
  <c r="F10" i="92" a="1"/>
  <c r="F10" i="92" l="1"/>
  <c r="B75" i="146"/>
  <c r="B78" i="146"/>
  <c r="B96" i="146"/>
  <c r="B81" i="146"/>
  <c r="B91" i="146"/>
  <c r="B72" i="150" s="1"/>
  <c r="B93" i="146"/>
  <c r="B77" i="150" s="1"/>
  <c r="B2" i="161"/>
  <c r="B2" i="121"/>
  <c r="B2" i="145"/>
  <c r="B2" i="94"/>
  <c r="B2" i="110"/>
  <c r="F70" i="110" l="1"/>
  <c r="B235" i="146" l="1"/>
  <c r="F234" i="146"/>
  <c r="G234" i="146" s="1"/>
  <c r="E5" i="94"/>
  <c r="F5" i="94"/>
  <c r="G5" i="94"/>
  <c r="E9" i="110"/>
  <c r="F9" i="110"/>
  <c r="G9" i="110"/>
  <c r="F8" i="110"/>
  <c r="G8" i="110"/>
  <c r="H8" i="110" s="1"/>
  <c r="E8" i="110"/>
  <c r="E15" i="110" s="1"/>
  <c r="E158" i="146"/>
  <c r="D88" i="150" s="1"/>
  <c r="F158" i="146"/>
  <c r="E88" i="150" s="1"/>
  <c r="E159" i="146"/>
  <c r="D89" i="150" s="1"/>
  <c r="F159" i="146"/>
  <c r="E89" i="150" s="1"/>
  <c r="E160" i="146"/>
  <c r="D90" i="150" s="1"/>
  <c r="F160" i="146"/>
  <c r="E90" i="150" s="1"/>
  <c r="E161" i="146"/>
  <c r="D91" i="150" s="1"/>
  <c r="F161" i="146"/>
  <c r="E91" i="150" s="1"/>
  <c r="D159" i="146"/>
  <c r="C89" i="150" s="1"/>
  <c r="D161" i="146"/>
  <c r="C91" i="150" s="1"/>
  <c r="D160" i="146"/>
  <c r="C90" i="150" s="1"/>
  <c r="D158" i="146"/>
  <c r="C88" i="150" s="1"/>
  <c r="B155" i="146"/>
  <c r="F154" i="146"/>
  <c r="G154" i="146" s="1"/>
  <c r="B5" i="150"/>
  <c r="B7" i="150"/>
  <c r="B8" i="150"/>
  <c r="B9" i="150"/>
  <c r="B10" i="150"/>
  <c r="B11" i="150"/>
  <c r="B12" i="150"/>
  <c r="B13" i="150"/>
  <c r="B15" i="150"/>
  <c r="B17" i="150"/>
  <c r="B18" i="150"/>
  <c r="B19" i="150"/>
  <c r="B20" i="150"/>
  <c r="B21" i="150"/>
  <c r="B22" i="150"/>
  <c r="B23" i="150"/>
  <c r="E90" i="146"/>
  <c r="D71" i="150" s="1"/>
  <c r="F90" i="146"/>
  <c r="E71" i="150" s="1"/>
  <c r="E92" i="146"/>
  <c r="D76" i="150" s="1"/>
  <c r="F92" i="146"/>
  <c r="E76" i="150" s="1"/>
  <c r="D92" i="146"/>
  <c r="C76" i="150" s="1"/>
  <c r="D90" i="146"/>
  <c r="C71" i="150" s="1"/>
  <c r="B72" i="146"/>
  <c r="F44" i="94"/>
  <c r="G44" i="94"/>
  <c r="F45" i="94"/>
  <c r="G45" i="94"/>
  <c r="F46" i="94"/>
  <c r="G46" i="94"/>
  <c r="F47" i="94"/>
  <c r="G47" i="94"/>
  <c r="F48" i="94"/>
  <c r="G48" i="94"/>
  <c r="F49" i="94"/>
  <c r="G49" i="94"/>
  <c r="F51" i="94"/>
  <c r="G51" i="94"/>
  <c r="F53" i="94"/>
  <c r="G53" i="94"/>
  <c r="F54" i="94"/>
  <c r="G54" i="94"/>
  <c r="E48" i="94"/>
  <c r="E47" i="94"/>
  <c r="E46" i="94"/>
  <c r="E44" i="94"/>
  <c r="F71" i="146"/>
  <c r="E71" i="146" s="1"/>
  <c r="E72" i="146" s="1"/>
  <c r="G17" i="110" l="1"/>
  <c r="F17" i="110"/>
  <c r="E17" i="110"/>
  <c r="H9" i="106"/>
  <c r="D79" i="150"/>
  <c r="D59" i="150"/>
  <c r="D69" i="150"/>
  <c r="D45" i="150"/>
  <c r="D93" i="150"/>
  <c r="D74" i="150"/>
  <c r="D54" i="150"/>
  <c r="D101" i="150"/>
  <c r="D64" i="150"/>
  <c r="D85" i="150"/>
  <c r="F15" i="110"/>
  <c r="G15" i="110"/>
  <c r="F235" i="146"/>
  <c r="H234" i="146"/>
  <c r="G235" i="146"/>
  <c r="E234" i="146"/>
  <c r="F72" i="146"/>
  <c r="H154" i="146"/>
  <c r="G155" i="146"/>
  <c r="M193" i="146" s="1"/>
  <c r="E108" i="150" s="1"/>
  <c r="F155" i="146"/>
  <c r="E154" i="146"/>
  <c r="D71" i="146"/>
  <c r="D72" i="146" s="1"/>
  <c r="G71" i="146"/>
  <c r="G72" i="146" s="1"/>
  <c r="H9" i="110" l="1"/>
  <c r="H10" i="106" s="1"/>
  <c r="F45" i="150"/>
  <c r="F74" i="150"/>
  <c r="F54" i="150"/>
  <c r="F64" i="150"/>
  <c r="F59" i="150"/>
  <c r="F85" i="150"/>
  <c r="F69" i="150"/>
  <c r="F79" i="150"/>
  <c r="F101" i="150"/>
  <c r="F93" i="150"/>
  <c r="C93" i="150"/>
  <c r="C64" i="150"/>
  <c r="C79" i="150"/>
  <c r="C59" i="150"/>
  <c r="C69" i="150"/>
  <c r="C85" i="150"/>
  <c r="C45" i="150"/>
  <c r="C101" i="150"/>
  <c r="C74" i="150"/>
  <c r="C54" i="150"/>
  <c r="E79" i="150"/>
  <c r="E59" i="150"/>
  <c r="E74" i="150"/>
  <c r="E54" i="150"/>
  <c r="E93" i="150"/>
  <c r="E45" i="150"/>
  <c r="E64" i="150"/>
  <c r="E85" i="150"/>
  <c r="E69" i="150"/>
  <c r="E101" i="150"/>
  <c r="J193" i="146"/>
  <c r="B108" i="150" s="1"/>
  <c r="D234" i="146"/>
  <c r="D235" i="146" s="1"/>
  <c r="E235" i="146"/>
  <c r="I234" i="146"/>
  <c r="H235" i="146"/>
  <c r="D154" i="146"/>
  <c r="D155" i="146" s="1"/>
  <c r="E155" i="146"/>
  <c r="I154" i="146"/>
  <c r="H155" i="146"/>
  <c r="H71" i="146"/>
  <c r="H72" i="146" s="1"/>
  <c r="G25" i="84" l="1"/>
  <c r="H7" i="110"/>
  <c r="G74" i="150"/>
  <c r="G54" i="150"/>
  <c r="G45" i="150"/>
  <c r="G85" i="150"/>
  <c r="G69" i="150"/>
  <c r="G79" i="150"/>
  <c r="G101" i="150"/>
  <c r="G93" i="150"/>
  <c r="G64" i="150"/>
  <c r="G59" i="150"/>
  <c r="I235" i="146"/>
  <c r="J234" i="146"/>
  <c r="I155" i="146"/>
  <c r="J154" i="146"/>
  <c r="I71" i="146"/>
  <c r="I72" i="146" s="1"/>
  <c r="B102" i="147"/>
  <c r="G101" i="147"/>
  <c r="B78" i="147"/>
  <c r="G77" i="147"/>
  <c r="B54" i="147"/>
  <c r="B40" i="147"/>
  <c r="G53" i="147"/>
  <c r="G39" i="147"/>
  <c r="H39" i="147" s="1"/>
  <c r="I39" i="147" s="1"/>
  <c r="H101" i="147" l="1"/>
  <c r="H53" i="147"/>
  <c r="H77" i="147"/>
  <c r="I77" i="147" s="1"/>
  <c r="J77" i="147" s="1"/>
  <c r="H85" i="150"/>
  <c r="H69" i="150"/>
  <c r="H45" i="150"/>
  <c r="H101" i="150"/>
  <c r="H79" i="150"/>
  <c r="H74" i="150"/>
  <c r="H93" i="150"/>
  <c r="H64" i="150"/>
  <c r="H59" i="150"/>
  <c r="H54" i="150"/>
  <c r="J235" i="146"/>
  <c r="K234" i="146"/>
  <c r="J155" i="146"/>
  <c r="K154" i="146"/>
  <c r="J71" i="146"/>
  <c r="J72" i="146" s="1"/>
  <c r="F101" i="147"/>
  <c r="F77" i="147"/>
  <c r="F53" i="147"/>
  <c r="I40" i="147"/>
  <c r="J39" i="147"/>
  <c r="F39" i="147"/>
  <c r="E39" i="147" s="1"/>
  <c r="D39" i="147" s="1"/>
  <c r="I78" i="147" l="1"/>
  <c r="E53" i="147"/>
  <c r="E101" i="147"/>
  <c r="I53" i="147"/>
  <c r="I101" i="147"/>
  <c r="E77" i="147"/>
  <c r="I85" i="150"/>
  <c r="I69" i="150"/>
  <c r="I101" i="150"/>
  <c r="I54" i="150"/>
  <c r="I93" i="150"/>
  <c r="I64" i="150"/>
  <c r="I45" i="150"/>
  <c r="I79" i="150"/>
  <c r="I59" i="150"/>
  <c r="I74" i="150"/>
  <c r="K235" i="146"/>
  <c r="L234" i="146"/>
  <c r="K155" i="146"/>
  <c r="L154" i="146"/>
  <c r="K71" i="146"/>
  <c r="K72" i="146" s="1"/>
  <c r="K77" i="147"/>
  <c r="J78" i="147"/>
  <c r="K39" i="147"/>
  <c r="J40" i="147"/>
  <c r="I102" i="147" l="1"/>
  <c r="J101" i="147"/>
  <c r="I54" i="147"/>
  <c r="J53" i="147"/>
  <c r="D101" i="147"/>
  <c r="D53" i="147"/>
  <c r="D77" i="147"/>
  <c r="M234" i="146"/>
  <c r="L235" i="146"/>
  <c r="J101" i="150"/>
  <c r="J54" i="150"/>
  <c r="J93" i="150"/>
  <c r="J64" i="150"/>
  <c r="J74" i="150"/>
  <c r="J79" i="150"/>
  <c r="J59" i="150"/>
  <c r="J45" i="150"/>
  <c r="J85" i="150"/>
  <c r="J69" i="150"/>
  <c r="M154" i="146"/>
  <c r="L155" i="146"/>
  <c r="L71" i="146"/>
  <c r="K78" i="147"/>
  <c r="L77" i="147"/>
  <c r="L39" i="147"/>
  <c r="K40" i="147"/>
  <c r="K53" i="147" l="1"/>
  <c r="J54" i="147"/>
  <c r="K101" i="147"/>
  <c r="J102" i="147"/>
  <c r="N234" i="146"/>
  <c r="M235" i="146"/>
  <c r="M71" i="146"/>
  <c r="L72" i="146"/>
  <c r="N154" i="146"/>
  <c r="M155" i="146"/>
  <c r="L78" i="147"/>
  <c r="M77" i="147"/>
  <c r="M39" i="147"/>
  <c r="L40" i="147"/>
  <c r="L101" i="147" l="1"/>
  <c r="K102" i="147"/>
  <c r="K54" i="147"/>
  <c r="L53" i="147"/>
  <c r="O234" i="146"/>
  <c r="N235" i="146"/>
  <c r="K93" i="150"/>
  <c r="K64" i="150"/>
  <c r="K69" i="150"/>
  <c r="K79" i="150"/>
  <c r="K59" i="150"/>
  <c r="K74" i="150"/>
  <c r="K54" i="150"/>
  <c r="K45" i="150"/>
  <c r="K85" i="150"/>
  <c r="K101" i="150"/>
  <c r="N71" i="146"/>
  <c r="M72" i="146"/>
  <c r="O154" i="146"/>
  <c r="N155" i="146"/>
  <c r="M78" i="147"/>
  <c r="N77" i="147"/>
  <c r="M40" i="147"/>
  <c r="N39" i="147"/>
  <c r="L54" i="147" l="1"/>
  <c r="M53" i="147"/>
  <c r="M101" i="147"/>
  <c r="L102" i="147"/>
  <c r="P234" i="146"/>
  <c r="P235" i="146" s="1"/>
  <c r="O235" i="146"/>
  <c r="O71" i="146"/>
  <c r="N72" i="146"/>
  <c r="L85" i="150"/>
  <c r="L69" i="150"/>
  <c r="L101" i="150"/>
  <c r="L64" i="150"/>
  <c r="L79" i="150"/>
  <c r="L59" i="150"/>
  <c r="L93" i="150"/>
  <c r="L45" i="150"/>
  <c r="L74" i="150"/>
  <c r="L54" i="150"/>
  <c r="P154" i="146"/>
  <c r="P155" i="146" s="1"/>
  <c r="O155" i="146"/>
  <c r="N78" i="147"/>
  <c r="O77" i="147"/>
  <c r="N40" i="147"/>
  <c r="O39" i="147"/>
  <c r="N101" i="147" l="1"/>
  <c r="M102" i="147"/>
  <c r="N53" i="147"/>
  <c r="M54" i="147"/>
  <c r="P71" i="146"/>
  <c r="P72" i="146" s="1"/>
  <c r="O72" i="146"/>
  <c r="O78" i="147"/>
  <c r="P77" i="147"/>
  <c r="O40" i="147"/>
  <c r="P39" i="147"/>
  <c r="N54" i="147" l="1"/>
  <c r="O53" i="147"/>
  <c r="N102" i="147"/>
  <c r="O101" i="147"/>
  <c r="P78" i="147"/>
  <c r="Q77" i="147"/>
  <c r="P40" i="147"/>
  <c r="Q39" i="147"/>
  <c r="Q40" i="147" s="1"/>
  <c r="O102" i="147" l="1"/>
  <c r="P101" i="147"/>
  <c r="O54" i="147"/>
  <c r="P53" i="147"/>
  <c r="Q78" i="147"/>
  <c r="F72" i="160"/>
  <c r="G70" i="110"/>
  <c r="B60" i="160"/>
  <c r="B59" i="106" s="1"/>
  <c r="B61" i="160"/>
  <c r="B62" i="160"/>
  <c r="B61" i="106" s="1"/>
  <c r="B63" i="160"/>
  <c r="B62" i="106" s="1"/>
  <c r="B64" i="160"/>
  <c r="B63" i="106" s="1"/>
  <c r="B65" i="160"/>
  <c r="B64" i="106" s="1"/>
  <c r="B66" i="160"/>
  <c r="B65" i="106" s="1"/>
  <c r="B31" i="147" s="1"/>
  <c r="B5" i="147"/>
  <c r="G4" i="147"/>
  <c r="B236" i="160"/>
  <c r="B237" i="160"/>
  <c r="B238" i="160"/>
  <c r="B239" i="160"/>
  <c r="B240" i="160"/>
  <c r="B241" i="160"/>
  <c r="B242" i="160"/>
  <c r="B7" i="160"/>
  <c r="B8" i="160"/>
  <c r="B9" i="160"/>
  <c r="B10" i="160"/>
  <c r="B12" i="106"/>
  <c r="B13" i="106"/>
  <c r="B15" i="160"/>
  <c r="B17" i="160"/>
  <c r="B18" i="160"/>
  <c r="B14" i="106" s="1"/>
  <c r="B10" i="147" s="1"/>
  <c r="B20" i="160"/>
  <c r="B21" i="160"/>
  <c r="B22" i="160"/>
  <c r="B18" i="106" s="1"/>
  <c r="B23" i="160"/>
  <c r="B19" i="106" s="1"/>
  <c r="B24" i="160"/>
  <c r="B20" i="106" s="1"/>
  <c r="B26" i="160"/>
  <c r="B21" i="106" s="1"/>
  <c r="B13" i="147" s="1"/>
  <c r="B27" i="160"/>
  <c r="B24" i="106" s="1"/>
  <c r="B29" i="160"/>
  <c r="B13" i="170" s="1"/>
  <c r="B30" i="160"/>
  <c r="B14" i="170" s="1"/>
  <c r="B31" i="160"/>
  <c r="B28" i="106" s="1"/>
  <c r="B6" i="160"/>
  <c r="B2" i="170" s="1"/>
  <c r="F75" i="160"/>
  <c r="F68" i="160"/>
  <c r="F67" i="160"/>
  <c r="F56" i="160"/>
  <c r="F47" i="160"/>
  <c r="F40" i="160"/>
  <c r="F34" i="160"/>
  <c r="F35" i="160" s="1"/>
  <c r="F28" i="160"/>
  <c r="F25" i="160"/>
  <c r="F19" i="160"/>
  <c r="F16" i="160"/>
  <c r="B17" i="106" l="1"/>
  <c r="B10" i="170"/>
  <c r="B8" i="110"/>
  <c r="B4" i="170"/>
  <c r="B16" i="106"/>
  <c r="B9" i="170"/>
  <c r="F4" i="147"/>
  <c r="B8" i="106"/>
  <c r="P54" i="147"/>
  <c r="Q53" i="147"/>
  <c r="Q54" i="147" s="1"/>
  <c r="B48" i="147"/>
  <c r="B42" i="145"/>
  <c r="P102" i="147"/>
  <c r="Q101" i="147"/>
  <c r="Q102" i="147" s="1"/>
  <c r="B43" i="147"/>
  <c r="B22" i="145"/>
  <c r="B41" i="147"/>
  <c r="B7" i="145"/>
  <c r="B42" i="147"/>
  <c r="B18" i="145"/>
  <c r="B84" i="146"/>
  <c r="B56" i="150" s="1"/>
  <c r="B8" i="121"/>
  <c r="B76" i="146"/>
  <c r="B48" i="150" s="1"/>
  <c r="B9" i="121"/>
  <c r="B86" i="146"/>
  <c r="B61" i="150" s="1"/>
  <c r="B11" i="121"/>
  <c r="B12" i="147"/>
  <c r="B14" i="147"/>
  <c r="B26" i="106"/>
  <c r="B27" i="106"/>
  <c r="B60" i="106"/>
  <c r="B30" i="147" s="1"/>
  <c r="H4" i="147"/>
  <c r="B9" i="110"/>
  <c r="B126" i="161"/>
  <c r="C122" i="161"/>
  <c r="F122" i="161"/>
  <c r="G122" i="161" s="1"/>
  <c r="H122" i="161" s="1"/>
  <c r="B109" i="161"/>
  <c r="B103" i="161"/>
  <c r="B97" i="161"/>
  <c r="B91" i="161"/>
  <c r="C88" i="161"/>
  <c r="F88" i="161"/>
  <c r="G88" i="161" s="1"/>
  <c r="H88" i="161" s="1"/>
  <c r="H104" i="161" s="1"/>
  <c r="B82" i="161"/>
  <c r="B78" i="161"/>
  <c r="B66" i="161"/>
  <c r="E63" i="161"/>
  <c r="F63" i="161"/>
  <c r="D63" i="161"/>
  <c r="E59" i="161"/>
  <c r="F59" i="161"/>
  <c r="D59" i="161"/>
  <c r="D60" i="161"/>
  <c r="E60" i="161"/>
  <c r="F60" i="161"/>
  <c r="F46" i="161"/>
  <c r="G46" i="161" s="1"/>
  <c r="H46" i="161" s="1"/>
  <c r="C46" i="161"/>
  <c r="C17" i="161"/>
  <c r="C11" i="161"/>
  <c r="B74" i="146" l="1"/>
  <c r="B47" i="150" s="1"/>
  <c r="B7" i="147"/>
  <c r="I4" i="147"/>
  <c r="I5" i="147" s="1"/>
  <c r="E4" i="147"/>
  <c r="B7" i="121"/>
  <c r="B10" i="106"/>
  <c r="B17" i="110" s="1"/>
  <c r="H110" i="161"/>
  <c r="H123" i="161"/>
  <c r="I122" i="161"/>
  <c r="E122" i="161"/>
  <c r="D122" i="161" s="1"/>
  <c r="E88" i="161"/>
  <c r="D88" i="161" s="1"/>
  <c r="I88" i="161"/>
  <c r="H89" i="161"/>
  <c r="H78" i="161"/>
  <c r="H47" i="161"/>
  <c r="I46" i="161"/>
  <c r="E46" i="161"/>
  <c r="D46" i="161" s="1"/>
  <c r="E53" i="94"/>
  <c r="AI7" i="109"/>
  <c r="J4" i="147" l="1"/>
  <c r="J5" i="147" s="1"/>
  <c r="D4" i="147"/>
  <c r="B9" i="147"/>
  <c r="I110" i="161"/>
  <c r="I104" i="161"/>
  <c r="I123" i="161"/>
  <c r="J122" i="161"/>
  <c r="I89" i="161"/>
  <c r="J88" i="161"/>
  <c r="I78" i="161"/>
  <c r="I47" i="161"/>
  <c r="J46" i="161"/>
  <c r="Y13" i="109"/>
  <c r="B133" i="110"/>
  <c r="K4" i="147" l="1"/>
  <c r="K5" i="147" s="1"/>
  <c r="J110" i="161"/>
  <c r="J104" i="161"/>
  <c r="L4" i="147"/>
  <c r="K122" i="161"/>
  <c r="J123" i="161"/>
  <c r="K88" i="161"/>
  <c r="J89" i="161"/>
  <c r="J78" i="161"/>
  <c r="K46" i="161"/>
  <c r="J47" i="161"/>
  <c r="B9" i="106"/>
  <c r="C5" i="153"/>
  <c r="B32" i="160"/>
  <c r="B34" i="106" s="1"/>
  <c r="B33" i="160"/>
  <c r="B36" i="160"/>
  <c r="B33" i="106" s="1"/>
  <c r="B37" i="160"/>
  <c r="B38" i="160"/>
  <c r="B39" i="160"/>
  <c r="B41" i="160"/>
  <c r="B38" i="106" s="1"/>
  <c r="B30" i="145" s="1"/>
  <c r="B42" i="160"/>
  <c r="B39" i="106" s="1"/>
  <c r="B43" i="160"/>
  <c r="B40" i="106" s="1"/>
  <c r="B44" i="160"/>
  <c r="B42" i="106" s="1"/>
  <c r="B45" i="160"/>
  <c r="B43" i="106" s="1"/>
  <c r="B46" i="160"/>
  <c r="B44" i="106" s="1"/>
  <c r="B48" i="160"/>
  <c r="B49" i="160"/>
  <c r="B50" i="160"/>
  <c r="B48" i="106" s="1"/>
  <c r="B51" i="160"/>
  <c r="B49" i="106" s="1"/>
  <c r="B52" i="160"/>
  <c r="B50" i="106" s="1"/>
  <c r="B53" i="160"/>
  <c r="B52" i="106" s="1"/>
  <c r="B54" i="160"/>
  <c r="B53" i="106" s="1"/>
  <c r="B55" i="160"/>
  <c r="B57" i="160"/>
  <c r="B58" i="160"/>
  <c r="B59" i="160"/>
  <c r="B58" i="106" s="1"/>
  <c r="B61" i="161"/>
  <c r="B69" i="160"/>
  <c r="B68" i="106" s="1"/>
  <c r="B70" i="160"/>
  <c r="B69" i="106" s="1"/>
  <c r="B71" i="160"/>
  <c r="B73" i="160"/>
  <c r="B74" i="160"/>
  <c r="B76" i="160"/>
  <c r="B77" i="160"/>
  <c r="B78" i="160"/>
  <c r="B78" i="106" s="1"/>
  <c r="B79" i="160"/>
  <c r="B79" i="106" s="1"/>
  <c r="B80" i="160"/>
  <c r="B81" i="160"/>
  <c r="B37" i="147" s="1"/>
  <c r="B82" i="106" s="1"/>
  <c r="B82" i="160"/>
  <c r="B83" i="160"/>
  <c r="B84" i="160"/>
  <c r="B85" i="160"/>
  <c r="B8" i="81" s="1"/>
  <c r="B86" i="160"/>
  <c r="B87" i="160"/>
  <c r="B88" i="160"/>
  <c r="B89" i="160"/>
  <c r="B90" i="160"/>
  <c r="B13" i="81" s="1"/>
  <c r="B91" i="160"/>
  <c r="B92" i="160"/>
  <c r="B93" i="160"/>
  <c r="B94" i="160"/>
  <c r="B95" i="160"/>
  <c r="B96" i="160"/>
  <c r="B19" i="81" s="1"/>
  <c r="B97" i="160"/>
  <c r="B98" i="160"/>
  <c r="B99" i="160"/>
  <c r="B100" i="160"/>
  <c r="B101" i="160"/>
  <c r="B102" i="160"/>
  <c r="B25" i="81" s="1"/>
  <c r="B103" i="160"/>
  <c r="B104" i="160"/>
  <c r="B27" i="81" s="1"/>
  <c r="B105" i="160"/>
  <c r="B106" i="160"/>
  <c r="B107" i="160"/>
  <c r="B108" i="160"/>
  <c r="B109" i="160"/>
  <c r="B110" i="160"/>
  <c r="B33" i="81" s="1"/>
  <c r="B111" i="160"/>
  <c r="B112" i="160"/>
  <c r="B113" i="160"/>
  <c r="B114" i="160"/>
  <c r="B115" i="160"/>
  <c r="B38" i="81" s="1"/>
  <c r="B116" i="160"/>
  <c r="B117" i="160"/>
  <c r="B40" i="81" s="1"/>
  <c r="B118" i="160"/>
  <c r="B119" i="160"/>
  <c r="B42" i="81" s="1"/>
  <c r="B120" i="160"/>
  <c r="B121" i="160"/>
  <c r="B122" i="160"/>
  <c r="B45" i="81" s="1"/>
  <c r="B123" i="160"/>
  <c r="B46" i="81" s="1"/>
  <c r="B75" i="147" s="1"/>
  <c r="B124" i="160"/>
  <c r="B125" i="160"/>
  <c r="B126" i="160"/>
  <c r="B127" i="160"/>
  <c r="B8" i="82" s="1"/>
  <c r="B128" i="160"/>
  <c r="B129" i="160"/>
  <c r="B130" i="160"/>
  <c r="B131" i="160"/>
  <c r="B132" i="160"/>
  <c r="B13" i="82" s="1"/>
  <c r="B133" i="160"/>
  <c r="B134" i="160"/>
  <c r="B15" i="82" s="1"/>
  <c r="B135" i="160"/>
  <c r="B136" i="160"/>
  <c r="B137" i="160"/>
  <c r="B138" i="160"/>
  <c r="B19" i="82" s="1"/>
  <c r="B139" i="160"/>
  <c r="B140" i="160"/>
  <c r="B21" i="82" s="1"/>
  <c r="B141" i="160"/>
  <c r="B142" i="160"/>
  <c r="B143" i="160"/>
  <c r="B144" i="160"/>
  <c r="B145" i="160"/>
  <c r="B146" i="160"/>
  <c r="B147" i="160"/>
  <c r="B28" i="82" s="1"/>
  <c r="B148" i="160"/>
  <c r="B149" i="160"/>
  <c r="B150" i="160"/>
  <c r="B31" i="82" s="1"/>
  <c r="B151" i="160"/>
  <c r="B32" i="82" s="1"/>
  <c r="B99" i="147" s="1"/>
  <c r="B152" i="160"/>
  <c r="B153" i="160"/>
  <c r="B4" i="84" s="1"/>
  <c r="B154" i="160"/>
  <c r="B155" i="160"/>
  <c r="B7" i="84" s="1"/>
  <c r="B104" i="147" s="1"/>
  <c r="B156" i="160"/>
  <c r="B8" i="84" s="1"/>
  <c r="B105" i="147" s="1"/>
  <c r="B157" i="160"/>
  <c r="B9" i="84" s="1"/>
  <c r="B106" i="147" s="1"/>
  <c r="B158" i="160"/>
  <c r="B10" i="84" s="1"/>
  <c r="B107" i="147" s="1"/>
  <c r="B159" i="160"/>
  <c r="B11" i="84" s="1"/>
  <c r="B108" i="147" s="1"/>
  <c r="B160" i="160"/>
  <c r="B12" i="84" s="1"/>
  <c r="B109" i="147" s="1"/>
  <c r="B161" i="160"/>
  <c r="B13" i="84" s="1"/>
  <c r="B110" i="147" s="1"/>
  <c r="B162" i="160"/>
  <c r="B14" i="84" s="1"/>
  <c r="B111" i="147" s="1"/>
  <c r="B163" i="160"/>
  <c r="B15" i="84" s="1"/>
  <c r="B112" i="147" s="1"/>
  <c r="B164" i="160"/>
  <c r="B16" i="84" s="1"/>
  <c r="B113" i="147" s="1"/>
  <c r="B165" i="160"/>
  <c r="B17" i="84" s="1"/>
  <c r="B114" i="147" s="1"/>
  <c r="B166" i="160"/>
  <c r="B18" i="84" s="1"/>
  <c r="B115" i="147" s="1"/>
  <c r="B167" i="160"/>
  <c r="B19" i="84" s="1"/>
  <c r="B116" i="147" s="1"/>
  <c r="B168" i="160"/>
  <c r="B20" i="84" s="1"/>
  <c r="B117" i="147" s="1"/>
  <c r="B169" i="160"/>
  <c r="B21" i="84" s="1"/>
  <c r="B118" i="147" s="1"/>
  <c r="B170" i="160"/>
  <c r="B22" i="84" s="1"/>
  <c r="B171" i="160"/>
  <c r="B23" i="84" s="1"/>
  <c r="B120" i="147" s="1"/>
  <c r="B172" i="160"/>
  <c r="B24" i="84" s="1"/>
  <c r="B121" i="147" s="1"/>
  <c r="B173" i="160"/>
  <c r="B25" i="84" s="1"/>
  <c r="B122" i="147" s="1"/>
  <c r="B174" i="160"/>
  <c r="B26" i="84" s="1"/>
  <c r="B123" i="147" s="1"/>
  <c r="B175" i="160"/>
  <c r="B27" i="84" s="1"/>
  <c r="B176" i="160"/>
  <c r="B28" i="84" s="1"/>
  <c r="B125" i="147" s="1"/>
  <c r="B177" i="160"/>
  <c r="B29" i="84" s="1"/>
  <c r="B126" i="147" s="1"/>
  <c r="B178" i="160"/>
  <c r="B30" i="84" s="1"/>
  <c r="B127" i="147" s="1"/>
  <c r="B179" i="160"/>
  <c r="B31" i="84" s="1"/>
  <c r="B128" i="147" s="1"/>
  <c r="B180" i="160"/>
  <c r="B32" i="84" s="1"/>
  <c r="B129" i="147" s="1"/>
  <c r="B182" i="160"/>
  <c r="B34" i="84" s="1"/>
  <c r="B131" i="147" s="1"/>
  <c r="B183" i="160"/>
  <c r="B36" i="84" s="1"/>
  <c r="B133" i="147" s="1"/>
  <c r="B184" i="160"/>
  <c r="B37" i="84" s="1"/>
  <c r="B134" i="147" s="1"/>
  <c r="B185" i="160"/>
  <c r="B38" i="84" s="1"/>
  <c r="B135" i="147" s="1"/>
  <c r="B186" i="160"/>
  <c r="B39" i="84" s="1"/>
  <c r="B187" i="160"/>
  <c r="B40" i="84" s="1"/>
  <c r="B188" i="160"/>
  <c r="B41" i="84" s="1"/>
  <c r="B137" i="147" s="1"/>
  <c r="B189" i="160"/>
  <c r="B190" i="160"/>
  <c r="B191" i="160"/>
  <c r="B7" i="94" s="1"/>
  <c r="B164" i="146" s="1"/>
  <c r="B96" i="150" s="1"/>
  <c r="B192" i="160"/>
  <c r="B8" i="94" s="1"/>
  <c r="B165" i="146" s="1"/>
  <c r="B97" i="150" s="1"/>
  <c r="B193" i="160"/>
  <c r="B9" i="94" s="1"/>
  <c r="B194" i="160"/>
  <c r="B10" i="94" s="1"/>
  <c r="B166" i="146" s="1"/>
  <c r="B98" i="150" s="1"/>
  <c r="B195" i="160"/>
  <c r="B196" i="160"/>
  <c r="B12" i="94" s="1"/>
  <c r="B197" i="160"/>
  <c r="B163" i="146" s="1"/>
  <c r="B95" i="150" s="1"/>
  <c r="B198" i="160"/>
  <c r="B14" i="94" s="1"/>
  <c r="B199" i="160"/>
  <c r="B15" i="94" s="1"/>
  <c r="B200" i="160"/>
  <c r="B201" i="160"/>
  <c r="B17" i="94" s="1"/>
  <c r="B202" i="160"/>
  <c r="B18" i="94" s="1"/>
  <c r="B203" i="160"/>
  <c r="B19" i="94" s="1"/>
  <c r="B204" i="160"/>
  <c r="B20" i="94" s="1"/>
  <c r="B205" i="160"/>
  <c r="B21" i="94" s="1"/>
  <c r="B206" i="160"/>
  <c r="B22" i="94" s="1"/>
  <c r="B207" i="160"/>
  <c r="B23" i="94" s="1"/>
  <c r="B208" i="160"/>
  <c r="B209" i="160"/>
  <c r="B210" i="160"/>
  <c r="B28" i="94" s="1"/>
  <c r="B211" i="160"/>
  <c r="B29" i="94" s="1"/>
  <c r="B212" i="160"/>
  <c r="B213" i="160"/>
  <c r="B31" i="94" s="1"/>
  <c r="B104" i="150" s="1"/>
  <c r="B214" i="160"/>
  <c r="B32" i="94" s="1"/>
  <c r="B105" i="150" s="1"/>
  <c r="B215" i="160"/>
  <c r="B33" i="94" s="1"/>
  <c r="B106" i="150" s="1"/>
  <c r="B216" i="160"/>
  <c r="B35" i="94" s="1"/>
  <c r="B217" i="160"/>
  <c r="B218" i="160"/>
  <c r="B219" i="160"/>
  <c r="B220" i="160"/>
  <c r="B221" i="160"/>
  <c r="B222" i="160"/>
  <c r="B223" i="160"/>
  <c r="B154" i="146" s="1"/>
  <c r="B224" i="160"/>
  <c r="B225" i="160"/>
  <c r="B7" i="110" s="1"/>
  <c r="B226" i="160"/>
  <c r="B227" i="160"/>
  <c r="B14" i="110" s="1"/>
  <c r="B228" i="160"/>
  <c r="B30" i="110" s="1"/>
  <c r="B229" i="160"/>
  <c r="B35" i="110" s="1"/>
  <c r="B230" i="160"/>
  <c r="C40" i="110" s="1"/>
  <c r="B231" i="160"/>
  <c r="C41" i="110" s="1"/>
  <c r="B232" i="160"/>
  <c r="B43" i="110" s="1"/>
  <c r="B233" i="160"/>
  <c r="B46" i="110" s="1"/>
  <c r="B234" i="160"/>
  <c r="B235" i="160"/>
  <c r="C51" i="110" s="1"/>
  <c r="B63" i="110"/>
  <c r="B100" i="110"/>
  <c r="B101" i="110"/>
  <c r="B102" i="110"/>
  <c r="B103" i="110"/>
  <c r="B106" i="110"/>
  <c r="B243" i="160"/>
  <c r="B244" i="160"/>
  <c r="B4" i="145" s="1"/>
  <c r="B39" i="147" s="1"/>
  <c r="B245" i="160"/>
  <c r="B22" i="110" s="1"/>
  <c r="B246" i="160"/>
  <c r="B56" i="94" s="1"/>
  <c r="B247" i="160"/>
  <c r="B81" i="106" s="1"/>
  <c r="D75" i="160"/>
  <c r="B75" i="160" s="1"/>
  <c r="B75" i="106" s="1"/>
  <c r="D72" i="160"/>
  <c r="B72" i="160" s="1"/>
  <c r="B72" i="106" s="1"/>
  <c r="D68" i="160"/>
  <c r="B68" i="160" s="1"/>
  <c r="B67" i="106" s="1"/>
  <c r="D67" i="160"/>
  <c r="D56" i="160"/>
  <c r="B56" i="160" s="1"/>
  <c r="B55" i="106" s="1"/>
  <c r="D47" i="160"/>
  <c r="B47" i="160" s="1"/>
  <c r="D40" i="160"/>
  <c r="B40" i="160" s="1"/>
  <c r="B37" i="106" s="1"/>
  <c r="D34" i="160"/>
  <c r="D35" i="160" s="1"/>
  <c r="B35" i="160" s="1"/>
  <c r="B32" i="106" s="1"/>
  <c r="D28" i="160"/>
  <c r="D25" i="160"/>
  <c r="D19" i="160"/>
  <c r="D16" i="160"/>
  <c r="D165" i="146"/>
  <c r="C97" i="150" s="1"/>
  <c r="C27" i="109"/>
  <c r="AG11" i="109" s="1"/>
  <c r="E20" i="81"/>
  <c r="B36" i="106" l="1"/>
  <c r="B18" i="170"/>
  <c r="B25" i="82"/>
  <c r="B94" i="147" s="1"/>
  <c r="B17" i="82"/>
  <c r="B88" i="147" s="1"/>
  <c r="B9" i="82"/>
  <c r="B82" i="147" s="1"/>
  <c r="B43" i="81"/>
  <c r="B73" i="147" s="1"/>
  <c r="B35" i="81"/>
  <c r="B68" i="147" s="1"/>
  <c r="B11" i="81"/>
  <c r="B80" i="106"/>
  <c r="B31" i="170"/>
  <c r="B36" i="81"/>
  <c r="B69" i="147" s="1"/>
  <c r="B24" i="82"/>
  <c r="B93" i="147" s="1"/>
  <c r="B16" i="82"/>
  <c r="B87" i="147" s="1"/>
  <c r="B34" i="81"/>
  <c r="B67" i="147" s="1"/>
  <c r="B26" i="81"/>
  <c r="B61" i="147" s="1"/>
  <c r="B18" i="81"/>
  <c r="B10" i="81"/>
  <c r="B26" i="82"/>
  <c r="B95" i="147" s="1"/>
  <c r="B28" i="81"/>
  <c r="B62" i="147" s="1"/>
  <c r="B23" i="82"/>
  <c r="B92" i="147" s="1"/>
  <c r="B7" i="82"/>
  <c r="B81" i="147" s="1"/>
  <c r="B41" i="81"/>
  <c r="B72" i="147" s="1"/>
  <c r="B17" i="81"/>
  <c r="B18" i="82"/>
  <c r="B89" i="147" s="1"/>
  <c r="B22" i="82"/>
  <c r="B91" i="147" s="1"/>
  <c r="B14" i="82"/>
  <c r="M195" i="146" s="1"/>
  <c r="E110" i="150" s="1"/>
  <c r="B4" i="82"/>
  <c r="B80" i="147" s="1"/>
  <c r="B32" i="81"/>
  <c r="B161" i="146" s="1"/>
  <c r="B91" i="150" s="1"/>
  <c r="B24" i="81"/>
  <c r="B16" i="81"/>
  <c r="B77" i="106"/>
  <c r="B30" i="170"/>
  <c r="B29" i="82"/>
  <c r="B97" i="147" s="1"/>
  <c r="B39" i="81"/>
  <c r="B71" i="147" s="1"/>
  <c r="B31" i="81"/>
  <c r="B65" i="147" s="1"/>
  <c r="B23" i="81"/>
  <c r="B15" i="81"/>
  <c r="B7" i="81"/>
  <c r="B57" i="147" s="1"/>
  <c r="B76" i="106"/>
  <c r="B28" i="170"/>
  <c r="B57" i="106"/>
  <c r="B60" i="161" s="1"/>
  <c r="B47" i="106"/>
  <c r="B24" i="147" s="1"/>
  <c r="B17" i="170"/>
  <c r="B12" i="81"/>
  <c r="B45" i="106"/>
  <c r="B15" i="170"/>
  <c r="B20" i="82"/>
  <c r="B90" i="147" s="1"/>
  <c r="B12" i="82"/>
  <c r="B85" i="147" s="1"/>
  <c r="B30" i="81"/>
  <c r="B22" i="81"/>
  <c r="B4" i="81"/>
  <c r="B56" i="147" s="1"/>
  <c r="B56" i="106"/>
  <c r="B59" i="161" s="1"/>
  <c r="B46" i="106"/>
  <c r="B23" i="147" s="1"/>
  <c r="B16" i="170"/>
  <c r="B44" i="81"/>
  <c r="B74" i="147" s="1"/>
  <c r="B27" i="82"/>
  <c r="B96" i="147" s="1"/>
  <c r="B11" i="82"/>
  <c r="B84" i="147" s="1"/>
  <c r="B37" i="81"/>
  <c r="B70" i="147" s="1"/>
  <c r="B29" i="81"/>
  <c r="B63" i="147" s="1"/>
  <c r="B21" i="81"/>
  <c r="B44" i="147"/>
  <c r="B26" i="145"/>
  <c r="B47" i="147"/>
  <c r="B38" i="145"/>
  <c r="B49" i="147"/>
  <c r="B46" i="145"/>
  <c r="B50" i="147"/>
  <c r="B50" i="145"/>
  <c r="B46" i="147"/>
  <c r="B34" i="145"/>
  <c r="B45" i="147"/>
  <c r="L5" i="147"/>
  <c r="B88" i="146"/>
  <c r="B66" i="150" s="1"/>
  <c r="B18" i="121"/>
  <c r="B20" i="147"/>
  <c r="B16" i="121"/>
  <c r="B77" i="146"/>
  <c r="B49" i="150" s="1"/>
  <c r="B15" i="121"/>
  <c r="B27" i="147"/>
  <c r="B21" i="121"/>
  <c r="B80" i="146"/>
  <c r="B82" i="146" s="1"/>
  <c r="B52" i="150" s="1"/>
  <c r="B20" i="121"/>
  <c r="A159" i="110"/>
  <c r="A130" i="110"/>
  <c r="A157" i="110"/>
  <c r="A154" i="110"/>
  <c r="A152" i="110"/>
  <c r="A128" i="110"/>
  <c r="A123" i="110"/>
  <c r="A146" i="110"/>
  <c r="A121" i="110"/>
  <c r="A148" i="110"/>
  <c r="A119" i="110"/>
  <c r="A138" i="110"/>
  <c r="A140" i="110"/>
  <c r="C25" i="110"/>
  <c r="C23" i="110"/>
  <c r="C27" i="110"/>
  <c r="E98" i="110"/>
  <c r="E44" i="110"/>
  <c r="E46" i="110" s="1"/>
  <c r="E51" i="110" s="1"/>
  <c r="B8" i="147"/>
  <c r="B15" i="110"/>
  <c r="B36" i="147"/>
  <c r="B85" i="106"/>
  <c r="B10" i="82"/>
  <c r="B83" i="147" s="1"/>
  <c r="B30" i="82"/>
  <c r="M198" i="146" s="1"/>
  <c r="E113" i="150" s="1"/>
  <c r="B86" i="147"/>
  <c r="B167" i="146"/>
  <c r="B99" i="150" s="1"/>
  <c r="B30" i="106"/>
  <c r="B87" i="146"/>
  <c r="B62" i="150" s="1"/>
  <c r="B97" i="146"/>
  <c r="B82" i="150" s="1"/>
  <c r="B85" i="146"/>
  <c r="B57" i="150" s="1"/>
  <c r="B89" i="146"/>
  <c r="B67" i="150" s="1"/>
  <c r="B101" i="147"/>
  <c r="B234" i="146"/>
  <c r="B64" i="147"/>
  <c r="B159" i="146"/>
  <c r="B89" i="150" s="1"/>
  <c r="AH11" i="109"/>
  <c r="AI11" i="109" s="1"/>
  <c r="AJ11" i="109" s="1"/>
  <c r="AK11" i="109" s="1"/>
  <c r="AF11" i="109"/>
  <c r="AE11" i="109" s="1"/>
  <c r="AD11" i="109" s="1"/>
  <c r="AC11" i="109" s="1"/>
  <c r="B25" i="147"/>
  <c r="B18" i="147"/>
  <c r="B68" i="161"/>
  <c r="B119" i="147"/>
  <c r="B22" i="147"/>
  <c r="B72" i="161"/>
  <c r="B136" i="147"/>
  <c r="B70" i="161"/>
  <c r="B124" i="147"/>
  <c r="B53" i="147"/>
  <c r="B77" i="147"/>
  <c r="B4" i="147"/>
  <c r="B71" i="146"/>
  <c r="B15" i="147"/>
  <c r="B11" i="147"/>
  <c r="B54" i="106"/>
  <c r="B13" i="109" s="1"/>
  <c r="B74" i="106"/>
  <c r="B34" i="147" s="1"/>
  <c r="B35" i="106"/>
  <c r="B70" i="106"/>
  <c r="B67" i="160"/>
  <c r="B66" i="106" s="1"/>
  <c r="B90" i="146" s="1"/>
  <c r="B71" i="150" s="1"/>
  <c r="B16" i="160"/>
  <c r="B19" i="160"/>
  <c r="B25" i="160"/>
  <c r="B22" i="106" s="1"/>
  <c r="B28" i="160"/>
  <c r="M4" i="147"/>
  <c r="B4" i="106"/>
  <c r="B49" i="161"/>
  <c r="K123" i="161"/>
  <c r="L122" i="161"/>
  <c r="L88" i="161"/>
  <c r="K89" i="161"/>
  <c r="K78" i="161"/>
  <c r="K47" i="161"/>
  <c r="L46" i="161"/>
  <c r="C39" i="110"/>
  <c r="C50" i="110"/>
  <c r="C55" i="110"/>
  <c r="B9" i="81"/>
  <c r="B65" i="110"/>
  <c r="B20" i="81"/>
  <c r="B89" i="110"/>
  <c r="B14" i="81"/>
  <c r="B77" i="110"/>
  <c r="B4" i="110"/>
  <c r="B11" i="110"/>
  <c r="C8" i="153"/>
  <c r="C7" i="153"/>
  <c r="A136" i="110" s="1"/>
  <c r="B34" i="160"/>
  <c r="B11" i="170" s="1"/>
  <c r="C6" i="153"/>
  <c r="A150" i="110" s="1"/>
  <c r="C9" i="153"/>
  <c r="B51" i="161"/>
  <c r="V11" i="109"/>
  <c r="V14" i="109"/>
  <c r="C6" i="109"/>
  <c r="G6" i="109"/>
  <c r="F6" i="109" s="1"/>
  <c r="E6" i="109" s="1"/>
  <c r="D6" i="109" s="1"/>
  <c r="C21" i="98"/>
  <c r="B11" i="94" l="1"/>
  <c r="B160" i="146"/>
  <c r="B90" i="150" s="1"/>
  <c r="B158" i="146"/>
  <c r="B88" i="150" s="1"/>
  <c r="M194" i="146"/>
  <c r="E109" i="150" s="1"/>
  <c r="B48" i="110"/>
  <c r="B66" i="147"/>
  <c r="M197" i="146"/>
  <c r="E112" i="150" s="1"/>
  <c r="B31" i="106"/>
  <c r="M196" i="146"/>
  <c r="E111" i="150" s="1"/>
  <c r="B157" i="146"/>
  <c r="B87" i="150" s="1"/>
  <c r="B25" i="106"/>
  <c r="B12" i="170"/>
  <c r="B15" i="106"/>
  <c r="B8" i="170"/>
  <c r="B19" i="110"/>
  <c r="B16" i="147"/>
  <c r="A109" i="110"/>
  <c r="A111" i="110"/>
  <c r="A113" i="110"/>
  <c r="A115" i="110"/>
  <c r="M5" i="147"/>
  <c r="B79" i="146"/>
  <c r="B50" i="150" s="1"/>
  <c r="B51" i="150"/>
  <c r="B17" i="147"/>
  <c r="B12" i="121"/>
  <c r="B59" i="147"/>
  <c r="B239" i="146"/>
  <c r="B98" i="147"/>
  <c r="B60" i="147"/>
  <c r="B240" i="146"/>
  <c r="B58" i="147"/>
  <c r="B238" i="146"/>
  <c r="B29" i="147"/>
  <c r="B92" i="146"/>
  <c r="B76" i="150" s="1"/>
  <c r="B14" i="109"/>
  <c r="B63" i="161"/>
  <c r="B62" i="161"/>
  <c r="B32" i="147"/>
  <c r="B54" i="161"/>
  <c r="B58" i="161"/>
  <c r="B57" i="161"/>
  <c r="B52" i="161"/>
  <c r="N4" i="147"/>
  <c r="B11" i="109"/>
  <c r="B56" i="161"/>
  <c r="B53" i="161"/>
  <c r="B125" i="161"/>
  <c r="B55" i="161"/>
  <c r="L123" i="161"/>
  <c r="M122" i="161"/>
  <c r="L89" i="161"/>
  <c r="M88" i="161"/>
  <c r="L78" i="161"/>
  <c r="L47" i="161"/>
  <c r="M46" i="161"/>
  <c r="H6" i="109"/>
  <c r="H4" i="109" s="1"/>
  <c r="N5" i="147" l="1"/>
  <c r="I4" i="109"/>
  <c r="H29" i="109"/>
  <c r="M104" i="161"/>
  <c r="O4" i="147"/>
  <c r="M123" i="161"/>
  <c r="N122" i="161"/>
  <c r="M89" i="161"/>
  <c r="N88" i="161"/>
  <c r="M78" i="161"/>
  <c r="N46" i="161"/>
  <c r="M47" i="161"/>
  <c r="I6" i="109"/>
  <c r="H15" i="109"/>
  <c r="AJ9" i="158" a="1"/>
  <c r="AJ9" i="158" s="1"/>
  <c r="AJ10" i="158" a="1"/>
  <c r="AJ10" i="158" s="1"/>
  <c r="AJ11" i="158" a="1"/>
  <c r="AJ11" i="158" s="1"/>
  <c r="AJ12" i="158" a="1"/>
  <c r="AJ12" i="158" s="1"/>
  <c r="AJ13" i="158" a="1"/>
  <c r="AJ13" i="158" s="1"/>
  <c r="AJ14" i="158" a="1"/>
  <c r="AJ14" i="158" s="1"/>
  <c r="AJ15" i="158" a="1"/>
  <c r="AJ15" i="158" s="1"/>
  <c r="AJ16" i="158" a="1"/>
  <c r="AJ16" i="158" s="1"/>
  <c r="AJ17" i="158" a="1"/>
  <c r="AJ17" i="158" s="1"/>
  <c r="AJ18" i="158" a="1"/>
  <c r="AJ18" i="158" s="1"/>
  <c r="AJ19" i="158" a="1"/>
  <c r="AJ19" i="158" s="1"/>
  <c r="AJ20" i="158" a="1"/>
  <c r="AJ20" i="158" s="1"/>
  <c r="AJ21" i="158" a="1"/>
  <c r="AJ21" i="158" s="1"/>
  <c r="AJ22" i="158" a="1"/>
  <c r="AJ22" i="158" s="1"/>
  <c r="AJ23" i="158" a="1"/>
  <c r="AJ23" i="158" s="1"/>
  <c r="AJ24" i="158" a="1"/>
  <c r="AJ24" i="158" s="1"/>
  <c r="AJ25" i="158" a="1"/>
  <c r="AJ25" i="158" s="1"/>
  <c r="AJ26" i="158" a="1"/>
  <c r="AJ26" i="158" s="1"/>
  <c r="AJ27" i="158" a="1"/>
  <c r="AJ27" i="158" s="1"/>
  <c r="AJ28" i="158" a="1"/>
  <c r="AJ28" i="158" s="1"/>
  <c r="F26" i="176" s="1"/>
  <c r="Z19" i="121" s="1"/>
  <c r="AJ29" i="158" a="1"/>
  <c r="AJ29" i="158" s="1"/>
  <c r="AJ30" i="158" a="1"/>
  <c r="AJ30" i="158" s="1"/>
  <c r="AJ31" i="158" a="1"/>
  <c r="AJ31" i="158" s="1"/>
  <c r="AJ32" i="158" a="1"/>
  <c r="AJ32" i="158" s="1"/>
  <c r="AJ33" i="158" a="1"/>
  <c r="AJ33" i="158" s="1"/>
  <c r="AJ34" i="158" a="1"/>
  <c r="AJ34" i="158" s="1"/>
  <c r="AJ35" i="158" a="1"/>
  <c r="AJ35" i="158" s="1"/>
  <c r="AJ36" i="158" a="1"/>
  <c r="AJ36" i="158" s="1"/>
  <c r="AJ37" i="158" a="1"/>
  <c r="AJ37" i="158" s="1"/>
  <c r="AJ38" i="158" a="1"/>
  <c r="AJ38" i="158" s="1"/>
  <c r="AJ39" i="158" a="1"/>
  <c r="AJ39" i="158" s="1"/>
  <c r="AJ40" i="158" a="1"/>
  <c r="AJ40" i="158" s="1"/>
  <c r="AJ41" i="158" a="1"/>
  <c r="AJ41" i="158" s="1"/>
  <c r="AJ42" i="158" a="1"/>
  <c r="AJ42" i="158" s="1"/>
  <c r="AJ43" i="158" a="1"/>
  <c r="AJ43" i="158" s="1"/>
  <c r="AJ44" i="158" a="1"/>
  <c r="AJ44" i="158" s="1"/>
  <c r="AJ45" i="158" a="1"/>
  <c r="AJ45" i="158" s="1"/>
  <c r="AJ46" i="158" a="1"/>
  <c r="AJ46" i="158" s="1"/>
  <c r="AJ47" i="158" a="1"/>
  <c r="AJ47" i="158" s="1"/>
  <c r="AJ48" i="158" a="1"/>
  <c r="AJ48" i="158" s="1"/>
  <c r="AJ49" i="158" a="1"/>
  <c r="AJ49" i="158" s="1"/>
  <c r="AJ50" i="158" a="1"/>
  <c r="AJ50" i="158" s="1"/>
  <c r="AJ51" i="158" a="1"/>
  <c r="AJ51" i="158" s="1"/>
  <c r="AJ52" i="158" a="1"/>
  <c r="AJ52" i="158" s="1"/>
  <c r="AJ53" i="158" a="1"/>
  <c r="AJ53" i="158" s="1"/>
  <c r="AJ54" i="158" a="1"/>
  <c r="AJ54" i="158" s="1"/>
  <c r="AJ55" i="158" a="1"/>
  <c r="AJ55" i="158" s="1"/>
  <c r="AJ56" i="158" a="1"/>
  <c r="AJ56" i="158" s="1"/>
  <c r="AJ57" i="158" a="1"/>
  <c r="AJ57" i="158" s="1"/>
  <c r="AJ58" i="158" a="1"/>
  <c r="AJ58" i="158" s="1"/>
  <c r="AJ59" i="158" a="1"/>
  <c r="AJ59" i="158" s="1"/>
  <c r="AJ60" i="158" a="1"/>
  <c r="AJ60" i="158" s="1"/>
  <c r="AJ61" i="158" a="1"/>
  <c r="AJ61" i="158" s="1"/>
  <c r="AJ62" i="158" a="1"/>
  <c r="AJ62" i="158" s="1"/>
  <c r="AJ63" i="158" a="1"/>
  <c r="AJ63" i="158" s="1"/>
  <c r="AJ64" i="158" a="1"/>
  <c r="AJ64" i="158" s="1"/>
  <c r="AJ65" i="158" a="1"/>
  <c r="AJ65" i="158" s="1"/>
  <c r="AJ66" i="158" a="1"/>
  <c r="AJ66" i="158" s="1"/>
  <c r="AJ67" i="158" a="1"/>
  <c r="AJ67" i="158" s="1"/>
  <c r="AJ68" i="158" a="1"/>
  <c r="AJ68" i="158" s="1"/>
  <c r="AJ69" i="158" a="1"/>
  <c r="AJ69" i="158" s="1"/>
  <c r="AJ70" i="158" a="1"/>
  <c r="AJ70" i="158" s="1"/>
  <c r="AJ71" i="158" a="1"/>
  <c r="AJ71" i="158" s="1"/>
  <c r="AJ72" i="158" a="1"/>
  <c r="AJ72" i="158" s="1"/>
  <c r="AJ73" i="158" a="1"/>
  <c r="AJ73" i="158" s="1"/>
  <c r="AJ74" i="158" a="1"/>
  <c r="AJ74" i="158" s="1"/>
  <c r="AJ75" i="158" a="1"/>
  <c r="AJ75" i="158" s="1"/>
  <c r="AJ76" i="158" a="1"/>
  <c r="AJ76" i="158" s="1"/>
  <c r="AJ77" i="158" a="1"/>
  <c r="AJ77" i="158" s="1"/>
  <c r="AJ78" i="158" a="1"/>
  <c r="AJ78" i="158" s="1"/>
  <c r="AJ79" i="158" a="1"/>
  <c r="AJ79" i="158" s="1"/>
  <c r="AJ80" i="158" a="1"/>
  <c r="AJ80" i="158" s="1"/>
  <c r="AJ81" i="158" a="1"/>
  <c r="AJ81" i="158" s="1"/>
  <c r="AJ82" i="158" a="1"/>
  <c r="AJ82" i="158" s="1"/>
  <c r="AJ83" i="158" a="1"/>
  <c r="AJ83" i="158" s="1"/>
  <c r="AJ84" i="158" a="1"/>
  <c r="AJ84" i="158" s="1"/>
  <c r="AJ85" i="158" a="1"/>
  <c r="AJ85" i="158" s="1"/>
  <c r="AJ86" i="158" a="1"/>
  <c r="AJ86" i="158" s="1"/>
  <c r="AJ87" i="158" a="1"/>
  <c r="AJ87" i="158" s="1"/>
  <c r="AJ88" i="158" a="1"/>
  <c r="AJ88" i="158" s="1"/>
  <c r="AJ89" i="158" a="1"/>
  <c r="AJ89" i="158" s="1"/>
  <c r="AJ90" i="158" a="1"/>
  <c r="AJ90" i="158" s="1"/>
  <c r="AJ91" i="158" a="1"/>
  <c r="AJ91" i="158" s="1"/>
  <c r="AJ92" i="158" a="1"/>
  <c r="AJ92" i="158" s="1"/>
  <c r="AJ93" i="158" a="1"/>
  <c r="AJ93" i="158" s="1"/>
  <c r="AJ94" i="158" a="1"/>
  <c r="AJ94" i="158" s="1"/>
  <c r="AJ95" i="158" a="1"/>
  <c r="AJ95" i="158" s="1"/>
  <c r="AJ96" i="158" a="1"/>
  <c r="AJ96" i="158" s="1"/>
  <c r="AJ97" i="158" a="1"/>
  <c r="AJ97" i="158" s="1"/>
  <c r="AJ98" i="158" a="1"/>
  <c r="AJ98" i="158" s="1"/>
  <c r="AJ99" i="158" a="1"/>
  <c r="AJ99" i="158" s="1"/>
  <c r="AJ100" i="158" a="1"/>
  <c r="AJ100" i="158" s="1"/>
  <c r="AJ101" i="158" a="1"/>
  <c r="AJ101" i="158" s="1"/>
  <c r="AJ8" i="158" a="1"/>
  <c r="AJ8" i="158" s="1"/>
  <c r="AJ7" i="158" a="1"/>
  <c r="AJ7" i="158" s="1"/>
  <c r="AH8" i="158" a="1"/>
  <c r="AH8" i="158" s="1"/>
  <c r="AH9" i="158" a="1"/>
  <c r="AH9" i="158" s="1"/>
  <c r="AH10" i="158" a="1"/>
  <c r="AH10" i="158" s="1"/>
  <c r="AH11" i="158" a="1"/>
  <c r="AH11" i="158" s="1"/>
  <c r="AH12" i="158" a="1"/>
  <c r="AH12" i="158" s="1"/>
  <c r="AH13" i="158" a="1"/>
  <c r="AH13" i="158" s="1"/>
  <c r="AH14" i="158" a="1"/>
  <c r="AH14" i="158" s="1"/>
  <c r="AH15" i="158" a="1"/>
  <c r="AH15" i="158" s="1"/>
  <c r="AH16" i="158" a="1"/>
  <c r="AH16" i="158" s="1"/>
  <c r="AH17" i="158" a="1"/>
  <c r="AH17" i="158" s="1"/>
  <c r="AH18" i="158" a="1"/>
  <c r="AH18" i="158" s="1"/>
  <c r="AH19" i="158" a="1"/>
  <c r="AH19" i="158" s="1"/>
  <c r="AH20" i="158" a="1"/>
  <c r="AH20" i="158" s="1"/>
  <c r="AH21" i="158" a="1"/>
  <c r="AH21" i="158" s="1"/>
  <c r="AH22" i="158" a="1"/>
  <c r="AH22" i="158" s="1"/>
  <c r="AH23" i="158" a="1"/>
  <c r="AH23" i="158" s="1"/>
  <c r="AH24" i="158" a="1"/>
  <c r="AH24" i="158" s="1"/>
  <c r="AH25" i="158" a="1"/>
  <c r="AH25" i="158" s="1"/>
  <c r="AH26" i="158" a="1"/>
  <c r="AH26" i="158" s="1"/>
  <c r="AH27" i="158" a="1"/>
  <c r="AH27" i="158" s="1"/>
  <c r="AH28" i="158" a="1"/>
  <c r="AH28" i="158" s="1"/>
  <c r="F22" i="176" s="1"/>
  <c r="AH29" i="158" a="1"/>
  <c r="AH29" i="158" s="1"/>
  <c r="AH30" i="158" a="1"/>
  <c r="AH30" i="158" s="1"/>
  <c r="AH31" i="158" a="1"/>
  <c r="AH31" i="158" s="1"/>
  <c r="AH32" i="158" a="1"/>
  <c r="AH32" i="158" s="1"/>
  <c r="AH33" i="158" a="1"/>
  <c r="AH33" i="158" s="1"/>
  <c r="AH34" i="158" a="1"/>
  <c r="AH34" i="158" s="1"/>
  <c r="AH35" i="158" a="1"/>
  <c r="AH35" i="158" s="1"/>
  <c r="AH36" i="158" a="1"/>
  <c r="AH36" i="158" s="1"/>
  <c r="AH37" i="158" a="1"/>
  <c r="AH37" i="158" s="1"/>
  <c r="AH38" i="158" a="1"/>
  <c r="AH38" i="158" s="1"/>
  <c r="AH39" i="158" a="1"/>
  <c r="AH39" i="158" s="1"/>
  <c r="AH40" i="158" a="1"/>
  <c r="AH40" i="158" s="1"/>
  <c r="AH41" i="158" a="1"/>
  <c r="AH41" i="158" s="1"/>
  <c r="AH42" i="158" a="1"/>
  <c r="AH42" i="158" s="1"/>
  <c r="AH43" i="158" a="1"/>
  <c r="AH43" i="158" s="1"/>
  <c r="AH44" i="158" a="1"/>
  <c r="AH44" i="158" s="1"/>
  <c r="AH45" i="158" a="1"/>
  <c r="AH45" i="158" s="1"/>
  <c r="AH46" i="158" a="1"/>
  <c r="AH46" i="158" s="1"/>
  <c r="AH47" i="158" a="1"/>
  <c r="AH47" i="158" s="1"/>
  <c r="AH48" i="158" a="1"/>
  <c r="AH48" i="158" s="1"/>
  <c r="AH49" i="158" a="1"/>
  <c r="AH49" i="158" s="1"/>
  <c r="AH50" i="158" a="1"/>
  <c r="AH50" i="158" s="1"/>
  <c r="AH51" i="158" a="1"/>
  <c r="AH51" i="158" s="1"/>
  <c r="AH52" i="158" a="1"/>
  <c r="AH52" i="158" s="1"/>
  <c r="AH53" i="158" a="1"/>
  <c r="AH53" i="158" s="1"/>
  <c r="AH54" i="158" a="1"/>
  <c r="AH54" i="158" s="1"/>
  <c r="AH55" i="158" a="1"/>
  <c r="AH55" i="158" s="1"/>
  <c r="AH56" i="158" a="1"/>
  <c r="AH56" i="158" s="1"/>
  <c r="AH57" i="158" a="1"/>
  <c r="AH57" i="158" s="1"/>
  <c r="AH58" i="158" a="1"/>
  <c r="AH58" i="158" s="1"/>
  <c r="AH59" i="158" a="1"/>
  <c r="AH59" i="158" s="1"/>
  <c r="AH60" i="158" a="1"/>
  <c r="AH60" i="158" s="1"/>
  <c r="AH61" i="158" a="1"/>
  <c r="AH61" i="158" s="1"/>
  <c r="AH62" i="158" a="1"/>
  <c r="AH62" i="158" s="1"/>
  <c r="AH63" i="158" a="1"/>
  <c r="AH63" i="158" s="1"/>
  <c r="AH64" i="158" a="1"/>
  <c r="AH64" i="158" s="1"/>
  <c r="AH65" i="158" a="1"/>
  <c r="AH65" i="158" s="1"/>
  <c r="AH66" i="158" a="1"/>
  <c r="AH66" i="158" s="1"/>
  <c r="AH67" i="158" a="1"/>
  <c r="AH67" i="158" s="1"/>
  <c r="AH68" i="158" a="1"/>
  <c r="AH68" i="158" s="1"/>
  <c r="AH69" i="158" a="1"/>
  <c r="AH69" i="158" s="1"/>
  <c r="AH70" i="158" a="1"/>
  <c r="AH70" i="158" s="1"/>
  <c r="AH71" i="158" a="1"/>
  <c r="AH71" i="158" s="1"/>
  <c r="AH72" i="158" a="1"/>
  <c r="AH72" i="158" s="1"/>
  <c r="AH73" i="158" a="1"/>
  <c r="AH73" i="158" s="1"/>
  <c r="AH74" i="158" a="1"/>
  <c r="AH74" i="158" s="1"/>
  <c r="AH75" i="158" a="1"/>
  <c r="AH75" i="158" s="1"/>
  <c r="AH76" i="158" a="1"/>
  <c r="AH76" i="158" s="1"/>
  <c r="AH77" i="158" a="1"/>
  <c r="AH77" i="158" s="1"/>
  <c r="AH78" i="158" a="1"/>
  <c r="AH78" i="158" s="1"/>
  <c r="AH79" i="158" a="1"/>
  <c r="AH79" i="158" s="1"/>
  <c r="AH80" i="158" a="1"/>
  <c r="AH80" i="158" s="1"/>
  <c r="AH81" i="158" a="1"/>
  <c r="AH81" i="158" s="1"/>
  <c r="AH82" i="158" a="1"/>
  <c r="AH82" i="158" s="1"/>
  <c r="AH83" i="158" a="1"/>
  <c r="AH83" i="158" s="1"/>
  <c r="AH84" i="158" a="1"/>
  <c r="AH84" i="158" s="1"/>
  <c r="AH85" i="158" a="1"/>
  <c r="AH85" i="158" s="1"/>
  <c r="AH86" i="158" a="1"/>
  <c r="AH86" i="158" s="1"/>
  <c r="AH87" i="158" a="1"/>
  <c r="AH87" i="158" s="1"/>
  <c r="AH88" i="158" a="1"/>
  <c r="AH88" i="158" s="1"/>
  <c r="AH89" i="158" a="1"/>
  <c r="AH89" i="158" s="1"/>
  <c r="AH90" i="158" a="1"/>
  <c r="AH90" i="158" s="1"/>
  <c r="AH91" i="158" a="1"/>
  <c r="AH91" i="158" s="1"/>
  <c r="AH92" i="158" a="1"/>
  <c r="AH92" i="158" s="1"/>
  <c r="AH93" i="158" a="1"/>
  <c r="AH93" i="158" s="1"/>
  <c r="AH94" i="158" a="1"/>
  <c r="AH94" i="158" s="1"/>
  <c r="AH95" i="158" a="1"/>
  <c r="AH95" i="158" s="1"/>
  <c r="AH96" i="158" a="1"/>
  <c r="AH96" i="158" s="1"/>
  <c r="AH97" i="158" a="1"/>
  <c r="AH97" i="158" s="1"/>
  <c r="AH98" i="158" a="1"/>
  <c r="AH98" i="158" s="1"/>
  <c r="AH99" i="158" a="1"/>
  <c r="AH99" i="158" s="1"/>
  <c r="AH100" i="158" a="1"/>
  <c r="AH100" i="158" s="1"/>
  <c r="AH101" i="158" a="1"/>
  <c r="AH101" i="158" s="1"/>
  <c r="AH7" i="158" a="1"/>
  <c r="AH7" i="158" s="1"/>
  <c r="AF8" i="158" a="1"/>
  <c r="AF8" i="158" s="1"/>
  <c r="AF9" i="158" a="1"/>
  <c r="AF9" i="158" s="1"/>
  <c r="AF10" i="158" a="1"/>
  <c r="AF10" i="158" s="1"/>
  <c r="AF11" i="158" a="1"/>
  <c r="AF11" i="158" s="1"/>
  <c r="AF12" i="158" a="1"/>
  <c r="AF12" i="158" s="1"/>
  <c r="AF13" i="158" a="1"/>
  <c r="AF13" i="158" s="1"/>
  <c r="AF14" i="158" a="1"/>
  <c r="AF14" i="158" s="1"/>
  <c r="AF15" i="158" a="1"/>
  <c r="AF15" i="158" s="1"/>
  <c r="AF16" i="158" a="1"/>
  <c r="AF16" i="158" s="1"/>
  <c r="AF17" i="158" a="1"/>
  <c r="AF17" i="158" s="1"/>
  <c r="AF18" i="158" a="1"/>
  <c r="AF18" i="158" s="1"/>
  <c r="AF19" i="158" a="1"/>
  <c r="AF19" i="158" s="1"/>
  <c r="AF20" i="158" a="1"/>
  <c r="AF20" i="158" s="1"/>
  <c r="AF21" i="158" a="1"/>
  <c r="AF21" i="158" s="1"/>
  <c r="AF22" i="158" a="1"/>
  <c r="AF22" i="158" s="1"/>
  <c r="AF23" i="158" a="1"/>
  <c r="AF23" i="158" s="1"/>
  <c r="AF24" i="158" a="1"/>
  <c r="AF24" i="158" s="1"/>
  <c r="AF25" i="158" a="1"/>
  <c r="AF25" i="158" s="1"/>
  <c r="AF26" i="158" a="1"/>
  <c r="AF26" i="158" s="1"/>
  <c r="AF27" i="158" a="1"/>
  <c r="AF27" i="158" s="1"/>
  <c r="AF28" i="158" a="1"/>
  <c r="AF28" i="158" s="1"/>
  <c r="F18" i="176" s="1"/>
  <c r="Z17" i="121" s="1"/>
  <c r="AF29" i="158" a="1"/>
  <c r="AF29" i="158" s="1"/>
  <c r="AF30" i="158" a="1"/>
  <c r="AF30" i="158" s="1"/>
  <c r="AF31" i="158" a="1"/>
  <c r="AF31" i="158" s="1"/>
  <c r="AF32" i="158" a="1"/>
  <c r="AF32" i="158" s="1"/>
  <c r="AF33" i="158" a="1"/>
  <c r="AF33" i="158" s="1"/>
  <c r="AF34" i="158" a="1"/>
  <c r="AF34" i="158" s="1"/>
  <c r="AF35" i="158" a="1"/>
  <c r="AF35" i="158" s="1"/>
  <c r="AF36" i="158" a="1"/>
  <c r="AF36" i="158" s="1"/>
  <c r="AF37" i="158" a="1"/>
  <c r="AF37" i="158" s="1"/>
  <c r="AF38" i="158" a="1"/>
  <c r="AF38" i="158" s="1"/>
  <c r="AF39" i="158" a="1"/>
  <c r="AF39" i="158" s="1"/>
  <c r="AF40" i="158" a="1"/>
  <c r="AF40" i="158" s="1"/>
  <c r="AF41" i="158" a="1"/>
  <c r="AF41" i="158" s="1"/>
  <c r="AF42" i="158" a="1"/>
  <c r="AF42" i="158" s="1"/>
  <c r="AF43" i="158" a="1"/>
  <c r="AF43" i="158" s="1"/>
  <c r="AF44" i="158" a="1"/>
  <c r="AF44" i="158" s="1"/>
  <c r="AF45" i="158" a="1"/>
  <c r="AF45" i="158" s="1"/>
  <c r="AF46" i="158" a="1"/>
  <c r="AF46" i="158" s="1"/>
  <c r="AF47" i="158" a="1"/>
  <c r="AF47" i="158" s="1"/>
  <c r="AF48" i="158" a="1"/>
  <c r="AF48" i="158" s="1"/>
  <c r="AF49" i="158" a="1"/>
  <c r="AF49" i="158" s="1"/>
  <c r="AF50" i="158" a="1"/>
  <c r="AF50" i="158" s="1"/>
  <c r="AF51" i="158" a="1"/>
  <c r="AF51" i="158" s="1"/>
  <c r="AF52" i="158" a="1"/>
  <c r="AF52" i="158" s="1"/>
  <c r="AF53" i="158" a="1"/>
  <c r="AF53" i="158" s="1"/>
  <c r="AF54" i="158" a="1"/>
  <c r="AF54" i="158" s="1"/>
  <c r="AF55" i="158" a="1"/>
  <c r="AF55" i="158" s="1"/>
  <c r="AF56" i="158" a="1"/>
  <c r="AF56" i="158" s="1"/>
  <c r="AF57" i="158" a="1"/>
  <c r="AF57" i="158" s="1"/>
  <c r="AF58" i="158" a="1"/>
  <c r="AF58" i="158" s="1"/>
  <c r="AF59" i="158" a="1"/>
  <c r="AF59" i="158" s="1"/>
  <c r="AF60" i="158" a="1"/>
  <c r="AF60" i="158" s="1"/>
  <c r="AF61" i="158" a="1"/>
  <c r="AF61" i="158" s="1"/>
  <c r="AF62" i="158" a="1"/>
  <c r="AF62" i="158" s="1"/>
  <c r="AF63" i="158" a="1"/>
  <c r="AF63" i="158" s="1"/>
  <c r="AF64" i="158" a="1"/>
  <c r="AF64" i="158" s="1"/>
  <c r="AF65" i="158" a="1"/>
  <c r="AF65" i="158" s="1"/>
  <c r="AF66" i="158" a="1"/>
  <c r="AF66" i="158" s="1"/>
  <c r="AF67" i="158" a="1"/>
  <c r="AF67" i="158" s="1"/>
  <c r="AF68" i="158" a="1"/>
  <c r="AF68" i="158" s="1"/>
  <c r="AF69" i="158" a="1"/>
  <c r="AF69" i="158" s="1"/>
  <c r="AF70" i="158" a="1"/>
  <c r="AF70" i="158" s="1"/>
  <c r="AF71" i="158" a="1"/>
  <c r="AF71" i="158" s="1"/>
  <c r="AF72" i="158" a="1"/>
  <c r="AF72" i="158" s="1"/>
  <c r="AF73" i="158" a="1"/>
  <c r="AF73" i="158" s="1"/>
  <c r="AF74" i="158" a="1"/>
  <c r="AF74" i="158" s="1"/>
  <c r="AF75" i="158" a="1"/>
  <c r="AF75" i="158" s="1"/>
  <c r="AF76" i="158" a="1"/>
  <c r="AF76" i="158" s="1"/>
  <c r="AF77" i="158" a="1"/>
  <c r="AF77" i="158" s="1"/>
  <c r="AF78" i="158" a="1"/>
  <c r="AF78" i="158" s="1"/>
  <c r="AF79" i="158" a="1"/>
  <c r="AF79" i="158" s="1"/>
  <c r="AF80" i="158" a="1"/>
  <c r="AF80" i="158" s="1"/>
  <c r="AF81" i="158" a="1"/>
  <c r="AF81" i="158" s="1"/>
  <c r="AF82" i="158" a="1"/>
  <c r="AF82" i="158" s="1"/>
  <c r="AF83" i="158" a="1"/>
  <c r="AF83" i="158" s="1"/>
  <c r="AF84" i="158" a="1"/>
  <c r="AF84" i="158" s="1"/>
  <c r="AF85" i="158" a="1"/>
  <c r="AF85" i="158" s="1"/>
  <c r="AF86" i="158" a="1"/>
  <c r="AF86" i="158" s="1"/>
  <c r="AF87" i="158" a="1"/>
  <c r="AF87" i="158" s="1"/>
  <c r="AF88" i="158" a="1"/>
  <c r="AF88" i="158" s="1"/>
  <c r="AF89" i="158" a="1"/>
  <c r="AF89" i="158" s="1"/>
  <c r="AF90" i="158" a="1"/>
  <c r="AF90" i="158" s="1"/>
  <c r="AF91" i="158" a="1"/>
  <c r="AF91" i="158" s="1"/>
  <c r="AF92" i="158" a="1"/>
  <c r="AF92" i="158" s="1"/>
  <c r="AF93" i="158" a="1"/>
  <c r="AF93" i="158" s="1"/>
  <c r="AF94" i="158" a="1"/>
  <c r="AF94" i="158" s="1"/>
  <c r="AF95" i="158" a="1"/>
  <c r="AF95" i="158" s="1"/>
  <c r="AF96" i="158" a="1"/>
  <c r="AF96" i="158" s="1"/>
  <c r="AF97" i="158" a="1"/>
  <c r="AF97" i="158" s="1"/>
  <c r="AF98" i="158" a="1"/>
  <c r="AF98" i="158" s="1"/>
  <c r="AF99" i="158" a="1"/>
  <c r="AF99" i="158" s="1"/>
  <c r="AF100" i="158" a="1"/>
  <c r="AF100" i="158" s="1"/>
  <c r="AF101" i="158" a="1"/>
  <c r="AF101" i="158" s="1"/>
  <c r="AF7" i="158" a="1"/>
  <c r="AF7" i="158" s="1"/>
  <c r="Z18" i="121" l="1"/>
  <c r="O5" i="147"/>
  <c r="I15" i="109"/>
  <c r="N110" i="161"/>
  <c r="P4" i="147"/>
  <c r="N123" i="161"/>
  <c r="O122" i="161"/>
  <c r="O88" i="161"/>
  <c r="N89" i="161"/>
  <c r="N78" i="161"/>
  <c r="N47" i="161"/>
  <c r="O46" i="161"/>
  <c r="I7" i="109"/>
  <c r="J6" i="109"/>
  <c r="P5" i="147" l="1"/>
  <c r="J4" i="109"/>
  <c r="J15" i="109"/>
  <c r="O110" i="161"/>
  <c r="O104" i="161"/>
  <c r="Q4" i="147"/>
  <c r="P122" i="161"/>
  <c r="O123" i="161"/>
  <c r="O89" i="161"/>
  <c r="P88" i="161"/>
  <c r="O78" i="161"/>
  <c r="O47" i="161"/>
  <c r="P46" i="161"/>
  <c r="J7" i="109"/>
  <c r="K6" i="109"/>
  <c r="Q5" i="147" l="1"/>
  <c r="K15" i="109"/>
  <c r="K4" i="109"/>
  <c r="K29" i="109" s="1"/>
  <c r="P104" i="161"/>
  <c r="P110" i="161"/>
  <c r="P123" i="161"/>
  <c r="Q122" i="161"/>
  <c r="P89" i="161"/>
  <c r="Q88" i="161"/>
  <c r="P78" i="161"/>
  <c r="P47" i="161"/>
  <c r="Q46" i="161"/>
  <c r="L6" i="109"/>
  <c r="K7" i="109"/>
  <c r="S25" i="121"/>
  <c r="L15" i="109" l="1"/>
  <c r="L4" i="109"/>
  <c r="L29" i="109" s="1"/>
  <c r="Q104" i="161"/>
  <c r="Q110" i="161"/>
  <c r="Q89" i="161"/>
  <c r="Q114" i="161" s="1"/>
  <c r="Q60" i="161" s="1"/>
  <c r="Q123" i="161"/>
  <c r="R122" i="161" a="1"/>
  <c r="R122" i="161" s="1"/>
  <c r="Q78" i="161"/>
  <c r="Q76" i="161"/>
  <c r="Q47" i="161"/>
  <c r="L7" i="109"/>
  <c r="M6" i="109"/>
  <c r="AA18" i="121" l="1"/>
  <c r="AA17" i="121"/>
  <c r="M4" i="109"/>
  <c r="M29" i="109" s="1"/>
  <c r="M15" i="109"/>
  <c r="N6" i="109"/>
  <c r="M7" i="109"/>
  <c r="AB24" i="121" l="1"/>
  <c r="X24" i="121"/>
  <c r="N4" i="109"/>
  <c r="N29" i="109" s="1"/>
  <c r="N15" i="109"/>
  <c r="O6" i="109"/>
  <c r="N7" i="109"/>
  <c r="Z24" i="121" l="1"/>
  <c r="Y24" i="121"/>
  <c r="O4" i="109"/>
  <c r="O29" i="109" s="1"/>
  <c r="AA24" i="121"/>
  <c r="O15" i="109"/>
  <c r="P6" i="109"/>
  <c r="O7" i="109"/>
  <c r="P4" i="109" l="1"/>
  <c r="P29" i="109" s="1"/>
  <c r="P15" i="109"/>
  <c r="Q6" i="109"/>
  <c r="P7" i="109"/>
  <c r="E10" i="92"/>
  <c r="G4" i="145"/>
  <c r="G30" i="145" l="1"/>
  <c r="G38" i="106" s="1"/>
  <c r="G26" i="145"/>
  <c r="G33" i="106" s="1"/>
  <c r="AB26" i="121"/>
  <c r="X26" i="121"/>
  <c r="Q4" i="109"/>
  <c r="Q29" i="109" s="1"/>
  <c r="Y25" i="121"/>
  <c r="AA25" i="121"/>
  <c r="Z25" i="121"/>
  <c r="F4" i="145"/>
  <c r="G42" i="145"/>
  <c r="G7" i="145"/>
  <c r="G12" i="106" s="1"/>
  <c r="G41" i="147" s="1"/>
  <c r="G50" i="145"/>
  <c r="G78" i="106" s="1"/>
  <c r="G18" i="145"/>
  <c r="G38" i="145"/>
  <c r="G58" i="106" s="1"/>
  <c r="G34" i="145"/>
  <c r="G22" i="145"/>
  <c r="G28" i="106" s="1"/>
  <c r="G46" i="145"/>
  <c r="AA26" i="121"/>
  <c r="Y26" i="121"/>
  <c r="Z26" i="121"/>
  <c r="AG39" i="109" s="1"/>
  <c r="AH39" i="109" s="1"/>
  <c r="AI39" i="109" s="1"/>
  <c r="AJ39" i="109" s="1"/>
  <c r="AK39" i="109" s="1"/>
  <c r="H4" i="145"/>
  <c r="Q15" i="109"/>
  <c r="Q7" i="109"/>
  <c r="G6" i="98"/>
  <c r="H6" i="98" s="1"/>
  <c r="C6" i="98"/>
  <c r="G4" i="121"/>
  <c r="H4" i="121" s="1"/>
  <c r="I4" i="121" s="1"/>
  <c r="E54" i="94"/>
  <c r="E52" i="94"/>
  <c r="E51" i="94"/>
  <c r="E49" i="94"/>
  <c r="H26" i="94"/>
  <c r="G11" i="94"/>
  <c r="F167" i="146" s="1"/>
  <c r="E99" i="150" s="1"/>
  <c r="F11" i="94"/>
  <c r="E167" i="146" s="1"/>
  <c r="D99" i="150" s="1"/>
  <c r="G10" i="94"/>
  <c r="F166" i="146" s="1"/>
  <c r="E98" i="150" s="1"/>
  <c r="F10" i="94"/>
  <c r="E166" i="146" s="1"/>
  <c r="D98" i="150" s="1"/>
  <c r="D166" i="146"/>
  <c r="C98" i="150" s="1"/>
  <c r="G8" i="94"/>
  <c r="F165" i="146" s="1"/>
  <c r="E97" i="150" s="1"/>
  <c r="F8" i="94"/>
  <c r="E165" i="146" s="1"/>
  <c r="D97" i="150" s="1"/>
  <c r="H5" i="94"/>
  <c r="C4" i="94"/>
  <c r="H5" i="84"/>
  <c r="G4" i="84"/>
  <c r="H4" i="84" s="1"/>
  <c r="I4" i="84" s="1"/>
  <c r="C4" i="84"/>
  <c r="A135" i="110"/>
  <c r="H132" i="110"/>
  <c r="A134" i="110"/>
  <c r="A108" i="110"/>
  <c r="W107" i="110"/>
  <c r="G87" i="110"/>
  <c r="H78" i="110" s="1"/>
  <c r="F87" i="110"/>
  <c r="G82" i="110"/>
  <c r="F82" i="110"/>
  <c r="E82" i="110"/>
  <c r="E84" i="110" s="1"/>
  <c r="B80" i="110"/>
  <c r="B92" i="110" s="1"/>
  <c r="B69" i="110"/>
  <c r="B81" i="110" s="1"/>
  <c r="B93" i="110" s="1"/>
  <c r="B57" i="110"/>
  <c r="B59" i="110" s="1"/>
  <c r="G53" i="110"/>
  <c r="F53" i="110"/>
  <c r="G48" i="110"/>
  <c r="F48" i="110"/>
  <c r="B50" i="110"/>
  <c r="B51" i="110" s="1"/>
  <c r="G45" i="110"/>
  <c r="F45" i="110"/>
  <c r="G37" i="110"/>
  <c r="F37" i="110"/>
  <c r="B37" i="110"/>
  <c r="B39" i="110" s="1"/>
  <c r="B40" i="110" s="1"/>
  <c r="B41" i="110" s="1"/>
  <c r="G33" i="110"/>
  <c r="F33" i="110"/>
  <c r="G32" i="110"/>
  <c r="F32" i="110"/>
  <c r="G31" i="110"/>
  <c r="F31" i="110"/>
  <c r="G4" i="110"/>
  <c r="C4" i="110"/>
  <c r="C32" i="82"/>
  <c r="C31" i="82"/>
  <c r="B160" i="110" s="1"/>
  <c r="C30" i="82"/>
  <c r="B49" i="94" s="1"/>
  <c r="C29" i="82"/>
  <c r="C28" i="82"/>
  <c r="B155" i="110" s="1"/>
  <c r="C27" i="82"/>
  <c r="C26" i="82"/>
  <c r="C25" i="82"/>
  <c r="C24" i="82"/>
  <c r="B148" i="110" s="1"/>
  <c r="C23" i="82"/>
  <c r="C22" i="82"/>
  <c r="B31" i="110" s="1"/>
  <c r="C21" i="82"/>
  <c r="G20" i="82"/>
  <c r="F20" i="82"/>
  <c r="E20" i="82"/>
  <c r="E41" i="110" s="1"/>
  <c r="C20" i="82"/>
  <c r="B143" i="110" s="1"/>
  <c r="C19" i="82"/>
  <c r="B142" i="110" s="1"/>
  <c r="C18" i="82"/>
  <c r="C17" i="82"/>
  <c r="C16" i="82"/>
  <c r="B44" i="94" s="1"/>
  <c r="C15" i="82"/>
  <c r="G14" i="82"/>
  <c r="F14" i="82"/>
  <c r="E14" i="82"/>
  <c r="C14" i="82"/>
  <c r="B135" i="110" s="1"/>
  <c r="C13" i="82"/>
  <c r="C12" i="82"/>
  <c r="C11" i="82"/>
  <c r="C10" i="82"/>
  <c r="C9" i="82"/>
  <c r="C8" i="82"/>
  <c r="C7" i="82"/>
  <c r="G4" i="82"/>
  <c r="C4" i="82"/>
  <c r="C44" i="81"/>
  <c r="C43" i="81"/>
  <c r="C42" i="81"/>
  <c r="C41" i="81"/>
  <c r="D49" i="81" s="1"/>
  <c r="C40" i="81"/>
  <c r="C39" i="81"/>
  <c r="C38" i="81"/>
  <c r="B125" i="110" s="1"/>
  <c r="C37" i="81"/>
  <c r="C36" i="81"/>
  <c r="C35" i="81"/>
  <c r="G34" i="81"/>
  <c r="F34" i="81"/>
  <c r="E34" i="81"/>
  <c r="C34" i="81"/>
  <c r="C33" i="81"/>
  <c r="B116" i="110" s="1"/>
  <c r="C32" i="81"/>
  <c r="C31" i="81"/>
  <c r="C30" i="81"/>
  <c r="C29" i="81"/>
  <c r="G28" i="81"/>
  <c r="F28" i="81"/>
  <c r="E28" i="81"/>
  <c r="C28" i="81"/>
  <c r="C27" i="81"/>
  <c r="C26" i="81"/>
  <c r="C25" i="81"/>
  <c r="C24" i="81"/>
  <c r="C23" i="81"/>
  <c r="C22" i="81"/>
  <c r="C21" i="81"/>
  <c r="G20" i="81"/>
  <c r="F20" i="81"/>
  <c r="C20" i="81"/>
  <c r="C19" i="81"/>
  <c r="C18" i="81"/>
  <c r="C17" i="81"/>
  <c r="C16" i="81"/>
  <c r="C15" i="81"/>
  <c r="C14" i="81"/>
  <c r="C13" i="81"/>
  <c r="C12" i="81"/>
  <c r="C11" i="81"/>
  <c r="C10" i="81"/>
  <c r="G9" i="81"/>
  <c r="F9" i="81"/>
  <c r="E9" i="81"/>
  <c r="C9" i="81"/>
  <c r="C8" i="81"/>
  <c r="C7" i="81"/>
  <c r="G4" i="81"/>
  <c r="C4" i="81"/>
  <c r="B53" i="110"/>
  <c r="B55" i="110" s="1"/>
  <c r="B27" i="110"/>
  <c r="B25" i="110"/>
  <c r="B23" i="110"/>
  <c r="G4" i="106"/>
  <c r="C4" i="106"/>
  <c r="G26" i="84" l="1"/>
  <c r="G24" i="84"/>
  <c r="E16" i="84"/>
  <c r="G8" i="106"/>
  <c r="G7" i="106" s="1"/>
  <c r="F75" i="110"/>
  <c r="G66" i="110" s="1"/>
  <c r="G72" i="110" s="1"/>
  <c r="E75" i="110"/>
  <c r="E67" i="110" s="1"/>
  <c r="E69" i="110" s="1"/>
  <c r="E24" i="84"/>
  <c r="E25" i="84"/>
  <c r="H30" i="145"/>
  <c r="H26" i="145"/>
  <c r="H33" i="106" s="1"/>
  <c r="H44" i="147" s="1"/>
  <c r="G44" i="147"/>
  <c r="G30" i="106"/>
  <c r="F26" i="145"/>
  <c r="F33" i="106" s="1"/>
  <c r="G54" i="145"/>
  <c r="F4" i="82"/>
  <c r="E4" i="145"/>
  <c r="F30" i="145"/>
  <c r="F38" i="106" s="1"/>
  <c r="C166" i="110"/>
  <c r="AF39" i="109"/>
  <c r="AE39" i="109" s="1"/>
  <c r="AD39" i="109" s="1"/>
  <c r="AC39" i="109" s="1"/>
  <c r="H4" i="81"/>
  <c r="I5" i="84"/>
  <c r="C41" i="94"/>
  <c r="AB25" i="121"/>
  <c r="X25" i="121"/>
  <c r="I6" i="98"/>
  <c r="J6" i="98" s="1"/>
  <c r="H4" i="98"/>
  <c r="G63" i="106"/>
  <c r="G48" i="147" s="1"/>
  <c r="B48" i="94"/>
  <c r="B34" i="110"/>
  <c r="G68" i="106"/>
  <c r="G49" i="147" s="1"/>
  <c r="G48" i="106"/>
  <c r="G43" i="147"/>
  <c r="G18" i="106"/>
  <c r="G42" i="147" s="1"/>
  <c r="D44" i="84"/>
  <c r="G50" i="147"/>
  <c r="G74" i="106"/>
  <c r="AG25" i="109"/>
  <c r="C13" i="161"/>
  <c r="R126" i="161" s="1"/>
  <c r="G45" i="147"/>
  <c r="F41" i="110"/>
  <c r="H4" i="106"/>
  <c r="H8" i="106" s="1"/>
  <c r="B46" i="94"/>
  <c r="B146" i="110"/>
  <c r="F4" i="110"/>
  <c r="D167" i="146"/>
  <c r="C99" i="150" s="1"/>
  <c r="G7" i="94"/>
  <c r="F164" i="146" s="1"/>
  <c r="E96" i="150" s="1"/>
  <c r="F157" i="146"/>
  <c r="E87" i="150" s="1"/>
  <c r="D157" i="146"/>
  <c r="C87" i="150" s="1"/>
  <c r="F7" i="94"/>
  <c r="E164" i="146" s="1"/>
  <c r="D96" i="150" s="1"/>
  <c r="E157" i="146"/>
  <c r="D87" i="150" s="1"/>
  <c r="I4" i="145"/>
  <c r="H18" i="145"/>
  <c r="H42" i="145"/>
  <c r="H7" i="145"/>
  <c r="H12" i="106" s="1"/>
  <c r="H50" i="145"/>
  <c r="H46" i="145"/>
  <c r="H68" i="106" s="1"/>
  <c r="H38" i="145"/>
  <c r="H34" i="145"/>
  <c r="H22" i="145"/>
  <c r="H28" i="106" s="1"/>
  <c r="F18" i="145"/>
  <c r="F7" i="145"/>
  <c r="F12" i="106" s="1"/>
  <c r="F41" i="147" s="1"/>
  <c r="F50" i="145"/>
  <c r="F78" i="106" s="1"/>
  <c r="F38" i="145"/>
  <c r="F22" i="145"/>
  <c r="F28" i="106" s="1"/>
  <c r="F42" i="145"/>
  <c r="F63" i="106" s="1"/>
  <c r="F46" i="145"/>
  <c r="F34" i="145"/>
  <c r="B128" i="110"/>
  <c r="B115" i="110"/>
  <c r="B111" i="110"/>
  <c r="B113" i="110"/>
  <c r="B118" i="110"/>
  <c r="B54" i="94"/>
  <c r="B44" i="110"/>
  <c r="B51" i="94"/>
  <c r="B52" i="94"/>
  <c r="B109" i="110"/>
  <c r="G44" i="110"/>
  <c r="G75" i="110"/>
  <c r="F7" i="81"/>
  <c r="G41" i="110"/>
  <c r="B45" i="110"/>
  <c r="B53" i="94"/>
  <c r="E87" i="110"/>
  <c r="E79" i="110" s="1"/>
  <c r="B126" i="110"/>
  <c r="B157" i="110"/>
  <c r="B136" i="110"/>
  <c r="B150" i="110"/>
  <c r="B138" i="110"/>
  <c r="B144" i="110"/>
  <c r="B152" i="110"/>
  <c r="B159" i="110"/>
  <c r="B32" i="110"/>
  <c r="B45" i="94"/>
  <c r="B47" i="94"/>
  <c r="B33" i="110"/>
  <c r="B140" i="110"/>
  <c r="B154" i="110"/>
  <c r="B108" i="110"/>
  <c r="B121" i="110"/>
  <c r="B123" i="110"/>
  <c r="B119" i="110"/>
  <c r="J4" i="84"/>
  <c r="J5" i="84" s="1"/>
  <c r="G7" i="81"/>
  <c r="G98" i="110"/>
  <c r="H90" i="110" s="1"/>
  <c r="F44" i="110"/>
  <c r="F98" i="110"/>
  <c r="G90" i="110" s="1"/>
  <c r="E7" i="81"/>
  <c r="B130" i="110"/>
  <c r="E26" i="81"/>
  <c r="J4" i="121"/>
  <c r="J5" i="121" s="1"/>
  <c r="I5" i="121"/>
  <c r="G47" i="147"/>
  <c r="G35" i="110"/>
  <c r="G78" i="110"/>
  <c r="G79" i="110" s="1"/>
  <c r="F90" i="110"/>
  <c r="F35" i="110"/>
  <c r="G40" i="110" s="1"/>
  <c r="E7" i="94"/>
  <c r="D164" i="146" s="1"/>
  <c r="C96" i="150" s="1"/>
  <c r="F4" i="106"/>
  <c r="F4" i="84"/>
  <c r="E4" i="84" s="1"/>
  <c r="D4" i="84" s="1"/>
  <c r="D137" i="147" s="1"/>
  <c r="F4" i="121"/>
  <c r="E4" i="121" s="1"/>
  <c r="D4" i="121" s="1"/>
  <c r="H4" i="82"/>
  <c r="C25" i="94"/>
  <c r="F6" i="98"/>
  <c r="E6" i="98" s="1"/>
  <c r="D6" i="98" s="1"/>
  <c r="F4" i="81"/>
  <c r="H4" i="110"/>
  <c r="G32" i="106" l="1"/>
  <c r="G19" i="110" s="1"/>
  <c r="G84" i="110"/>
  <c r="G46" i="147"/>
  <c r="G44" i="106"/>
  <c r="H7" i="106"/>
  <c r="H41" i="110"/>
  <c r="I41" i="110" s="1"/>
  <c r="J41" i="110" s="1"/>
  <c r="K41" i="110" s="1"/>
  <c r="L41" i="110" s="1"/>
  <c r="M41" i="110" s="1"/>
  <c r="N41" i="110" s="1"/>
  <c r="O41" i="110" s="1"/>
  <c r="P41" i="110" s="1"/>
  <c r="Q41" i="110" s="1"/>
  <c r="F8" i="106"/>
  <c r="F7" i="106" s="1"/>
  <c r="E26" i="145"/>
  <c r="E33" i="106" s="1"/>
  <c r="E4" i="82"/>
  <c r="F44" i="147"/>
  <c r="F30" i="106"/>
  <c r="F54" i="145"/>
  <c r="H54" i="145"/>
  <c r="I26" i="145"/>
  <c r="I44" i="147" s="1"/>
  <c r="J4" i="145"/>
  <c r="J50" i="145" s="1"/>
  <c r="I30" i="145"/>
  <c r="D4" i="145"/>
  <c r="E30" i="145"/>
  <c r="B43" i="161"/>
  <c r="G108" i="147"/>
  <c r="D123" i="147"/>
  <c r="F133" i="147"/>
  <c r="E108" i="147"/>
  <c r="G125" i="147"/>
  <c r="D122" i="147"/>
  <c r="G112" i="147"/>
  <c r="E129" i="147"/>
  <c r="D105" i="147"/>
  <c r="D111" i="147"/>
  <c r="F134" i="147"/>
  <c r="D133" i="147"/>
  <c r="D104" i="147"/>
  <c r="D120" i="147"/>
  <c r="E116" i="147"/>
  <c r="E135" i="147"/>
  <c r="H105" i="147"/>
  <c r="D112" i="147"/>
  <c r="D117" i="147"/>
  <c r="G133" i="147"/>
  <c r="E121" i="147"/>
  <c r="D110" i="147"/>
  <c r="E130" i="147"/>
  <c r="E111" i="147"/>
  <c r="G131" i="147"/>
  <c r="I133" i="147"/>
  <c r="F135" i="147"/>
  <c r="AF25" i="109"/>
  <c r="AE25" i="109" s="1"/>
  <c r="AD25" i="109" s="1"/>
  <c r="AC25" i="109" s="1"/>
  <c r="AH25" i="109"/>
  <c r="AI25" i="109" s="1"/>
  <c r="AJ25" i="109" s="1"/>
  <c r="AK25" i="109" s="1"/>
  <c r="G118" i="147"/>
  <c r="G130" i="147"/>
  <c r="G107" i="147"/>
  <c r="H114" i="147"/>
  <c r="D115" i="147"/>
  <c r="D132" i="147"/>
  <c r="E109" i="147"/>
  <c r="D126" i="147"/>
  <c r="H126" i="147"/>
  <c r="G120" i="147"/>
  <c r="G110" i="147"/>
  <c r="D128" i="147"/>
  <c r="F126" i="147"/>
  <c r="D127" i="147"/>
  <c r="E110" i="147"/>
  <c r="E131" i="147"/>
  <c r="G7" i="147"/>
  <c r="G6" i="147"/>
  <c r="F131" i="147"/>
  <c r="D116" i="147"/>
  <c r="D113" i="147"/>
  <c r="E112" i="147"/>
  <c r="G106" i="147"/>
  <c r="D134" i="147"/>
  <c r="F120" i="147"/>
  <c r="G114" i="147"/>
  <c r="F129" i="147"/>
  <c r="E4" i="81"/>
  <c r="D4" i="81" s="1"/>
  <c r="E118" i="147"/>
  <c r="F106" i="147"/>
  <c r="H125" i="147"/>
  <c r="E105" i="147"/>
  <c r="E107" i="147"/>
  <c r="H120" i="147"/>
  <c r="E117" i="147"/>
  <c r="F110" i="147"/>
  <c r="E128" i="147"/>
  <c r="D119" i="147"/>
  <c r="D108" i="147"/>
  <c r="F108" i="147"/>
  <c r="F128" i="147"/>
  <c r="F118" i="147"/>
  <c r="F109" i="147"/>
  <c r="E106" i="147"/>
  <c r="D136" i="147"/>
  <c r="H112" i="147"/>
  <c r="H133" i="147"/>
  <c r="G111" i="147"/>
  <c r="G117" i="147"/>
  <c r="G116" i="147"/>
  <c r="D129" i="147"/>
  <c r="D107" i="147"/>
  <c r="D109" i="147"/>
  <c r="D131" i="147"/>
  <c r="D124" i="147"/>
  <c r="F107" i="147"/>
  <c r="E133" i="147"/>
  <c r="F125" i="147"/>
  <c r="F127" i="147"/>
  <c r="D106" i="147"/>
  <c r="D121" i="147"/>
  <c r="E114" i="147"/>
  <c r="F130" i="147"/>
  <c r="F114" i="147"/>
  <c r="D118" i="147"/>
  <c r="D114" i="147"/>
  <c r="D125" i="147"/>
  <c r="E125" i="147"/>
  <c r="G135" i="147"/>
  <c r="F117" i="147"/>
  <c r="G126" i="147"/>
  <c r="F111" i="147"/>
  <c r="E126" i="147"/>
  <c r="G105" i="147"/>
  <c r="E120" i="147"/>
  <c r="I114" i="147"/>
  <c r="F116" i="147"/>
  <c r="F105" i="147"/>
  <c r="F112" i="147"/>
  <c r="D130" i="147"/>
  <c r="E134" i="147"/>
  <c r="D135" i="147"/>
  <c r="G129" i="147"/>
  <c r="G134" i="147"/>
  <c r="E127" i="147"/>
  <c r="J126" i="147"/>
  <c r="J114" i="147"/>
  <c r="J112" i="147"/>
  <c r="I125" i="147"/>
  <c r="I126" i="147"/>
  <c r="I120" i="147"/>
  <c r="I112" i="147"/>
  <c r="I105" i="147"/>
  <c r="G7" i="121"/>
  <c r="J133" i="147"/>
  <c r="J125" i="147"/>
  <c r="J120" i="147"/>
  <c r="J105" i="147"/>
  <c r="I7" i="98"/>
  <c r="G65" i="106"/>
  <c r="F61" i="161" s="1"/>
  <c r="G60" i="106"/>
  <c r="I4" i="98"/>
  <c r="H48" i="106"/>
  <c r="H46" i="147" s="1"/>
  <c r="H58" i="106"/>
  <c r="H47" i="147" s="1"/>
  <c r="H43" i="147"/>
  <c r="H18" i="106"/>
  <c r="H42" i="147" s="1"/>
  <c r="F68" i="106"/>
  <c r="F49" i="147" s="1"/>
  <c r="H78" i="106"/>
  <c r="H50" i="147" s="1"/>
  <c r="F58" i="106"/>
  <c r="F47" i="147" s="1"/>
  <c r="F48" i="106"/>
  <c r="F54" i="161"/>
  <c r="G12" i="121"/>
  <c r="H38" i="106"/>
  <c r="H45" i="147" s="1"/>
  <c r="F18" i="106"/>
  <c r="F42" i="147" s="1"/>
  <c r="F43" i="147"/>
  <c r="H63" i="106"/>
  <c r="H48" i="147" s="1"/>
  <c r="E4" i="110"/>
  <c r="E122" i="147"/>
  <c r="F66" i="110"/>
  <c r="D238" i="146"/>
  <c r="G57" i="110"/>
  <c r="H49" i="147"/>
  <c r="F50" i="147"/>
  <c r="F74" i="106"/>
  <c r="B9" i="161"/>
  <c r="F60" i="106"/>
  <c r="F48" i="147"/>
  <c r="F45" i="147"/>
  <c r="F40" i="110"/>
  <c r="H40" i="110" s="1"/>
  <c r="G67" i="110"/>
  <c r="G69" i="110" s="1"/>
  <c r="G24" i="106"/>
  <c r="G35" i="106" s="1"/>
  <c r="G37" i="106" s="1"/>
  <c r="I4" i="110"/>
  <c r="E4" i="106"/>
  <c r="G13" i="94"/>
  <c r="F163" i="146" s="1"/>
  <c r="E95" i="150" s="1"/>
  <c r="F13" i="94"/>
  <c r="E163" i="146" s="1"/>
  <c r="D95" i="150" s="1"/>
  <c r="J22" i="145"/>
  <c r="G14" i="106"/>
  <c r="G20" i="106" s="1"/>
  <c r="E46" i="145"/>
  <c r="E42" i="145"/>
  <c r="E38" i="145"/>
  <c r="E34" i="145"/>
  <c r="E18" i="145"/>
  <c r="E50" i="145"/>
  <c r="E22" i="145"/>
  <c r="E28" i="106" s="1"/>
  <c r="E7" i="145"/>
  <c r="I5" i="145"/>
  <c r="I34" i="145"/>
  <c r="I46" i="145"/>
  <c r="I18" i="145"/>
  <c r="I42" i="145"/>
  <c r="I7" i="145"/>
  <c r="I50" i="145"/>
  <c r="I22" i="145"/>
  <c r="I38" i="145"/>
  <c r="H66" i="110"/>
  <c r="F74" i="146"/>
  <c r="F78" i="110"/>
  <c r="G54" i="106"/>
  <c r="E13" i="94"/>
  <c r="K4" i="84"/>
  <c r="K125" i="147" s="1"/>
  <c r="E81" i="110"/>
  <c r="E46" i="81"/>
  <c r="J7" i="98"/>
  <c r="K6" i="98"/>
  <c r="K4" i="121"/>
  <c r="G81" i="110"/>
  <c r="G122" i="147"/>
  <c r="K4" i="145" l="1"/>
  <c r="F67" i="110"/>
  <c r="F69" i="110" s="1"/>
  <c r="F72" i="110"/>
  <c r="F79" i="110"/>
  <c r="F84" i="110"/>
  <c r="J7" i="145"/>
  <c r="J41" i="147" s="1"/>
  <c r="J38" i="145"/>
  <c r="J47" i="147" s="1"/>
  <c r="J42" i="145"/>
  <c r="J48" i="147" s="1"/>
  <c r="F46" i="147"/>
  <c r="F44" i="106"/>
  <c r="J18" i="145"/>
  <c r="J42" i="147" s="1"/>
  <c r="J34" i="145"/>
  <c r="J46" i="147" s="1"/>
  <c r="G21" i="106"/>
  <c r="G41" i="106" s="1"/>
  <c r="J46" i="145"/>
  <c r="J49" i="147" s="1"/>
  <c r="J5" i="145"/>
  <c r="G18" i="121"/>
  <c r="E8" i="106"/>
  <c r="F32" i="106"/>
  <c r="F19" i="110" s="1"/>
  <c r="G94" i="110"/>
  <c r="E54" i="145"/>
  <c r="D26" i="145"/>
  <c r="D33" i="106" s="1"/>
  <c r="J30" i="145"/>
  <c r="J45" i="147" s="1"/>
  <c r="J26" i="145"/>
  <c r="J44" i="147" s="1"/>
  <c r="D4" i="82"/>
  <c r="H82" i="147" s="1"/>
  <c r="K30" i="145"/>
  <c r="K26" i="145"/>
  <c r="K44" i="147" s="1"/>
  <c r="E44" i="147"/>
  <c r="E30" i="106"/>
  <c r="I54" i="145"/>
  <c r="F37" i="106"/>
  <c r="F27" i="110" s="1"/>
  <c r="D30" i="145"/>
  <c r="D38" i="106" s="1"/>
  <c r="D50" i="145"/>
  <c r="D78" i="106" s="1"/>
  <c r="D18" i="145"/>
  <c r="D18" i="106" s="1"/>
  <c r="D14" i="106" s="1"/>
  <c r="D22" i="145"/>
  <c r="D28" i="106" s="1"/>
  <c r="D43" i="147" s="1"/>
  <c r="D7" i="145"/>
  <c r="D38" i="145"/>
  <c r="D58" i="106" s="1"/>
  <c r="D34" i="145"/>
  <c r="D48" i="106" s="1"/>
  <c r="D44" i="106" s="1"/>
  <c r="D42" i="145"/>
  <c r="D63" i="106" s="1"/>
  <c r="D46" i="145"/>
  <c r="D68" i="106" s="1"/>
  <c r="E4" i="94"/>
  <c r="E25" i="94" s="1"/>
  <c r="F25" i="94" s="1"/>
  <c r="G25" i="94" s="1"/>
  <c r="H25" i="94" s="1"/>
  <c r="I25" i="94" s="1"/>
  <c r="I26" i="94" s="1"/>
  <c r="F88" i="146"/>
  <c r="E66" i="150" s="1"/>
  <c r="G57" i="147"/>
  <c r="D61" i="147"/>
  <c r="D72" i="147"/>
  <c r="E64" i="147"/>
  <c r="F72" i="147"/>
  <c r="G60" i="147"/>
  <c r="D69" i="147"/>
  <c r="E73" i="147"/>
  <c r="F65" i="147"/>
  <c r="F66" i="147"/>
  <c r="D71" i="147"/>
  <c r="F60" i="147"/>
  <c r="E57" i="147"/>
  <c r="E61" i="147"/>
  <c r="D67" i="147"/>
  <c r="F62" i="147"/>
  <c r="D66" i="147"/>
  <c r="E59" i="147"/>
  <c r="E70" i="147"/>
  <c r="F68" i="147"/>
  <c r="E69" i="147"/>
  <c r="F73" i="147"/>
  <c r="E65" i="147"/>
  <c r="G68" i="147"/>
  <c r="G66" i="147"/>
  <c r="E71" i="147"/>
  <c r="E63" i="147"/>
  <c r="F67" i="147"/>
  <c r="G70" i="147"/>
  <c r="E62" i="147"/>
  <c r="D63" i="147"/>
  <c r="F64" i="147"/>
  <c r="E58" i="147"/>
  <c r="F70" i="147"/>
  <c r="D74" i="147"/>
  <c r="F63" i="147"/>
  <c r="F74" i="147"/>
  <c r="F71" i="147"/>
  <c r="G71" i="147"/>
  <c r="F59" i="147"/>
  <c r="G67" i="147"/>
  <c r="D64" i="147"/>
  <c r="E72" i="147"/>
  <c r="G73" i="147"/>
  <c r="G63" i="147"/>
  <c r="D58" i="147"/>
  <c r="F57" i="147"/>
  <c r="E74" i="147"/>
  <c r="E67" i="147"/>
  <c r="G64" i="147"/>
  <c r="E60" i="147"/>
  <c r="D62" i="147"/>
  <c r="E75" i="147"/>
  <c r="D73" i="147"/>
  <c r="G65" i="147"/>
  <c r="G59" i="147"/>
  <c r="F69" i="147"/>
  <c r="G62" i="147"/>
  <c r="E66" i="147"/>
  <c r="G72" i="147"/>
  <c r="D70" i="147"/>
  <c r="D59" i="147"/>
  <c r="F58" i="147"/>
  <c r="G69" i="147"/>
  <c r="D68" i="147"/>
  <c r="G74" i="147"/>
  <c r="D65" i="147"/>
  <c r="E68" i="147"/>
  <c r="G58" i="147"/>
  <c r="F7" i="147"/>
  <c r="F6" i="147"/>
  <c r="G11" i="121"/>
  <c r="M4" i="81"/>
  <c r="N4" i="81" s="1"/>
  <c r="F56" i="161"/>
  <c r="D4" i="94"/>
  <c r="D239" i="146"/>
  <c r="K114" i="147"/>
  <c r="K112" i="147"/>
  <c r="K105" i="147"/>
  <c r="L4" i="84"/>
  <c r="L125" i="147" s="1"/>
  <c r="K133" i="147"/>
  <c r="K120" i="147"/>
  <c r="K126" i="147"/>
  <c r="F7" i="121"/>
  <c r="D163" i="146"/>
  <c r="C95" i="150" s="1"/>
  <c r="J4" i="98"/>
  <c r="I40" i="110"/>
  <c r="J40" i="110" s="1"/>
  <c r="F65" i="106"/>
  <c r="F54" i="106"/>
  <c r="G8" i="121"/>
  <c r="I48" i="147"/>
  <c r="E78" i="106"/>
  <c r="E50" i="147" s="1"/>
  <c r="F126" i="110"/>
  <c r="E38" i="106"/>
  <c r="E45" i="147" s="1"/>
  <c r="I43" i="147"/>
  <c r="I42" i="147"/>
  <c r="G126" i="110"/>
  <c r="E48" i="106"/>
  <c r="E58" i="106"/>
  <c r="E47" i="147" s="1"/>
  <c r="I32" i="84"/>
  <c r="H129" i="147"/>
  <c r="E43" i="147"/>
  <c r="E18" i="106"/>
  <c r="E42" i="147" s="1"/>
  <c r="J43" i="147"/>
  <c r="H130" i="147"/>
  <c r="I47" i="147"/>
  <c r="J50" i="147"/>
  <c r="F12" i="121"/>
  <c r="I45" i="147"/>
  <c r="I49" i="147"/>
  <c r="I46" i="147"/>
  <c r="E63" i="106"/>
  <c r="E48" i="147" s="1"/>
  <c r="E68" i="106"/>
  <c r="E49" i="147" s="1"/>
  <c r="I33" i="84"/>
  <c r="E126" i="110"/>
  <c r="D4" i="110"/>
  <c r="F121" i="147"/>
  <c r="D4" i="106"/>
  <c r="D8" i="106" s="1"/>
  <c r="E47" i="150"/>
  <c r="I5" i="110"/>
  <c r="I17" i="110"/>
  <c r="E54" i="161"/>
  <c r="J4" i="110"/>
  <c r="K4" i="110" s="1"/>
  <c r="F94" i="110"/>
  <c r="F96" i="110" s="1"/>
  <c r="F57" i="110"/>
  <c r="F239" i="146"/>
  <c r="H41" i="147"/>
  <c r="F86" i="146"/>
  <c r="F53" i="161"/>
  <c r="I59" i="110"/>
  <c r="I15" i="110"/>
  <c r="I8" i="110" s="1"/>
  <c r="E12" i="106"/>
  <c r="E41" i="147" s="1"/>
  <c r="I41" i="147"/>
  <c r="G121" i="147"/>
  <c r="F14" i="106"/>
  <c r="F20" i="106" s="1"/>
  <c r="I50" i="147"/>
  <c r="F24" i="106"/>
  <c r="F35" i="106" s="1"/>
  <c r="F52" i="161"/>
  <c r="G29" i="94"/>
  <c r="F84" i="146"/>
  <c r="K5" i="145"/>
  <c r="K22" i="145"/>
  <c r="K46" i="145"/>
  <c r="K50" i="145"/>
  <c r="K38" i="145"/>
  <c r="K34" i="145"/>
  <c r="K18" i="145"/>
  <c r="K42" i="145"/>
  <c r="K7" i="145"/>
  <c r="E74" i="146"/>
  <c r="F75" i="146" s="1"/>
  <c r="E51" i="161"/>
  <c r="F67" i="106"/>
  <c r="F9" i="98"/>
  <c r="F28" i="94"/>
  <c r="F33" i="94" s="1"/>
  <c r="E246" i="146" s="1"/>
  <c r="D106" i="150" s="1"/>
  <c r="F122" i="147"/>
  <c r="F81" i="110"/>
  <c r="F7" i="110"/>
  <c r="F58" i="161"/>
  <c r="G61" i="106"/>
  <c r="F61" i="106"/>
  <c r="L4" i="145"/>
  <c r="G67" i="106"/>
  <c r="G45" i="106"/>
  <c r="G7" i="110"/>
  <c r="G15" i="106"/>
  <c r="G9" i="98"/>
  <c r="G27" i="110"/>
  <c r="G28" i="94"/>
  <c r="G33" i="94" s="1"/>
  <c r="F246" i="146" s="1"/>
  <c r="E106" i="150" s="1"/>
  <c r="G25" i="106"/>
  <c r="G55" i="106"/>
  <c r="F51" i="161"/>
  <c r="K5" i="84"/>
  <c r="L6" i="98"/>
  <c r="K7" i="98"/>
  <c r="K5" i="121"/>
  <c r="L4" i="121"/>
  <c r="H142" i="110"/>
  <c r="H143" i="110"/>
  <c r="H125" i="110"/>
  <c r="H118" i="110"/>
  <c r="I118" i="110" s="1"/>
  <c r="J118" i="110" s="1"/>
  <c r="K118" i="110" s="1"/>
  <c r="L118" i="110" s="1"/>
  <c r="M118" i="110" s="1"/>
  <c r="N118" i="110" s="1"/>
  <c r="O118" i="110" s="1"/>
  <c r="P118" i="110" s="1"/>
  <c r="Q118" i="110" s="1"/>
  <c r="E144" i="110" l="1"/>
  <c r="D42" i="147"/>
  <c r="G100" i="110"/>
  <c r="G101" i="110" s="1"/>
  <c r="G96" i="110"/>
  <c r="D24" i="106"/>
  <c r="D11" i="121" s="1"/>
  <c r="E46" i="147"/>
  <c r="E44" i="106"/>
  <c r="G91" i="110"/>
  <c r="G92" i="110" s="1"/>
  <c r="F21" i="106"/>
  <c r="E7" i="106"/>
  <c r="G123" i="147"/>
  <c r="J54" i="145"/>
  <c r="D54" i="145"/>
  <c r="E82" i="147"/>
  <c r="F93" i="147"/>
  <c r="E97" i="147"/>
  <c r="G92" i="147"/>
  <c r="E96" i="147"/>
  <c r="D93" i="147"/>
  <c r="E90" i="147"/>
  <c r="F97" i="147"/>
  <c r="E84" i="147"/>
  <c r="G89" i="147"/>
  <c r="E92" i="147"/>
  <c r="F89" i="147"/>
  <c r="G84" i="147"/>
  <c r="E89" i="147"/>
  <c r="D96" i="147"/>
  <c r="F86" i="147"/>
  <c r="F88" i="147"/>
  <c r="G83" i="147"/>
  <c r="G87" i="147"/>
  <c r="F95" i="147"/>
  <c r="F96" i="147"/>
  <c r="G94" i="147"/>
  <c r="D91" i="147"/>
  <c r="D92" i="147"/>
  <c r="G93" i="147"/>
  <c r="D86" i="147"/>
  <c r="E94" i="147"/>
  <c r="E93" i="147"/>
  <c r="D84" i="147"/>
  <c r="E98" i="147"/>
  <c r="F98" i="147"/>
  <c r="D87" i="147"/>
  <c r="E95" i="147"/>
  <c r="F83" i="147"/>
  <c r="D94" i="147"/>
  <c r="G95" i="147"/>
  <c r="F94" i="147"/>
  <c r="G91" i="147"/>
  <c r="D98" i="147"/>
  <c r="G82" i="147"/>
  <c r="E86" i="147"/>
  <c r="E88" i="147"/>
  <c r="D88" i="147"/>
  <c r="G90" i="147"/>
  <c r="E91" i="147"/>
  <c r="G96" i="147"/>
  <c r="D83" i="147"/>
  <c r="G98" i="147"/>
  <c r="F82" i="147"/>
  <c r="D97" i="147"/>
  <c r="E83" i="147"/>
  <c r="G97" i="147"/>
  <c r="D89" i="147"/>
  <c r="F92" i="147"/>
  <c r="F87" i="147"/>
  <c r="G88" i="147"/>
  <c r="D82" i="147"/>
  <c r="F91" i="147"/>
  <c r="E87" i="147"/>
  <c r="D95" i="147"/>
  <c r="D90" i="147"/>
  <c r="F90" i="147"/>
  <c r="F84" i="147"/>
  <c r="G86" i="147"/>
  <c r="G144" i="110"/>
  <c r="H144" i="110" s="1"/>
  <c r="F144" i="110"/>
  <c r="L26" i="145"/>
  <c r="L44" i="147" s="1"/>
  <c r="D44" i="147"/>
  <c r="D30" i="106"/>
  <c r="D16" i="147" s="1"/>
  <c r="G14" i="147"/>
  <c r="G15" i="147" s="1"/>
  <c r="G16" i="147"/>
  <c r="F16" i="147"/>
  <c r="E16" i="147"/>
  <c r="K54" i="145"/>
  <c r="H83" i="147"/>
  <c r="G9" i="121"/>
  <c r="G40" i="106"/>
  <c r="D49" i="147"/>
  <c r="D65" i="106"/>
  <c r="D31" i="147" s="1"/>
  <c r="D60" i="106"/>
  <c r="D94" i="110" s="1"/>
  <c r="D96" i="110" s="1"/>
  <c r="D48" i="147"/>
  <c r="D46" i="147"/>
  <c r="D18" i="121"/>
  <c r="M4" i="145"/>
  <c r="M7" i="145" s="1"/>
  <c r="M12" i="106" s="1"/>
  <c r="L30" i="145"/>
  <c r="D54" i="106"/>
  <c r="D29" i="147" s="1"/>
  <c r="D47" i="147"/>
  <c r="D12" i="106"/>
  <c r="D41" i="147" s="1"/>
  <c r="D50" i="147"/>
  <c r="D74" i="106"/>
  <c r="D57" i="110" s="1"/>
  <c r="D45" i="147"/>
  <c r="D35" i="106"/>
  <c r="D12" i="121" s="1"/>
  <c r="F4" i="94"/>
  <c r="F14" i="94" s="1"/>
  <c r="F113" i="147" s="1"/>
  <c r="E41" i="94"/>
  <c r="F89" i="146"/>
  <c r="E67" i="150" s="1"/>
  <c r="F14" i="147"/>
  <c r="F15" i="147" s="1"/>
  <c r="E14" i="94"/>
  <c r="E113" i="147" s="1"/>
  <c r="D14" i="94"/>
  <c r="D10" i="147"/>
  <c r="G12" i="147"/>
  <c r="E9" i="147"/>
  <c r="E8" i="147"/>
  <c r="F23" i="147"/>
  <c r="F24" i="147"/>
  <c r="G30" i="147"/>
  <c r="D9" i="147"/>
  <c r="H8" i="147"/>
  <c r="F29" i="147"/>
  <c r="G24" i="147"/>
  <c r="F8" i="147"/>
  <c r="F31" i="147"/>
  <c r="G17" i="147"/>
  <c r="G13" i="147"/>
  <c r="F30" i="147"/>
  <c r="G31" i="147"/>
  <c r="G10" i="147"/>
  <c r="G11" i="147" s="1"/>
  <c r="G29" i="147"/>
  <c r="G22" i="147"/>
  <c r="F34" i="147"/>
  <c r="E23" i="147"/>
  <c r="D8" i="147"/>
  <c r="H9" i="147"/>
  <c r="F22" i="147"/>
  <c r="G9" i="147"/>
  <c r="G34" i="147"/>
  <c r="D24" i="147"/>
  <c r="E24" i="147"/>
  <c r="G23" i="147"/>
  <c r="G8" i="147"/>
  <c r="D23" i="147"/>
  <c r="F10" i="147"/>
  <c r="F11" i="147" s="1"/>
  <c r="F9" i="147"/>
  <c r="F17" i="147"/>
  <c r="D41" i="94"/>
  <c r="D25" i="94"/>
  <c r="L105" i="147"/>
  <c r="G19" i="147"/>
  <c r="G21" i="147"/>
  <c r="J33" i="84"/>
  <c r="E35" i="106"/>
  <c r="L126" i="147"/>
  <c r="M4" i="84"/>
  <c r="M105" i="147" s="1"/>
  <c r="L5" i="84"/>
  <c r="L133" i="147"/>
  <c r="F169" i="146"/>
  <c r="F184" i="146" s="1"/>
  <c r="F115" i="110"/>
  <c r="E238" i="146"/>
  <c r="O4" i="81"/>
  <c r="P4" i="81" s="1"/>
  <c r="L120" i="147"/>
  <c r="L114" i="147"/>
  <c r="L112" i="147"/>
  <c r="E58" i="161"/>
  <c r="F11" i="121"/>
  <c r="F8" i="121"/>
  <c r="K4" i="98"/>
  <c r="E61" i="161"/>
  <c r="E56" i="161"/>
  <c r="E29" i="147"/>
  <c r="F55" i="106"/>
  <c r="E74" i="106"/>
  <c r="E57" i="110" s="1"/>
  <c r="F45" i="106"/>
  <c r="H126" i="110"/>
  <c r="H39" i="81" s="1"/>
  <c r="G130" i="110"/>
  <c r="E60" i="106"/>
  <c r="E94" i="110" s="1"/>
  <c r="J25" i="94"/>
  <c r="K25" i="94" s="1"/>
  <c r="K49" i="147"/>
  <c r="E65" i="106"/>
  <c r="E31" i="147" s="1"/>
  <c r="F119" i="110"/>
  <c r="F128" i="110"/>
  <c r="E88" i="146"/>
  <c r="D66" i="150" s="1"/>
  <c r="F18" i="121"/>
  <c r="G128" i="110"/>
  <c r="J32" i="84"/>
  <c r="I129" i="147"/>
  <c r="F111" i="110"/>
  <c r="G136" i="110"/>
  <c r="G115" i="110"/>
  <c r="G148" i="110"/>
  <c r="G154" i="110"/>
  <c r="G152" i="110"/>
  <c r="G140" i="110"/>
  <c r="F152" i="110"/>
  <c r="F140" i="110"/>
  <c r="F154" i="110"/>
  <c r="F148" i="110"/>
  <c r="G138" i="110"/>
  <c r="F150" i="110"/>
  <c r="F138" i="110"/>
  <c r="G150" i="110"/>
  <c r="F146" i="110"/>
  <c r="G146" i="110"/>
  <c r="G159" i="110"/>
  <c r="G157" i="110"/>
  <c r="F159" i="110"/>
  <c r="F157" i="110"/>
  <c r="K45" i="147"/>
  <c r="I130" i="147"/>
  <c r="G111" i="110"/>
  <c r="F130" i="110"/>
  <c r="G119" i="110"/>
  <c r="F113" i="110"/>
  <c r="G113" i="110"/>
  <c r="F121" i="110"/>
  <c r="G123" i="110"/>
  <c r="K46" i="147"/>
  <c r="K47" i="147"/>
  <c r="F123" i="110"/>
  <c r="D8" i="121"/>
  <c r="D29" i="94"/>
  <c r="D32" i="94" s="1"/>
  <c r="K42" i="147"/>
  <c r="K43" i="147"/>
  <c r="F109" i="110"/>
  <c r="K50" i="147"/>
  <c r="G121" i="110"/>
  <c r="F25" i="106"/>
  <c r="F25" i="110" s="1"/>
  <c r="F136" i="110"/>
  <c r="D126" i="110"/>
  <c r="D144" i="110"/>
  <c r="I9" i="110"/>
  <c r="G50" i="110"/>
  <c r="F39" i="110"/>
  <c r="F50" i="110"/>
  <c r="F91" i="110"/>
  <c r="F123" i="147" s="1"/>
  <c r="D47" i="150"/>
  <c r="J5" i="110"/>
  <c r="J17" i="110"/>
  <c r="J59" i="110"/>
  <c r="F100" i="110"/>
  <c r="F115" i="147" s="1"/>
  <c r="J15" i="110"/>
  <c r="K15" i="110" s="1"/>
  <c r="F87" i="146"/>
  <c r="E62" i="150" s="1"/>
  <c r="E61" i="150"/>
  <c r="F85" i="146"/>
  <c r="E57" i="150" s="1"/>
  <c r="E56" i="150"/>
  <c r="E239" i="146"/>
  <c r="F238" i="146"/>
  <c r="G51" i="106"/>
  <c r="F55" i="161"/>
  <c r="F57" i="161" s="1"/>
  <c r="F62" i="161" s="1"/>
  <c r="F64" i="161" s="1"/>
  <c r="E32" i="106"/>
  <c r="E19" i="110" s="1"/>
  <c r="K40" i="110"/>
  <c r="F15" i="106"/>
  <c r="K41" i="147"/>
  <c r="E53" i="161"/>
  <c r="E86" i="146"/>
  <c r="K48" i="147"/>
  <c r="E14" i="106"/>
  <c r="E24" i="106"/>
  <c r="G31" i="94"/>
  <c r="F244" i="146" s="1"/>
  <c r="E104" i="150" s="1"/>
  <c r="G32" i="94"/>
  <c r="F245" i="146" s="1"/>
  <c r="E105" i="150" s="1"/>
  <c r="M5" i="145"/>
  <c r="M18" i="145"/>
  <c r="L5" i="145"/>
  <c r="L38" i="145"/>
  <c r="L22" i="145"/>
  <c r="L46" i="145"/>
  <c r="L50" i="145"/>
  <c r="L34" i="145"/>
  <c r="L7" i="145"/>
  <c r="L18" i="145"/>
  <c r="L42" i="145"/>
  <c r="E52" i="161"/>
  <c r="E84" i="146"/>
  <c r="F29" i="94"/>
  <c r="F76" i="146"/>
  <c r="E48" i="150" s="1"/>
  <c r="F22" i="94"/>
  <c r="G22" i="106"/>
  <c r="G23" i="110"/>
  <c r="F68" i="110"/>
  <c r="F55" i="110"/>
  <c r="F80" i="110"/>
  <c r="G115" i="147"/>
  <c r="F240" i="146"/>
  <c r="G55" i="110"/>
  <c r="G68" i="110"/>
  <c r="G25" i="110"/>
  <c r="G22" i="94"/>
  <c r="G80" i="110"/>
  <c r="G39" i="110"/>
  <c r="K5" i="110"/>
  <c r="L4" i="110"/>
  <c r="L7" i="98"/>
  <c r="M6" i="98"/>
  <c r="M4" i="121"/>
  <c r="L5" i="121"/>
  <c r="M5" i="81"/>
  <c r="M46" i="145" l="1"/>
  <c r="M68" i="106" s="1"/>
  <c r="M22" i="145"/>
  <c r="M28" i="106" s="1"/>
  <c r="M38" i="145"/>
  <c r="M34" i="145"/>
  <c r="M48" i="106" s="1"/>
  <c r="M46" i="147" s="1"/>
  <c r="N4" i="145"/>
  <c r="N54" i="145" s="1"/>
  <c r="M50" i="145"/>
  <c r="M78" i="106" s="1"/>
  <c r="D14" i="147"/>
  <c r="M42" i="145"/>
  <c r="M63" i="106" s="1"/>
  <c r="M48" i="147" s="1"/>
  <c r="G93" i="110"/>
  <c r="G102" i="110"/>
  <c r="G103" i="110" s="1"/>
  <c r="D136" i="110"/>
  <c r="E21" i="106"/>
  <c r="H22" i="82"/>
  <c r="H34" i="84" s="1"/>
  <c r="H71" i="147"/>
  <c r="H38" i="84"/>
  <c r="E22" i="147"/>
  <c r="E10" i="147"/>
  <c r="E20" i="106"/>
  <c r="D7" i="106"/>
  <c r="I144" i="110"/>
  <c r="D32" i="106"/>
  <c r="D19" i="110" s="1"/>
  <c r="M30" i="145"/>
  <c r="M38" i="106" s="1"/>
  <c r="M45" i="147" s="1"/>
  <c r="M54" i="145"/>
  <c r="M26" i="145"/>
  <c r="M33" i="106" s="1"/>
  <c r="M44" i="147" s="1"/>
  <c r="N26" i="145"/>
  <c r="N33" i="106" s="1"/>
  <c r="N44" i="147" s="1"/>
  <c r="L54" i="145"/>
  <c r="F13" i="147"/>
  <c r="F41" i="106"/>
  <c r="E17" i="147"/>
  <c r="E37" i="106"/>
  <c r="H30" i="106"/>
  <c r="I19" i="110"/>
  <c r="J19" i="110" s="1"/>
  <c r="K19" i="110" s="1"/>
  <c r="F12" i="147"/>
  <c r="F40" i="106"/>
  <c r="F18" i="147" s="1"/>
  <c r="F20" i="147" s="1"/>
  <c r="D22" i="147"/>
  <c r="D17" i="147"/>
  <c r="D34" i="147"/>
  <c r="D30" i="147"/>
  <c r="G4" i="94"/>
  <c r="H4" i="94" s="1"/>
  <c r="I4" i="94" s="1"/>
  <c r="I5" i="94" s="1"/>
  <c r="F41" i="94"/>
  <c r="D54" i="161"/>
  <c r="E12" i="121"/>
  <c r="F185" i="146"/>
  <c r="M5" i="84"/>
  <c r="K33" i="84"/>
  <c r="M114" i="147"/>
  <c r="E30" i="147"/>
  <c r="M125" i="147"/>
  <c r="M133" i="147"/>
  <c r="M112" i="147"/>
  <c r="M120" i="147"/>
  <c r="N4" i="84"/>
  <c r="O4" i="84" s="1"/>
  <c r="E34" i="147"/>
  <c r="E6" i="147"/>
  <c r="E7" i="147"/>
  <c r="D58" i="161"/>
  <c r="F188" i="146"/>
  <c r="F190" i="146"/>
  <c r="J130" i="147"/>
  <c r="D6" i="147"/>
  <c r="D7" i="147"/>
  <c r="F186" i="146"/>
  <c r="F189" i="146"/>
  <c r="M126" i="147"/>
  <c r="G26" i="147"/>
  <c r="G28" i="147"/>
  <c r="G15" i="121"/>
  <c r="G18" i="147"/>
  <c r="G20" i="147" s="1"/>
  <c r="E11" i="121"/>
  <c r="E14" i="147"/>
  <c r="J26" i="94"/>
  <c r="F187" i="146"/>
  <c r="D61" i="161"/>
  <c r="D109" i="110"/>
  <c r="E18" i="121"/>
  <c r="E159" i="110"/>
  <c r="D56" i="161"/>
  <c r="D88" i="146"/>
  <c r="C66" i="150" s="1"/>
  <c r="N120" i="147"/>
  <c r="N112" i="147"/>
  <c r="N105" i="147"/>
  <c r="N133" i="147"/>
  <c r="N125" i="147"/>
  <c r="N114" i="147"/>
  <c r="L4" i="98"/>
  <c r="I126" i="110"/>
  <c r="E89" i="146"/>
  <c r="D67" i="150" s="1"/>
  <c r="D115" i="110"/>
  <c r="D25" i="106"/>
  <c r="D25" i="110" s="1"/>
  <c r="D121" i="110"/>
  <c r="D140" i="110"/>
  <c r="D157" i="110"/>
  <c r="D7" i="110"/>
  <c r="E140" i="110"/>
  <c r="H140" i="110" s="1"/>
  <c r="H18" i="82" s="1"/>
  <c r="D9" i="98"/>
  <c r="D7" i="121"/>
  <c r="E119" i="110"/>
  <c r="H119" i="110" s="1"/>
  <c r="H35" i="81" s="1"/>
  <c r="M43" i="147"/>
  <c r="M18" i="106"/>
  <c r="M42" i="147" s="1"/>
  <c r="D67" i="106"/>
  <c r="D159" i="110"/>
  <c r="D148" i="110"/>
  <c r="D31" i="94"/>
  <c r="L48" i="147"/>
  <c r="D111" i="110"/>
  <c r="D130" i="110"/>
  <c r="D28" i="94"/>
  <c r="D22" i="94" s="1"/>
  <c r="E8" i="121"/>
  <c r="L42" i="147"/>
  <c r="L43" i="147"/>
  <c r="E7" i="121"/>
  <c r="E157" i="110"/>
  <c r="H157" i="110" s="1"/>
  <c r="H29" i="82" s="1"/>
  <c r="E146" i="110"/>
  <c r="H146" i="110" s="1"/>
  <c r="H23" i="82" s="1"/>
  <c r="G31" i="84" s="1"/>
  <c r="G128" i="147" s="1"/>
  <c r="E109" i="110"/>
  <c r="D119" i="110"/>
  <c r="E128" i="110"/>
  <c r="H128" i="110" s="1"/>
  <c r="H43" i="81" s="1"/>
  <c r="L45" i="147"/>
  <c r="L46" i="147"/>
  <c r="M58" i="106"/>
  <c r="M47" i="147" s="1"/>
  <c r="D37" i="106"/>
  <c r="D27" i="110" s="1"/>
  <c r="D138" i="110"/>
  <c r="E148" i="110"/>
  <c r="H148" i="110" s="1"/>
  <c r="H24" i="82" s="1"/>
  <c r="E111" i="110"/>
  <c r="H111" i="110" s="1"/>
  <c r="E152" i="110"/>
  <c r="H152" i="110" s="1"/>
  <c r="H26" i="82" s="1"/>
  <c r="G30" i="84" s="1"/>
  <c r="E115" i="110"/>
  <c r="H115" i="110" s="1"/>
  <c r="E121" i="110"/>
  <c r="H121" i="110" s="1"/>
  <c r="D15" i="106"/>
  <c r="D23" i="110" s="1"/>
  <c r="D113" i="110"/>
  <c r="D152" i="110"/>
  <c r="E123" i="110"/>
  <c r="H123" i="110" s="1"/>
  <c r="H37" i="81" s="1"/>
  <c r="E113" i="110"/>
  <c r="H113" i="110" s="1"/>
  <c r="E130" i="110"/>
  <c r="H130" i="110" s="1"/>
  <c r="H44" i="81" s="1"/>
  <c r="L50" i="147"/>
  <c r="L49" i="147"/>
  <c r="D55" i="106"/>
  <c r="D128" i="110"/>
  <c r="E154" i="110"/>
  <c r="H154" i="110" s="1"/>
  <c r="H27" i="82" s="1"/>
  <c r="G109" i="147" s="1"/>
  <c r="D45" i="106"/>
  <c r="D150" i="110"/>
  <c r="D154" i="110"/>
  <c r="E150" i="110"/>
  <c r="H150" i="110" s="1"/>
  <c r="E138" i="110"/>
  <c r="H138" i="110" s="1"/>
  <c r="H17" i="82" s="1"/>
  <c r="L47" i="147"/>
  <c r="F22" i="106"/>
  <c r="F9" i="121"/>
  <c r="D61" i="106"/>
  <c r="D146" i="110"/>
  <c r="D123" i="110"/>
  <c r="K32" i="84"/>
  <c r="J129" i="147"/>
  <c r="E136" i="110"/>
  <c r="H136" i="110" s="1"/>
  <c r="K59" i="110"/>
  <c r="L59" i="110" s="1"/>
  <c r="J8" i="110"/>
  <c r="K17" i="110"/>
  <c r="L17" i="110" s="1"/>
  <c r="F93" i="110"/>
  <c r="F102" i="110"/>
  <c r="F103" i="110" s="1"/>
  <c r="F92" i="110"/>
  <c r="F101" i="110"/>
  <c r="E76" i="146"/>
  <c r="D48" i="150" s="1"/>
  <c r="I7" i="110"/>
  <c r="E85" i="146"/>
  <c r="D57" i="150" s="1"/>
  <c r="D56" i="150"/>
  <c r="E87" i="146"/>
  <c r="D62" i="150" s="1"/>
  <c r="D61" i="150"/>
  <c r="F77" i="146"/>
  <c r="F27" i="84"/>
  <c r="F124" i="147" s="1"/>
  <c r="E240" i="146"/>
  <c r="M49" i="147"/>
  <c r="M50" i="147"/>
  <c r="G71" i="106"/>
  <c r="G33" i="147" s="1"/>
  <c r="E45" i="106"/>
  <c r="E55" i="106"/>
  <c r="E100" i="110"/>
  <c r="L40" i="110"/>
  <c r="F23" i="110"/>
  <c r="M4" i="110"/>
  <c r="L41" i="147"/>
  <c r="M41" i="147"/>
  <c r="G35" i="94"/>
  <c r="F243" i="146" s="1"/>
  <c r="E103" i="150" s="1"/>
  <c r="E61" i="106"/>
  <c r="E28" i="94"/>
  <c r="D51" i="161"/>
  <c r="E67" i="106"/>
  <c r="D74" i="146"/>
  <c r="E9" i="98"/>
  <c r="E7" i="110"/>
  <c r="E50" i="110" s="1"/>
  <c r="H50" i="110" s="1"/>
  <c r="L15" i="110"/>
  <c r="N5" i="145"/>
  <c r="N7" i="145"/>
  <c r="N12" i="106" s="1"/>
  <c r="N50" i="145"/>
  <c r="N78" i="106" s="1"/>
  <c r="N38" i="145"/>
  <c r="N42" i="145"/>
  <c r="N22" i="145"/>
  <c r="N28" i="106" s="1"/>
  <c r="N46" i="145"/>
  <c r="N68" i="106" s="1"/>
  <c r="N34" i="145"/>
  <c r="N18" i="145"/>
  <c r="D86" i="146"/>
  <c r="C61" i="150" s="1"/>
  <c r="D53" i="161"/>
  <c r="E25" i="106"/>
  <c r="E25" i="110" s="1"/>
  <c r="H25" i="110" s="1"/>
  <c r="F31" i="94"/>
  <c r="E244" i="146" s="1"/>
  <c r="D104" i="150" s="1"/>
  <c r="F32" i="94"/>
  <c r="E245" i="146" s="1"/>
  <c r="D105" i="150" s="1"/>
  <c r="E29" i="94"/>
  <c r="D52" i="161"/>
  <c r="D84" i="146"/>
  <c r="C56" i="150" s="1"/>
  <c r="E15" i="106"/>
  <c r="E23" i="110" s="1"/>
  <c r="E55" i="161"/>
  <c r="E57" i="161" s="1"/>
  <c r="E62" i="161" s="1"/>
  <c r="E64" i="161" s="1"/>
  <c r="G27" i="84"/>
  <c r="G124" i="147" s="1"/>
  <c r="G42" i="106"/>
  <c r="G16" i="121" s="1"/>
  <c r="G50" i="106"/>
  <c r="G25" i="147" s="1"/>
  <c r="G27" i="147" s="1"/>
  <c r="G11" i="98"/>
  <c r="G12" i="98" s="1"/>
  <c r="Q4" i="81"/>
  <c r="M5" i="121"/>
  <c r="L5" i="110"/>
  <c r="M7" i="98"/>
  <c r="N6" i="98"/>
  <c r="L25" i="94"/>
  <c r="K26" i="94"/>
  <c r="J4" i="94"/>
  <c r="N4" i="121"/>
  <c r="N5" i="81"/>
  <c r="O4" i="145"/>
  <c r="G39" i="84" l="1"/>
  <c r="G127" i="147"/>
  <c r="N30" i="145"/>
  <c r="H91" i="147"/>
  <c r="I121" i="110"/>
  <c r="H36" i="81"/>
  <c r="H23" i="110"/>
  <c r="I23" i="110" s="1"/>
  <c r="J23" i="110" s="1"/>
  <c r="K23" i="110" s="1"/>
  <c r="L23" i="110" s="1"/>
  <c r="M23" i="110" s="1"/>
  <c r="I34" i="84"/>
  <c r="I38" i="84"/>
  <c r="E11" i="147"/>
  <c r="D20" i="106"/>
  <c r="D12" i="147" s="1"/>
  <c r="D21" i="106"/>
  <c r="D41" i="106" s="1"/>
  <c r="D19" i="147" s="1"/>
  <c r="I45" i="94"/>
  <c r="J144" i="110"/>
  <c r="O30" i="145"/>
  <c r="O54" i="145"/>
  <c r="O26" i="145"/>
  <c r="O33" i="106" s="1"/>
  <c r="O44" i="147" s="1"/>
  <c r="E12" i="147"/>
  <c r="E40" i="106"/>
  <c r="E18" i="147" s="1"/>
  <c r="E20" i="147" s="1"/>
  <c r="E13" i="147"/>
  <c r="E41" i="106"/>
  <c r="H16" i="147"/>
  <c r="L19" i="110"/>
  <c r="G41" i="94"/>
  <c r="H41" i="94" s="1"/>
  <c r="I41" i="94" s="1"/>
  <c r="I42" i="94" s="1"/>
  <c r="G14" i="94"/>
  <c r="K130" i="147"/>
  <c r="G109" i="110"/>
  <c r="H109" i="110" s="1"/>
  <c r="M4" i="98"/>
  <c r="N5" i="84"/>
  <c r="E15" i="147"/>
  <c r="L33" i="84"/>
  <c r="M4" i="82"/>
  <c r="F21" i="147"/>
  <c r="F19" i="147"/>
  <c r="E241" i="146"/>
  <c r="O133" i="147"/>
  <c r="P114" i="147"/>
  <c r="O125" i="147"/>
  <c r="O126" i="147"/>
  <c r="O112" i="147"/>
  <c r="O120" i="147"/>
  <c r="I53" i="94"/>
  <c r="I71" i="147"/>
  <c r="M4" i="106"/>
  <c r="O114" i="147"/>
  <c r="E169" i="146"/>
  <c r="E184" i="146" s="1"/>
  <c r="F15" i="121"/>
  <c r="J126" i="110"/>
  <c r="D33" i="94"/>
  <c r="D35" i="94" s="1"/>
  <c r="D80" i="110"/>
  <c r="D68" i="110"/>
  <c r="D55" i="110"/>
  <c r="D50" i="110"/>
  <c r="D39" i="110"/>
  <c r="N38" i="106"/>
  <c r="N45" i="147" s="1"/>
  <c r="E9" i="121"/>
  <c r="N43" i="147"/>
  <c r="N18" i="106"/>
  <c r="N42" i="147" s="1"/>
  <c r="L32" i="84"/>
  <c r="K129" i="147"/>
  <c r="N48" i="106"/>
  <c r="N46" i="147" s="1"/>
  <c r="F80" i="146"/>
  <c r="E51" i="150" s="1"/>
  <c r="G20" i="121"/>
  <c r="N63" i="106"/>
  <c r="N48" i="147" s="1"/>
  <c r="N58" i="106"/>
  <c r="N47" i="147" s="1"/>
  <c r="I157" i="110"/>
  <c r="I154" i="110"/>
  <c r="I150" i="110"/>
  <c r="I148" i="110"/>
  <c r="I146" i="110"/>
  <c r="I140" i="110"/>
  <c r="I138" i="110"/>
  <c r="I136" i="110"/>
  <c r="I128" i="110"/>
  <c r="I130" i="110"/>
  <c r="I123" i="110"/>
  <c r="I119" i="110"/>
  <c r="I115" i="110"/>
  <c r="I113" i="110"/>
  <c r="I111" i="110"/>
  <c r="K8" i="110"/>
  <c r="J9" i="110"/>
  <c r="E27" i="110"/>
  <c r="E55" i="110"/>
  <c r="E39" i="110"/>
  <c r="E68" i="110"/>
  <c r="E80" i="110"/>
  <c r="E101" i="110"/>
  <c r="E115" i="147"/>
  <c r="C47" i="150"/>
  <c r="E75" i="146"/>
  <c r="I152" i="110"/>
  <c r="F11" i="98"/>
  <c r="F12" i="98" s="1"/>
  <c r="F50" i="106"/>
  <c r="F42" i="106"/>
  <c r="F16" i="121" s="1"/>
  <c r="E77" i="146"/>
  <c r="F79" i="146"/>
  <c r="E50" i="150" s="1"/>
  <c r="E49" i="150"/>
  <c r="N50" i="147"/>
  <c r="N49" i="147"/>
  <c r="F241" i="146"/>
  <c r="G81" i="106"/>
  <c r="F51" i="106"/>
  <c r="M15" i="110"/>
  <c r="N4" i="110"/>
  <c r="M19" i="110"/>
  <c r="M17" i="110"/>
  <c r="M40" i="110"/>
  <c r="D87" i="146"/>
  <c r="C62" i="150" s="1"/>
  <c r="D55" i="161"/>
  <c r="D57" i="161" s="1"/>
  <c r="D62" i="161" s="1"/>
  <c r="D64" i="161" s="1"/>
  <c r="D85" i="146"/>
  <c r="C57" i="150" s="1"/>
  <c r="F35" i="94"/>
  <c r="E243" i="146" s="1"/>
  <c r="D103" i="150" s="1"/>
  <c r="N41" i="147"/>
  <c r="D89" i="146"/>
  <c r="C67" i="150" s="1"/>
  <c r="E33" i="94"/>
  <c r="D246" i="146" s="1"/>
  <c r="C106" i="150" s="1"/>
  <c r="E22" i="94"/>
  <c r="E32" i="94"/>
  <c r="D245" i="146" s="1"/>
  <c r="C105" i="150" s="1"/>
  <c r="E31" i="94"/>
  <c r="D244" i="146" s="1"/>
  <c r="C104" i="150" s="1"/>
  <c r="H24" i="106"/>
  <c r="H14" i="147" s="1"/>
  <c r="O5" i="145"/>
  <c r="O42" i="145"/>
  <c r="O34" i="145"/>
  <c r="O18" i="145"/>
  <c r="O7" i="145"/>
  <c r="O12" i="106" s="1"/>
  <c r="O50" i="145"/>
  <c r="O78" i="106" s="1"/>
  <c r="O38" i="145"/>
  <c r="O22" i="145"/>
  <c r="O28" i="106" s="1"/>
  <c r="O46" i="145"/>
  <c r="O68" i="106" s="1"/>
  <c r="E22" i="106"/>
  <c r="D76" i="146"/>
  <c r="C48" i="150" s="1"/>
  <c r="G14" i="98"/>
  <c r="G15" i="98" s="1"/>
  <c r="G70" i="106"/>
  <c r="G32" i="147" s="1"/>
  <c r="G52" i="106"/>
  <c r="G21" i="121" s="1"/>
  <c r="N5" i="121"/>
  <c r="N4" i="98"/>
  <c r="M59" i="110"/>
  <c r="M5" i="110"/>
  <c r="N7" i="98"/>
  <c r="O6" i="98"/>
  <c r="J5" i="94"/>
  <c r="K4" i="94"/>
  <c r="L26" i="94"/>
  <c r="M25" i="94"/>
  <c r="O4" i="121"/>
  <c r="O5" i="84"/>
  <c r="P4" i="84"/>
  <c r="O5" i="81"/>
  <c r="P4" i="145"/>
  <c r="F46" i="110"/>
  <c r="F51" i="110" s="1"/>
  <c r="G46" i="110"/>
  <c r="G51" i="110" s="1"/>
  <c r="F25" i="147" l="1"/>
  <c r="F27" i="147" s="1"/>
  <c r="D13" i="147"/>
  <c r="J121" i="110"/>
  <c r="K144" i="110"/>
  <c r="I109" i="110"/>
  <c r="J109" i="110" s="1"/>
  <c r="D22" i="106"/>
  <c r="D9" i="121"/>
  <c r="D40" i="106"/>
  <c r="D18" i="147" s="1"/>
  <c r="H16" i="82"/>
  <c r="J34" i="84"/>
  <c r="J71" i="147"/>
  <c r="J38" i="84"/>
  <c r="L130" i="147"/>
  <c r="H51" i="110"/>
  <c r="H27" i="110"/>
  <c r="H35" i="106" s="1"/>
  <c r="H17" i="147" s="1"/>
  <c r="H80" i="110"/>
  <c r="H79" i="110" s="1"/>
  <c r="H68" i="110"/>
  <c r="H67" i="110" s="1"/>
  <c r="H72" i="110"/>
  <c r="H84" i="110"/>
  <c r="I84" i="110" s="1"/>
  <c r="H39" i="110"/>
  <c r="I39" i="110" s="1"/>
  <c r="J39" i="110" s="1"/>
  <c r="K39" i="110" s="1"/>
  <c r="L39" i="110" s="1"/>
  <c r="M39" i="110" s="1"/>
  <c r="N39" i="110" s="1"/>
  <c r="O39" i="110" s="1"/>
  <c r="P39" i="110" s="1"/>
  <c r="Q39" i="110" s="1"/>
  <c r="M8" i="106"/>
  <c r="M7" i="106"/>
  <c r="H55" i="110"/>
  <c r="H53" i="110" s="1"/>
  <c r="H66" i="106" s="1"/>
  <c r="P30" i="145"/>
  <c r="P54" i="145"/>
  <c r="P26" i="145"/>
  <c r="P33" i="106" s="1"/>
  <c r="P44" i="147" s="1"/>
  <c r="G85" i="147"/>
  <c r="M5" i="82"/>
  <c r="M9" i="82"/>
  <c r="M33" i="84" s="1"/>
  <c r="N4" i="82"/>
  <c r="D51" i="106"/>
  <c r="D26" i="147" s="1"/>
  <c r="E189" i="146"/>
  <c r="G36" i="147"/>
  <c r="E21" i="147"/>
  <c r="E19" i="147"/>
  <c r="F28" i="147"/>
  <c r="F26" i="147"/>
  <c r="E188" i="146"/>
  <c r="E187" i="146"/>
  <c r="F82" i="146"/>
  <c r="E52" i="150" s="1"/>
  <c r="M10" i="82"/>
  <c r="M32" i="84" s="1"/>
  <c r="E186" i="146"/>
  <c r="E190" i="146"/>
  <c r="E185" i="146"/>
  <c r="D21" i="147"/>
  <c r="E15" i="121"/>
  <c r="M5" i="106"/>
  <c r="N4" i="106"/>
  <c r="K126" i="110"/>
  <c r="K38" i="84" s="1"/>
  <c r="L129" i="147"/>
  <c r="F93" i="146"/>
  <c r="E77" i="150" s="1"/>
  <c r="F91" i="146"/>
  <c r="E72" i="150" s="1"/>
  <c r="H11" i="121"/>
  <c r="O58" i="106"/>
  <c r="O47" i="147" s="1"/>
  <c r="O18" i="106"/>
  <c r="O42" i="147" s="1"/>
  <c r="O43" i="147"/>
  <c r="O48" i="106"/>
  <c r="O46" i="147" s="1"/>
  <c r="E80" i="146"/>
  <c r="D51" i="150" s="1"/>
  <c r="F20" i="121"/>
  <c r="O63" i="106"/>
  <c r="O48" i="147" s="1"/>
  <c r="O38" i="106"/>
  <c r="O45" i="147" s="1"/>
  <c r="G7" i="84"/>
  <c r="G104" i="147" s="1"/>
  <c r="J157" i="110"/>
  <c r="J138" i="110"/>
  <c r="J140" i="110"/>
  <c r="J136" i="110"/>
  <c r="J152" i="110"/>
  <c r="J146" i="110"/>
  <c r="J148" i="110"/>
  <c r="J150" i="110"/>
  <c r="J154" i="110"/>
  <c r="J119" i="110"/>
  <c r="J130" i="110"/>
  <c r="J123" i="110"/>
  <c r="J128" i="110"/>
  <c r="J111" i="110"/>
  <c r="J113" i="110"/>
  <c r="J115" i="110"/>
  <c r="K9" i="110"/>
  <c r="L8" i="110"/>
  <c r="J7" i="110"/>
  <c r="I25" i="110"/>
  <c r="G75" i="106"/>
  <c r="G59" i="110"/>
  <c r="H159" i="110"/>
  <c r="H30" i="82" s="1"/>
  <c r="D169" i="146"/>
  <c r="D187" i="146" s="1"/>
  <c r="D49" i="150"/>
  <c r="F78" i="146"/>
  <c r="E79" i="146"/>
  <c r="D50" i="150" s="1"/>
  <c r="F70" i="106"/>
  <c r="F32" i="147" s="1"/>
  <c r="F52" i="106"/>
  <c r="F21" i="121" s="1"/>
  <c r="F14" i="98"/>
  <c r="F15" i="98" s="1"/>
  <c r="O4" i="110"/>
  <c r="N19" i="110"/>
  <c r="O50" i="147"/>
  <c r="O49" i="147"/>
  <c r="N15" i="110"/>
  <c r="N17" i="110"/>
  <c r="F71" i="106"/>
  <c r="F33" i="147" s="1"/>
  <c r="E51" i="106"/>
  <c r="I50" i="110"/>
  <c r="N40" i="110"/>
  <c r="O41" i="147"/>
  <c r="E35" i="94"/>
  <c r="D243" i="146" s="1"/>
  <c r="C103" i="150" s="1"/>
  <c r="P5" i="145"/>
  <c r="P18" i="145"/>
  <c r="P42" i="145"/>
  <c r="P7" i="145"/>
  <c r="P12" i="106" s="1"/>
  <c r="P50" i="145"/>
  <c r="P78" i="106" s="1"/>
  <c r="P38" i="145"/>
  <c r="P46" i="145"/>
  <c r="P68" i="106" s="1"/>
  <c r="P22" i="145"/>
  <c r="P28" i="106" s="1"/>
  <c r="P34" i="145"/>
  <c r="E11" i="98"/>
  <c r="E12" i="98" s="1"/>
  <c r="E50" i="106"/>
  <c r="E25" i="147" s="1"/>
  <c r="E27" i="147" s="1"/>
  <c r="D77" i="146"/>
  <c r="E78" i="146" s="1"/>
  <c r="E42" i="106"/>
  <c r="E16" i="121" s="1"/>
  <c r="G72" i="106"/>
  <c r="G80" i="106"/>
  <c r="P4" i="121"/>
  <c r="O4" i="98"/>
  <c r="O5" i="121"/>
  <c r="N59" i="110"/>
  <c r="N23" i="110"/>
  <c r="N5" i="110"/>
  <c r="P6" i="98"/>
  <c r="O7" i="98"/>
  <c r="N25" i="94"/>
  <c r="M26" i="94"/>
  <c r="L4" i="94"/>
  <c r="K5" i="94"/>
  <c r="P5" i="84"/>
  <c r="Q4" i="84"/>
  <c r="P5" i="81"/>
  <c r="Q4" i="145"/>
  <c r="N5" i="82" l="1"/>
  <c r="I27" i="110"/>
  <c r="I12" i="121" s="1"/>
  <c r="K34" i="84"/>
  <c r="L144" i="110"/>
  <c r="L34" i="84" s="1"/>
  <c r="I68" i="110"/>
  <c r="I67" i="110" s="1"/>
  <c r="D50" i="106"/>
  <c r="D25" i="147" s="1"/>
  <c r="K121" i="110"/>
  <c r="I72" i="110"/>
  <c r="J72" i="110" s="1"/>
  <c r="H70" i="110"/>
  <c r="H46" i="106" s="1"/>
  <c r="D11" i="98"/>
  <c r="D12" i="98" s="1"/>
  <c r="D15" i="121"/>
  <c r="D42" i="106"/>
  <c r="D16" i="121" s="1"/>
  <c r="H82" i="110"/>
  <c r="H47" i="106" s="1"/>
  <c r="K71" i="147"/>
  <c r="H87" i="147"/>
  <c r="H9" i="84"/>
  <c r="H84" i="147"/>
  <c r="I80" i="110"/>
  <c r="I79" i="110" s="1"/>
  <c r="M130" i="147"/>
  <c r="I55" i="110"/>
  <c r="I53" i="110" s="1"/>
  <c r="N8" i="106"/>
  <c r="N7" i="106"/>
  <c r="Q30" i="145"/>
  <c r="Q54" i="145"/>
  <c r="Q26" i="145"/>
  <c r="Q33" i="106" s="1"/>
  <c r="Q44" i="147" s="1"/>
  <c r="G166" i="110"/>
  <c r="D52" i="106"/>
  <c r="D21" i="121" s="1"/>
  <c r="D70" i="106"/>
  <c r="D32" i="147" s="1"/>
  <c r="D20" i="121"/>
  <c r="D14" i="98"/>
  <c r="D15" i="98" s="1"/>
  <c r="D71" i="106"/>
  <c r="D33" i="147" s="1"/>
  <c r="D28" i="147"/>
  <c r="N9" i="82"/>
  <c r="N33" i="84" s="1"/>
  <c r="O4" i="82"/>
  <c r="N10" i="82"/>
  <c r="N32" i="84" s="1"/>
  <c r="M129" i="147"/>
  <c r="N129" i="147"/>
  <c r="E28" i="147"/>
  <c r="E26" i="147"/>
  <c r="M144" i="110"/>
  <c r="O4" i="106"/>
  <c r="N5" i="106"/>
  <c r="O105" i="147"/>
  <c r="N126" i="147"/>
  <c r="Q112" i="147"/>
  <c r="Q120" i="147"/>
  <c r="Q133" i="147"/>
  <c r="P125" i="147"/>
  <c r="Q105" i="147"/>
  <c r="Q125" i="147"/>
  <c r="P120" i="147"/>
  <c r="P126" i="147"/>
  <c r="Q126" i="147"/>
  <c r="P112" i="147"/>
  <c r="P105" i="147"/>
  <c r="P133" i="147"/>
  <c r="Q114" i="147"/>
  <c r="L126" i="110"/>
  <c r="H12" i="121"/>
  <c r="E91" i="146"/>
  <c r="D72" i="150" s="1"/>
  <c r="F81" i="146"/>
  <c r="E82" i="146"/>
  <c r="D52" i="150" s="1"/>
  <c r="P58" i="106"/>
  <c r="P47" i="147" s="1"/>
  <c r="P38" i="106"/>
  <c r="P45" i="147" s="1"/>
  <c r="I11" i="121"/>
  <c r="P63" i="106"/>
  <c r="P48" i="147" s="1"/>
  <c r="P18" i="106"/>
  <c r="P42" i="147" s="1"/>
  <c r="P43" i="147"/>
  <c r="E20" i="121"/>
  <c r="P48" i="106"/>
  <c r="P46" i="147" s="1"/>
  <c r="E93" i="146"/>
  <c r="D77" i="150" s="1"/>
  <c r="K157" i="110"/>
  <c r="K136" i="110"/>
  <c r="K140" i="110"/>
  <c r="K138" i="110"/>
  <c r="K154" i="110"/>
  <c r="K150" i="110"/>
  <c r="K148" i="110"/>
  <c r="K146" i="110"/>
  <c r="K152" i="110"/>
  <c r="I159" i="110"/>
  <c r="K128" i="110"/>
  <c r="K123" i="110"/>
  <c r="K130" i="110"/>
  <c r="K119" i="110"/>
  <c r="K115" i="110"/>
  <c r="K111" i="110"/>
  <c r="K113" i="110"/>
  <c r="K109" i="110"/>
  <c r="O121" i="110"/>
  <c r="L9" i="110"/>
  <c r="M8" i="110"/>
  <c r="K7" i="110"/>
  <c r="J25" i="110"/>
  <c r="P4" i="110"/>
  <c r="F59" i="110"/>
  <c r="D190" i="146"/>
  <c r="D186" i="146"/>
  <c r="D189" i="146"/>
  <c r="D185" i="146"/>
  <c r="D184" i="146"/>
  <c r="D188" i="146"/>
  <c r="F95" i="146"/>
  <c r="F97" i="146" s="1"/>
  <c r="E82" i="150" s="1"/>
  <c r="F80" i="106"/>
  <c r="F72" i="106"/>
  <c r="F75" i="106"/>
  <c r="O17" i="110"/>
  <c r="J84" i="110"/>
  <c r="K84" i="110" s="1"/>
  <c r="O15" i="110"/>
  <c r="O19" i="110"/>
  <c r="D79" i="146"/>
  <c r="C50" i="150" s="1"/>
  <c r="C49" i="150"/>
  <c r="P50" i="147"/>
  <c r="P49" i="147"/>
  <c r="E71" i="106"/>
  <c r="F81" i="106"/>
  <c r="I51" i="110"/>
  <c r="J51" i="110" s="1"/>
  <c r="K51" i="110" s="1"/>
  <c r="L51" i="110" s="1"/>
  <c r="M51" i="110" s="1"/>
  <c r="N51" i="110" s="1"/>
  <c r="O51" i="110" s="1"/>
  <c r="P51" i="110" s="1"/>
  <c r="J50" i="110"/>
  <c r="O40" i="110"/>
  <c r="P41" i="147"/>
  <c r="Q5" i="145"/>
  <c r="Q34" i="145"/>
  <c r="Q18" i="145"/>
  <c r="Q42" i="145"/>
  <c r="Q22" i="145"/>
  <c r="Q28" i="106" s="1"/>
  <c r="Q7" i="145"/>
  <c r="Q12" i="106" s="1"/>
  <c r="Q50" i="145"/>
  <c r="Q78" i="106" s="1"/>
  <c r="Q46" i="145"/>
  <c r="Q68" i="106" s="1"/>
  <c r="Q38" i="145"/>
  <c r="D80" i="146"/>
  <c r="E81" i="146" s="1"/>
  <c r="E70" i="106"/>
  <c r="E32" i="147" s="1"/>
  <c r="E14" i="98"/>
  <c r="E15" i="98" s="1"/>
  <c r="E52" i="106"/>
  <c r="E21" i="121" s="1"/>
  <c r="G82" i="106"/>
  <c r="Q4" i="121"/>
  <c r="P5" i="121"/>
  <c r="P4" i="98"/>
  <c r="O59" i="110"/>
  <c r="O23" i="110"/>
  <c r="O5" i="110"/>
  <c r="P7" i="98"/>
  <c r="Q6" i="98"/>
  <c r="M4" i="94"/>
  <c r="M14" i="94" s="1"/>
  <c r="L5" i="94"/>
  <c r="N26" i="94"/>
  <c r="O25" i="94"/>
  <c r="Q5" i="84"/>
  <c r="Q5" i="81"/>
  <c r="P4" i="82" l="1"/>
  <c r="J27" i="110"/>
  <c r="J55" i="110"/>
  <c r="J53" i="110" s="1"/>
  <c r="E33" i="147"/>
  <c r="E81" i="106"/>
  <c r="J80" i="110"/>
  <c r="J79" i="110" s="1"/>
  <c r="J68" i="110"/>
  <c r="J67" i="110" s="1"/>
  <c r="L121" i="110"/>
  <c r="I9" i="84"/>
  <c r="H23" i="147"/>
  <c r="H44" i="106"/>
  <c r="O8" i="106"/>
  <c r="O7" i="106" s="1"/>
  <c r="F166" i="110"/>
  <c r="F85" i="147"/>
  <c r="D72" i="106"/>
  <c r="D81" i="106"/>
  <c r="D75" i="106"/>
  <c r="D80" i="106"/>
  <c r="D82" i="106" s="1"/>
  <c r="O9" i="82"/>
  <c r="O33" i="84" s="1"/>
  <c r="D59" i="110"/>
  <c r="O10" i="82"/>
  <c r="O32" i="84" s="1"/>
  <c r="O5" i="82"/>
  <c r="F36" i="147"/>
  <c r="E75" i="106"/>
  <c r="I44" i="94"/>
  <c r="O5" i="106"/>
  <c r="P4" i="106"/>
  <c r="M22" i="82"/>
  <c r="M34" i="84" s="1"/>
  <c r="N144" i="110"/>
  <c r="M126" i="110"/>
  <c r="Q38" i="106"/>
  <c r="Q45" i="147" s="1"/>
  <c r="Q63" i="106"/>
  <c r="Q48" i="147" s="1"/>
  <c r="Q18" i="106"/>
  <c r="Q42" i="147" s="1"/>
  <c r="Q43" i="147"/>
  <c r="Q58" i="106"/>
  <c r="Q47" i="147" s="1"/>
  <c r="P10" i="82"/>
  <c r="P9" i="82"/>
  <c r="Q48" i="106"/>
  <c r="Q46" i="147" s="1"/>
  <c r="J11" i="121"/>
  <c r="F104" i="147"/>
  <c r="L157" i="110"/>
  <c r="L140" i="110"/>
  <c r="L138" i="110"/>
  <c r="L136" i="110"/>
  <c r="J159" i="110"/>
  <c r="L152" i="110"/>
  <c r="L146" i="110"/>
  <c r="N154" i="110"/>
  <c r="O154" i="110" s="1"/>
  <c r="P154" i="110" s="1"/>
  <c r="L148" i="110"/>
  <c r="L150" i="110"/>
  <c r="L154" i="110"/>
  <c r="L119" i="110"/>
  <c r="L123" i="110"/>
  <c r="L130" i="110"/>
  <c r="L128" i="110"/>
  <c r="L109" i="110"/>
  <c r="L113" i="110"/>
  <c r="L111" i="110"/>
  <c r="L115" i="110"/>
  <c r="P121" i="110"/>
  <c r="K27" i="110"/>
  <c r="P19" i="110"/>
  <c r="Q4" i="110"/>
  <c r="N8" i="110"/>
  <c r="M9" i="110"/>
  <c r="M10" i="106" s="1"/>
  <c r="P17" i="110"/>
  <c r="L7" i="110"/>
  <c r="K25" i="110"/>
  <c r="P15" i="110"/>
  <c r="M9" i="106"/>
  <c r="E59" i="110"/>
  <c r="E81" i="150"/>
  <c r="F82" i="106"/>
  <c r="K55" i="110"/>
  <c r="K53" i="110" s="1"/>
  <c r="E95" i="146"/>
  <c r="E97" i="146" s="1"/>
  <c r="D82" i="150" s="1"/>
  <c r="K72" i="110"/>
  <c r="D82" i="146"/>
  <c r="C52" i="150" s="1"/>
  <c r="C51" i="150"/>
  <c r="D93" i="146"/>
  <c r="C77" i="150" s="1"/>
  <c r="D91" i="146"/>
  <c r="C72" i="150" s="1"/>
  <c r="Q51" i="110"/>
  <c r="Q50" i="147"/>
  <c r="Q49" i="147"/>
  <c r="K50" i="110"/>
  <c r="P40" i="110"/>
  <c r="L84" i="110"/>
  <c r="Q41" i="147"/>
  <c r="E72" i="106"/>
  <c r="E80" i="106"/>
  <c r="Q5" i="121"/>
  <c r="Q4" i="98"/>
  <c r="P5" i="82"/>
  <c r="Q4" i="82"/>
  <c r="P59" i="110"/>
  <c r="P23" i="110"/>
  <c r="P5" i="110"/>
  <c r="Q7" i="98"/>
  <c r="O26" i="94"/>
  <c r="P25" i="94"/>
  <c r="N4" i="94"/>
  <c r="M5" i="94"/>
  <c r="I83" i="147" l="1"/>
  <c r="I82" i="147"/>
  <c r="J82" i="147"/>
  <c r="J83" i="147"/>
  <c r="K83" i="147"/>
  <c r="K82" i="147"/>
  <c r="I91" i="147"/>
  <c r="J91" i="147"/>
  <c r="L83" i="147"/>
  <c r="L82" i="147"/>
  <c r="K91" i="147"/>
  <c r="M82" i="147"/>
  <c r="L91" i="147"/>
  <c r="I87" i="147"/>
  <c r="K80" i="110"/>
  <c r="K79" i="110" s="1"/>
  <c r="K68" i="110"/>
  <c r="K67" i="110" s="1"/>
  <c r="M130" i="110"/>
  <c r="N130" i="110" s="1"/>
  <c r="O130" i="110" s="1"/>
  <c r="P130" i="110" s="1"/>
  <c r="M128" i="110"/>
  <c r="N128" i="110" s="1"/>
  <c r="O128" i="110" s="1"/>
  <c r="P128" i="110" s="1"/>
  <c r="M123" i="110"/>
  <c r="N123" i="110" s="1"/>
  <c r="O123" i="110" s="1"/>
  <c r="P123" i="110" s="1"/>
  <c r="M119" i="110"/>
  <c r="N119" i="110" s="1"/>
  <c r="O119" i="110" s="1"/>
  <c r="P119" i="110" s="1"/>
  <c r="M121" i="110"/>
  <c r="N121" i="110" s="1"/>
  <c r="M111" i="110"/>
  <c r="N111" i="110" s="1"/>
  <c r="O111" i="110" s="1"/>
  <c r="P111" i="110" s="1"/>
  <c r="M113" i="110"/>
  <c r="N113" i="110" s="1"/>
  <c r="O113" i="110" s="1"/>
  <c r="P113" i="110" s="1"/>
  <c r="M109" i="110"/>
  <c r="N109" i="110" s="1"/>
  <c r="O109" i="110" s="1"/>
  <c r="P109" i="110" s="1"/>
  <c r="M115" i="110"/>
  <c r="N115" i="110" s="1"/>
  <c r="O115" i="110" s="1"/>
  <c r="P115" i="110" s="1"/>
  <c r="M138" i="110"/>
  <c r="N138" i="110" s="1"/>
  <c r="O138" i="110" s="1"/>
  <c r="P138" i="110" s="1"/>
  <c r="M140" i="110"/>
  <c r="N140" i="110" s="1"/>
  <c r="O140" i="110" s="1"/>
  <c r="P140" i="110" s="1"/>
  <c r="M148" i="110"/>
  <c r="N148" i="110" s="1"/>
  <c r="O148" i="110" s="1"/>
  <c r="P148" i="110" s="1"/>
  <c r="M157" i="110"/>
  <c r="N157" i="110" s="1"/>
  <c r="O157" i="110" s="1"/>
  <c r="P157" i="110" s="1"/>
  <c r="M146" i="110"/>
  <c r="N146" i="110" s="1"/>
  <c r="O146" i="110" s="1"/>
  <c r="P146" i="110" s="1"/>
  <c r="M150" i="110"/>
  <c r="N150" i="110" s="1"/>
  <c r="O150" i="110" s="1"/>
  <c r="P150" i="110" s="1"/>
  <c r="M154" i="110"/>
  <c r="M152" i="110"/>
  <c r="N152" i="110" s="1"/>
  <c r="O152" i="110" s="1"/>
  <c r="P152" i="110" s="1"/>
  <c r="J9" i="84"/>
  <c r="L71" i="147"/>
  <c r="L38" i="84"/>
  <c r="M91" i="147"/>
  <c r="P8" i="106"/>
  <c r="P7" i="106" s="1"/>
  <c r="J12" i="121"/>
  <c r="E166" i="110"/>
  <c r="E85" i="147"/>
  <c r="D85" i="147"/>
  <c r="D166" i="110"/>
  <c r="G136" i="147"/>
  <c r="G132" i="147"/>
  <c r="D36" i="147"/>
  <c r="D84" i="106"/>
  <c r="P33" i="84"/>
  <c r="P130" i="147" s="1"/>
  <c r="P32" i="84"/>
  <c r="P129" i="147" s="1"/>
  <c r="E36" i="147"/>
  <c r="N14" i="94"/>
  <c r="J87" i="147"/>
  <c r="M9" i="98"/>
  <c r="N22" i="82"/>
  <c r="N34" i="84" s="1"/>
  <c r="O144" i="110"/>
  <c r="P5" i="106"/>
  <c r="Q4" i="106"/>
  <c r="N82" i="147"/>
  <c r="O83" i="147"/>
  <c r="P82" i="147"/>
  <c r="P83" i="147"/>
  <c r="M39" i="81"/>
  <c r="M38" i="84" s="1"/>
  <c r="N126" i="110"/>
  <c r="L27" i="110"/>
  <c r="Q10" i="82"/>
  <c r="Q32" i="84" s="1"/>
  <c r="Q129" i="147" s="1"/>
  <c r="Q9" i="82"/>
  <c r="Q33" i="84" s="1"/>
  <c r="Q130" i="147" s="1"/>
  <c r="K11" i="121"/>
  <c r="E7" i="84"/>
  <c r="E104" i="147" s="1"/>
  <c r="M136" i="110"/>
  <c r="K159" i="110"/>
  <c r="E132" i="147"/>
  <c r="D81" i="147"/>
  <c r="Q121" i="110"/>
  <c r="Q19" i="110"/>
  <c r="Q146" i="110"/>
  <c r="Q15" i="110"/>
  <c r="Q17" i="110"/>
  <c r="M7" i="110"/>
  <c r="M30" i="106" s="1"/>
  <c r="N9" i="110"/>
  <c r="N10" i="106" s="1"/>
  <c r="O8" i="110"/>
  <c r="O9" i="106" s="1"/>
  <c r="L25" i="110"/>
  <c r="L14" i="147" s="1"/>
  <c r="N9" i="106"/>
  <c r="L55" i="110"/>
  <c r="L53" i="110" s="1"/>
  <c r="M31" i="110"/>
  <c r="L72" i="110"/>
  <c r="F22" i="84"/>
  <c r="D81" i="150"/>
  <c r="M84" i="110"/>
  <c r="N31" i="110"/>
  <c r="L50" i="110"/>
  <c r="Q40" i="110"/>
  <c r="D95" i="146"/>
  <c r="E82" i="106"/>
  <c r="F52" i="94"/>
  <c r="Q5" i="82"/>
  <c r="Q113" i="110"/>
  <c r="Q123" i="110"/>
  <c r="Q154" i="110"/>
  <c r="Q59" i="110"/>
  <c r="Q23" i="110"/>
  <c r="Q111" i="110"/>
  <c r="Q130" i="110"/>
  <c r="Q152" i="110"/>
  <c r="Q140" i="110"/>
  <c r="Q148" i="110"/>
  <c r="Q119" i="110"/>
  <c r="Q157" i="110"/>
  <c r="Q109" i="110"/>
  <c r="Q128" i="110"/>
  <c r="Q138" i="110"/>
  <c r="Q115" i="110"/>
  <c r="Q150" i="110"/>
  <c r="Q5" i="110"/>
  <c r="N5" i="94"/>
  <c r="O4" i="94"/>
  <c r="P26" i="94"/>
  <c r="Q25" i="94"/>
  <c r="M8" i="147" l="1"/>
  <c r="K14" i="147"/>
  <c r="L8" i="147"/>
  <c r="J14" i="147"/>
  <c r="K8" i="147"/>
  <c r="I14" i="147"/>
  <c r="J8" i="147"/>
  <c r="I8" i="147"/>
  <c r="I9" i="147"/>
  <c r="I16" i="147"/>
  <c r="J9" i="147"/>
  <c r="K9" i="147"/>
  <c r="J16" i="147"/>
  <c r="L9" i="147"/>
  <c r="I17" i="147"/>
  <c r="K16" i="147"/>
  <c r="J17" i="147"/>
  <c r="L16" i="147"/>
  <c r="L80" i="110"/>
  <c r="L79" i="110" s="1"/>
  <c r="L68" i="110"/>
  <c r="L67" i="110" s="1"/>
  <c r="F119" i="147"/>
  <c r="F41" i="84"/>
  <c r="K9" i="84"/>
  <c r="M71" i="147"/>
  <c r="Q8" i="106"/>
  <c r="Q7" i="106" s="1"/>
  <c r="K12" i="121"/>
  <c r="K17" i="147"/>
  <c r="N16" i="147"/>
  <c r="O16" i="147"/>
  <c r="P16" i="147"/>
  <c r="Q16" i="147"/>
  <c r="M16" i="147"/>
  <c r="M28" i="94"/>
  <c r="M32" i="106"/>
  <c r="F136" i="147"/>
  <c r="F132" i="147"/>
  <c r="L74" i="146"/>
  <c r="K47" i="150" s="1"/>
  <c r="M7" i="121"/>
  <c r="M14" i="106"/>
  <c r="M20" i="106" s="1"/>
  <c r="M7" i="147"/>
  <c r="K87" i="147"/>
  <c r="O14" i="94"/>
  <c r="M6" i="147"/>
  <c r="M27" i="110"/>
  <c r="Q83" i="147"/>
  <c r="O8" i="147"/>
  <c r="Q5" i="106"/>
  <c r="N39" i="81"/>
  <c r="N71" i="147" s="1"/>
  <c r="O126" i="110"/>
  <c r="Q82" i="147"/>
  <c r="O22" i="82"/>
  <c r="P144" i="110"/>
  <c r="L11" i="121"/>
  <c r="N136" i="110"/>
  <c r="O136" i="110" s="1"/>
  <c r="P136" i="110" s="1"/>
  <c r="Q136" i="110" s="1"/>
  <c r="L159" i="110"/>
  <c r="D32" i="82"/>
  <c r="E39" i="84"/>
  <c r="E136" i="147" s="1"/>
  <c r="M82" i="110"/>
  <c r="M47" i="106" s="1"/>
  <c r="O9" i="110"/>
  <c r="O10" i="106" s="1"/>
  <c r="P8" i="110"/>
  <c r="P9" i="106" s="1"/>
  <c r="P8" i="147" s="1"/>
  <c r="N7" i="110"/>
  <c r="N30" i="106" s="1"/>
  <c r="M25" i="110"/>
  <c r="N25" i="110" s="1"/>
  <c r="O25" i="110" s="1"/>
  <c r="P25" i="110" s="1"/>
  <c r="Q25" i="110" s="1"/>
  <c r="E22" i="84"/>
  <c r="E119" i="147" s="1"/>
  <c r="M55" i="110"/>
  <c r="M53" i="110" s="1"/>
  <c r="M66" i="106" s="1"/>
  <c r="M72" i="110"/>
  <c r="M70" i="110" s="1"/>
  <c r="M46" i="106" s="1"/>
  <c r="M23" i="147" s="1"/>
  <c r="N84" i="110"/>
  <c r="D97" i="146"/>
  <c r="C82" i="150" s="1"/>
  <c r="C81" i="150"/>
  <c r="M45" i="110"/>
  <c r="N27" i="110"/>
  <c r="M68" i="110"/>
  <c r="M67" i="110" s="1"/>
  <c r="M50" i="110"/>
  <c r="M80" i="110"/>
  <c r="M79" i="110" s="1"/>
  <c r="Y11" i="109" a="1"/>
  <c r="Y11" i="109" s="1"/>
  <c r="F81" i="147"/>
  <c r="E81" i="147"/>
  <c r="L51" i="161"/>
  <c r="Q26" i="94"/>
  <c r="O5" i="94"/>
  <c r="P4" i="94"/>
  <c r="P14" i="94" s="1"/>
  <c r="G52" i="94"/>
  <c r="F61" i="147"/>
  <c r="F44" i="84" l="1"/>
  <c r="F49" i="81"/>
  <c r="M159" i="110"/>
  <c r="N38" i="84"/>
  <c r="L87" i="147"/>
  <c r="L9" i="84"/>
  <c r="N35" i="106"/>
  <c r="L17" i="147"/>
  <c r="L12" i="121"/>
  <c r="M35" i="106"/>
  <c r="M12" i="121" s="1"/>
  <c r="F137" i="147"/>
  <c r="M51" i="161"/>
  <c r="N32" i="106"/>
  <c r="M8" i="121"/>
  <c r="M21" i="106"/>
  <c r="D99" i="147"/>
  <c r="O9" i="98"/>
  <c r="O28" i="94"/>
  <c r="O39" i="81"/>
  <c r="P126" i="110"/>
  <c r="N7" i="147"/>
  <c r="N6" i="147"/>
  <c r="N14" i="106"/>
  <c r="N28" i="94"/>
  <c r="N7" i="121"/>
  <c r="N9" i="98"/>
  <c r="M74" i="146"/>
  <c r="O9" i="147"/>
  <c r="O31" i="110"/>
  <c r="O91" i="147"/>
  <c r="O27" i="110"/>
  <c r="P22" i="82"/>
  <c r="Q144" i="110"/>
  <c r="Q22" i="82" s="1"/>
  <c r="M100" i="110"/>
  <c r="N159" i="110"/>
  <c r="O159" i="110" s="1"/>
  <c r="P159" i="110" s="1"/>
  <c r="Q159" i="110" s="1"/>
  <c r="M9" i="121"/>
  <c r="N82" i="110"/>
  <c r="N47" i="106" s="1"/>
  <c r="O7" i="110"/>
  <c r="O30" i="106" s="1"/>
  <c r="M24" i="106"/>
  <c r="P9" i="110"/>
  <c r="P10" i="106" s="1"/>
  <c r="P9" i="147" s="1"/>
  <c r="Q8" i="110"/>
  <c r="N24" i="106"/>
  <c r="H132" i="147"/>
  <c r="N55" i="110"/>
  <c r="N53" i="110" s="1"/>
  <c r="N66" i="106" s="1"/>
  <c r="N72" i="110"/>
  <c r="N70" i="110" s="1"/>
  <c r="O84" i="110"/>
  <c r="N80" i="110"/>
  <c r="N32" i="110"/>
  <c r="N50" i="110"/>
  <c r="N68" i="110"/>
  <c r="M10" i="94"/>
  <c r="M33" i="110"/>
  <c r="M32" i="110"/>
  <c r="L84" i="146"/>
  <c r="M29" i="94"/>
  <c r="M11" i="94"/>
  <c r="L167" i="146" s="1"/>
  <c r="K99" i="150" s="1"/>
  <c r="L76" i="146"/>
  <c r="K48" i="150" s="1"/>
  <c r="E32" i="82"/>
  <c r="M15" i="106"/>
  <c r="F32" i="82"/>
  <c r="L52" i="161"/>
  <c r="M44" i="106"/>
  <c r="P5" i="94"/>
  <c r="Q4" i="94"/>
  <c r="Q14" i="94" s="1"/>
  <c r="G61" i="147"/>
  <c r="F46" i="81"/>
  <c r="F75" i="147" s="1"/>
  <c r="E34" i="82" l="1"/>
  <c r="E48" i="81"/>
  <c r="F34" i="82"/>
  <c r="F48" i="81"/>
  <c r="N24" i="147"/>
  <c r="M52" i="161"/>
  <c r="N20" i="106"/>
  <c r="N9" i="121" s="1"/>
  <c r="M36" i="106"/>
  <c r="L54" i="161"/>
  <c r="O35" i="106"/>
  <c r="O36" i="106" s="1"/>
  <c r="O7" i="121"/>
  <c r="O32" i="106"/>
  <c r="N51" i="161"/>
  <c r="N74" i="146"/>
  <c r="N75" i="146" s="1"/>
  <c r="O14" i="106"/>
  <c r="O6" i="147"/>
  <c r="O7" i="147"/>
  <c r="F99" i="147"/>
  <c r="E99" i="147"/>
  <c r="M84" i="146"/>
  <c r="M85" i="146" s="1"/>
  <c r="L57" i="150" s="1"/>
  <c r="N29" i="94"/>
  <c r="N15" i="106"/>
  <c r="N11" i="94"/>
  <c r="M167" i="146" s="1"/>
  <c r="L99" i="150" s="1"/>
  <c r="N8" i="94"/>
  <c r="N33" i="94" s="1"/>
  <c r="M246" i="146" s="1"/>
  <c r="L106" i="150" s="1"/>
  <c r="N12" i="121"/>
  <c r="N17" i="147"/>
  <c r="O8" i="94"/>
  <c r="N8" i="121"/>
  <c r="N21" i="106"/>
  <c r="N41" i="106" s="1"/>
  <c r="O34" i="110"/>
  <c r="O33" i="110"/>
  <c r="O11" i="94"/>
  <c r="N167" i="146" s="1"/>
  <c r="Q31" i="110"/>
  <c r="Q91" i="147"/>
  <c r="O29" i="94"/>
  <c r="P31" i="110"/>
  <c r="P91" i="147"/>
  <c r="M75" i="146"/>
  <c r="L47" i="150"/>
  <c r="P39" i="81"/>
  <c r="P45" i="110" s="1"/>
  <c r="Q126" i="110"/>
  <c r="Q39" i="81" s="1"/>
  <c r="Q45" i="110" s="1"/>
  <c r="N46" i="106"/>
  <c r="N44" i="106" s="1"/>
  <c r="N100" i="110"/>
  <c r="M11" i="121"/>
  <c r="M14" i="147"/>
  <c r="M15" i="147" s="1"/>
  <c r="O71" i="147"/>
  <c r="O45" i="110"/>
  <c r="O10" i="94"/>
  <c r="N79" i="110"/>
  <c r="O80" i="110"/>
  <c r="P80" i="110" s="1"/>
  <c r="Q80" i="110" s="1"/>
  <c r="N67" i="110"/>
  <c r="N69" i="110" s="1"/>
  <c r="O68" i="110"/>
  <c r="P68" i="110" s="1"/>
  <c r="Q68" i="110" s="1"/>
  <c r="P27" i="110"/>
  <c r="N11" i="121"/>
  <c r="M18" i="121"/>
  <c r="M41" i="106"/>
  <c r="M16" i="82"/>
  <c r="N16" i="82"/>
  <c r="M40" i="106"/>
  <c r="L53" i="161"/>
  <c r="P7" i="110"/>
  <c r="P30" i="106" s="1"/>
  <c r="O24" i="106"/>
  <c r="O14" i="147" s="1"/>
  <c r="O82" i="110"/>
  <c r="L86" i="146"/>
  <c r="L87" i="146" s="1"/>
  <c r="K62" i="150" s="1"/>
  <c r="M25" i="106"/>
  <c r="N25" i="106"/>
  <c r="M53" i="161"/>
  <c r="M86" i="146"/>
  <c r="M87" i="146" s="1"/>
  <c r="L62" i="150" s="1"/>
  <c r="Q9" i="110"/>
  <c r="Q10" i="106" s="1"/>
  <c r="Q9" i="147" s="1"/>
  <c r="Q9" i="106"/>
  <c r="D182" i="146"/>
  <c r="E182" i="146"/>
  <c r="O55" i="110"/>
  <c r="O53" i="110" s="1"/>
  <c r="O66" i="106" s="1"/>
  <c r="O72" i="110"/>
  <c r="O70" i="110" s="1"/>
  <c r="N36" i="106"/>
  <c r="M54" i="161"/>
  <c r="P84" i="110"/>
  <c r="L88" i="146"/>
  <c r="L89" i="146" s="1"/>
  <c r="K67" i="150" s="1"/>
  <c r="M8" i="94"/>
  <c r="M33" i="94" s="1"/>
  <c r="L246" i="146" s="1"/>
  <c r="K106" i="150" s="1"/>
  <c r="L85" i="146"/>
  <c r="K57" i="150" s="1"/>
  <c r="K56" i="150"/>
  <c r="M35" i="110"/>
  <c r="O50" i="110"/>
  <c r="P50" i="110" s="1"/>
  <c r="Q50" i="110" s="1"/>
  <c r="M32" i="94"/>
  <c r="L245" i="146" s="1"/>
  <c r="K105" i="150" s="1"/>
  <c r="L166" i="146"/>
  <c r="K98" i="150" s="1"/>
  <c r="M7" i="94"/>
  <c r="M22" i="106"/>
  <c r="M81" i="110"/>
  <c r="M69" i="110"/>
  <c r="Q5" i="94"/>
  <c r="G46" i="81"/>
  <c r="G75" i="147" s="1"/>
  <c r="M9" i="84" l="1"/>
  <c r="N9" i="84"/>
  <c r="N84" i="146"/>
  <c r="N85" i="146" s="1"/>
  <c r="O20" i="106"/>
  <c r="O9" i="121" s="1"/>
  <c r="L55" i="161"/>
  <c r="P35" i="106"/>
  <c r="O54" i="161" s="1"/>
  <c r="O51" i="161"/>
  <c r="P32" i="106"/>
  <c r="L56" i="150"/>
  <c r="N22" i="106"/>
  <c r="M76" i="146"/>
  <c r="L48" i="150" s="1"/>
  <c r="N52" i="161"/>
  <c r="O15" i="106"/>
  <c r="O21" i="106"/>
  <c r="O41" i="106" s="1"/>
  <c r="O21" i="147" s="1"/>
  <c r="O8" i="121"/>
  <c r="N81" i="110"/>
  <c r="O67" i="110"/>
  <c r="O79" i="110"/>
  <c r="M165" i="146"/>
  <c r="L97" i="150" s="1"/>
  <c r="O35" i="110"/>
  <c r="O37" i="110" s="1"/>
  <c r="O57" i="106" s="1"/>
  <c r="N178" i="146" s="1"/>
  <c r="N40" i="106"/>
  <c r="M77" i="146" s="1"/>
  <c r="N7" i="94"/>
  <c r="M164" i="146" s="1"/>
  <c r="L96" i="150" s="1"/>
  <c r="N102" i="110"/>
  <c r="N103" i="110" s="1"/>
  <c r="N23" i="109" s="1"/>
  <c r="N54" i="161"/>
  <c r="O16" i="82"/>
  <c r="N87" i="147"/>
  <c r="O32" i="94"/>
  <c r="N245" i="146" s="1"/>
  <c r="N166" i="146"/>
  <c r="O17" i="147"/>
  <c r="O12" i="121"/>
  <c r="Q8" i="147"/>
  <c r="O47" i="106"/>
  <c r="Q27" i="110"/>
  <c r="O7" i="94"/>
  <c r="N21" i="147"/>
  <c r="N165" i="146"/>
  <c r="O33" i="94"/>
  <c r="N246" i="146" s="1"/>
  <c r="P7" i="121"/>
  <c r="P6" i="147"/>
  <c r="P7" i="147"/>
  <c r="P9" i="98"/>
  <c r="P14" i="106"/>
  <c r="P28" i="94"/>
  <c r="O74" i="146"/>
  <c r="O75" i="146" s="1"/>
  <c r="O46" i="106"/>
  <c r="O100" i="110"/>
  <c r="M21" i="147"/>
  <c r="M51" i="106"/>
  <c r="O25" i="106"/>
  <c r="O11" i="121"/>
  <c r="M15" i="121"/>
  <c r="L169" i="146"/>
  <c r="N18" i="121"/>
  <c r="L61" i="150"/>
  <c r="M50" i="106"/>
  <c r="K61" i="150"/>
  <c r="M55" i="161"/>
  <c r="O15" i="147"/>
  <c r="N86" i="146"/>
  <c r="N87" i="146" s="1"/>
  <c r="N53" i="161"/>
  <c r="P24" i="106"/>
  <c r="P82" i="110"/>
  <c r="P67" i="110"/>
  <c r="P79" i="110"/>
  <c r="P25" i="84" s="1"/>
  <c r="M37" i="110"/>
  <c r="Q7" i="110"/>
  <c r="Q30" i="106" s="1"/>
  <c r="M169" i="146"/>
  <c r="N65" i="106"/>
  <c r="M90" i="146"/>
  <c r="L71" i="150" s="1"/>
  <c r="N67" i="106"/>
  <c r="P55" i="110"/>
  <c r="P53" i="110" s="1"/>
  <c r="P66" i="106" s="1"/>
  <c r="P72" i="110"/>
  <c r="Q72" i="110" s="1"/>
  <c r="M102" i="110"/>
  <c r="M103" i="110" s="1"/>
  <c r="M23" i="109" s="1"/>
  <c r="Q84" i="110"/>
  <c r="K66" i="150"/>
  <c r="N51" i="106"/>
  <c r="L165" i="146"/>
  <c r="K97" i="150" s="1"/>
  <c r="N13" i="94"/>
  <c r="N11" i="98"/>
  <c r="N12" i="98" s="1"/>
  <c r="M88" i="146"/>
  <c r="N101" i="110"/>
  <c r="L77" i="146"/>
  <c r="M11" i="98"/>
  <c r="M12" i="98" s="1"/>
  <c r="M31" i="94"/>
  <c r="L244" i="146" s="1"/>
  <c r="K104" i="150" s="1"/>
  <c r="M13" i="94"/>
  <c r="L164" i="146"/>
  <c r="K96" i="150" s="1"/>
  <c r="M42" i="106"/>
  <c r="M16" i="121" s="1"/>
  <c r="P15" i="106" l="1"/>
  <c r="P20" i="106"/>
  <c r="Q17" i="147"/>
  <c r="Q35" i="106"/>
  <c r="Q12" i="121" s="1"/>
  <c r="P51" i="161"/>
  <c r="Q32" i="106"/>
  <c r="N76" i="146"/>
  <c r="O40" i="106"/>
  <c r="N77" i="146" s="1"/>
  <c r="O69" i="110"/>
  <c r="O22" i="106"/>
  <c r="N50" i="106"/>
  <c r="N20" i="121" s="1"/>
  <c r="N31" i="94"/>
  <c r="M244" i="146" s="1"/>
  <c r="L104" i="150" s="1"/>
  <c r="P21" i="106"/>
  <c r="P41" i="106" s="1"/>
  <c r="O81" i="110"/>
  <c r="O84" i="146"/>
  <c r="O85" i="146" s="1"/>
  <c r="N55" i="161"/>
  <c r="O52" i="161"/>
  <c r="N42" i="106"/>
  <c r="N16" i="121" s="1"/>
  <c r="P36" i="106"/>
  <c r="N15" i="121"/>
  <c r="P24" i="84"/>
  <c r="O238" i="146" s="1"/>
  <c r="P17" i="147"/>
  <c r="P12" i="121"/>
  <c r="P33" i="110"/>
  <c r="P47" i="106"/>
  <c r="P24" i="147" s="1"/>
  <c r="P32" i="110"/>
  <c r="O102" i="110"/>
  <c r="O103" i="110" s="1"/>
  <c r="O23" i="109" s="1"/>
  <c r="P14" i="147"/>
  <c r="P15" i="147" s="1"/>
  <c r="P16" i="82"/>
  <c r="P34" i="110"/>
  <c r="P10" i="94"/>
  <c r="P11" i="94"/>
  <c r="O167" i="146" s="1"/>
  <c r="Q7" i="121"/>
  <c r="Q6" i="147"/>
  <c r="Q7" i="147"/>
  <c r="Q9" i="98"/>
  <c r="Q14" i="106"/>
  <c r="P74" i="146"/>
  <c r="P75" i="146" s="1"/>
  <c r="Q28" i="94"/>
  <c r="O11" i="98"/>
  <c r="O12" i="98" s="1"/>
  <c r="O13" i="94"/>
  <c r="N164" i="146"/>
  <c r="O31" i="94"/>
  <c r="O18" i="84"/>
  <c r="P8" i="94"/>
  <c r="O239" i="146"/>
  <c r="P8" i="121"/>
  <c r="P29" i="94"/>
  <c r="M28" i="147"/>
  <c r="N28" i="147"/>
  <c r="N21" i="109"/>
  <c r="M20" i="121"/>
  <c r="P25" i="106"/>
  <c r="P11" i="121"/>
  <c r="P70" i="110"/>
  <c r="O53" i="161"/>
  <c r="O86" i="146"/>
  <c r="O87" i="146" s="1"/>
  <c r="Q24" i="106"/>
  <c r="Q67" i="110"/>
  <c r="Q70" i="110"/>
  <c r="Q79" i="110"/>
  <c r="Q25" i="84" s="1"/>
  <c r="Q82" i="110"/>
  <c r="N169" i="146"/>
  <c r="M57" i="106"/>
  <c r="O65" i="106"/>
  <c r="N90" i="146"/>
  <c r="O67" i="106"/>
  <c r="Q55" i="110"/>
  <c r="Q53" i="110" s="1"/>
  <c r="Q66" i="106" s="1"/>
  <c r="M61" i="161"/>
  <c r="M78" i="146"/>
  <c r="O44" i="106"/>
  <c r="O101" i="110" s="1"/>
  <c r="P81" i="110"/>
  <c r="M89" i="146"/>
  <c r="L67" i="150" s="1"/>
  <c r="L66" i="150"/>
  <c r="M79" i="146"/>
  <c r="L50" i="150" s="1"/>
  <c r="L49" i="150"/>
  <c r="L79" i="146"/>
  <c r="K50" i="150" s="1"/>
  <c r="K49" i="150"/>
  <c r="M163" i="146"/>
  <c r="L95" i="150" s="1"/>
  <c r="N22" i="94"/>
  <c r="L163" i="146"/>
  <c r="K95" i="150" s="1"/>
  <c r="M22" i="94"/>
  <c r="M35" i="94"/>
  <c r="L243" i="146" s="1"/>
  <c r="K103" i="150" s="1"/>
  <c r="Q51" i="161"/>
  <c r="Q54" i="161"/>
  <c r="P54" i="161" l="1"/>
  <c r="Q36" i="106"/>
  <c r="P84" i="146"/>
  <c r="P85" i="146" s="1"/>
  <c r="Q20" i="106"/>
  <c r="Q22" i="106" s="1"/>
  <c r="O15" i="121"/>
  <c r="O42" i="106"/>
  <c r="O16" i="121" s="1"/>
  <c r="O55" i="161"/>
  <c r="Q15" i="106"/>
  <c r="P52" i="161"/>
  <c r="Q46" i="106"/>
  <c r="Q23" i="147" s="1"/>
  <c r="Q100" i="110"/>
  <c r="Q11" i="94"/>
  <c r="P167" i="146" s="1"/>
  <c r="Q14" i="147"/>
  <c r="Q15" i="147" s="1"/>
  <c r="Q16" i="82"/>
  <c r="N244" i="146"/>
  <c r="O35" i="94"/>
  <c r="N243" i="146" s="1"/>
  <c r="Q8" i="121"/>
  <c r="Q29" i="94"/>
  <c r="Q32" i="110"/>
  <c r="P87" i="147"/>
  <c r="P9" i="121"/>
  <c r="O22" i="94"/>
  <c r="N163" i="146"/>
  <c r="Q33" i="110"/>
  <c r="Q34" i="110"/>
  <c r="P7" i="94"/>
  <c r="P21" i="147"/>
  <c r="P22" i="106"/>
  <c r="Q8" i="94"/>
  <c r="P102" i="110"/>
  <c r="P103" i="110" s="1"/>
  <c r="P23" i="109" s="1"/>
  <c r="P40" i="106"/>
  <c r="P42" i="106" s="1"/>
  <c r="P16" i="121" s="1"/>
  <c r="O165" i="146"/>
  <c r="P33" i="94"/>
  <c r="O246" i="146" s="1"/>
  <c r="Q21" i="106"/>
  <c r="P35" i="110"/>
  <c r="P37" i="110" s="1"/>
  <c r="P57" i="106" s="1"/>
  <c r="O178" i="146" s="1"/>
  <c r="P46" i="106"/>
  <c r="P23" i="147" s="1"/>
  <c r="P100" i="110"/>
  <c r="Q10" i="94"/>
  <c r="Q24" i="84"/>
  <c r="Q47" i="106"/>
  <c r="Q24" i="147" s="1"/>
  <c r="O76" i="146"/>
  <c r="P32" i="94"/>
  <c r="O245" i="146" s="1"/>
  <c r="O166" i="146"/>
  <c r="P86" i="146"/>
  <c r="P87" i="146" s="1"/>
  <c r="Q11" i="121"/>
  <c r="O18" i="121"/>
  <c r="P53" i="161"/>
  <c r="Q25" i="106"/>
  <c r="O169" i="146"/>
  <c r="P239" i="146"/>
  <c r="Q69" i="110"/>
  <c r="N189" i="146"/>
  <c r="L178" i="146"/>
  <c r="L189" i="146" s="1"/>
  <c r="P65" i="106"/>
  <c r="O90" i="146"/>
  <c r="P67" i="106"/>
  <c r="N61" i="161"/>
  <c r="P69" i="110"/>
  <c r="N79" i="146"/>
  <c r="N78" i="146"/>
  <c r="O51" i="106"/>
  <c r="O50" i="106"/>
  <c r="O14" i="98" s="1"/>
  <c r="N88" i="146"/>
  <c r="N89" i="146" s="1"/>
  <c r="Q81" i="110"/>
  <c r="Q52" i="161"/>
  <c r="P55" i="161" l="1"/>
  <c r="P76" i="146"/>
  <c r="O77" i="146"/>
  <c r="O78" i="146" s="1"/>
  <c r="P15" i="121"/>
  <c r="P44" i="106"/>
  <c r="P50" i="106" s="1"/>
  <c r="P14" i="98" s="1"/>
  <c r="P238" i="146"/>
  <c r="Q41" i="106"/>
  <c r="Q32" i="94"/>
  <c r="P245" i="146" s="1"/>
  <c r="P166" i="146"/>
  <c r="Q33" i="94"/>
  <c r="P246" i="146" s="1"/>
  <c r="P165" i="146"/>
  <c r="Q9" i="121"/>
  <c r="Q87" i="147"/>
  <c r="P18" i="84"/>
  <c r="P101" i="110"/>
  <c r="Q7" i="94"/>
  <c r="O15" i="98"/>
  <c r="P13" i="94"/>
  <c r="O164" i="146"/>
  <c r="P31" i="94"/>
  <c r="O21" i="109"/>
  <c r="O16" i="84"/>
  <c r="Q35" i="110"/>
  <c r="Q37" i="110" s="1"/>
  <c r="Q57" i="106" s="1"/>
  <c r="P178" i="146" s="1"/>
  <c r="Q18" i="84"/>
  <c r="Q40" i="106"/>
  <c r="P77" i="146" s="1"/>
  <c r="P11" i="98"/>
  <c r="P12" i="98" s="1"/>
  <c r="O28" i="147"/>
  <c r="Q53" i="161"/>
  <c r="Q55" i="161" s="1"/>
  <c r="O20" i="121"/>
  <c r="O189" i="146"/>
  <c r="Q65" i="106"/>
  <c r="P90" i="146"/>
  <c r="Q67" i="106"/>
  <c r="O61" i="161"/>
  <c r="Q44" i="106"/>
  <c r="L56" i="161"/>
  <c r="L57" i="161" s="1"/>
  <c r="O11" i="109"/>
  <c r="N56" i="161"/>
  <c r="N57" i="161" s="1"/>
  <c r="M11" i="109"/>
  <c r="M101" i="110"/>
  <c r="L80" i="146"/>
  <c r="M45" i="106"/>
  <c r="N80" i="146"/>
  <c r="O45" i="106"/>
  <c r="P78" i="146" l="1"/>
  <c r="P11" i="109"/>
  <c r="O79" i="146"/>
  <c r="P18" i="121"/>
  <c r="P45" i="106"/>
  <c r="P51" i="106"/>
  <c r="P28" i="147" s="1"/>
  <c r="Q15" i="121"/>
  <c r="O88" i="146"/>
  <c r="O89" i="146" s="1"/>
  <c r="Q21" i="147"/>
  <c r="O56" i="161"/>
  <c r="O57" i="161" s="1"/>
  <c r="P169" i="146"/>
  <c r="P189" i="146" s="1"/>
  <c r="Q42" i="106"/>
  <c r="Q16" i="121" s="1"/>
  <c r="Q101" i="110"/>
  <c r="O244" i="146"/>
  <c r="P35" i="94"/>
  <c r="O243" i="146" s="1"/>
  <c r="P15" i="98"/>
  <c r="P22" i="94"/>
  <c r="O163" i="146"/>
  <c r="Q11" i="98"/>
  <c r="Q12" i="98" s="1"/>
  <c r="Q13" i="94"/>
  <c r="Q31" i="94"/>
  <c r="P164" i="146"/>
  <c r="Q18" i="121"/>
  <c r="P20" i="121"/>
  <c r="Q56" i="161"/>
  <c r="Q57" i="161" s="1"/>
  <c r="P79" i="146"/>
  <c r="Q61" i="161"/>
  <c r="P61" i="161"/>
  <c r="O80" i="146"/>
  <c r="Q45" i="106"/>
  <c r="P56" i="161"/>
  <c r="P57" i="161" s="1"/>
  <c r="Q51" i="106"/>
  <c r="P88" i="146"/>
  <c r="P89" i="146" s="1"/>
  <c r="Q50" i="106"/>
  <c r="Q11" i="109"/>
  <c r="N82" i="146"/>
  <c r="N91" i="146"/>
  <c r="L82" i="146"/>
  <c r="K52" i="150" s="1"/>
  <c r="K51" i="150"/>
  <c r="N11" i="109"/>
  <c r="M56" i="161"/>
  <c r="M57" i="161" s="1"/>
  <c r="M52" i="106"/>
  <c r="M21" i="121" s="1"/>
  <c r="M14" i="98"/>
  <c r="N45" i="106"/>
  <c r="P52" i="106"/>
  <c r="P21" i="121" s="1"/>
  <c r="O52" i="106"/>
  <c r="O21" i="121" s="1"/>
  <c r="P244" i="146" l="1"/>
  <c r="Q35" i="94"/>
  <c r="P243" i="146" s="1"/>
  <c r="P16" i="84"/>
  <c r="P21" i="109"/>
  <c r="P163" i="146"/>
  <c r="Q22" i="94"/>
  <c r="Q21" i="109"/>
  <c r="Q16" i="84"/>
  <c r="Q20" i="121"/>
  <c r="Q14" i="98"/>
  <c r="Q28" i="147"/>
  <c r="O91" i="146"/>
  <c r="O81" i="146"/>
  <c r="O82" i="146"/>
  <c r="P80" i="146"/>
  <c r="Q52" i="106"/>
  <c r="Q21" i="121" s="1"/>
  <c r="M80" i="146"/>
  <c r="N14" i="98"/>
  <c r="M15" i="98"/>
  <c r="N52" i="106"/>
  <c r="N21" i="121" s="1"/>
  <c r="Q15" i="98" l="1"/>
  <c r="M81" i="146"/>
  <c r="N81" i="146"/>
  <c r="P91" i="146"/>
  <c r="P81" i="146"/>
  <c r="P82" i="146"/>
  <c r="M82" i="146"/>
  <c r="L52" i="150" s="1"/>
  <c r="L51" i="150"/>
  <c r="M91" i="146"/>
  <c r="L72" i="150" s="1"/>
  <c r="N15" i="98"/>
  <c r="Y14" i="109" l="1"/>
  <c r="Y16" i="109"/>
  <c r="C13" i="92" l="1"/>
  <c r="Q116" i="161" l="1"/>
  <c r="C22" i="92"/>
  <c r="V15" i="109" s="1"/>
  <c r="V16" i="109" s="1"/>
  <c r="C32" i="98" s="1"/>
  <c r="D31" i="161"/>
  <c r="Q82" i="161"/>
  <c r="C34" i="98" l="1"/>
  <c r="C33" i="98"/>
  <c r="C31" i="98"/>
  <c r="C30" i="98"/>
  <c r="K104" i="161"/>
  <c r="K110" i="161"/>
  <c r="Q70" i="161" l="1"/>
  <c r="B9" i="109" l="1"/>
  <c r="B95" i="146"/>
  <c r="B81" i="150" s="1"/>
  <c r="B35" i="147"/>
  <c r="B64" i="161"/>
  <c r="G35" i="147" l="1"/>
  <c r="G37" i="147" s="1"/>
  <c r="F35" i="147"/>
  <c r="F37" i="147" s="1"/>
  <c r="D35" i="147"/>
  <c r="E35" i="147"/>
  <c r="E37" i="147" s="1"/>
  <c r="L104" i="161"/>
  <c r="L110" i="161"/>
  <c r="H93" i="161" l="1"/>
  <c r="I93" i="161"/>
  <c r="J93" i="161"/>
  <c r="K93" i="161"/>
  <c r="L93" i="161"/>
  <c r="M93" i="161"/>
  <c r="N93" i="161"/>
  <c r="O93" i="161"/>
  <c r="P93" i="161"/>
  <c r="Q93" i="161"/>
  <c r="H99" i="161"/>
  <c r="I99" i="161"/>
  <c r="J99" i="161"/>
  <c r="K99" i="161"/>
  <c r="L99" i="161"/>
  <c r="M99" i="161"/>
  <c r="N99" i="161"/>
  <c r="O99" i="161"/>
  <c r="P99" i="161"/>
  <c r="Q99" i="161"/>
  <c r="M24" i="82" l="1"/>
  <c r="M29" i="82"/>
  <c r="M27" i="82"/>
  <c r="M37" i="81"/>
  <c r="M19" i="84" s="1"/>
  <c r="M26" i="82"/>
  <c r="M43" i="81"/>
  <c r="M25" i="82"/>
  <c r="M31" i="81"/>
  <c r="M18" i="82"/>
  <c r="M23" i="82"/>
  <c r="M20" i="82" s="1"/>
  <c r="M30" i="81"/>
  <c r="M36" i="81"/>
  <c r="M37" i="84" s="1"/>
  <c r="M32" i="81"/>
  <c r="M44" i="81"/>
  <c r="M35" i="81"/>
  <c r="M34" i="81" s="1"/>
  <c r="M29" i="81"/>
  <c r="M28" i="81" s="1"/>
  <c r="L157" i="146" s="1"/>
  <c r="K87" i="150" s="1"/>
  <c r="M17" i="82"/>
  <c r="M14" i="82" s="1"/>
  <c r="O18" i="82"/>
  <c r="O27" i="82"/>
  <c r="N37" i="81"/>
  <c r="O37" i="81"/>
  <c r="O44" i="81"/>
  <c r="N30" i="81"/>
  <c r="O35" i="81"/>
  <c r="N29" i="81"/>
  <c r="O23" i="82"/>
  <c r="N23" i="82"/>
  <c r="N26" i="82"/>
  <c r="M30" i="82"/>
  <c r="O31" i="81"/>
  <c r="N17" i="82"/>
  <c r="N18" i="82"/>
  <c r="N36" i="81"/>
  <c r="N43" i="81"/>
  <c r="N27" i="82"/>
  <c r="O25" i="82"/>
  <c r="O29" i="82"/>
  <c r="N32" i="81"/>
  <c r="O32" i="81"/>
  <c r="N31" i="81"/>
  <c r="O36" i="81"/>
  <c r="N35" i="81"/>
  <c r="N34" i="81" s="1"/>
  <c r="N24" i="82"/>
  <c r="O29" i="81"/>
  <c r="O17" i="82"/>
  <c r="O14" i="82" s="1"/>
  <c r="N25" i="82"/>
  <c r="N10" i="94" s="1"/>
  <c r="O24" i="82"/>
  <c r="O43" i="81"/>
  <c r="N29" i="82"/>
  <c r="N44" i="81"/>
  <c r="O30" i="81"/>
  <c r="O26" i="82"/>
  <c r="N30" i="82"/>
  <c r="O30" i="82"/>
  <c r="P43" i="81"/>
  <c r="P29" i="81"/>
  <c r="P29" i="82"/>
  <c r="P31" i="81"/>
  <c r="P35" i="81"/>
  <c r="P30" i="81"/>
  <c r="P44" i="81"/>
  <c r="P17" i="82"/>
  <c r="P37" i="81"/>
  <c r="P32" i="81"/>
  <c r="P24" i="82"/>
  <c r="P25" i="82"/>
  <c r="P30" i="82"/>
  <c r="P18" i="82"/>
  <c r="P27" i="82"/>
  <c r="P23" i="82"/>
  <c r="P36" i="81"/>
  <c r="P26" i="82"/>
  <c r="Q26" i="82"/>
  <c r="Q27" i="82"/>
  <c r="Q17" i="82"/>
  <c r="Q43" i="81"/>
  <c r="Q23" i="82"/>
  <c r="Q31" i="81"/>
  <c r="Q37" i="81"/>
  <c r="Q24" i="82"/>
  <c r="Q36" i="81"/>
  <c r="Q30" i="81"/>
  <c r="Q29" i="81"/>
  <c r="Q32" i="81"/>
  <c r="Q44" i="81"/>
  <c r="Q18" i="82"/>
  <c r="Q25" i="82"/>
  <c r="Q30" i="82"/>
  <c r="Q29" i="82"/>
  <c r="Q35" i="81"/>
  <c r="Q34" i="81" s="1"/>
  <c r="L7" i="121"/>
  <c r="L6" i="147"/>
  <c r="L7" i="147"/>
  <c r="K7" i="121"/>
  <c r="K6" i="147"/>
  <c r="K7" i="147"/>
  <c r="I7" i="121"/>
  <c r="I6" i="147"/>
  <c r="I7" i="147"/>
  <c r="I93" i="147"/>
  <c r="I68" i="147"/>
  <c r="I28" i="94"/>
  <c r="K28" i="94"/>
  <c r="H86" i="146"/>
  <c r="J51" i="161"/>
  <c r="H51" i="161"/>
  <c r="K51" i="161"/>
  <c r="K9" i="98"/>
  <c r="J74" i="146"/>
  <c r="L9" i="98"/>
  <c r="K74" i="146"/>
  <c r="H74" i="146"/>
  <c r="I9" i="98"/>
  <c r="L28" i="94"/>
  <c r="Q28" i="81" l="1"/>
  <c r="P157" i="146" s="1"/>
  <c r="P34" i="81"/>
  <c r="P28" i="81"/>
  <c r="O157" i="146" s="1"/>
  <c r="O28" i="81"/>
  <c r="N157" i="146" s="1"/>
  <c r="N28" i="81"/>
  <c r="M157" i="146" s="1"/>
  <c r="L87" i="150" s="1"/>
  <c r="O34" i="81"/>
  <c r="Q20" i="82"/>
  <c r="Q14" i="82"/>
  <c r="P20" i="82"/>
  <c r="P14" i="82"/>
  <c r="N14" i="82"/>
  <c r="N20" i="82"/>
  <c r="O32" i="110"/>
  <c r="O20" i="82"/>
  <c r="N14" i="84"/>
  <c r="N30" i="84"/>
  <c r="I64" i="147"/>
  <c r="I65" i="147"/>
  <c r="I66" i="147"/>
  <c r="I63" i="147"/>
  <c r="K63" i="147"/>
  <c r="K65" i="147"/>
  <c r="K64" i="147"/>
  <c r="K66" i="147"/>
  <c r="K161" i="146"/>
  <c r="J91" i="150" s="1"/>
  <c r="L64" i="147"/>
  <c r="L65" i="147"/>
  <c r="L63" i="147"/>
  <c r="I94" i="147"/>
  <c r="I86" i="147"/>
  <c r="L12" i="84"/>
  <c r="L13" i="84"/>
  <c r="M11" i="84"/>
  <c r="L20" i="84"/>
  <c r="M31" i="84"/>
  <c r="M13" i="84"/>
  <c r="L31" i="84"/>
  <c r="M30" i="84"/>
  <c r="K69" i="147"/>
  <c r="L37" i="84"/>
  <c r="L30" i="84"/>
  <c r="N37" i="84"/>
  <c r="N31" i="84"/>
  <c r="M10" i="84"/>
  <c r="L14" i="84"/>
  <c r="M20" i="84"/>
  <c r="K70" i="147"/>
  <c r="L19" i="84"/>
  <c r="I73" i="147"/>
  <c r="N21" i="84"/>
  <c r="K74" i="147"/>
  <c r="L21" i="84"/>
  <c r="I70" i="147"/>
  <c r="N19" i="84"/>
  <c r="N20" i="84"/>
  <c r="M21" i="84"/>
  <c r="L10" i="84"/>
  <c r="N10" i="84"/>
  <c r="N11" i="84"/>
  <c r="I97" i="147"/>
  <c r="L11" i="84"/>
  <c r="N13" i="84"/>
  <c r="K98" i="147"/>
  <c r="K89" i="147"/>
  <c r="M14" i="84"/>
  <c r="K97" i="147"/>
  <c r="I89" i="147"/>
  <c r="I88" i="147"/>
  <c r="I96" i="147"/>
  <c r="N34" i="110"/>
  <c r="N12" i="84"/>
  <c r="M34" i="110"/>
  <c r="M12" i="84"/>
  <c r="N16" i="84"/>
  <c r="I95" i="147"/>
  <c r="I92" i="147"/>
  <c r="L92" i="147"/>
  <c r="I10" i="147"/>
  <c r="I11" i="147" s="1"/>
  <c r="H32" i="106"/>
  <c r="H37" i="106"/>
  <c r="Q66" i="147"/>
  <c r="P65" i="147"/>
  <c r="H7" i="147"/>
  <c r="H6" i="147"/>
  <c r="H15" i="147" s="1"/>
  <c r="K88" i="147"/>
  <c r="P20" i="84"/>
  <c r="Q98" i="147"/>
  <c r="P66" i="147"/>
  <c r="L74" i="147"/>
  <c r="L73" i="147"/>
  <c r="L70" i="147"/>
  <c r="L69" i="147"/>
  <c r="L95" i="147"/>
  <c r="K73" i="147"/>
  <c r="O73" i="147"/>
  <c r="K68" i="147"/>
  <c r="O68" i="147"/>
  <c r="P68" i="147"/>
  <c r="L97" i="147"/>
  <c r="P64" i="147"/>
  <c r="M69" i="147"/>
  <c r="P69" i="147"/>
  <c r="N64" i="147"/>
  <c r="M64" i="147"/>
  <c r="L10" i="147"/>
  <c r="L11" i="147" s="1"/>
  <c r="N32" i="94"/>
  <c r="M166" i="146"/>
  <c r="L98" i="150" s="1"/>
  <c r="N73" i="147"/>
  <c r="O20" i="84"/>
  <c r="O74" i="147"/>
  <c r="M92" i="147"/>
  <c r="O63" i="147"/>
  <c r="P63" i="147"/>
  <c r="L88" i="147"/>
  <c r="L98" i="147"/>
  <c r="L93" i="147"/>
  <c r="Q69" i="147"/>
  <c r="P97" i="147"/>
  <c r="O88" i="147"/>
  <c r="N69" i="147"/>
  <c r="M89" i="147"/>
  <c r="K95" i="147"/>
  <c r="O95" i="147"/>
  <c r="P95" i="147"/>
  <c r="Q95" i="147"/>
  <c r="P89" i="147"/>
  <c r="N89" i="147"/>
  <c r="N70" i="147"/>
  <c r="M65" i="147"/>
  <c r="L89" i="147"/>
  <c r="Q70" i="147"/>
  <c r="P98" i="147"/>
  <c r="Q20" i="84"/>
  <c r="K10" i="147"/>
  <c r="K11" i="147" s="1"/>
  <c r="P10" i="147"/>
  <c r="P11" i="147" s="1"/>
  <c r="Q10" i="147"/>
  <c r="Q11" i="147" s="1"/>
  <c r="L68" i="147"/>
  <c r="N68" i="147"/>
  <c r="O89" i="147"/>
  <c r="M73" i="147"/>
  <c r="O94" i="147"/>
  <c r="P94" i="147"/>
  <c r="Q94" i="147"/>
  <c r="O96" i="147"/>
  <c r="P96" i="147"/>
  <c r="Q96" i="147"/>
  <c r="Q97" i="147"/>
  <c r="M95" i="147"/>
  <c r="N65" i="147"/>
  <c r="N95" i="147"/>
  <c r="M63" i="147"/>
  <c r="M70" i="147"/>
  <c r="Q88" i="147"/>
  <c r="O64" i="147"/>
  <c r="M68" i="147"/>
  <c r="K93" i="147"/>
  <c r="O93" i="147"/>
  <c r="P93" i="147"/>
  <c r="Q93" i="147"/>
  <c r="P88" i="147"/>
  <c r="N74" i="147"/>
  <c r="N66" i="147"/>
  <c r="M74" i="147"/>
  <c r="M97" i="147"/>
  <c r="Q89" i="147"/>
  <c r="P92" i="147"/>
  <c r="Q92" i="147"/>
  <c r="N63" i="147"/>
  <c r="M66" i="147"/>
  <c r="M93" i="147"/>
  <c r="H7" i="121"/>
  <c r="L34" i="110"/>
  <c r="L96" i="147"/>
  <c r="K32" i="110"/>
  <c r="K92" i="147"/>
  <c r="J7" i="121"/>
  <c r="J7" i="147"/>
  <c r="J6" i="147"/>
  <c r="K34" i="110"/>
  <c r="K96" i="147"/>
  <c r="I51" i="94"/>
  <c r="I69" i="147"/>
  <c r="I49" i="94"/>
  <c r="I98" i="147"/>
  <c r="I54" i="94"/>
  <c r="I74" i="147"/>
  <c r="K8" i="121"/>
  <c r="I34" i="110"/>
  <c r="I48" i="94"/>
  <c r="I47" i="94"/>
  <c r="I46" i="94"/>
  <c r="L8" i="121"/>
  <c r="I8" i="121"/>
  <c r="I10" i="84"/>
  <c r="H30" i="84"/>
  <c r="H31" i="84"/>
  <c r="H93" i="147"/>
  <c r="H68" i="147"/>
  <c r="I12" i="84"/>
  <c r="J20" i="84"/>
  <c r="J19" i="84"/>
  <c r="J30" i="84"/>
  <c r="K21" i="84"/>
  <c r="J68" i="147"/>
  <c r="J12" i="84"/>
  <c r="K11" i="84"/>
  <c r="J93" i="147"/>
  <c r="H14" i="106"/>
  <c r="H131" i="147"/>
  <c r="J135" i="147"/>
  <c r="K106" i="147"/>
  <c r="J173" i="146"/>
  <c r="M175" i="146"/>
  <c r="M186" i="146" s="1"/>
  <c r="K173" i="146"/>
  <c r="H175" i="146"/>
  <c r="N173" i="146"/>
  <c r="N184" i="146" s="1"/>
  <c r="P175" i="146"/>
  <c r="P186" i="146" s="1"/>
  <c r="L175" i="146"/>
  <c r="L186" i="146" s="1"/>
  <c r="L173" i="146"/>
  <c r="M173" i="146"/>
  <c r="O173" i="146"/>
  <c r="H173" i="146"/>
  <c r="K175" i="146"/>
  <c r="O175" i="146"/>
  <c r="N175" i="146"/>
  <c r="P173" i="146"/>
  <c r="J175" i="146"/>
  <c r="I11" i="94"/>
  <c r="H167" i="146" s="1"/>
  <c r="G99" i="150" s="1"/>
  <c r="I33" i="110"/>
  <c r="K75" i="146"/>
  <c r="L75" i="146"/>
  <c r="O159" i="146"/>
  <c r="Q31" i="84"/>
  <c r="Q21" i="84"/>
  <c r="M158" i="146"/>
  <c r="L88" i="150" s="1"/>
  <c r="P14" i="84"/>
  <c r="O13" i="84"/>
  <c r="Q37" i="84"/>
  <c r="Q19" i="84"/>
  <c r="M160" i="146"/>
  <c r="L90" i="150" s="1"/>
  <c r="O158" i="146"/>
  <c r="Q11" i="84"/>
  <c r="M159" i="146"/>
  <c r="L89" i="150" s="1"/>
  <c r="P30" i="84"/>
  <c r="N158" i="146"/>
  <c r="O37" i="84"/>
  <c r="Q12" i="84"/>
  <c r="P37" i="84"/>
  <c r="L159" i="146"/>
  <c r="K89" i="150" s="1"/>
  <c r="P31" i="84"/>
  <c r="O10" i="84"/>
  <c r="O21" i="84"/>
  <c r="P12" i="84"/>
  <c r="P38" i="84"/>
  <c r="O9" i="84"/>
  <c r="Q30" i="84"/>
  <c r="I32" i="110"/>
  <c r="M161" i="146"/>
  <c r="L91" i="150" s="1"/>
  <c r="O19" i="84"/>
  <c r="L161" i="146"/>
  <c r="K91" i="150" s="1"/>
  <c r="P34" i="84"/>
  <c r="O30" i="84"/>
  <c r="O12" i="84"/>
  <c r="P161" i="146"/>
  <c r="O161" i="146"/>
  <c r="N159" i="146"/>
  <c r="L158" i="146"/>
  <c r="K88" i="150" s="1"/>
  <c r="P158" i="146"/>
  <c r="P21" i="84"/>
  <c r="P13" i="84"/>
  <c r="P9" i="84"/>
  <c r="O34" i="84"/>
  <c r="Q14" i="84"/>
  <c r="L160" i="146"/>
  <c r="K90" i="150" s="1"/>
  <c r="N161" i="146"/>
  <c r="P159" i="146"/>
  <c r="Q38" i="84"/>
  <c r="O31" i="84"/>
  <c r="P19" i="84"/>
  <c r="O160" i="146"/>
  <c r="Q10" i="84"/>
  <c r="O14" i="84"/>
  <c r="P11" i="84"/>
  <c r="P10" i="84"/>
  <c r="P160" i="146"/>
  <c r="O11" i="84"/>
  <c r="Q9" i="84"/>
  <c r="Q34" i="84"/>
  <c r="N33" i="110"/>
  <c r="N35" i="110" s="1"/>
  <c r="N37" i="110" s="1"/>
  <c r="N57" i="106" s="1"/>
  <c r="M178" i="146" s="1"/>
  <c r="M189" i="146" s="1"/>
  <c r="N45" i="110"/>
  <c r="O38" i="84"/>
  <c r="N160" i="146"/>
  <c r="Q13" i="84"/>
  <c r="K11" i="94"/>
  <c r="J167" i="146" s="1"/>
  <c r="I99" i="150" s="1"/>
  <c r="I45" i="110"/>
  <c r="I31" i="110"/>
  <c r="I106" i="147"/>
  <c r="K31" i="110"/>
  <c r="K45" i="110"/>
  <c r="L106" i="147"/>
  <c r="L45" i="110"/>
  <c r="L31" i="110"/>
  <c r="K33" i="110"/>
  <c r="I15" i="147"/>
  <c r="H53" i="161"/>
  <c r="L32" i="110"/>
  <c r="G47" i="150"/>
  <c r="L11" i="94"/>
  <c r="K167" i="146" s="1"/>
  <c r="J99" i="150" s="1"/>
  <c r="H52" i="161"/>
  <c r="I29" i="94"/>
  <c r="H84" i="146"/>
  <c r="J47" i="150"/>
  <c r="K52" i="161"/>
  <c r="L29" i="94"/>
  <c r="K84" i="146"/>
  <c r="J54" i="161"/>
  <c r="L15" i="147"/>
  <c r="K86" i="146"/>
  <c r="K53" i="161"/>
  <c r="J86" i="146"/>
  <c r="J53" i="161"/>
  <c r="K15" i="147"/>
  <c r="H87" i="146"/>
  <c r="G62" i="150" s="1"/>
  <c r="G61" i="150"/>
  <c r="I47" i="150"/>
  <c r="G74" i="146"/>
  <c r="G75" i="146" s="1"/>
  <c r="H9" i="98"/>
  <c r="G51" i="161"/>
  <c r="H28" i="94"/>
  <c r="H54" i="161"/>
  <c r="I74" i="146"/>
  <c r="I75" i="146" s="1"/>
  <c r="J9" i="98"/>
  <c r="S9" i="98" s="1" a="1"/>
  <c r="S9" i="98" s="1"/>
  <c r="I51" i="161"/>
  <c r="J28" i="94"/>
  <c r="K54" i="161"/>
  <c r="J52" i="161"/>
  <c r="K29" i="94"/>
  <c r="J84" i="146"/>
  <c r="L33" i="110"/>
  <c r="L94" i="147" l="1"/>
  <c r="K10" i="94"/>
  <c r="J166" i="146" s="1"/>
  <c r="I98" i="150" s="1"/>
  <c r="K90" i="147"/>
  <c r="H31" i="81"/>
  <c r="H65" i="147" s="1"/>
  <c r="H30" i="81"/>
  <c r="H64" i="147" s="1"/>
  <c r="H32" i="81"/>
  <c r="H66" i="147" s="1"/>
  <c r="H29" i="81"/>
  <c r="H63" i="147" s="1"/>
  <c r="J63" i="147"/>
  <c r="J65" i="147"/>
  <c r="J64" i="147"/>
  <c r="J66" i="147"/>
  <c r="J94" i="147"/>
  <c r="H21" i="106"/>
  <c r="H41" i="106" s="1"/>
  <c r="H25" i="82"/>
  <c r="J31" i="84"/>
  <c r="J128" i="147" s="1"/>
  <c r="I90" i="147"/>
  <c r="J86" i="147"/>
  <c r="J10" i="84"/>
  <c r="J107" i="147" s="1"/>
  <c r="K31" i="84"/>
  <c r="K128" i="147" s="1"/>
  <c r="J69" i="147"/>
  <c r="K37" i="84"/>
  <c r="K134" i="147" s="1"/>
  <c r="J37" i="84"/>
  <c r="J134" i="147" s="1"/>
  <c r="H69" i="147"/>
  <c r="I37" i="84"/>
  <c r="I134" i="147" s="1"/>
  <c r="H37" i="84"/>
  <c r="H134" i="147" s="1"/>
  <c r="I31" i="84"/>
  <c r="I128" i="147" s="1"/>
  <c r="K30" i="84"/>
  <c r="K127" i="147" s="1"/>
  <c r="I30" i="84"/>
  <c r="I127" i="147" s="1"/>
  <c r="J73" i="147"/>
  <c r="K20" i="84"/>
  <c r="K12" i="84"/>
  <c r="K109" i="147" s="1"/>
  <c r="H74" i="147"/>
  <c r="H21" i="84"/>
  <c r="H118" i="147" s="1"/>
  <c r="I21" i="84"/>
  <c r="I118" i="147" s="1"/>
  <c r="J21" i="84"/>
  <c r="J118" i="147" s="1"/>
  <c r="H70" i="147"/>
  <c r="H19" i="84"/>
  <c r="H116" i="147" s="1"/>
  <c r="I19" i="84"/>
  <c r="I116" i="147" s="1"/>
  <c r="J70" i="147"/>
  <c r="K19" i="84"/>
  <c r="K116" i="147" s="1"/>
  <c r="H73" i="147"/>
  <c r="H20" i="84"/>
  <c r="H117" i="147" s="1"/>
  <c r="I20" i="84"/>
  <c r="I117" i="147" s="1"/>
  <c r="H97" i="147"/>
  <c r="H13" i="84"/>
  <c r="H110" i="147" s="1"/>
  <c r="H89" i="147"/>
  <c r="H11" i="84"/>
  <c r="H108" i="147" s="1"/>
  <c r="I13" i="84"/>
  <c r="I110" i="147" s="1"/>
  <c r="J98" i="147"/>
  <c r="J14" i="84"/>
  <c r="J89" i="147"/>
  <c r="J11" i="84"/>
  <c r="J108" i="147" s="1"/>
  <c r="J97" i="147"/>
  <c r="J13" i="84"/>
  <c r="J110" i="147" s="1"/>
  <c r="H98" i="147"/>
  <c r="H14" i="84"/>
  <c r="K14" i="84"/>
  <c r="H88" i="147"/>
  <c r="H10" i="84"/>
  <c r="H107" i="147" s="1"/>
  <c r="H96" i="147"/>
  <c r="H12" i="84"/>
  <c r="H109" i="147" s="1"/>
  <c r="I11" i="84"/>
  <c r="I108" i="147" s="1"/>
  <c r="I14" i="84"/>
  <c r="J161" i="146"/>
  <c r="I91" i="150" s="1"/>
  <c r="K13" i="84"/>
  <c r="K110" i="147" s="1"/>
  <c r="K10" i="84"/>
  <c r="K107" i="147" s="1"/>
  <c r="H92" i="147"/>
  <c r="H128" i="147"/>
  <c r="J95" i="147"/>
  <c r="H95" i="147"/>
  <c r="H127" i="147"/>
  <c r="H20" i="106"/>
  <c r="J10" i="147"/>
  <c r="J11" i="147" s="1"/>
  <c r="I12" i="147"/>
  <c r="I18" i="147"/>
  <c r="I13" i="147"/>
  <c r="I19" i="147"/>
  <c r="K158" i="146"/>
  <c r="J88" i="150" s="1"/>
  <c r="J158" i="146"/>
  <c r="I88" i="150" s="1"/>
  <c r="L66" i="147"/>
  <c r="K94" i="147"/>
  <c r="K160" i="146"/>
  <c r="J90" i="150" s="1"/>
  <c r="H158" i="146"/>
  <c r="G88" i="150" s="1"/>
  <c r="L10" i="94"/>
  <c r="K166" i="146" s="1"/>
  <c r="J98" i="150" s="1"/>
  <c r="H161" i="146"/>
  <c r="G91" i="150" s="1"/>
  <c r="H160" i="146"/>
  <c r="G90" i="150" s="1"/>
  <c r="J160" i="146"/>
  <c r="I90" i="150" s="1"/>
  <c r="L90" i="147"/>
  <c r="I10" i="94"/>
  <c r="H166" i="146" s="1"/>
  <c r="G98" i="150" s="1"/>
  <c r="H27" i="121" a="1"/>
  <c r="H27" i="121" s="1"/>
  <c r="AJ24" i="121" s="1"/>
  <c r="J88" i="147"/>
  <c r="J92" i="147"/>
  <c r="R130" i="161" a="1"/>
  <c r="R130" i="161" s="1"/>
  <c r="O106" i="147"/>
  <c r="M106" i="147"/>
  <c r="L86" i="147"/>
  <c r="Q106" i="147"/>
  <c r="P106" i="147"/>
  <c r="N106" i="147"/>
  <c r="L13" i="147"/>
  <c r="M62" i="147"/>
  <c r="N62" i="147"/>
  <c r="Q62" i="147"/>
  <c r="M90" i="147"/>
  <c r="O90" i="147"/>
  <c r="N90" i="147"/>
  <c r="P90" i="147"/>
  <c r="Q90" i="147"/>
  <c r="K86" i="147"/>
  <c r="O86" i="147"/>
  <c r="P86" i="147"/>
  <c r="Q86" i="147"/>
  <c r="L12" i="147"/>
  <c r="K13" i="147"/>
  <c r="M13" i="147"/>
  <c r="O13" i="147"/>
  <c r="N13" i="147"/>
  <c r="P13" i="147"/>
  <c r="Q13" i="147"/>
  <c r="M245" i="146"/>
  <c r="L105" i="150" s="1"/>
  <c r="N35" i="94"/>
  <c r="M243" i="146" s="1"/>
  <c r="L103" i="150" s="1"/>
  <c r="K12" i="147"/>
  <c r="P12" i="147"/>
  <c r="Q12" i="147"/>
  <c r="J34" i="110"/>
  <c r="J96" i="147"/>
  <c r="H34" i="110"/>
  <c r="J74" i="147"/>
  <c r="J8" i="121"/>
  <c r="L9" i="121"/>
  <c r="H8" i="121"/>
  <c r="K9" i="121"/>
  <c r="I9" i="121"/>
  <c r="Q68" i="161"/>
  <c r="K176" i="146"/>
  <c r="P176" i="146"/>
  <c r="P187" i="146" s="1"/>
  <c r="J176" i="146"/>
  <c r="O184" i="146"/>
  <c r="M184" i="146"/>
  <c r="L184" i="146"/>
  <c r="O176" i="146"/>
  <c r="O186" i="146"/>
  <c r="M176" i="146"/>
  <c r="H176" i="146"/>
  <c r="P184" i="146"/>
  <c r="G173" i="146"/>
  <c r="N176" i="146"/>
  <c r="N186" i="146"/>
  <c r="G175" i="146"/>
  <c r="I175" i="146"/>
  <c r="I173" i="146"/>
  <c r="L176" i="146"/>
  <c r="K131" i="147"/>
  <c r="J75" i="146"/>
  <c r="H75" i="146"/>
  <c r="I35" i="110"/>
  <c r="P17" i="109"/>
  <c r="N19" i="109"/>
  <c r="P19" i="109"/>
  <c r="N17" i="109"/>
  <c r="Q17" i="109"/>
  <c r="Q19" i="109"/>
  <c r="O17" i="109"/>
  <c r="O19" i="109"/>
  <c r="K35" i="110"/>
  <c r="J106" i="147"/>
  <c r="K199" i="146"/>
  <c r="I135" i="147"/>
  <c r="H135" i="147"/>
  <c r="H53" i="94"/>
  <c r="H45" i="110"/>
  <c r="H45" i="94"/>
  <c r="H31" i="110"/>
  <c r="I131" i="147"/>
  <c r="J45" i="110"/>
  <c r="K135" i="147"/>
  <c r="H44" i="94"/>
  <c r="H106" i="147"/>
  <c r="K108" i="147"/>
  <c r="J131" i="147"/>
  <c r="J31" i="110"/>
  <c r="L17" i="109"/>
  <c r="L35" i="110"/>
  <c r="M17" i="109"/>
  <c r="J55" i="161"/>
  <c r="N197" i="146"/>
  <c r="F112" i="150" s="1"/>
  <c r="J87" i="146"/>
  <c r="I62" i="150" s="1"/>
  <c r="I61" i="150"/>
  <c r="H32" i="110"/>
  <c r="H46" i="94"/>
  <c r="F47" i="150"/>
  <c r="L8" i="94"/>
  <c r="J76" i="146"/>
  <c r="I48" i="150" s="1"/>
  <c r="H85" i="146"/>
  <c r="G57" i="150" s="1"/>
  <c r="G56" i="150"/>
  <c r="Q117" i="147"/>
  <c r="H29" i="94"/>
  <c r="G84" i="146"/>
  <c r="G52" i="161"/>
  <c r="H15" i="106"/>
  <c r="I56" i="150"/>
  <c r="J85" i="146"/>
  <c r="I57" i="150" s="1"/>
  <c r="J109" i="147"/>
  <c r="J15" i="147"/>
  <c r="I53" i="161"/>
  <c r="I86" i="146"/>
  <c r="H48" i="94"/>
  <c r="I109" i="147"/>
  <c r="K202" i="146"/>
  <c r="H54" i="94"/>
  <c r="J56" i="150"/>
  <c r="K85" i="146"/>
  <c r="J57" i="150" s="1"/>
  <c r="H55" i="161"/>
  <c r="J32" i="110"/>
  <c r="I54" i="161"/>
  <c r="K159" i="146"/>
  <c r="J89" i="150" s="1"/>
  <c r="H159" i="146"/>
  <c r="G89" i="150" s="1"/>
  <c r="K201" i="146"/>
  <c r="J11" i="94"/>
  <c r="I167" i="146" s="1"/>
  <c r="H99" i="150" s="1"/>
  <c r="H14" i="82"/>
  <c r="H86" i="147" s="1"/>
  <c r="I107" i="147"/>
  <c r="K76" i="146"/>
  <c r="J48" i="150" s="1"/>
  <c r="I52" i="161"/>
  <c r="I84" i="146"/>
  <c r="J29" i="94"/>
  <c r="H47" i="94"/>
  <c r="H33" i="110"/>
  <c r="H11" i="94"/>
  <c r="G167" i="146" s="1"/>
  <c r="F99" i="150" s="1"/>
  <c r="H51" i="94"/>
  <c r="I8" i="94"/>
  <c r="I67" i="147"/>
  <c r="K8" i="94"/>
  <c r="H47" i="150"/>
  <c r="J117" i="147"/>
  <c r="J159" i="146"/>
  <c r="I89" i="150" s="1"/>
  <c r="J127" i="147"/>
  <c r="J33" i="110"/>
  <c r="K118" i="147"/>
  <c r="G86" i="146"/>
  <c r="H25" i="106"/>
  <c r="G53" i="161"/>
  <c r="G54" i="161"/>
  <c r="H36" i="106"/>
  <c r="K87" i="146"/>
  <c r="J62" i="150" s="1"/>
  <c r="J61" i="150"/>
  <c r="K55" i="161"/>
  <c r="J116" i="147"/>
  <c r="H76" i="146"/>
  <c r="G48" i="150" s="1"/>
  <c r="H94" i="147" l="1"/>
  <c r="G16" i="84"/>
  <c r="K32" i="94"/>
  <c r="J245" i="146" s="1"/>
  <c r="I105" i="150" s="1"/>
  <c r="J90" i="147"/>
  <c r="I62" i="147"/>
  <c r="K157" i="146"/>
  <c r="J87" i="150" s="1"/>
  <c r="M16" i="84"/>
  <c r="K7" i="94"/>
  <c r="K31" i="94" s="1"/>
  <c r="L16" i="84"/>
  <c r="G160" i="146"/>
  <c r="F90" i="150" s="1"/>
  <c r="J12" i="147"/>
  <c r="J18" i="147"/>
  <c r="H12" i="147"/>
  <c r="H40" i="106"/>
  <c r="H18" i="147" s="1"/>
  <c r="H20" i="147" s="1"/>
  <c r="J13" i="147"/>
  <c r="J19" i="147"/>
  <c r="L32" i="94"/>
  <c r="K245" i="146" s="1"/>
  <c r="J105" i="150" s="1"/>
  <c r="L7" i="94"/>
  <c r="L13" i="94" s="1"/>
  <c r="L62" i="147"/>
  <c r="I158" i="146"/>
  <c r="H88" i="150" s="1"/>
  <c r="G161" i="146"/>
  <c r="F91" i="150" s="1"/>
  <c r="I160" i="146"/>
  <c r="H90" i="150" s="1"/>
  <c r="H157" i="146"/>
  <c r="G87" i="150" s="1"/>
  <c r="I161" i="146"/>
  <c r="H91" i="150" s="1"/>
  <c r="H20" i="82"/>
  <c r="H90" i="147" s="1"/>
  <c r="AF7" i="121"/>
  <c r="G158" i="146"/>
  <c r="F88" i="150" s="1"/>
  <c r="I7" i="94"/>
  <c r="H164" i="146" s="1"/>
  <c r="G96" i="150" s="1"/>
  <c r="K62" i="147"/>
  <c r="J157" i="146"/>
  <c r="I87" i="150" s="1"/>
  <c r="H10" i="94"/>
  <c r="G166" i="146" s="1"/>
  <c r="F98" i="150" s="1"/>
  <c r="J10" i="94"/>
  <c r="J32" i="94" s="1"/>
  <c r="I245" i="146" s="1"/>
  <c r="H105" i="150" s="1"/>
  <c r="I32" i="94"/>
  <c r="H245" i="146" s="1"/>
  <c r="G105" i="150" s="1"/>
  <c r="AF24" i="121"/>
  <c r="AI7" i="121"/>
  <c r="AF17" i="121"/>
  <c r="AF11" i="121"/>
  <c r="AJ17" i="121"/>
  <c r="AJ7" i="121"/>
  <c r="AJ11" i="121"/>
  <c r="AI11" i="121"/>
  <c r="L18" i="147"/>
  <c r="L20" i="147" s="1"/>
  <c r="L67" i="147"/>
  <c r="N117" i="147"/>
  <c r="N116" i="147"/>
  <c r="Q118" i="147"/>
  <c r="N135" i="147"/>
  <c r="L110" i="147"/>
  <c r="P110" i="147"/>
  <c r="N110" i="147"/>
  <c r="P135" i="147"/>
  <c r="M116" i="147"/>
  <c r="M117" i="147"/>
  <c r="L116" i="147"/>
  <c r="L135" i="147"/>
  <c r="L109" i="147"/>
  <c r="O117" i="147"/>
  <c r="M109" i="147"/>
  <c r="P107" i="147"/>
  <c r="Q109" i="147"/>
  <c r="L19" i="147"/>
  <c r="Q116" i="147"/>
  <c r="L134" i="147"/>
  <c r="Q108" i="147"/>
  <c r="L118" i="147"/>
  <c r="Q110" i="147"/>
  <c r="Q127" i="147"/>
  <c r="K19" i="147"/>
  <c r="N19" i="147"/>
  <c r="P19" i="147"/>
  <c r="Q19" i="147"/>
  <c r="Q135" i="147"/>
  <c r="N107" i="147"/>
  <c r="O107" i="147"/>
  <c r="O118" i="147"/>
  <c r="M110" i="147"/>
  <c r="M108" i="147"/>
  <c r="Q131" i="147"/>
  <c r="P128" i="147"/>
  <c r="P118" i="147"/>
  <c r="P131" i="147"/>
  <c r="Q128" i="147"/>
  <c r="M134" i="147"/>
  <c r="N131" i="147"/>
  <c r="K117" i="147"/>
  <c r="P117" i="147"/>
  <c r="L131" i="147"/>
  <c r="O116" i="147"/>
  <c r="P116" i="147"/>
  <c r="L117" i="147"/>
  <c r="Q107" i="147"/>
  <c r="P127" i="147"/>
  <c r="L128" i="147"/>
  <c r="O128" i="147"/>
  <c r="N127" i="147"/>
  <c r="O135" i="147"/>
  <c r="N108" i="147"/>
  <c r="Q134" i="147"/>
  <c r="M131" i="147"/>
  <c r="M118" i="147"/>
  <c r="O109" i="147"/>
  <c r="P134" i="147"/>
  <c r="K67" i="147"/>
  <c r="N67" i="147"/>
  <c r="O67" i="147"/>
  <c r="M67" i="147"/>
  <c r="Q67" i="147"/>
  <c r="K18" i="147"/>
  <c r="K20" i="147" s="1"/>
  <c r="N18" i="147"/>
  <c r="N20" i="147" s="1"/>
  <c r="O18" i="147"/>
  <c r="O20" i="147" s="1"/>
  <c r="P18" i="147"/>
  <c r="P20" i="147" s="1"/>
  <c r="Q18" i="147"/>
  <c r="Q20" i="147" s="1"/>
  <c r="M107" i="147"/>
  <c r="P109" i="147"/>
  <c r="O131" i="147"/>
  <c r="M128" i="147"/>
  <c r="O127" i="147"/>
  <c r="M127" i="147"/>
  <c r="O134" i="147"/>
  <c r="L108" i="147"/>
  <c r="H9" i="121"/>
  <c r="J169" i="146"/>
  <c r="J187" i="146" s="1"/>
  <c r="K21" i="147"/>
  <c r="K169" i="146"/>
  <c r="K187" i="146" s="1"/>
  <c r="L21" i="147"/>
  <c r="K15" i="121"/>
  <c r="J9" i="121"/>
  <c r="I15" i="121"/>
  <c r="I20" i="147"/>
  <c r="L15" i="121"/>
  <c r="H169" i="146"/>
  <c r="H187" i="146" s="1"/>
  <c r="I21" i="147"/>
  <c r="C116" i="150"/>
  <c r="J201" i="146"/>
  <c r="B116" i="150" s="1"/>
  <c r="C117" i="150"/>
  <c r="J202" i="146"/>
  <c r="B117" i="150" s="1"/>
  <c r="C114" i="150"/>
  <c r="J199" i="146"/>
  <c r="B114" i="150" s="1"/>
  <c r="K37" i="110"/>
  <c r="J178" i="146" s="1"/>
  <c r="L37" i="110"/>
  <c r="K178" i="146" s="1"/>
  <c r="I37" i="110"/>
  <c r="L187" i="146"/>
  <c r="M187" i="146"/>
  <c r="O187" i="146"/>
  <c r="G176" i="146"/>
  <c r="N187" i="146"/>
  <c r="I176" i="146"/>
  <c r="I55" i="161"/>
  <c r="R125" i="161" s="1" a="1"/>
  <c r="R125" i="161" s="1"/>
  <c r="R127" i="161" s="1"/>
  <c r="G55" i="161"/>
  <c r="G125" i="161" s="1"/>
  <c r="J35" i="110"/>
  <c r="H39" i="84"/>
  <c r="H136" i="147" s="1"/>
  <c r="J8" i="94"/>
  <c r="J67" i="147"/>
  <c r="I17" i="109"/>
  <c r="I159" i="146"/>
  <c r="H89" i="150" s="1"/>
  <c r="K17" i="109"/>
  <c r="H165" i="146"/>
  <c r="G97" i="150" s="1"/>
  <c r="I33" i="94"/>
  <c r="H246" i="146" s="1"/>
  <c r="G106" i="150" s="1"/>
  <c r="AG11" i="121"/>
  <c r="AH11" i="121"/>
  <c r="AG24" i="121"/>
  <c r="AG7" i="121"/>
  <c r="AH24" i="121"/>
  <c r="AH7" i="121"/>
  <c r="AH17" i="121"/>
  <c r="AI24" i="121"/>
  <c r="I7" i="150"/>
  <c r="I29" i="150" s="1"/>
  <c r="H22" i="106"/>
  <c r="G76" i="146"/>
  <c r="F48" i="150" s="1"/>
  <c r="N195" i="146"/>
  <c r="F110" i="150" s="1"/>
  <c r="J165" i="146"/>
  <c r="I97" i="150" s="1"/>
  <c r="K33" i="94"/>
  <c r="J246" i="146" s="1"/>
  <c r="I106" i="150" s="1"/>
  <c r="H77" i="146"/>
  <c r="I11" i="98"/>
  <c r="I12" i="98" s="1"/>
  <c r="I16" i="121"/>
  <c r="H17" i="109"/>
  <c r="G159" i="146"/>
  <c r="F89" i="150" s="1"/>
  <c r="I87" i="146"/>
  <c r="H62" i="150" s="1"/>
  <c r="H61" i="150"/>
  <c r="F56" i="150"/>
  <c r="G85" i="146"/>
  <c r="F57" i="150" s="1"/>
  <c r="K165" i="146"/>
  <c r="J97" i="150" s="1"/>
  <c r="L33" i="94"/>
  <c r="K246" i="146" s="1"/>
  <c r="J106" i="150" s="1"/>
  <c r="H35" i="110"/>
  <c r="J17" i="109"/>
  <c r="G87" i="146"/>
  <c r="F62" i="150" s="1"/>
  <c r="F61" i="150"/>
  <c r="H28" i="81"/>
  <c r="I76" i="146"/>
  <c r="H48" i="150" s="1"/>
  <c r="H34" i="81"/>
  <c r="H67" i="147" s="1"/>
  <c r="H8" i="94"/>
  <c r="L11" i="98"/>
  <c r="L12" i="98" s="1"/>
  <c r="L16" i="121"/>
  <c r="K77" i="146"/>
  <c r="I85" i="146"/>
  <c r="H57" i="150" s="1"/>
  <c r="H56" i="150"/>
  <c r="J77" i="146"/>
  <c r="K11" i="98"/>
  <c r="K12" i="98" s="1"/>
  <c r="K16" i="121"/>
  <c r="G113" i="147" l="1"/>
  <c r="G22" i="84"/>
  <c r="K13" i="94"/>
  <c r="J163" i="146" s="1"/>
  <c r="I95" i="150" s="1"/>
  <c r="J164" i="146"/>
  <c r="I96" i="150" s="1"/>
  <c r="H62" i="147"/>
  <c r="H16" i="84"/>
  <c r="I16" i="84"/>
  <c r="J7" i="94"/>
  <c r="I164" i="146" s="1"/>
  <c r="H96" i="150" s="1"/>
  <c r="K16" i="84"/>
  <c r="J16" i="84"/>
  <c r="K164" i="146"/>
  <c r="J96" i="150" s="1"/>
  <c r="N196" i="146"/>
  <c r="F111" i="150" s="1"/>
  <c r="L31" i="94"/>
  <c r="K244" i="146" s="1"/>
  <c r="J104" i="150" s="1"/>
  <c r="I31" i="94"/>
  <c r="H244" i="146" s="1"/>
  <c r="G104" i="150" s="1"/>
  <c r="I13" i="94"/>
  <c r="H163" i="146" s="1"/>
  <c r="G95" i="150" s="1"/>
  <c r="I157" i="146"/>
  <c r="H87" i="150" s="1"/>
  <c r="J62" i="147"/>
  <c r="I166" i="146"/>
  <c r="H98" i="150" s="1"/>
  <c r="H32" i="94"/>
  <c r="G245" i="146" s="1"/>
  <c r="F105" i="150" s="1"/>
  <c r="H19" i="147"/>
  <c r="H21" i="147"/>
  <c r="J184" i="146"/>
  <c r="J189" i="146"/>
  <c r="I169" i="146"/>
  <c r="I184" i="146" s="1"/>
  <c r="J21" i="147"/>
  <c r="J186" i="146"/>
  <c r="G169" i="146"/>
  <c r="G186" i="146" s="1"/>
  <c r="H186" i="146"/>
  <c r="H184" i="146"/>
  <c r="K186" i="146"/>
  <c r="K184" i="146"/>
  <c r="H15" i="121"/>
  <c r="K189" i="146"/>
  <c r="J15" i="121"/>
  <c r="J20" i="147"/>
  <c r="M21" i="109"/>
  <c r="H178" i="146"/>
  <c r="H189" i="146" s="1"/>
  <c r="H37" i="110"/>
  <c r="H57" i="106" s="1"/>
  <c r="G178" i="146" s="1"/>
  <c r="J37" i="110"/>
  <c r="I178" i="146" s="1"/>
  <c r="K78" i="146"/>
  <c r="L78" i="146"/>
  <c r="S34" i="109" a="1"/>
  <c r="S34" i="109" s="1"/>
  <c r="S35" i="109" s="1"/>
  <c r="S17" i="109" a="1"/>
  <c r="S17" i="109" s="1"/>
  <c r="G165" i="146"/>
  <c r="F97" i="150" s="1"/>
  <c r="H33" i="94"/>
  <c r="G246" i="146" s="1"/>
  <c r="F106" i="150" s="1"/>
  <c r="I77" i="146"/>
  <c r="I78" i="146" s="1"/>
  <c r="J11" i="98"/>
  <c r="J16" i="121"/>
  <c r="G77" i="146"/>
  <c r="G78" i="146" s="1"/>
  <c r="H11" i="98"/>
  <c r="H12" i="98" s="1"/>
  <c r="H42" i="106"/>
  <c r="H16" i="121" s="1"/>
  <c r="I111" i="147"/>
  <c r="J244" i="146"/>
  <c r="I104" i="150" s="1"/>
  <c r="K35" i="94"/>
  <c r="J243" i="146" s="1"/>
  <c r="I103" i="150" s="1"/>
  <c r="K79" i="146"/>
  <c r="J50" i="150" s="1"/>
  <c r="J49" i="150"/>
  <c r="H79" i="146"/>
  <c r="G50" i="150" s="1"/>
  <c r="G49" i="150"/>
  <c r="Y18" i="109"/>
  <c r="Y20" i="109" s="1"/>
  <c r="K163" i="146"/>
  <c r="J95" i="150" s="1"/>
  <c r="L22" i="94"/>
  <c r="K198" i="146"/>
  <c r="G157" i="146"/>
  <c r="F87" i="150" s="1"/>
  <c r="K197" i="146"/>
  <c r="J197" i="146" s="1"/>
  <c r="B112" i="150" s="1"/>
  <c r="H7" i="94"/>
  <c r="H31" i="94" s="1"/>
  <c r="G7" i="153"/>
  <c r="J79" i="146"/>
  <c r="I50" i="150" s="1"/>
  <c r="I49" i="150"/>
  <c r="G5" i="153"/>
  <c r="G6" i="153"/>
  <c r="I165" i="146"/>
  <c r="H97" i="150" s="1"/>
  <c r="J33" i="94"/>
  <c r="I246" i="146" s="1"/>
  <c r="H106" i="150" s="1"/>
  <c r="G119" i="147" l="1"/>
  <c r="G41" i="84"/>
  <c r="K22" i="94"/>
  <c r="L14" i="94"/>
  <c r="L21" i="109" s="1"/>
  <c r="J13" i="94"/>
  <c r="J14" i="94" s="1"/>
  <c r="J31" i="94"/>
  <c r="I244" i="146" s="1"/>
  <c r="H104" i="150" s="1"/>
  <c r="L35" i="94"/>
  <c r="K243" i="146" s="1"/>
  <c r="J103" i="150" s="1"/>
  <c r="I22" i="94"/>
  <c r="I35" i="94"/>
  <c r="H243" i="146" s="1"/>
  <c r="G103" i="150" s="1"/>
  <c r="K111" i="147"/>
  <c r="P111" i="147"/>
  <c r="Q111" i="147"/>
  <c r="L111" i="147"/>
  <c r="M111" i="147"/>
  <c r="I187" i="146"/>
  <c r="I189" i="146"/>
  <c r="H28" i="121" a="1"/>
  <c r="H28" i="121" s="1"/>
  <c r="AF8" i="121" s="1"/>
  <c r="I186" i="146"/>
  <c r="G184" i="146"/>
  <c r="G189" i="146"/>
  <c r="G187" i="146"/>
  <c r="C113" i="150"/>
  <c r="J198" i="146"/>
  <c r="B113" i="150" s="1"/>
  <c r="J78" i="146"/>
  <c r="H78" i="146"/>
  <c r="K19" i="109"/>
  <c r="G79" i="146"/>
  <c r="F50" i="150" s="1"/>
  <c r="F49" i="150"/>
  <c r="I79" i="146"/>
  <c r="H50" i="150" s="1"/>
  <c r="H49" i="150"/>
  <c r="G164" i="146"/>
  <c r="F96" i="150" s="1"/>
  <c r="H13" i="94"/>
  <c r="F16" i="94" s="1"/>
  <c r="G60" i="161"/>
  <c r="H111" i="147"/>
  <c r="N198" i="146"/>
  <c r="F113" i="150" s="1"/>
  <c r="H49" i="94"/>
  <c r="J111" i="147"/>
  <c r="S11" i="98" a="1"/>
  <c r="S11" i="98" s="1"/>
  <c r="S12" i="98" s="1"/>
  <c r="J12" i="98"/>
  <c r="L19" i="109"/>
  <c r="I19" i="109"/>
  <c r="C112" i="150"/>
  <c r="M19" i="109"/>
  <c r="G44" i="84" l="1"/>
  <c r="G137" i="147"/>
  <c r="G49" i="81"/>
  <c r="J22" i="94"/>
  <c r="I163" i="146"/>
  <c r="H95" i="150" s="1"/>
  <c r="K14" i="94"/>
  <c r="K21" i="109" s="1"/>
  <c r="J35" i="94"/>
  <c r="I243" i="146" s="1"/>
  <c r="H103" i="150" s="1"/>
  <c r="H14" i="94"/>
  <c r="H21" i="109" s="1"/>
  <c r="I14" i="94"/>
  <c r="I21" i="109" s="1"/>
  <c r="AH8" i="121"/>
  <c r="AH25" i="121"/>
  <c r="AG8" i="121"/>
  <c r="AJ8" i="121"/>
  <c r="AJ12" i="121"/>
  <c r="AF12" i="121"/>
  <c r="AJ18" i="121"/>
  <c r="AF18" i="121"/>
  <c r="AG25" i="121"/>
  <c r="AI12" i="121"/>
  <c r="AH12" i="121"/>
  <c r="AI8" i="121"/>
  <c r="AI25" i="121"/>
  <c r="AJ25" i="121"/>
  <c r="AH18" i="121"/>
  <c r="G10" i="153" s="1"/>
  <c r="AF25" i="121"/>
  <c r="AG12" i="121"/>
  <c r="F20" i="94"/>
  <c r="N20" i="94"/>
  <c r="F18" i="94"/>
  <c r="L19" i="94"/>
  <c r="D19" i="94"/>
  <c r="K19" i="94"/>
  <c r="Q18" i="94"/>
  <c r="J18" i="94"/>
  <c r="D21" i="94"/>
  <c r="P20" i="94"/>
  <c r="I19" i="94"/>
  <c r="E21" i="94"/>
  <c r="O20" i="94"/>
  <c r="M18" i="94"/>
  <c r="P18" i="94"/>
  <c r="D20" i="94"/>
  <c r="M19" i="94"/>
  <c r="N18" i="94"/>
  <c r="I18" i="94"/>
  <c r="M20" i="94"/>
  <c r="P21" i="94"/>
  <c r="O21" i="94"/>
  <c r="P19" i="94"/>
  <c r="D18" i="94"/>
  <c r="I20" i="94"/>
  <c r="E20" i="94"/>
  <c r="K18" i="94"/>
  <c r="L21" i="94"/>
  <c r="K20" i="94"/>
  <c r="L20" i="94"/>
  <c r="E18" i="94"/>
  <c r="G19" i="94"/>
  <c r="E19" i="94"/>
  <c r="Q20" i="94"/>
  <c r="M21" i="94"/>
  <c r="Q21" i="94"/>
  <c r="N21" i="94"/>
  <c r="Q19" i="94"/>
  <c r="J21" i="94"/>
  <c r="J19" i="94"/>
  <c r="N19" i="94"/>
  <c r="F19" i="94"/>
  <c r="O18" i="94"/>
  <c r="I21" i="94"/>
  <c r="O19" i="94"/>
  <c r="L18" i="94"/>
  <c r="G20" i="94"/>
  <c r="G18" i="94"/>
  <c r="J20" i="94"/>
  <c r="G21" i="94"/>
  <c r="F21" i="94"/>
  <c r="K21" i="94"/>
  <c r="J113" i="147"/>
  <c r="J21" i="109"/>
  <c r="H21" i="94"/>
  <c r="H20" i="94"/>
  <c r="H18" i="94"/>
  <c r="H19" i="94"/>
  <c r="J19" i="109"/>
  <c r="S19" i="109" s="1" a="1"/>
  <c r="S19" i="109" s="1"/>
  <c r="G163" i="146"/>
  <c r="F95" i="150" s="1"/>
  <c r="H22" i="94"/>
  <c r="I8" i="150"/>
  <c r="J29" i="150" s="1"/>
  <c r="G244" i="146"/>
  <c r="F104" i="150" s="1"/>
  <c r="H35" i="94"/>
  <c r="G243" i="146" s="1"/>
  <c r="F103" i="150" s="1"/>
  <c r="H19" i="109"/>
  <c r="G9" i="153" l="1"/>
  <c r="G8" i="153"/>
  <c r="K113" i="147"/>
  <c r="O113" i="147"/>
  <c r="P113" i="147"/>
  <c r="Q113" i="147"/>
  <c r="M113" i="147"/>
  <c r="L113" i="147"/>
  <c r="D56" i="94"/>
  <c r="D58" i="94" s="1"/>
  <c r="I56" i="94"/>
  <c r="H56" i="94"/>
  <c r="I11" i="150" s="1"/>
  <c r="M29" i="150" s="1"/>
  <c r="E56" i="94"/>
  <c r="E58" i="94" s="1"/>
  <c r="F56" i="94"/>
  <c r="F58" i="94" s="1"/>
  <c r="G56" i="94"/>
  <c r="G58" i="94" s="1"/>
  <c r="H113" i="147"/>
  <c r="I113" i="147"/>
  <c r="S21" i="109" a="1"/>
  <c r="S21" i="109" s="1"/>
  <c r="L90" i="146" l="1"/>
  <c r="M65" i="106"/>
  <c r="M67" i="106"/>
  <c r="L61" i="161" l="1"/>
  <c r="L91" i="146"/>
  <c r="K72" i="150" s="1"/>
  <c r="K71" i="150"/>
  <c r="K90" i="146" l="1"/>
  <c r="K61" i="161" l="1"/>
  <c r="J71" i="150"/>
  <c r="K31" i="147" l="1"/>
  <c r="N31" i="147"/>
  <c r="O31" i="147"/>
  <c r="P31" i="147"/>
  <c r="Q31" i="147"/>
  <c r="L31" i="147"/>
  <c r="H90" i="146"/>
  <c r="I31" i="147"/>
  <c r="H67" i="106"/>
  <c r="G90" i="146"/>
  <c r="H65" i="106"/>
  <c r="H31" i="147" s="1"/>
  <c r="J90" i="146"/>
  <c r="J61" i="161"/>
  <c r="I71" i="150" l="1"/>
  <c r="H61" i="161"/>
  <c r="J31" i="147"/>
  <c r="I90" i="146"/>
  <c r="G61" i="161"/>
  <c r="F71" i="150"/>
  <c r="G71" i="150"/>
  <c r="I61" i="161" l="1"/>
  <c r="H71" i="150"/>
  <c r="H22" i="147" l="1"/>
  <c r="N22" i="147"/>
  <c r="P22" i="147"/>
  <c r="Q22" i="147"/>
  <c r="G56" i="161"/>
  <c r="G57" i="161" s="1"/>
  <c r="H18" i="121"/>
  <c r="H50" i="106"/>
  <c r="H25" i="147" s="1"/>
  <c r="H27" i="147" s="1"/>
  <c r="H11" i="109"/>
  <c r="G88" i="146"/>
  <c r="F66" i="150" s="1"/>
  <c r="H51" i="106"/>
  <c r="H45" i="106"/>
  <c r="H87" i="110"/>
  <c r="H81" i="110"/>
  <c r="H75" i="110"/>
  <c r="H69" i="110"/>
  <c r="H26" i="147" l="1"/>
  <c r="H28" i="147"/>
  <c r="N26" i="147"/>
  <c r="P26" i="147"/>
  <c r="Q26" i="147"/>
  <c r="Q25" i="147"/>
  <c r="Q27" i="147" s="1"/>
  <c r="H20" i="121"/>
  <c r="H14" i="98"/>
  <c r="H15" i="98" s="1"/>
  <c r="G80" i="146"/>
  <c r="G81" i="146" s="1"/>
  <c r="H52" i="106"/>
  <c r="H21" i="121" s="1"/>
  <c r="G89" i="146"/>
  <c r="F67" i="150" s="1"/>
  <c r="I66" i="110"/>
  <c r="H9" i="81"/>
  <c r="H24" i="84" s="1"/>
  <c r="I78" i="110"/>
  <c r="H14" i="81"/>
  <c r="H25" i="84" s="1"/>
  <c r="I70" i="110" l="1"/>
  <c r="I75" i="110" s="1"/>
  <c r="I82" i="110"/>
  <c r="H59" i="147"/>
  <c r="H58" i="147"/>
  <c r="K195" i="146"/>
  <c r="J195" i="146" s="1"/>
  <c r="B110" i="150" s="1"/>
  <c r="K194" i="146"/>
  <c r="J194" i="146" s="1"/>
  <c r="B109" i="150" s="1"/>
  <c r="F51" i="150"/>
  <c r="G91" i="146"/>
  <c r="F72" i="150" s="1"/>
  <c r="G82" i="146"/>
  <c r="F52" i="150" s="1"/>
  <c r="J66" i="110" l="1"/>
  <c r="J70" i="110" s="1"/>
  <c r="I23" i="147"/>
  <c r="I69" i="110"/>
  <c r="I81" i="110"/>
  <c r="I87" i="110"/>
  <c r="H121" i="147"/>
  <c r="G238" i="146"/>
  <c r="H122" i="147"/>
  <c r="G239" i="146"/>
  <c r="C110" i="150"/>
  <c r="I58" i="147"/>
  <c r="C109" i="150"/>
  <c r="I24" i="84" l="1"/>
  <c r="J23" i="147"/>
  <c r="J69" i="110"/>
  <c r="J75" i="110"/>
  <c r="J78" i="110"/>
  <c r="J82" i="110" s="1"/>
  <c r="J87" i="110" s="1"/>
  <c r="I24" i="147"/>
  <c r="J81" i="110" l="1"/>
  <c r="K66" i="110"/>
  <c r="I121" i="147"/>
  <c r="H238" i="146"/>
  <c r="I22" i="147"/>
  <c r="I18" i="121"/>
  <c r="I11" i="109"/>
  <c r="H56" i="161"/>
  <c r="H57" i="161" s="1"/>
  <c r="H88" i="146"/>
  <c r="I59" i="147"/>
  <c r="I25" i="84"/>
  <c r="K78" i="110"/>
  <c r="M66" i="110"/>
  <c r="M75" i="110" s="1"/>
  <c r="M78" i="110"/>
  <c r="M87" i="110" s="1"/>
  <c r="M90" i="110"/>
  <c r="M98" i="110" s="1"/>
  <c r="J24" i="147" l="1"/>
  <c r="J24" i="84"/>
  <c r="J58" i="147"/>
  <c r="K70" i="110"/>
  <c r="K75" i="110" s="1"/>
  <c r="I25" i="147"/>
  <c r="I27" i="147" s="1"/>
  <c r="I20" i="121"/>
  <c r="I14" i="98"/>
  <c r="I15" i="98" s="1"/>
  <c r="I21" i="121"/>
  <c r="H80" i="146"/>
  <c r="H89" i="146"/>
  <c r="G66" i="150"/>
  <c r="I122" i="147"/>
  <c r="H239" i="146"/>
  <c r="I26" i="147"/>
  <c r="I28" i="147"/>
  <c r="J22" i="147"/>
  <c r="J18" i="121"/>
  <c r="I56" i="161"/>
  <c r="I57" i="161" s="1"/>
  <c r="J11" i="109"/>
  <c r="I88" i="146"/>
  <c r="K82" i="110"/>
  <c r="K87" i="110" s="1"/>
  <c r="J25" i="84"/>
  <c r="J59" i="147"/>
  <c r="N78" i="110"/>
  <c r="N87" i="110" s="1"/>
  <c r="M14" i="81"/>
  <c r="M9" i="81"/>
  <c r="N66" i="110"/>
  <c r="N75" i="110" s="1"/>
  <c r="M20" i="81"/>
  <c r="N90" i="110"/>
  <c r="N98" i="110" s="1"/>
  <c r="K23" i="147" l="1"/>
  <c r="K69" i="110"/>
  <c r="L66" i="110"/>
  <c r="J121" i="147"/>
  <c r="I238" i="146"/>
  <c r="H82" i="146"/>
  <c r="G52" i="150" s="1"/>
  <c r="G51" i="150"/>
  <c r="H81" i="146"/>
  <c r="G67" i="150"/>
  <c r="H91" i="146"/>
  <c r="G72" i="150" s="1"/>
  <c r="I89" i="146"/>
  <c r="H66" i="150"/>
  <c r="J26" i="147"/>
  <c r="J28" i="147"/>
  <c r="J25" i="147"/>
  <c r="J27" i="147" s="1"/>
  <c r="J14" i="98"/>
  <c r="J20" i="121"/>
  <c r="J21" i="121"/>
  <c r="I80" i="146"/>
  <c r="I239" i="146"/>
  <c r="J122" i="147"/>
  <c r="K81" i="110"/>
  <c r="L78" i="110"/>
  <c r="M59" i="147"/>
  <c r="M60" i="147"/>
  <c r="M44" i="110"/>
  <c r="M46" i="110" s="1"/>
  <c r="M48" i="110" s="1"/>
  <c r="N20" i="81"/>
  <c r="O90" i="110"/>
  <c r="O98" i="110" s="1"/>
  <c r="N9" i="81"/>
  <c r="O66" i="110"/>
  <c r="O75" i="110" s="1"/>
  <c r="M58" i="147"/>
  <c r="M7" i="81"/>
  <c r="N14" i="81"/>
  <c r="N25" i="84" s="1"/>
  <c r="O78" i="110"/>
  <c r="O87" i="110" s="1"/>
  <c r="K24" i="84" l="1"/>
  <c r="K58" i="147"/>
  <c r="L70" i="110"/>
  <c r="L75" i="110" s="1"/>
  <c r="J15" i="98"/>
  <c r="K24" i="147"/>
  <c r="L82" i="110"/>
  <c r="L87" i="110" s="1"/>
  <c r="H51" i="150"/>
  <c r="I81" i="146"/>
  <c r="I82" i="146"/>
  <c r="H52" i="150" s="1"/>
  <c r="K59" i="147"/>
  <c r="K25" i="84"/>
  <c r="H67" i="150"/>
  <c r="I91" i="146"/>
  <c r="H72" i="150" s="1"/>
  <c r="N24" i="84"/>
  <c r="M238" i="146" s="1"/>
  <c r="N59" i="147"/>
  <c r="M239" i="146"/>
  <c r="N58" i="147"/>
  <c r="N7" i="81"/>
  <c r="O20" i="81"/>
  <c r="P90" i="110"/>
  <c r="P98" i="110" s="1"/>
  <c r="M57" i="147"/>
  <c r="N60" i="147"/>
  <c r="N44" i="110"/>
  <c r="N46" i="110" s="1"/>
  <c r="N48" i="110" s="1"/>
  <c r="O14" i="81"/>
  <c r="P78" i="110"/>
  <c r="P87" i="110" s="1"/>
  <c r="O9" i="81"/>
  <c r="P66" i="110"/>
  <c r="P75" i="110" s="1"/>
  <c r="M56" i="106"/>
  <c r="L116" i="161"/>
  <c r="L23" i="147" l="1"/>
  <c r="L69" i="110"/>
  <c r="L58" i="147"/>
  <c r="M24" i="84"/>
  <c r="J238" i="146"/>
  <c r="K121" i="147"/>
  <c r="K18" i="121"/>
  <c r="J88" i="146"/>
  <c r="K22" i="147"/>
  <c r="K11" i="109"/>
  <c r="J56" i="161"/>
  <c r="J57" i="161" s="1"/>
  <c r="K122" i="147"/>
  <c r="J239" i="146"/>
  <c r="L59" i="147"/>
  <c r="M25" i="84"/>
  <c r="L81" i="110"/>
  <c r="O59" i="147"/>
  <c r="O25" i="84"/>
  <c r="N239" i="146" s="1"/>
  <c r="O7" i="81"/>
  <c r="O24" i="84"/>
  <c r="N238" i="146" s="1"/>
  <c r="P20" i="81"/>
  <c r="Q90" i="110"/>
  <c r="Q98" i="110" s="1"/>
  <c r="Q20" i="81" s="1"/>
  <c r="Q44" i="110" s="1"/>
  <c r="Q46" i="110" s="1"/>
  <c r="Q48" i="110" s="1"/>
  <c r="P9" i="81"/>
  <c r="Q66" i="110"/>
  <c r="Q75" i="110" s="1"/>
  <c r="Q9" i="81" s="1"/>
  <c r="O57" i="147"/>
  <c r="P14" i="81"/>
  <c r="P59" i="147" s="1"/>
  <c r="Q78" i="110"/>
  <c r="Q87" i="110" s="1"/>
  <c r="Q14" i="81" s="1"/>
  <c r="O60" i="147"/>
  <c r="O44" i="110"/>
  <c r="O46" i="110" s="1"/>
  <c r="O48" i="110" s="1"/>
  <c r="N56" i="106"/>
  <c r="M116" i="161"/>
  <c r="N57" i="147"/>
  <c r="L179" i="146"/>
  <c r="L190" i="146" s="1"/>
  <c r="M54" i="106"/>
  <c r="L92" i="146"/>
  <c r="L24" i="84" l="1"/>
  <c r="K238" i="146" s="1"/>
  <c r="M121" i="147"/>
  <c r="O121" i="147"/>
  <c r="P121" i="147"/>
  <c r="Q121" i="147"/>
  <c r="L238" i="146"/>
  <c r="L24" i="147"/>
  <c r="I66" i="150"/>
  <c r="J89" i="146"/>
  <c r="Q122" i="147"/>
  <c r="M122" i="147"/>
  <c r="P122" i="147"/>
  <c r="L239" i="146"/>
  <c r="N122" i="147"/>
  <c r="L25" i="84"/>
  <c r="K26" i="147"/>
  <c r="K28" i="147"/>
  <c r="K14" i="98"/>
  <c r="K25" i="147"/>
  <c r="K27" i="147" s="1"/>
  <c r="K21" i="121"/>
  <c r="K20" i="121"/>
  <c r="J80" i="146"/>
  <c r="O56" i="106"/>
  <c r="N116" i="161"/>
  <c r="L93" i="146"/>
  <c r="K77" i="150" s="1"/>
  <c r="K76" i="150"/>
  <c r="M29" i="147"/>
  <c r="M17" i="98"/>
  <c r="M19" i="98" s="1"/>
  <c r="M14" i="109"/>
  <c r="M13" i="109" s="1"/>
  <c r="M55" i="106"/>
  <c r="Q7" i="81"/>
  <c r="P58" i="147"/>
  <c r="P7" i="81"/>
  <c r="Q56" i="106"/>
  <c r="P116" i="161"/>
  <c r="P60" i="147"/>
  <c r="P44" i="110"/>
  <c r="P46" i="110" s="1"/>
  <c r="P48" i="110" s="1"/>
  <c r="M179" i="146"/>
  <c r="M190" i="146" s="1"/>
  <c r="N54" i="106"/>
  <c r="M92" i="146"/>
  <c r="L121" i="147" l="1"/>
  <c r="I67" i="150"/>
  <c r="J91" i="146"/>
  <c r="I72" i="150" s="1"/>
  <c r="I51" i="150"/>
  <c r="J81" i="146"/>
  <c r="J82" i="146"/>
  <c r="I52" i="150" s="1"/>
  <c r="L122" i="147"/>
  <c r="K239" i="146"/>
  <c r="L18" i="121"/>
  <c r="K56" i="161"/>
  <c r="K57" i="161" s="1"/>
  <c r="L11" i="109"/>
  <c r="S11" i="109" s="1" a="1"/>
  <c r="S11" i="109" s="1"/>
  <c r="K88" i="146"/>
  <c r="L22" i="147"/>
  <c r="K15" i="98"/>
  <c r="N29" i="147"/>
  <c r="N17" i="98"/>
  <c r="N19" i="98" s="1"/>
  <c r="N14" i="109"/>
  <c r="N13" i="109" s="1"/>
  <c r="N55" i="106"/>
  <c r="M21" i="98"/>
  <c r="M23" i="98" s="1"/>
  <c r="L76" i="150"/>
  <c r="M93" i="146"/>
  <c r="L77" i="150" s="1"/>
  <c r="Q57" i="147"/>
  <c r="P56" i="106"/>
  <c r="O116" i="161"/>
  <c r="P179" i="146"/>
  <c r="P190" i="146" s="1"/>
  <c r="Q54" i="106"/>
  <c r="P92" i="146"/>
  <c r="P93" i="146" s="1"/>
  <c r="N179" i="146"/>
  <c r="N190" i="146" s="1"/>
  <c r="O54" i="106"/>
  <c r="N92" i="146"/>
  <c r="N93" i="146" s="1"/>
  <c r="L20" i="121" l="1"/>
  <c r="H29" i="121" s="1" a="1"/>
  <c r="H29" i="121" s="1"/>
  <c r="L14" i="98"/>
  <c r="K80" i="146"/>
  <c r="L21" i="121"/>
  <c r="L25" i="147"/>
  <c r="L27" i="147" s="1"/>
  <c r="S39" i="109" a="1"/>
  <c r="S39" i="109" s="1"/>
  <c r="K89" i="146"/>
  <c r="J66" i="150"/>
  <c r="L28" i="147"/>
  <c r="L26" i="147"/>
  <c r="O17" i="98"/>
  <c r="O19" i="98" s="1"/>
  <c r="O21" i="98" s="1"/>
  <c r="O23" i="98" s="1"/>
  <c r="O14" i="109"/>
  <c r="O13" i="109" s="1"/>
  <c r="O55" i="106"/>
  <c r="N21" i="98"/>
  <c r="N23" i="98" s="1"/>
  <c r="Q17" i="98"/>
  <c r="Q19" i="98" s="1"/>
  <c r="Q21" i="98" s="1"/>
  <c r="Q23" i="98" s="1"/>
  <c r="Q29" i="147"/>
  <c r="Q14" i="109"/>
  <c r="Q13" i="109" s="1"/>
  <c r="Q55" i="106"/>
  <c r="M31" i="98"/>
  <c r="M33" i="98"/>
  <c r="M30" i="98"/>
  <c r="M32" i="98"/>
  <c r="M34" i="98"/>
  <c r="O179" i="146"/>
  <c r="O190" i="146" s="1"/>
  <c r="P54" i="106"/>
  <c r="O92" i="146"/>
  <c r="O93" i="146" s="1"/>
  <c r="AH9" i="121" l="1"/>
  <c r="AG9" i="121"/>
  <c r="D9" i="146" s="1" a="1"/>
  <c r="D9" i="146" s="1"/>
  <c r="AI9" i="121"/>
  <c r="F9" i="146" s="1" a="1"/>
  <c r="F9" i="146" s="1"/>
  <c r="AJ9" i="121"/>
  <c r="G9" i="146" s="1" a="1"/>
  <c r="G9" i="146" s="1"/>
  <c r="AF9" i="121"/>
  <c r="C9" i="146" s="1" a="1"/>
  <c r="C9" i="146" s="1"/>
  <c r="AJ26" i="121"/>
  <c r="AF26" i="121"/>
  <c r="J51" i="150"/>
  <c r="L81" i="146"/>
  <c r="K82" i="146"/>
  <c r="J52" i="150" s="1"/>
  <c r="K81" i="146"/>
  <c r="J67" i="150"/>
  <c r="K91" i="146"/>
  <c r="J72" i="150" s="1"/>
  <c r="L15" i="98"/>
  <c r="S14" i="98" a="1"/>
  <c r="S14" i="98" s="1"/>
  <c r="S15" i="98" s="1"/>
  <c r="AI26" i="121"/>
  <c r="AJ19" i="121"/>
  <c r="G11" i="146" s="1" a="1"/>
  <c r="G11" i="146" s="1"/>
  <c r="D9" i="150" s="1"/>
  <c r="AI13" i="121"/>
  <c r="F10" i="146" s="1" a="1"/>
  <c r="F10" i="146" s="1"/>
  <c r="AF19" i="121"/>
  <c r="C11" i="146" s="1" a="1"/>
  <c r="C11" i="146" s="1"/>
  <c r="C9" i="150" s="1"/>
  <c r="AG26" i="121"/>
  <c r="AG13" i="121"/>
  <c r="D10" i="146" s="1" a="1"/>
  <c r="D10" i="146" s="1"/>
  <c r="AH26" i="121"/>
  <c r="AF13" i="121"/>
  <c r="C10" i="146" s="1" a="1"/>
  <c r="C10" i="146" s="1"/>
  <c r="AH19" i="121"/>
  <c r="AJ13" i="121"/>
  <c r="G10" i="146" s="1" a="1"/>
  <c r="G10" i="146" s="1"/>
  <c r="AH13" i="121"/>
  <c r="N31" i="98"/>
  <c r="N30" i="98"/>
  <c r="N32" i="98"/>
  <c r="N34" i="98"/>
  <c r="N33" i="98"/>
  <c r="Q32" i="98"/>
  <c r="Q31" i="98"/>
  <c r="Q34" i="98"/>
  <c r="Q30" i="98"/>
  <c r="Q33" i="98"/>
  <c r="O32" i="98"/>
  <c r="O31" i="98"/>
  <c r="O34" i="98"/>
  <c r="O30" i="98"/>
  <c r="O33" i="98"/>
  <c r="P17" i="98"/>
  <c r="P29" i="147"/>
  <c r="P14" i="109"/>
  <c r="P13" i="109" s="1"/>
  <c r="P55" i="106"/>
  <c r="E9" i="146" l="1" a="1"/>
  <c r="E9" i="146" s="1"/>
  <c r="G11" i="153"/>
  <c r="E10" i="146" a="1"/>
  <c r="E10" i="146" s="1"/>
  <c r="G12" i="153"/>
  <c r="E11" i="146" a="1"/>
  <c r="E11" i="146" s="1"/>
  <c r="G13" i="153"/>
  <c r="M11" i="82"/>
  <c r="P19" i="98"/>
  <c r="M84" i="147" l="1"/>
  <c r="P21" i="98"/>
  <c r="H24" i="147" l="1"/>
  <c r="H10" i="147"/>
  <c r="H11" i="147" s="1"/>
  <c r="H13" i="147"/>
  <c r="P23" i="98"/>
  <c r="M26" i="147"/>
  <c r="M22" i="147"/>
  <c r="N10" i="147"/>
  <c r="N11" i="147" s="1"/>
  <c r="N8" i="147"/>
  <c r="M24" i="147"/>
  <c r="M25" i="147"/>
  <c r="M27" i="147" s="1"/>
  <c r="M19" i="147"/>
  <c r="N9" i="147"/>
  <c r="N23" i="147"/>
  <c r="M17" i="147"/>
  <c r="M31" i="147"/>
  <c r="M12" i="147"/>
  <c r="N14" i="147"/>
  <c r="N15" i="147" s="1"/>
  <c r="M18" i="147"/>
  <c r="M20" i="147" s="1"/>
  <c r="M10" i="147"/>
  <c r="M11" i="147" s="1"/>
  <c r="M9" i="147"/>
  <c r="N12" i="147"/>
  <c r="N25" i="147"/>
  <c r="N27" i="147" s="1"/>
  <c r="O22" i="147"/>
  <c r="O12" i="147"/>
  <c r="O25" i="147"/>
  <c r="O27" i="147" s="1"/>
  <c r="O26" i="147"/>
  <c r="O19" i="147"/>
  <c r="O24" i="147"/>
  <c r="P25" i="147"/>
  <c r="P27" i="147" s="1"/>
  <c r="O29" i="147"/>
  <c r="O10" i="147"/>
  <c r="O11" i="147" s="1"/>
  <c r="O23" i="147"/>
  <c r="P32" i="98" l="1"/>
  <c r="P34" i="98"/>
  <c r="P31" i="98"/>
  <c r="P30" i="98"/>
  <c r="P33" i="98"/>
  <c r="O84" i="147"/>
  <c r="N81" i="147"/>
  <c r="P84" i="147" l="1"/>
  <c r="P31" i="109"/>
  <c r="D29" i="150"/>
  <c r="D27" i="150"/>
  <c r="C7" i="150"/>
  <c r="E27" i="150"/>
  <c r="D7" i="150"/>
  <c r="E29" i="150"/>
  <c r="C8" i="150"/>
  <c r="D28" i="150"/>
  <c r="E28" i="150"/>
  <c r="D8" i="150"/>
  <c r="P41" i="109" l="1"/>
  <c r="P36" i="109"/>
  <c r="M72" i="147"/>
  <c r="O99" i="147"/>
  <c r="P81" i="147"/>
  <c r="Q84" i="147"/>
  <c r="E7" i="150"/>
  <c r="E8" i="150"/>
  <c r="E9" i="150"/>
  <c r="P99" i="147" l="1"/>
  <c r="Q72" i="161"/>
  <c r="Q74" i="161" s="1"/>
  <c r="Q77" i="161" s="1"/>
  <c r="Q79" i="161" s="1"/>
  <c r="N72" i="147"/>
  <c r="Q81" i="147"/>
  <c r="M61" i="147"/>
  <c r="M75" i="147" l="1"/>
  <c r="M99" i="147"/>
  <c r="M81" i="147"/>
  <c r="M86" i="147"/>
  <c r="M87" i="147"/>
  <c r="M98" i="147"/>
  <c r="M96" i="147"/>
  <c r="N91" i="147"/>
  <c r="N99" i="147"/>
  <c r="M83" i="147"/>
  <c r="N94" i="147"/>
  <c r="N83" i="147"/>
  <c r="N85" i="147"/>
  <c r="N98" i="147"/>
  <c r="N84" i="147"/>
  <c r="M88" i="147"/>
  <c r="M94" i="147"/>
  <c r="N97" i="147"/>
  <c r="N92" i="147"/>
  <c r="O97" i="147"/>
  <c r="N96" i="147"/>
  <c r="N93" i="147"/>
  <c r="N86" i="147"/>
  <c r="N88" i="147"/>
  <c r="O81" i="147"/>
  <c r="O92" i="147"/>
  <c r="O98" i="147"/>
  <c r="O82" i="147"/>
  <c r="O87" i="147"/>
  <c r="Q99" i="147"/>
  <c r="N61" i="147"/>
  <c r="L127" i="147" l="1"/>
  <c r="L107" i="147"/>
  <c r="M135" i="147"/>
  <c r="N121" i="147"/>
  <c r="N111" i="147"/>
  <c r="N134" i="147"/>
  <c r="O111" i="147"/>
  <c r="N128" i="147"/>
  <c r="N118" i="147"/>
  <c r="N109" i="147"/>
  <c r="N113" i="147"/>
  <c r="N130" i="147"/>
  <c r="O108" i="147"/>
  <c r="O122" i="147"/>
  <c r="O110" i="147"/>
  <c r="P108" i="147"/>
  <c r="O129" i="147"/>
  <c r="O130" i="147"/>
  <c r="N75" i="147"/>
  <c r="O61" i="147"/>
  <c r="P72" i="147"/>
  <c r="O75" i="147" l="1"/>
  <c r="Q72" i="147"/>
  <c r="P75" i="147"/>
  <c r="O72" i="147" l="1"/>
  <c r="P61" i="147"/>
  <c r="O62" i="147"/>
  <c r="P57" i="147"/>
  <c r="P70" i="147"/>
  <c r="O66" i="147"/>
  <c r="O70" i="147"/>
  <c r="O58" i="147"/>
  <c r="P73" i="147"/>
  <c r="O65" i="147"/>
  <c r="P62" i="147"/>
  <c r="P71" i="147"/>
  <c r="P67" i="147"/>
  <c r="O69" i="147"/>
  <c r="P74" i="147"/>
  <c r="Q64" i="147"/>
  <c r="Q73" i="147"/>
  <c r="Q74" i="147"/>
  <c r="Q65" i="147"/>
  <c r="Q58" i="147"/>
  <c r="Q59" i="147"/>
  <c r="Q63" i="147"/>
  <c r="Q68" i="147"/>
  <c r="Q75" i="147"/>
  <c r="Q60" i="147"/>
  <c r="Q61" i="147"/>
  <c r="Q71" i="147"/>
  <c r="M110" i="161" l="1"/>
  <c r="N104" i="161"/>
  <c r="L76" i="161" l="1"/>
  <c r="L82" i="161" l="1"/>
  <c r="D11" i="147" l="1"/>
  <c r="D15" i="147"/>
  <c r="D20" i="147"/>
  <c r="D27" i="147"/>
  <c r="D37" i="147"/>
  <c r="P114" i="161"/>
  <c r="P60" i="161" s="1"/>
  <c r="O114" i="161"/>
  <c r="O60" i="161" s="1"/>
  <c r="N114" i="161"/>
  <c r="N60" i="161" s="1"/>
  <c r="M114" i="161"/>
  <c r="M60" i="161" s="1"/>
  <c r="L114" i="161"/>
  <c r="L60" i="161" s="1"/>
  <c r="P76" i="161"/>
  <c r="O76" i="161"/>
  <c r="N76" i="161"/>
  <c r="M76" i="161"/>
  <c r="AB16" i="109"/>
  <c r="I29" i="109"/>
  <c r="J29" i="109"/>
  <c r="AB30" i="109"/>
  <c r="AB44" i="109"/>
  <c r="AB31" i="109" l="1"/>
  <c r="P82" i="161"/>
  <c r="N82" i="161"/>
  <c r="O82" i="161"/>
  <c r="M82" i="161"/>
  <c r="AB45" i="109"/>
  <c r="S29" i="109" a="1"/>
  <c r="S29" i="109" s="1"/>
  <c r="S36" i="109" s="1"/>
  <c r="AB29" i="109"/>
  <c r="AB15" i="109"/>
  <c r="AB17" i="109"/>
  <c r="AB43" i="109"/>
  <c r="AB46" i="109" l="1"/>
  <c r="AB32" i="109"/>
  <c r="AB28" i="109"/>
  <c r="AB42" i="109"/>
  <c r="AB18" i="109"/>
  <c r="AB14" i="109"/>
  <c r="AB33" i="109" l="1"/>
  <c r="AB47" i="109"/>
  <c r="AB27" i="109"/>
  <c r="AB41" i="109"/>
  <c r="AB13" i="109"/>
  <c r="AB19" i="109"/>
  <c r="AB34" i="109" l="1"/>
  <c r="AB48" i="109"/>
  <c r="AB26" i="109"/>
  <c r="AB20" i="109"/>
  <c r="AB40" i="109"/>
  <c r="AB12" i="109"/>
  <c r="AB35" i="109" l="1"/>
  <c r="AB49" i="109"/>
  <c r="AB21" i="109"/>
  <c r="Q103" i="110" l="1"/>
  <c r="Q23" i="109" s="1"/>
  <c r="Q31" i="109"/>
  <c r="Q41" i="109" s="1"/>
  <c r="Q102" i="110"/>
  <c r="D20" i="81"/>
  <c r="E26" i="84" s="1"/>
  <c r="AL23" i="176" a="1"/>
  <c r="AL23" i="176" l="1"/>
  <c r="D7" i="81"/>
  <c r="D46" i="81"/>
  <c r="D34" i="82" s="1"/>
  <c r="D60" i="147"/>
  <c r="D57" i="147"/>
  <c r="Q36" i="109"/>
  <c r="D98" i="110"/>
  <c r="E90" i="110" s="1"/>
  <c r="D44" i="110"/>
  <c r="D46" i="110" s="1"/>
  <c r="D51" i="110" s="1"/>
  <c r="E91" i="110" l="1"/>
  <c r="E93" i="110" s="1"/>
  <c r="E96" i="110"/>
  <c r="H96" i="110" s="1"/>
  <c r="D91" i="110"/>
  <c r="D92" i="110" s="1"/>
  <c r="D48" i="81"/>
  <c r="D75" i="147"/>
  <c r="E27" i="84"/>
  <c r="D93" i="110"/>
  <c r="E92" i="110" l="1"/>
  <c r="H92" i="110" s="1"/>
  <c r="H91" i="110" s="1"/>
  <c r="E102" i="110"/>
  <c r="E103" i="110" s="1"/>
  <c r="H94" i="110"/>
  <c r="I96" i="110"/>
  <c r="J96" i="110" s="1"/>
  <c r="K96" i="110" s="1"/>
  <c r="L96" i="110" s="1"/>
  <c r="M96" i="110" s="1"/>
  <c r="E123" i="147"/>
  <c r="D240" i="146"/>
  <c r="E41" i="84"/>
  <c r="E124" i="147"/>
  <c r="D241" i="146"/>
  <c r="M94" i="110" l="1"/>
  <c r="M62" i="106" s="1"/>
  <c r="N96" i="110"/>
  <c r="H62" i="106"/>
  <c r="H100" i="110"/>
  <c r="H101" i="110" s="1"/>
  <c r="I92" i="110"/>
  <c r="H102" i="110"/>
  <c r="H103" i="110" s="1"/>
  <c r="H23" i="109" s="1"/>
  <c r="H98" i="110"/>
  <c r="H93" i="110"/>
  <c r="E44" i="84"/>
  <c r="E137" i="147"/>
  <c r="H18" i="84" l="1"/>
  <c r="H115" i="147" s="1"/>
  <c r="H60" i="106"/>
  <c r="N94" i="110"/>
  <c r="N62" i="106" s="1"/>
  <c r="O96" i="110"/>
  <c r="M60" i="106"/>
  <c r="M18" i="84"/>
  <c r="J92" i="110"/>
  <c r="I91" i="110"/>
  <c r="H20" i="81"/>
  <c r="H26" i="84" s="1"/>
  <c r="I90" i="110"/>
  <c r="I94" i="110" s="1"/>
  <c r="H60" i="147" l="1"/>
  <c r="H44" i="110"/>
  <c r="H46" i="110" s="1"/>
  <c r="H48" i="110" s="1"/>
  <c r="H56" i="106" s="1"/>
  <c r="G59" i="161" s="1"/>
  <c r="K196" i="146"/>
  <c r="J196" i="146" s="1"/>
  <c r="B111" i="150" s="1"/>
  <c r="H7" i="81"/>
  <c r="H57" i="147" s="1"/>
  <c r="M115" i="147"/>
  <c r="Q115" i="147"/>
  <c r="P115" i="147"/>
  <c r="O115" i="147"/>
  <c r="N115" i="147"/>
  <c r="M61" i="106"/>
  <c r="O30" i="147"/>
  <c r="P30" i="147"/>
  <c r="Q30" i="147"/>
  <c r="M70" i="106"/>
  <c r="M71" i="106"/>
  <c r="N30" i="147"/>
  <c r="M30" i="147"/>
  <c r="O94" i="110"/>
  <c r="O62" i="106" s="1"/>
  <c r="O60" i="106" s="1"/>
  <c r="P96" i="110"/>
  <c r="N60" i="106"/>
  <c r="N18" i="84"/>
  <c r="N26" i="84"/>
  <c r="H30" i="147"/>
  <c r="H61" i="106"/>
  <c r="I100" i="110"/>
  <c r="I101" i="110" s="1"/>
  <c r="I98" i="110"/>
  <c r="I60" i="147" s="1"/>
  <c r="I93" i="110"/>
  <c r="I102" i="110"/>
  <c r="I103" i="110" s="1"/>
  <c r="I23" i="109" s="1"/>
  <c r="K92" i="110"/>
  <c r="J91" i="110"/>
  <c r="H27" i="84"/>
  <c r="H123" i="147"/>
  <c r="G240" i="146"/>
  <c r="C111" i="150" l="1"/>
  <c r="H54" i="106"/>
  <c r="G58" i="161" s="1"/>
  <c r="G62" i="161" s="1"/>
  <c r="G179" i="146"/>
  <c r="G190" i="146" s="1"/>
  <c r="G92" i="146"/>
  <c r="G93" i="146" s="1"/>
  <c r="F77" i="150" s="1"/>
  <c r="I44" i="110"/>
  <c r="I46" i="110" s="1"/>
  <c r="I48" i="110" s="1"/>
  <c r="H179" i="146" s="1"/>
  <c r="H190" i="146" s="1"/>
  <c r="J90" i="110"/>
  <c r="J94" i="110" s="1"/>
  <c r="N61" i="106"/>
  <c r="N70" i="106"/>
  <c r="N71" i="106"/>
  <c r="P94" i="110"/>
  <c r="P62" i="106" s="1"/>
  <c r="P60" i="106" s="1"/>
  <c r="Q96" i="110"/>
  <c r="Q94" i="110" s="1"/>
  <c r="Q62" i="106" s="1"/>
  <c r="Q60" i="106" s="1"/>
  <c r="O61" i="106"/>
  <c r="O26" i="84"/>
  <c r="O71" i="106"/>
  <c r="O70" i="106"/>
  <c r="M33" i="147"/>
  <c r="N33" i="147"/>
  <c r="Q33" i="147"/>
  <c r="O33" i="147"/>
  <c r="P33" i="147"/>
  <c r="M57" i="110"/>
  <c r="M74" i="106" s="1"/>
  <c r="M32" i="147"/>
  <c r="M72" i="106"/>
  <c r="Q32" i="147"/>
  <c r="O32" i="147"/>
  <c r="P32" i="147"/>
  <c r="N32" i="147"/>
  <c r="I18" i="84"/>
  <c r="I115" i="147" s="1"/>
  <c r="I26" i="84"/>
  <c r="I123" i="147" s="1"/>
  <c r="I57" i="147"/>
  <c r="J102" i="110"/>
  <c r="J103" i="110" s="1"/>
  <c r="J23" i="109" s="1"/>
  <c r="K91" i="110"/>
  <c r="L92" i="110"/>
  <c r="H124" i="147"/>
  <c r="G241" i="146"/>
  <c r="J93" i="110" l="1"/>
  <c r="H70" i="106"/>
  <c r="H32" i="147" s="1"/>
  <c r="H55" i="106"/>
  <c r="H29" i="147"/>
  <c r="H17" i="98"/>
  <c r="H19" i="98" s="1"/>
  <c r="H21" i="98" s="1"/>
  <c r="H23" i="98" s="1"/>
  <c r="F76" i="150"/>
  <c r="H14" i="109"/>
  <c r="H13" i="109" s="1"/>
  <c r="H71" i="106"/>
  <c r="H33" i="147" s="1"/>
  <c r="J98" i="110"/>
  <c r="J100" i="110"/>
  <c r="J101" i="110" s="1"/>
  <c r="H116" i="161"/>
  <c r="M81" i="106"/>
  <c r="M75" i="106"/>
  <c r="M80" i="106"/>
  <c r="M12" i="82" s="1"/>
  <c r="Q34" i="147"/>
  <c r="P34" i="147"/>
  <c r="O34" i="147"/>
  <c r="N34" i="147"/>
  <c r="M34" i="147"/>
  <c r="Q61" i="106"/>
  <c r="Q71" i="106"/>
  <c r="Q70" i="106"/>
  <c r="P61" i="106"/>
  <c r="P70" i="106"/>
  <c r="P71" i="106"/>
  <c r="N72" i="106"/>
  <c r="N57" i="110"/>
  <c r="N74" i="106" s="1"/>
  <c r="N81" i="106" s="1"/>
  <c r="N7" i="84" s="1"/>
  <c r="O57" i="110"/>
  <c r="O74" i="106" s="1"/>
  <c r="O72" i="106"/>
  <c r="I30" i="147"/>
  <c r="J18" i="84"/>
  <c r="J115" i="147" s="1"/>
  <c r="H240" i="146"/>
  <c r="I29" i="147"/>
  <c r="H92" i="146"/>
  <c r="H93" i="146" s="1"/>
  <c r="G77" i="150" s="1"/>
  <c r="L91" i="110"/>
  <c r="M92" i="110"/>
  <c r="K102" i="110"/>
  <c r="K103" i="110" s="1"/>
  <c r="K23" i="109" s="1"/>
  <c r="G63" i="161"/>
  <c r="G64" i="161" s="1"/>
  <c r="M85" i="147" l="1"/>
  <c r="N11" i="82"/>
  <c r="M7" i="82"/>
  <c r="M32" i="82" s="1"/>
  <c r="H57" i="110"/>
  <c r="H74" i="106" s="1"/>
  <c r="H81" i="106" s="1"/>
  <c r="H72" i="106"/>
  <c r="K90" i="110"/>
  <c r="I57" i="110"/>
  <c r="N22" i="84"/>
  <c r="M68" i="161" s="1"/>
  <c r="N39" i="84"/>
  <c r="M72" i="161" s="1"/>
  <c r="S40" i="109"/>
  <c r="S41" i="109" s="1"/>
  <c r="P72" i="106"/>
  <c r="P57" i="110"/>
  <c r="P74" i="106" s="1"/>
  <c r="Q57" i="110"/>
  <c r="Q74" i="106" s="1"/>
  <c r="Q72" i="106"/>
  <c r="M35" i="147"/>
  <c r="M37" i="147" s="1"/>
  <c r="M9" i="109"/>
  <c r="M25" i="109" s="1"/>
  <c r="M31" i="109" s="1"/>
  <c r="L95" i="146"/>
  <c r="M82" i="106"/>
  <c r="Q35" i="147"/>
  <c r="Q37" i="147" s="1"/>
  <c r="P35" i="147"/>
  <c r="P37" i="147" s="1"/>
  <c r="O35" i="147"/>
  <c r="O37" i="147" s="1"/>
  <c r="N35" i="147"/>
  <c r="N37" i="147" s="1"/>
  <c r="O81" i="106"/>
  <c r="O7" i="84" s="1"/>
  <c r="O75" i="106"/>
  <c r="O80" i="106"/>
  <c r="O12" i="82" s="1"/>
  <c r="O85" i="147" s="1"/>
  <c r="N80" i="106"/>
  <c r="N12" i="82" s="1"/>
  <c r="N75" i="106"/>
  <c r="M36" i="147"/>
  <c r="M7" i="84"/>
  <c r="N36" i="147"/>
  <c r="O36" i="147"/>
  <c r="Q36" i="147"/>
  <c r="P36" i="147"/>
  <c r="J30" i="147"/>
  <c r="K94" i="110"/>
  <c r="J26" i="84"/>
  <c r="J57" i="147"/>
  <c r="I14" i="109"/>
  <c r="I13" i="109" s="1"/>
  <c r="I33" i="147"/>
  <c r="I17" i="98"/>
  <c r="I19" i="98" s="1"/>
  <c r="I21" i="98" s="1"/>
  <c r="I23" i="98" s="1"/>
  <c r="G76" i="150"/>
  <c r="N92" i="110"/>
  <c r="M91" i="110"/>
  <c r="M93" i="110" s="1"/>
  <c r="L102" i="110"/>
  <c r="L103" i="110" s="1"/>
  <c r="L23" i="109" s="1"/>
  <c r="S23" i="109" s="1" a="1"/>
  <c r="S23" i="109" s="1"/>
  <c r="J44" i="110"/>
  <c r="J46" i="110" s="1"/>
  <c r="J48" i="110" s="1"/>
  <c r="J60" i="147"/>
  <c r="I32" i="147"/>
  <c r="H33" i="98"/>
  <c r="H31" i="98"/>
  <c r="H30" i="98"/>
  <c r="H32" i="98"/>
  <c r="H34" i="98"/>
  <c r="L182" i="146" l="1"/>
  <c r="N35" i="84"/>
  <c r="O11" i="82"/>
  <c r="N7" i="82"/>
  <c r="N32" i="82" s="1"/>
  <c r="H80" i="106"/>
  <c r="H12" i="82" s="1"/>
  <c r="H75" i="106"/>
  <c r="H34" i="147"/>
  <c r="O22" i="84"/>
  <c r="N68" i="161" s="1"/>
  <c r="M104" i="147"/>
  <c r="M22" i="84"/>
  <c r="P104" i="147"/>
  <c r="O104" i="147"/>
  <c r="Q104" i="147"/>
  <c r="N104" i="147"/>
  <c r="Q80" i="106"/>
  <c r="Q12" i="82" s="1"/>
  <c r="Q85" i="147" s="1"/>
  <c r="Q75" i="106"/>
  <c r="P81" i="106"/>
  <c r="P7" i="84" s="1"/>
  <c r="P75" i="106"/>
  <c r="P80" i="106"/>
  <c r="P12" i="82" s="1"/>
  <c r="P85" i="147" s="1"/>
  <c r="N82" i="106"/>
  <c r="N9" i="109"/>
  <c r="N25" i="109" s="1"/>
  <c r="N31" i="109" s="1"/>
  <c r="M95" i="146"/>
  <c r="Q81" i="106"/>
  <c r="Q7" i="84" s="1"/>
  <c r="N95" i="146"/>
  <c r="N97" i="146" s="1"/>
  <c r="O9" i="109"/>
  <c r="O25" i="109" s="1"/>
  <c r="O31" i="109" s="1"/>
  <c r="O82" i="106"/>
  <c r="L97" i="146"/>
  <c r="K82" i="150" s="1"/>
  <c r="K81" i="150"/>
  <c r="M41" i="109"/>
  <c r="M36" i="109"/>
  <c r="K100" i="110"/>
  <c r="K101" i="110" s="1"/>
  <c r="K93" i="110"/>
  <c r="K98" i="110"/>
  <c r="I240" i="146"/>
  <c r="J123" i="147"/>
  <c r="I116" i="161"/>
  <c r="O92" i="110"/>
  <c r="N91" i="110"/>
  <c r="N93" i="110" s="1"/>
  <c r="I34" i="147"/>
  <c r="N27" i="84"/>
  <c r="M240" i="146"/>
  <c r="H7" i="84"/>
  <c r="H36" i="147"/>
  <c r="I33" i="98"/>
  <c r="I30" i="98"/>
  <c r="I32" i="98"/>
  <c r="I31" i="98"/>
  <c r="I34" i="98"/>
  <c r="M182" i="146" l="1"/>
  <c r="O7" i="82"/>
  <c r="O32" i="82" s="1"/>
  <c r="P11" i="82"/>
  <c r="O35" i="84"/>
  <c r="O39" i="84" s="1"/>
  <c r="N72" i="161" s="1"/>
  <c r="H35" i="147"/>
  <c r="H37" i="147" s="1"/>
  <c r="G95" i="146"/>
  <c r="G97" i="146" s="1"/>
  <c r="F82" i="150" s="1"/>
  <c r="H9" i="109"/>
  <c r="H25" i="109" s="1"/>
  <c r="H31" i="109" s="1"/>
  <c r="H36" i="109" s="1"/>
  <c r="H82" i="106"/>
  <c r="M97" i="146"/>
  <c r="L82" i="150" s="1"/>
  <c r="L81" i="150"/>
  <c r="N41" i="109"/>
  <c r="N36" i="109"/>
  <c r="O95" i="146"/>
  <c r="O97" i="146" s="1"/>
  <c r="P82" i="106"/>
  <c r="P9" i="109"/>
  <c r="P25" i="109" s="1"/>
  <c r="L68" i="161"/>
  <c r="M119" i="147"/>
  <c r="N119" i="147"/>
  <c r="P119" i="147"/>
  <c r="Q119" i="147"/>
  <c r="O119" i="147"/>
  <c r="O36" i="109"/>
  <c r="O41" i="109"/>
  <c r="P22" i="84"/>
  <c r="O68" i="161" s="1"/>
  <c r="Q22" i="84"/>
  <c r="P68" i="161" s="1"/>
  <c r="Q82" i="106"/>
  <c r="P95" i="146"/>
  <c r="P97" i="146" s="1"/>
  <c r="Q9" i="109"/>
  <c r="Q25" i="109" s="1"/>
  <c r="L90" i="110"/>
  <c r="K18" i="84"/>
  <c r="K115" i="147" s="1"/>
  <c r="O91" i="110"/>
  <c r="O93" i="110" s="1"/>
  <c r="P92" i="110"/>
  <c r="I179" i="146"/>
  <c r="I190" i="146" s="1"/>
  <c r="I92" i="146"/>
  <c r="M27" i="84"/>
  <c r="H22" i="84"/>
  <c r="H104" i="147"/>
  <c r="I7" i="84"/>
  <c r="I36" i="147"/>
  <c r="N41" i="84"/>
  <c r="M241" i="146"/>
  <c r="M70" i="161"/>
  <c r="M74" i="161" s="1"/>
  <c r="O27" i="84"/>
  <c r="N240" i="146"/>
  <c r="H7" i="82"/>
  <c r="H85" i="147"/>
  <c r="I9" i="109"/>
  <c r="I25" i="109" s="1"/>
  <c r="I85" i="147"/>
  <c r="H95" i="146"/>
  <c r="I35" i="147"/>
  <c r="I37" i="147" s="1"/>
  <c r="P35" i="84" l="1"/>
  <c r="P39" i="84" s="1"/>
  <c r="O72" i="161" s="1"/>
  <c r="P7" i="82"/>
  <c r="P32" i="82" s="1"/>
  <c r="Q11" i="82"/>
  <c r="N182" i="146"/>
  <c r="I35" i="84"/>
  <c r="I132" i="147" s="1"/>
  <c r="H41" i="109"/>
  <c r="F81" i="150"/>
  <c r="G81" i="147"/>
  <c r="G32" i="82"/>
  <c r="K30" i="147"/>
  <c r="L94" i="110"/>
  <c r="K44" i="110"/>
  <c r="K46" i="110" s="1"/>
  <c r="K48" i="110" s="1"/>
  <c r="K26" i="84"/>
  <c r="K57" i="147"/>
  <c r="K60" i="147"/>
  <c r="I93" i="146"/>
  <c r="H77" i="150" s="1"/>
  <c r="H76" i="150"/>
  <c r="J33" i="147"/>
  <c r="J14" i="109"/>
  <c r="J13" i="109" s="1"/>
  <c r="J17" i="98"/>
  <c r="J29" i="147"/>
  <c r="M124" i="147"/>
  <c r="L70" i="161"/>
  <c r="O124" i="147"/>
  <c r="Q124" i="147"/>
  <c r="N124" i="147"/>
  <c r="P124" i="147"/>
  <c r="L241" i="146"/>
  <c r="P91" i="110"/>
  <c r="Q92" i="110"/>
  <c r="Q91" i="110" s="1"/>
  <c r="O41" i="84"/>
  <c r="N241" i="146"/>
  <c r="N70" i="161"/>
  <c r="N74" i="161" s="1"/>
  <c r="H41" i="84"/>
  <c r="H119" i="147"/>
  <c r="M77" i="161"/>
  <c r="M79" i="161" s="1"/>
  <c r="H97" i="146"/>
  <c r="G82" i="150" s="1"/>
  <c r="G81" i="150"/>
  <c r="I31" i="109"/>
  <c r="I84" i="147"/>
  <c r="J35" i="84"/>
  <c r="I22" i="84"/>
  <c r="I27" i="84"/>
  <c r="I104" i="147"/>
  <c r="H81" i="147"/>
  <c r="N194" i="146"/>
  <c r="H32" i="82"/>
  <c r="G182" i="146" s="1"/>
  <c r="Q35" i="84" l="1"/>
  <c r="Q39" i="84" s="1"/>
  <c r="P72" i="161" s="1"/>
  <c r="Q7" i="82"/>
  <c r="Q32" i="82" s="1"/>
  <c r="O182" i="146"/>
  <c r="F182" i="146"/>
  <c r="G34" i="82"/>
  <c r="G48" i="81"/>
  <c r="G99" i="147"/>
  <c r="J240" i="146"/>
  <c r="K123" i="147"/>
  <c r="J116" i="161"/>
  <c r="L100" i="110"/>
  <c r="L101" i="110" s="1"/>
  <c r="L93" i="110"/>
  <c r="L98" i="110"/>
  <c r="Q26" i="84"/>
  <c r="Q93" i="110"/>
  <c r="J19" i="98"/>
  <c r="P93" i="110"/>
  <c r="P26" i="84"/>
  <c r="J57" i="110"/>
  <c r="J32" i="147"/>
  <c r="I39" i="84"/>
  <c r="I41" i="84" s="1"/>
  <c r="I137" i="147" s="1"/>
  <c r="I119" i="147"/>
  <c r="H68" i="161"/>
  <c r="F109" i="150"/>
  <c r="N200" i="146"/>
  <c r="J84" i="147"/>
  <c r="I81" i="147"/>
  <c r="I41" i="109"/>
  <c r="I36" i="109"/>
  <c r="H99" i="147"/>
  <c r="H41" i="81"/>
  <c r="H49" i="81" s="1"/>
  <c r="H137" i="147"/>
  <c r="N77" i="161"/>
  <c r="N79" i="161" s="1"/>
  <c r="H241" i="146"/>
  <c r="I124" i="147"/>
  <c r="H70" i="161"/>
  <c r="P182" i="146" l="1"/>
  <c r="H44" i="84"/>
  <c r="I136" i="147"/>
  <c r="H72" i="161"/>
  <c r="L57" i="147"/>
  <c r="L44" i="110"/>
  <c r="L46" i="110" s="1"/>
  <c r="L48" i="110" s="1"/>
  <c r="M26" i="84"/>
  <c r="L60" i="147"/>
  <c r="L26" i="84"/>
  <c r="L18" i="84"/>
  <c r="L115" i="147" s="1"/>
  <c r="J92" i="146"/>
  <c r="J179" i="146"/>
  <c r="J190" i="146" s="1"/>
  <c r="O240" i="146"/>
  <c r="P27" i="84"/>
  <c r="J21" i="98"/>
  <c r="J34" i="147"/>
  <c r="Q27" i="84"/>
  <c r="P240" i="146"/>
  <c r="I44" i="84"/>
  <c r="H26" i="81"/>
  <c r="G172" i="146"/>
  <c r="K200" i="146"/>
  <c r="K204" i="146" s="1"/>
  <c r="H72" i="147"/>
  <c r="C43" i="161"/>
  <c r="H76" i="161" s="1"/>
  <c r="H52" i="94"/>
  <c r="H58" i="94" s="1"/>
  <c r="J132" i="147"/>
  <c r="H74" i="161"/>
  <c r="I99" i="147"/>
  <c r="H182" i="146"/>
  <c r="I46" i="109" l="1"/>
  <c r="E46" i="109"/>
  <c r="G46" i="109"/>
  <c r="J93" i="146"/>
  <c r="I77" i="150" s="1"/>
  <c r="I76" i="150"/>
  <c r="L30" i="147"/>
  <c r="K240" i="146"/>
  <c r="L123" i="147"/>
  <c r="Q123" i="147"/>
  <c r="P123" i="147"/>
  <c r="M123" i="147"/>
  <c r="O123" i="147"/>
  <c r="N123" i="147"/>
  <c r="L240" i="146"/>
  <c r="K33" i="147"/>
  <c r="K14" i="109"/>
  <c r="K13" i="109" s="1"/>
  <c r="K17" i="98"/>
  <c r="K29" i="147"/>
  <c r="K116" i="161"/>
  <c r="P241" i="146"/>
  <c r="P70" i="161"/>
  <c r="P74" i="161" s="1"/>
  <c r="Q41" i="84"/>
  <c r="J35" i="147"/>
  <c r="J37" i="147" s="1"/>
  <c r="I95" i="146"/>
  <c r="J9" i="109"/>
  <c r="J23" i="98"/>
  <c r="J7" i="84"/>
  <c r="J36" i="147"/>
  <c r="P41" i="84"/>
  <c r="O241" i="146"/>
  <c r="O70" i="161"/>
  <c r="O74" i="161" s="1"/>
  <c r="I9" i="150"/>
  <c r="K29" i="150" s="1"/>
  <c r="H82" i="161"/>
  <c r="J200" i="146"/>
  <c r="B115" i="150" s="1"/>
  <c r="C115" i="150"/>
  <c r="G177" i="146"/>
  <c r="G188" i="146" s="1"/>
  <c r="G174" i="146"/>
  <c r="G185" i="146" s="1"/>
  <c r="H61" i="147"/>
  <c r="H46" i="81"/>
  <c r="H77" i="161"/>
  <c r="H79" i="161" s="1"/>
  <c r="I72" i="147"/>
  <c r="H172" i="146"/>
  <c r="I52" i="94"/>
  <c r="I58" i="94" s="1"/>
  <c r="E28" i="146" s="1"/>
  <c r="D20" i="146" l="1"/>
  <c r="F21" i="146"/>
  <c r="E38" i="150" s="1"/>
  <c r="D21" i="146"/>
  <c r="D38" i="150" s="1"/>
  <c r="F20" i="146"/>
  <c r="G20" i="146"/>
  <c r="AL26" i="121"/>
  <c r="AL11" i="121"/>
  <c r="E20" i="146"/>
  <c r="AL24" i="121"/>
  <c r="AL18" i="121"/>
  <c r="D19" i="146"/>
  <c r="G19" i="146"/>
  <c r="C21" i="146"/>
  <c r="C19" i="150" s="1"/>
  <c r="AL8" i="121"/>
  <c r="E21" i="146"/>
  <c r="E19" i="146"/>
  <c r="C20" i="146"/>
  <c r="F19" i="146"/>
  <c r="C19" i="146"/>
  <c r="AL17" i="121"/>
  <c r="AL25" i="121"/>
  <c r="AL13" i="121"/>
  <c r="AL12" i="121"/>
  <c r="AL19" i="121"/>
  <c r="AL7" i="121"/>
  <c r="G21" i="146"/>
  <c r="D19" i="150" s="1"/>
  <c r="AL9" i="121"/>
  <c r="K57" i="110"/>
  <c r="K32" i="147"/>
  <c r="K179" i="146"/>
  <c r="K190" i="146" s="1"/>
  <c r="K92" i="146"/>
  <c r="K19" i="98"/>
  <c r="O77" i="161"/>
  <c r="O79" i="161" s="1"/>
  <c r="J34" i="98"/>
  <c r="J32" i="98"/>
  <c r="J33" i="98"/>
  <c r="J30" i="98"/>
  <c r="J31" i="98"/>
  <c r="J25" i="109"/>
  <c r="P77" i="161"/>
  <c r="P79" i="161" s="1"/>
  <c r="I97" i="146"/>
  <c r="H82" i="150" s="1"/>
  <c r="H81" i="150"/>
  <c r="J22" i="84"/>
  <c r="J27" i="84"/>
  <c r="J104" i="147"/>
  <c r="J39" i="84"/>
  <c r="J85" i="147"/>
  <c r="K35" i="84"/>
  <c r="H48" i="81"/>
  <c r="H75" i="147"/>
  <c r="H34" i="82"/>
  <c r="I10" i="150"/>
  <c r="L29" i="150" s="1"/>
  <c r="I61" i="147"/>
  <c r="H174" i="146"/>
  <c r="H185" i="146" s="1"/>
  <c r="H177" i="146"/>
  <c r="H188" i="146" s="1"/>
  <c r="E19" i="150" l="1"/>
  <c r="AR25" i="121"/>
  <c r="AT25" i="121"/>
  <c r="AS25" i="121"/>
  <c r="AP25" i="121"/>
  <c r="AQ25" i="121"/>
  <c r="AR24" i="121"/>
  <c r="AP24" i="121"/>
  <c r="AQ24" i="121"/>
  <c r="AS24" i="121"/>
  <c r="AT24" i="121"/>
  <c r="AP17" i="121"/>
  <c r="AT17" i="121"/>
  <c r="AR17" i="121"/>
  <c r="AQ11" i="121"/>
  <c r="AS11" i="121"/>
  <c r="AT11" i="121"/>
  <c r="AR11" i="121"/>
  <c r="AP11" i="121"/>
  <c r="E36" i="150"/>
  <c r="D17" i="150"/>
  <c r="D18" i="150"/>
  <c r="E37" i="150"/>
  <c r="AP9" i="121"/>
  <c r="AR9" i="121"/>
  <c r="AQ9" i="121"/>
  <c r="AS9" i="121"/>
  <c r="AT9" i="121"/>
  <c r="AQ26" i="121"/>
  <c r="AS26" i="121"/>
  <c r="AR26" i="121"/>
  <c r="AT26" i="121"/>
  <c r="AP26" i="121"/>
  <c r="AT8" i="121"/>
  <c r="AQ8" i="121"/>
  <c r="AR8" i="121"/>
  <c r="AP8" i="121"/>
  <c r="AS8" i="121"/>
  <c r="AP7" i="121"/>
  <c r="AR7" i="121"/>
  <c r="AS7" i="121"/>
  <c r="AQ7" i="121"/>
  <c r="AT7" i="121"/>
  <c r="C18" i="150"/>
  <c r="D37" i="150"/>
  <c r="AP19" i="121"/>
  <c r="AT19" i="121"/>
  <c r="AR19" i="121"/>
  <c r="AT12" i="121"/>
  <c r="AQ12" i="121"/>
  <c r="AS12" i="121"/>
  <c r="AR12" i="121"/>
  <c r="AP12" i="121"/>
  <c r="D36" i="150"/>
  <c r="C17" i="150"/>
  <c r="AS13" i="121"/>
  <c r="AR13" i="121"/>
  <c r="AT13" i="121"/>
  <c r="AP13" i="121"/>
  <c r="AQ13" i="121"/>
  <c r="AP18" i="121"/>
  <c r="AR18" i="121"/>
  <c r="AT18" i="121"/>
  <c r="K93" i="146"/>
  <c r="J77" i="150" s="1"/>
  <c r="J76" i="150"/>
  <c r="L29" i="147"/>
  <c r="L33" i="147"/>
  <c r="L14" i="109"/>
  <c r="L13" i="109" s="1"/>
  <c r="S13" i="109" s="1" a="1"/>
  <c r="S13" i="109" s="1"/>
  <c r="L17" i="98"/>
  <c r="K21" i="98"/>
  <c r="K34" i="147"/>
  <c r="I68" i="161"/>
  <c r="J119" i="147"/>
  <c r="J31" i="109"/>
  <c r="K84" i="147"/>
  <c r="J81" i="147"/>
  <c r="J99" i="147"/>
  <c r="I72" i="161"/>
  <c r="J41" i="84"/>
  <c r="J136" i="147"/>
  <c r="I241" i="146"/>
  <c r="J124" i="147"/>
  <c r="I70" i="161"/>
  <c r="I75" i="147"/>
  <c r="E18" i="150" l="1"/>
  <c r="E17" i="150"/>
  <c r="L19" i="98"/>
  <c r="S17" i="98" a="1"/>
  <c r="S17" i="98" s="1"/>
  <c r="K99" i="147"/>
  <c r="J95" i="146"/>
  <c r="K9" i="109"/>
  <c r="K35" i="147"/>
  <c r="K37" i="147" s="1"/>
  <c r="L32" i="147"/>
  <c r="L57" i="110"/>
  <c r="K7" i="84"/>
  <c r="K39" i="84" s="1"/>
  <c r="K36" i="147"/>
  <c r="K23" i="98"/>
  <c r="J41" i="109"/>
  <c r="J36" i="109"/>
  <c r="I182" i="146"/>
  <c r="K132" i="147"/>
  <c r="J137" i="147"/>
  <c r="I74" i="161"/>
  <c r="J44" i="84" l="1"/>
  <c r="K81" i="147"/>
  <c r="K32" i="98"/>
  <c r="K34" i="98"/>
  <c r="K31" i="98"/>
  <c r="K30" i="98"/>
  <c r="K33" i="98"/>
  <c r="K25" i="109"/>
  <c r="I81" i="150"/>
  <c r="J97" i="146"/>
  <c r="I82" i="150" s="1"/>
  <c r="K27" i="84"/>
  <c r="K22" i="84"/>
  <c r="K104" i="147"/>
  <c r="K85" i="147"/>
  <c r="L34" i="147"/>
  <c r="L21" i="98"/>
  <c r="S19" i="98" a="1"/>
  <c r="S19" i="98" s="1"/>
  <c r="I77" i="161"/>
  <c r="J72" i="147"/>
  <c r="I172" i="146"/>
  <c r="M39" i="84"/>
  <c r="J72" i="161"/>
  <c r="K136" i="147"/>
  <c r="J182" i="146"/>
  <c r="K41" i="84" l="1"/>
  <c r="K31" i="109"/>
  <c r="L84" i="147"/>
  <c r="L35" i="84"/>
  <c r="L132" i="147" s="1"/>
  <c r="L23" i="98"/>
  <c r="S21" i="98" a="1"/>
  <c r="S21" i="98" s="1"/>
  <c r="J68" i="161"/>
  <c r="K119" i="147"/>
  <c r="L7" i="84"/>
  <c r="L36" i="147"/>
  <c r="J70" i="161"/>
  <c r="J241" i="146"/>
  <c r="K124" i="147"/>
  <c r="L85" i="147"/>
  <c r="K95" i="146"/>
  <c r="L9" i="109"/>
  <c r="L35" i="147"/>
  <c r="L37" i="147" s="1"/>
  <c r="P136" i="147"/>
  <c r="Q136" i="147"/>
  <c r="M41" i="84"/>
  <c r="M41" i="81" s="1"/>
  <c r="N136" i="147"/>
  <c r="M136" i="147"/>
  <c r="L72" i="161"/>
  <c r="L74" i="161" s="1"/>
  <c r="O136" i="147"/>
  <c r="J61" i="147"/>
  <c r="I174" i="146"/>
  <c r="I185" i="146" s="1"/>
  <c r="I177" i="146"/>
  <c r="I188" i="146" s="1"/>
  <c r="N41" i="81" l="1"/>
  <c r="M26" i="81"/>
  <c r="M46" i="81" s="1"/>
  <c r="L172" i="146"/>
  <c r="N49" i="81"/>
  <c r="N44" i="84"/>
  <c r="J74" i="161"/>
  <c r="J77" i="161" s="1"/>
  <c r="K44" i="84"/>
  <c r="K137" i="147"/>
  <c r="L34" i="98"/>
  <c r="L32" i="98"/>
  <c r="L31" i="98"/>
  <c r="L30" i="98"/>
  <c r="L33" i="98"/>
  <c r="S23" i="98" a="1"/>
  <c r="S23" i="98" s="1"/>
  <c r="J81" i="150"/>
  <c r="K97" i="146"/>
  <c r="J82" i="150" s="1"/>
  <c r="M35" i="84"/>
  <c r="L25" i="109"/>
  <c r="S9" i="109" a="1"/>
  <c r="S9" i="109" s="1"/>
  <c r="L27" i="84"/>
  <c r="L22" i="84"/>
  <c r="L104" i="147"/>
  <c r="L39" i="84"/>
  <c r="K36" i="109"/>
  <c r="K41" i="109"/>
  <c r="L77" i="161"/>
  <c r="L79" i="161" s="1"/>
  <c r="K72" i="147"/>
  <c r="J172" i="146"/>
  <c r="O137" i="147"/>
  <c r="Q137" i="147"/>
  <c r="M137" i="147"/>
  <c r="N137" i="147"/>
  <c r="P137" i="147"/>
  <c r="J75" i="147"/>
  <c r="L177" i="146" l="1"/>
  <c r="L188" i="146" s="1"/>
  <c r="L174" i="146"/>
  <c r="L185" i="146" s="1"/>
  <c r="M48" i="81"/>
  <c r="M34" i="82"/>
  <c r="M172" i="146"/>
  <c r="O41" i="81"/>
  <c r="N26" i="81"/>
  <c r="N46" i="81" s="1"/>
  <c r="O44" i="84"/>
  <c r="L81" i="147"/>
  <c r="L136" i="147"/>
  <c r="L41" i="84"/>
  <c r="K72" i="161"/>
  <c r="S33" i="98"/>
  <c r="E33" i="98" s="1"/>
  <c r="G33" i="98" s="1"/>
  <c r="F15" i="146" s="1"/>
  <c r="S30" i="98"/>
  <c r="E30" i="98" s="1"/>
  <c r="G30" i="98" s="1"/>
  <c r="C15" i="146" s="1"/>
  <c r="C25" i="146" s="1"/>
  <c r="S32" i="98"/>
  <c r="E32" i="98" s="1"/>
  <c r="G32" i="98" s="1"/>
  <c r="E15" i="146" s="1"/>
  <c r="E25" i="146" s="1"/>
  <c r="S34" i="98"/>
  <c r="E34" i="98" s="1"/>
  <c r="G34" i="98" s="1"/>
  <c r="G15" i="146" s="1"/>
  <c r="G25" i="146" s="1"/>
  <c r="S31" i="98"/>
  <c r="E31" i="98" s="1"/>
  <c r="G31" i="98" s="1"/>
  <c r="D15" i="146" s="1"/>
  <c r="K68" i="161"/>
  <c r="L119" i="147"/>
  <c r="L124" i="147"/>
  <c r="K70" i="161"/>
  <c r="K241" i="146"/>
  <c r="L99" i="147"/>
  <c r="K182" i="146"/>
  <c r="L31" i="109"/>
  <c r="AH45" i="109" a="1"/>
  <c r="AH45" i="109" s="1"/>
  <c r="AH49" i="109" a="1"/>
  <c r="AH49" i="109" s="1"/>
  <c r="AI49" i="109" a="1"/>
  <c r="AI49" i="109" s="1"/>
  <c r="AE40" i="109" a="1"/>
  <c r="AE40" i="109" s="1"/>
  <c r="AE29" i="109" a="1"/>
  <c r="AE29" i="109" s="1"/>
  <c r="AD46" i="109" a="1"/>
  <c r="AD46" i="109" s="1"/>
  <c r="AH41" i="109" a="1"/>
  <c r="AH41" i="109" s="1"/>
  <c r="AI26" i="109" a="1"/>
  <c r="AI26" i="109" s="1"/>
  <c r="AI44" i="109" a="1"/>
  <c r="AI44" i="109" s="1"/>
  <c r="AG27" i="109" a="1"/>
  <c r="AG27" i="109" s="1"/>
  <c r="AE26" i="109" a="1"/>
  <c r="AE26" i="109" s="1"/>
  <c r="AI31" i="109" a="1"/>
  <c r="AI31" i="109" s="1"/>
  <c r="AC45" i="109" a="1"/>
  <c r="AC45" i="109" s="1"/>
  <c r="AJ46" i="109" a="1"/>
  <c r="AJ46" i="109" s="1"/>
  <c r="AF34" i="109" a="1"/>
  <c r="AF34" i="109" s="1"/>
  <c r="AH48" i="109" a="1"/>
  <c r="AH48" i="109" s="1"/>
  <c r="AK48" i="109" a="1"/>
  <c r="AK48" i="109" s="1"/>
  <c r="AC33" i="109" a="1"/>
  <c r="AC33" i="109" s="1"/>
  <c r="AI42" i="109" a="1"/>
  <c r="AI42" i="109" s="1"/>
  <c r="AD45" i="109" a="1"/>
  <c r="AD45" i="109" s="1"/>
  <c r="AE35" i="109" a="1"/>
  <c r="AE35" i="109" s="1"/>
  <c r="AE48" i="109" a="1"/>
  <c r="AE48" i="109" s="1"/>
  <c r="AC28" i="109" a="1"/>
  <c r="AC28" i="109" s="1"/>
  <c r="AD28" i="109" a="1"/>
  <c r="AD28" i="109" s="1"/>
  <c r="AH31" i="109" a="1"/>
  <c r="AH31" i="109" s="1"/>
  <c r="AI48" i="109" a="1"/>
  <c r="AI48" i="109" s="1"/>
  <c r="AE43" i="109" a="1"/>
  <c r="AE43" i="109" s="1"/>
  <c r="AG46" i="109" a="1"/>
  <c r="AG46" i="109" s="1"/>
  <c r="S25" i="109" a="1"/>
  <c r="S25" i="109" s="1"/>
  <c r="S27" i="109" s="1"/>
  <c r="S31" i="109" s="1"/>
  <c r="AH40" i="109" a="1"/>
  <c r="AH40" i="109" s="1"/>
  <c r="AK49" i="109" a="1"/>
  <c r="AK49" i="109" s="1"/>
  <c r="AF26" i="109" a="1"/>
  <c r="AF26" i="109" s="1"/>
  <c r="AC48" i="109" a="1"/>
  <c r="AC48" i="109" s="1"/>
  <c r="AC31" i="109" a="1"/>
  <c r="AC31" i="109" s="1"/>
  <c r="AG29" i="109" a="1"/>
  <c r="AG29" i="109" s="1"/>
  <c r="AD48" i="109" a="1"/>
  <c r="AD48" i="109" s="1"/>
  <c r="AH26" i="109" a="1"/>
  <c r="AH26" i="109" s="1"/>
  <c r="AJ31" i="109" a="1"/>
  <c r="AJ31" i="109" s="1"/>
  <c r="AF43" i="109" a="1"/>
  <c r="AF43" i="109" s="1"/>
  <c r="AJ47" i="109" a="1"/>
  <c r="AJ47" i="109" s="1"/>
  <c r="AG47" i="109" a="1"/>
  <c r="AG47" i="109" s="1"/>
  <c r="AI45" i="109" a="1"/>
  <c r="AI45" i="109" s="1"/>
  <c r="AG35" i="109" a="1"/>
  <c r="AG35" i="109" s="1"/>
  <c r="AK45" i="109" a="1"/>
  <c r="AK45" i="109" s="1"/>
  <c r="AG42" i="109" a="1"/>
  <c r="AG42" i="109" s="1"/>
  <c r="AG48" i="109" a="1"/>
  <c r="AG48" i="109" s="1"/>
  <c r="AK28" i="109" a="1"/>
  <c r="AK28" i="109" s="1"/>
  <c r="AK40" i="109" a="1"/>
  <c r="AK40" i="109" s="1"/>
  <c r="AF44" i="109" a="1"/>
  <c r="AF44" i="109" s="1"/>
  <c r="AH42" i="109" a="1"/>
  <c r="AH42" i="109" s="1"/>
  <c r="AG34" i="109" a="1"/>
  <c r="AG34" i="109" s="1"/>
  <c r="AF35" i="109" a="1"/>
  <c r="AF35" i="109" s="1"/>
  <c r="AH30" i="109" a="1"/>
  <c r="AH30" i="109" s="1"/>
  <c r="AH29" i="109" a="1"/>
  <c r="AH29" i="109" s="1"/>
  <c r="AE44" i="109" a="1"/>
  <c r="AE44" i="109" s="1"/>
  <c r="AH44" i="109" a="1"/>
  <c r="AH44" i="109" s="1"/>
  <c r="AI30" i="109" a="1"/>
  <c r="AI30" i="109" s="1"/>
  <c r="AI32" i="109" a="1"/>
  <c r="AI32" i="109" s="1"/>
  <c r="AJ34" i="109" a="1"/>
  <c r="AJ34" i="109" s="1"/>
  <c r="AJ44" i="109" a="1"/>
  <c r="AJ44" i="109" s="1"/>
  <c r="AI33" i="109" a="1"/>
  <c r="AI33" i="109" s="1"/>
  <c r="AH28" i="109" a="1"/>
  <c r="AH28" i="109" s="1"/>
  <c r="AE27" i="109" a="1"/>
  <c r="AE27" i="109" s="1"/>
  <c r="AJ42" i="109" a="1"/>
  <c r="AJ42" i="109" s="1"/>
  <c r="AH32" i="109" a="1"/>
  <c r="AH32" i="109" s="1"/>
  <c r="AK33" i="109" a="1"/>
  <c r="AK33" i="109" s="1"/>
  <c r="AJ27" i="109" a="1"/>
  <c r="AJ27" i="109" s="1"/>
  <c r="AK42" i="109" a="1"/>
  <c r="AK42" i="109" s="1"/>
  <c r="AF47" i="109" a="1"/>
  <c r="AF47" i="109" s="1"/>
  <c r="AD43" i="109" a="1"/>
  <c r="AD43" i="109" s="1"/>
  <c r="AG32" i="109" a="1"/>
  <c r="AG32" i="109" s="1"/>
  <c r="AI40" i="109" a="1"/>
  <c r="AI40" i="109" s="1"/>
  <c r="AD41" i="109" a="1"/>
  <c r="AD41" i="109" s="1"/>
  <c r="AF48" i="109" a="1"/>
  <c r="AF48" i="109" s="1"/>
  <c r="AH34" i="109" a="1"/>
  <c r="AH34" i="109" s="1"/>
  <c r="AD47" i="109" a="1"/>
  <c r="AD47" i="109" s="1"/>
  <c r="AK27" i="109" a="1"/>
  <c r="AK27" i="109" s="1"/>
  <c r="AK44" i="109" a="1"/>
  <c r="AK44" i="109" s="1"/>
  <c r="AD26" i="109" a="1"/>
  <c r="AD26" i="109" s="1"/>
  <c r="AE46" i="109" a="1"/>
  <c r="AE46" i="109" s="1"/>
  <c r="AC40" i="109" a="1"/>
  <c r="AC40" i="109" s="1"/>
  <c r="AG41" i="109" a="1"/>
  <c r="AG41" i="109" s="1"/>
  <c r="AE32" i="109" a="1"/>
  <c r="AE32" i="109" s="1"/>
  <c r="AG45" i="109" a="1"/>
  <c r="AG45" i="109" s="1"/>
  <c r="AG26" i="109" a="1"/>
  <c r="AG26" i="109" s="1"/>
  <c r="AI27" i="109" a="1"/>
  <c r="AI27" i="109" s="1"/>
  <c r="AC35" i="109" a="1"/>
  <c r="AC35" i="109" s="1"/>
  <c r="AK30" i="109" a="1"/>
  <c r="AK30" i="109" s="1"/>
  <c r="AC47" i="109" a="1"/>
  <c r="AC47" i="109" s="1"/>
  <c r="AF30" i="109" a="1"/>
  <c r="AF30" i="109" s="1"/>
  <c r="AE28" i="109" a="1"/>
  <c r="AE28" i="109" s="1"/>
  <c r="AC30" i="109" a="1"/>
  <c r="AC30" i="109" s="1"/>
  <c r="AK35" i="109" a="1"/>
  <c r="AK35" i="109" s="1"/>
  <c r="AD33" i="109" a="1"/>
  <c r="AD33" i="109" s="1"/>
  <c r="AG28" i="109" a="1"/>
  <c r="AG28" i="109" s="1"/>
  <c r="AE30" i="109" a="1"/>
  <c r="AE30" i="109" s="1"/>
  <c r="AC29" i="109" a="1"/>
  <c r="AC29" i="109" s="1"/>
  <c r="AD35" i="109" a="1"/>
  <c r="AD35" i="109" s="1"/>
  <c r="AH27" i="109" a="1"/>
  <c r="AH27" i="109" s="1"/>
  <c r="AK41" i="109" a="1"/>
  <c r="AK41" i="109" s="1"/>
  <c r="AK43" i="109" a="1"/>
  <c r="AK43" i="109" s="1"/>
  <c r="AF28" i="109" a="1"/>
  <c r="AF28" i="109" s="1"/>
  <c r="AC44" i="109" a="1"/>
  <c r="AC44" i="109" s="1"/>
  <c r="AH46" i="109" a="1"/>
  <c r="AH46" i="109" s="1"/>
  <c r="AJ29" i="109" a="1"/>
  <c r="AJ29" i="109" s="1"/>
  <c r="AH35" i="109" a="1"/>
  <c r="AH35" i="109" s="1"/>
  <c r="AK32" i="109" a="1"/>
  <c r="AK32" i="109" s="1"/>
  <c r="AF33" i="109" a="1"/>
  <c r="AF33" i="109" s="1"/>
  <c r="AC41" i="109" a="1"/>
  <c r="AC41" i="109" s="1"/>
  <c r="AF42" i="109" a="1"/>
  <c r="AF42" i="109" s="1"/>
  <c r="AJ26" i="109" a="1"/>
  <c r="AJ26" i="109" s="1"/>
  <c r="AD40" i="109" a="1"/>
  <c r="AD40" i="109" s="1"/>
  <c r="AE41" i="109" a="1"/>
  <c r="AE41" i="109" s="1"/>
  <c r="AF41" i="109" a="1"/>
  <c r="AF41" i="109" s="1"/>
  <c r="AJ49" i="109" a="1"/>
  <c r="AJ49" i="109" s="1"/>
  <c r="AJ40" i="109" a="1"/>
  <c r="AJ40" i="109" s="1"/>
  <c r="AI41" i="109" a="1"/>
  <c r="AI41" i="109" s="1"/>
  <c r="AF32" i="109" a="1"/>
  <c r="AF32" i="109" s="1"/>
  <c r="AC26" i="109" a="1"/>
  <c r="AC26" i="109" s="1"/>
  <c r="AK31" i="109" a="1"/>
  <c r="AK31" i="109" s="1"/>
  <c r="AF29" i="109" a="1"/>
  <c r="AF29" i="109" s="1"/>
  <c r="AH33" i="109" a="1"/>
  <c r="AH33" i="109" s="1"/>
  <c r="AD30" i="109" a="1"/>
  <c r="AD30" i="109" s="1"/>
  <c r="AD34" i="109" a="1"/>
  <c r="AD34" i="109" s="1"/>
  <c r="AJ32" i="109" a="1"/>
  <c r="AJ32" i="109" s="1"/>
  <c r="AF27" i="109" a="1"/>
  <c r="AF27" i="109" s="1"/>
  <c r="AK34" i="109" a="1"/>
  <c r="AK34" i="109" s="1"/>
  <c r="AD29" i="109" a="1"/>
  <c r="AD29" i="109" s="1"/>
  <c r="AK29" i="109" a="1"/>
  <c r="AK29" i="109" s="1"/>
  <c r="AC27" i="109" a="1"/>
  <c r="AC27" i="109" s="1"/>
  <c r="AG30" i="109" a="1"/>
  <c r="AG30" i="109" s="1"/>
  <c r="AJ48" i="109" a="1"/>
  <c r="AJ48" i="109" s="1"/>
  <c r="AK26" i="109" a="1"/>
  <c r="AK26" i="109" s="1"/>
  <c r="AK47" i="109" a="1"/>
  <c r="AK47" i="109" s="1"/>
  <c r="AF46" i="109" a="1"/>
  <c r="AF46" i="109" s="1"/>
  <c r="AG43" i="109" a="1"/>
  <c r="AG43" i="109" s="1"/>
  <c r="AC43" i="109" a="1"/>
  <c r="AC43" i="109" s="1"/>
  <c r="AI29" i="109" a="1"/>
  <c r="AI29" i="109" s="1"/>
  <c r="AG31" i="109" a="1"/>
  <c r="AG31" i="109" s="1"/>
  <c r="AD32" i="109" a="1"/>
  <c r="AD32" i="109" s="1"/>
  <c r="AD31" i="109" a="1"/>
  <c r="AD31" i="109" s="1"/>
  <c r="AH47" i="109" a="1"/>
  <c r="AH47" i="109" s="1"/>
  <c r="AJ45" i="109" a="1"/>
  <c r="AJ45" i="109" s="1"/>
  <c r="AC46" i="109" a="1"/>
  <c r="AC46" i="109" s="1"/>
  <c r="AJ41" i="109" a="1"/>
  <c r="AJ41" i="109" s="1"/>
  <c r="AE31" i="109" a="1"/>
  <c r="AE31" i="109" s="1"/>
  <c r="AG49" i="109" a="1"/>
  <c r="AG49" i="109" s="1"/>
  <c r="AJ43" i="109" a="1"/>
  <c r="AJ43" i="109" s="1"/>
  <c r="AK46" i="109" a="1"/>
  <c r="AK46" i="109" s="1"/>
  <c r="AE45" i="109" a="1"/>
  <c r="AE45" i="109" s="1"/>
  <c r="AD27" i="109" a="1"/>
  <c r="AD27" i="109" s="1"/>
  <c r="AI28" i="109" a="1"/>
  <c r="AI28" i="109" s="1"/>
  <c r="AE34" i="109" a="1"/>
  <c r="AE34" i="109" s="1"/>
  <c r="AC32" i="109" a="1"/>
  <c r="AC32" i="109" s="1"/>
  <c r="AF45" i="109" a="1"/>
  <c r="AF45" i="109" s="1"/>
  <c r="AE33" i="109" a="1"/>
  <c r="AE33" i="109" s="1"/>
  <c r="AH43" i="109" a="1"/>
  <c r="AH43" i="109" s="1"/>
  <c r="AJ30" i="109" a="1"/>
  <c r="AJ30" i="109" s="1"/>
  <c r="AC42" i="109" a="1"/>
  <c r="AC42" i="109" s="1"/>
  <c r="AF31" i="109" a="1"/>
  <c r="AF31" i="109" s="1"/>
  <c r="AJ35" i="109" a="1"/>
  <c r="AJ35" i="109" s="1"/>
  <c r="AG33" i="109" a="1"/>
  <c r="AG33" i="109" s="1"/>
  <c r="AJ28" i="109" a="1"/>
  <c r="AJ28" i="109" s="1"/>
  <c r="AG44" i="109" a="1"/>
  <c r="AG44" i="109" s="1"/>
  <c r="AI35" i="109" a="1"/>
  <c r="AI35" i="109" s="1"/>
  <c r="AE47" i="109" a="1"/>
  <c r="AE47" i="109" s="1"/>
  <c r="AD44" i="109" a="1"/>
  <c r="AD44" i="109" s="1"/>
  <c r="AF40" i="109" a="1"/>
  <c r="AF40" i="109" s="1"/>
  <c r="AD42" i="109" a="1"/>
  <c r="AD42" i="109" s="1"/>
  <c r="AG40" i="109" a="1"/>
  <c r="AG40" i="109" s="1"/>
  <c r="AC49" i="109" a="1"/>
  <c r="AC49" i="109" s="1"/>
  <c r="AE49" i="109" a="1"/>
  <c r="AE49" i="109" s="1"/>
  <c r="AD49" i="109" a="1"/>
  <c r="AD49" i="109" s="1"/>
  <c r="AE42" i="109" a="1"/>
  <c r="AE42" i="109" s="1"/>
  <c r="AC34" i="109" a="1"/>
  <c r="AC34" i="109" s="1"/>
  <c r="AI34" i="109" a="1"/>
  <c r="AI34" i="109" s="1"/>
  <c r="AI46" i="109" a="1"/>
  <c r="AI46" i="109" s="1"/>
  <c r="AI43" i="109" a="1"/>
  <c r="AI43" i="109" s="1"/>
  <c r="AJ33" i="109" a="1"/>
  <c r="AJ33" i="109" s="1"/>
  <c r="AI47" i="109" a="1"/>
  <c r="AI47" i="109" s="1"/>
  <c r="AF49" i="109" a="1"/>
  <c r="AF49" i="109" s="1"/>
  <c r="O132" i="147"/>
  <c r="Q132" i="147"/>
  <c r="N132" i="147"/>
  <c r="P132" i="147"/>
  <c r="M132" i="147"/>
  <c r="K61" i="147"/>
  <c r="J174" i="146"/>
  <c r="J185" i="146" s="1"/>
  <c r="J177" i="146"/>
  <c r="J188" i="146" s="1"/>
  <c r="N48" i="81" l="1"/>
  <c r="N34" i="82"/>
  <c r="O49" i="81"/>
  <c r="N172" i="146"/>
  <c r="P41" i="81"/>
  <c r="O26" i="81"/>
  <c r="O46" i="81" s="1"/>
  <c r="P49" i="81"/>
  <c r="P44" i="84"/>
  <c r="M177" i="146"/>
  <c r="M188" i="146" s="1"/>
  <c r="M174" i="146"/>
  <c r="M185" i="146" s="1"/>
  <c r="E44" i="109"/>
  <c r="AK17" i="109" a="1"/>
  <c r="AK17" i="109" s="1"/>
  <c r="AF21" i="109" a="1"/>
  <c r="AF21" i="109" s="1"/>
  <c r="AH14" i="109" a="1"/>
  <c r="AH14" i="109" s="1"/>
  <c r="AD17" i="109" a="1"/>
  <c r="AD17" i="109" s="1"/>
  <c r="AG13" i="109" a="1"/>
  <c r="AG13" i="109" s="1"/>
  <c r="AD14" i="109" a="1"/>
  <c r="AD14" i="109" s="1"/>
  <c r="AF13" i="109" a="1"/>
  <c r="AF13" i="109" s="1"/>
  <c r="AF14" i="109" a="1"/>
  <c r="AF14" i="109" s="1"/>
  <c r="AH19" i="109" a="1"/>
  <c r="AH19" i="109" s="1"/>
  <c r="AF19" i="109" a="1"/>
  <c r="AF19" i="109" s="1"/>
  <c r="AJ21" i="109" a="1"/>
  <c r="AJ21" i="109" s="1"/>
  <c r="AI21" i="109" a="1"/>
  <c r="AI21" i="109" s="1"/>
  <c r="AE18" i="109" a="1"/>
  <c r="AE18" i="109" s="1"/>
  <c r="AJ17" i="109" a="1"/>
  <c r="AJ17" i="109" s="1"/>
  <c r="AC21" i="109" a="1"/>
  <c r="AC21" i="109" s="1"/>
  <c r="AF16" i="109" a="1"/>
  <c r="AF16" i="109" s="1"/>
  <c r="AI12" i="109" a="1"/>
  <c r="AI12" i="109" s="1"/>
  <c r="AE13" i="109" a="1"/>
  <c r="AE13" i="109" s="1"/>
  <c r="AK13" i="109" a="1"/>
  <c r="AK13" i="109" s="1"/>
  <c r="AK21" i="109" a="1"/>
  <c r="AK21" i="109" s="1"/>
  <c r="AE21" i="109" a="1"/>
  <c r="AE21" i="109" s="1"/>
  <c r="AD19" i="109" a="1"/>
  <c r="AD19" i="109" s="1"/>
  <c r="AH12" i="109" a="1"/>
  <c r="AH12" i="109" s="1"/>
  <c r="AE20" i="109" a="1"/>
  <c r="AE20" i="109" s="1"/>
  <c r="AD21" i="109" a="1"/>
  <c r="AD21" i="109" s="1"/>
  <c r="AE16" i="109" a="1"/>
  <c r="AE16" i="109" s="1"/>
  <c r="AF15" i="109" a="1"/>
  <c r="AF15" i="109" s="1"/>
  <c r="AC16" i="109" a="1"/>
  <c r="AC16" i="109" s="1"/>
  <c r="AG19" i="109" a="1"/>
  <c r="AG19" i="109" s="1"/>
  <c r="AG20" i="109" a="1"/>
  <c r="AG20" i="109" s="1"/>
  <c r="AE17" i="109" a="1"/>
  <c r="AE17" i="109" s="1"/>
  <c r="AJ19" i="109" a="1"/>
  <c r="AJ19" i="109" s="1"/>
  <c r="AC20" i="109" a="1"/>
  <c r="AC20" i="109" s="1"/>
  <c r="AI18" i="109" a="1"/>
  <c r="AI18" i="109" s="1"/>
  <c r="AH20" i="109" a="1"/>
  <c r="AH20" i="109" s="1"/>
  <c r="AH18" i="109" a="1"/>
  <c r="AH18" i="109" s="1"/>
  <c r="AG16" i="109" a="1"/>
  <c r="AG16" i="109" s="1"/>
  <c r="AC18" i="109" a="1"/>
  <c r="AC18" i="109" s="1"/>
  <c r="AE12" i="109" a="1"/>
  <c r="AE12" i="109" s="1"/>
  <c r="AJ12" i="109" a="1"/>
  <c r="AJ12" i="109" s="1"/>
  <c r="AD20" i="109" a="1"/>
  <c r="AD20" i="109" s="1"/>
  <c r="AJ14" i="109" a="1"/>
  <c r="AJ14" i="109" s="1"/>
  <c r="AC13" i="109" a="1"/>
  <c r="AC13" i="109" s="1"/>
  <c r="AH13" i="109" a="1"/>
  <c r="AH13" i="109" s="1"/>
  <c r="AG21" i="109" a="1"/>
  <c r="AG21" i="109" s="1"/>
  <c r="AD16" i="109" a="1"/>
  <c r="AD16" i="109" s="1"/>
  <c r="AH16" i="109" a="1"/>
  <c r="AH16" i="109" s="1"/>
  <c r="AK19" i="109" a="1"/>
  <c r="AK19" i="109" s="1"/>
  <c r="AI15" i="109" a="1"/>
  <c r="AI15" i="109" s="1"/>
  <c r="AF18" i="109" a="1"/>
  <c r="AF18" i="109" s="1"/>
  <c r="AC12" i="109" a="1"/>
  <c r="AC12" i="109" s="1"/>
  <c r="AE14" i="109" a="1"/>
  <c r="AE14" i="109" s="1"/>
  <c r="D12" i="146" s="1"/>
  <c r="AI13" i="109" a="1"/>
  <c r="AI13" i="109" s="1"/>
  <c r="AG15" i="109" a="1"/>
  <c r="AG15" i="109" s="1"/>
  <c r="AK14" i="109" a="1"/>
  <c r="AK14" i="109" s="1"/>
  <c r="AD15" i="109" a="1"/>
  <c r="AD15" i="109" s="1"/>
  <c r="AG12" i="109" a="1"/>
  <c r="AG12" i="109" s="1"/>
  <c r="AE19" i="109" a="1"/>
  <c r="AE19" i="109" s="1"/>
  <c r="AC14" i="109" a="1"/>
  <c r="AC14" i="109" s="1"/>
  <c r="AI20" i="109" a="1"/>
  <c r="AI20" i="109" s="1"/>
  <c r="AK18" i="109" a="1"/>
  <c r="AK18" i="109" s="1"/>
  <c r="AH21" i="109" a="1"/>
  <c r="AH21" i="109" s="1"/>
  <c r="AC17" i="109" a="1"/>
  <c r="AC17" i="109" s="1"/>
  <c r="AI14" i="109" a="1"/>
  <c r="AI14" i="109" s="1"/>
  <c r="AD12" i="109" a="1"/>
  <c r="AD12" i="109" s="1"/>
  <c r="AI19" i="109" a="1"/>
  <c r="AI19" i="109" s="1"/>
  <c r="AG14" i="109" a="1"/>
  <c r="AG14" i="109" s="1"/>
  <c r="AD18" i="109" a="1"/>
  <c r="AD18" i="109" s="1"/>
  <c r="AI17" i="109" a="1"/>
  <c r="AI17" i="109" s="1"/>
  <c r="AI16" i="109" a="1"/>
  <c r="AI16" i="109" s="1"/>
  <c r="AC19" i="109" a="1"/>
  <c r="AC19" i="109" s="1"/>
  <c r="AD13" i="109" a="1"/>
  <c r="AD13" i="109" s="1"/>
  <c r="AK20" i="109" a="1"/>
  <c r="AK20" i="109" s="1"/>
  <c r="AG18" i="109" a="1"/>
  <c r="AG18" i="109" s="1"/>
  <c r="AG17" i="109" a="1"/>
  <c r="AG17" i="109" s="1"/>
  <c r="AK15" i="109" a="1"/>
  <c r="AK15" i="109" s="1"/>
  <c r="AH15" i="109" a="1"/>
  <c r="AH15" i="109" s="1"/>
  <c r="AJ18" i="109" a="1"/>
  <c r="AJ18" i="109" s="1"/>
  <c r="AH17" i="109" a="1"/>
  <c r="AH17" i="109" s="1"/>
  <c r="AK12" i="109" a="1"/>
  <c r="AK12" i="109" s="1"/>
  <c r="G14" i="146"/>
  <c r="G24" i="146" s="1"/>
  <c r="C14" i="146"/>
  <c r="C24" i="146" s="1"/>
  <c r="F14" i="146"/>
  <c r="D14" i="146"/>
  <c r="E14" i="146"/>
  <c r="E24" i="146" s="1"/>
  <c r="AJ20" i="109" a="1"/>
  <c r="AJ20" i="109" s="1"/>
  <c r="C13" i="146"/>
  <c r="C23" i="146" s="1"/>
  <c r="D13" i="146"/>
  <c r="E13" i="146"/>
  <c r="E23" i="146" s="1"/>
  <c r="F13" i="146"/>
  <c r="G13" i="146"/>
  <c r="G23" i="146" s="1"/>
  <c r="AJ13" i="109" a="1"/>
  <c r="AJ13" i="109" s="1"/>
  <c r="D25" i="146"/>
  <c r="C13" i="150"/>
  <c r="D33" i="150"/>
  <c r="AC15" i="109" a="1"/>
  <c r="AC15" i="109" s="1"/>
  <c r="L41" i="109"/>
  <c r="I44" i="109" s="1"/>
  <c r="L36" i="109"/>
  <c r="G44" i="109" s="1"/>
  <c r="AF17" i="109" a="1"/>
  <c r="AF17" i="109" s="1"/>
  <c r="AF20" i="109" a="1"/>
  <c r="AF20" i="109" s="1"/>
  <c r="AE15" i="109" a="1"/>
  <c r="AE15" i="109" s="1"/>
  <c r="D13" i="150"/>
  <c r="F25" i="146"/>
  <c r="E33" i="150"/>
  <c r="AJ16" i="109" a="1"/>
  <c r="AJ16" i="109" s="1"/>
  <c r="AJ15" i="109" a="1"/>
  <c r="AJ15" i="109" s="1"/>
  <c r="K74" i="161"/>
  <c r="AF12" i="109" a="1"/>
  <c r="AF12" i="109" s="1"/>
  <c r="AK16" i="109" a="1"/>
  <c r="AK16" i="109" s="1"/>
  <c r="L137" i="147"/>
  <c r="K75" i="147"/>
  <c r="O48" i="81" l="1"/>
  <c r="O34" i="82"/>
  <c r="O172" i="146"/>
  <c r="Q41" i="81"/>
  <c r="P26" i="81"/>
  <c r="P46" i="81" s="1"/>
  <c r="Q49" i="81"/>
  <c r="Q44" i="84"/>
  <c r="N177" i="146"/>
  <c r="N188" i="146" s="1"/>
  <c r="N174" i="146"/>
  <c r="N185" i="146" s="1"/>
  <c r="I45" i="109"/>
  <c r="G16" i="153"/>
  <c r="I48" i="109"/>
  <c r="G48" i="109"/>
  <c r="G15" i="153"/>
  <c r="G45" i="109"/>
  <c r="E48" i="109"/>
  <c r="V20" i="109" s="1"/>
  <c r="G14" i="153"/>
  <c r="G17" i="153" s="1"/>
  <c r="C7" i="161" s="1"/>
  <c r="E45" i="109"/>
  <c r="D16" i="146" a="1"/>
  <c r="D16" i="146" s="1"/>
  <c r="F12" i="146"/>
  <c r="E30" i="150" s="1"/>
  <c r="C12" i="146"/>
  <c r="C16" i="146" s="1" a="1"/>
  <c r="C16" i="146" s="1"/>
  <c r="G12" i="146"/>
  <c r="G22" i="146" s="1"/>
  <c r="G26" i="146" s="1" a="1"/>
  <c r="G26" i="146" s="1"/>
  <c r="E12" i="146"/>
  <c r="E16" i="146" s="1" a="1"/>
  <c r="E16" i="146" s="1"/>
  <c r="I6" i="150" s="1"/>
  <c r="I12" i="150" s="1"/>
  <c r="N29" i="150" s="1"/>
  <c r="E13" i="150"/>
  <c r="D31" i="150"/>
  <c r="D23" i="146"/>
  <c r="C11" i="150"/>
  <c r="D23" i="150"/>
  <c r="E42" i="150"/>
  <c r="C23" i="150"/>
  <c r="D42" i="150"/>
  <c r="D30" i="150"/>
  <c r="D22" i="146"/>
  <c r="C10" i="150"/>
  <c r="C12" i="150"/>
  <c r="D24" i="146"/>
  <c r="D32" i="150"/>
  <c r="L44" i="84"/>
  <c r="L72" i="147"/>
  <c r="M49" i="81"/>
  <c r="M44" i="84"/>
  <c r="K172" i="146"/>
  <c r="K77" i="161"/>
  <c r="E32" i="150"/>
  <c r="F24" i="146"/>
  <c r="D12" i="150"/>
  <c r="E31" i="150"/>
  <c r="F23" i="146"/>
  <c r="D11" i="150"/>
  <c r="P48" i="81" l="1"/>
  <c r="P34" i="82"/>
  <c r="Q26" i="81"/>
  <c r="Q46" i="81" s="1"/>
  <c r="P172" i="146"/>
  <c r="O174" i="146"/>
  <c r="O185" i="146" s="1"/>
  <c r="O177" i="146"/>
  <c r="O188" i="146" s="1"/>
  <c r="C9" i="161"/>
  <c r="G126" i="161" s="1"/>
  <c r="G127" i="161" s="1"/>
  <c r="C8" i="161"/>
  <c r="V22" i="109"/>
  <c r="X25" i="109" s="1"/>
  <c r="C22" i="146"/>
  <c r="C26" i="146" s="1" a="1"/>
  <c r="C26" i="146" s="1"/>
  <c r="G16" i="146" a="1"/>
  <c r="G16" i="146" s="1"/>
  <c r="D10" i="150"/>
  <c r="E10" i="150" s="1"/>
  <c r="F22" i="146"/>
  <c r="F26" i="146" s="1" a="1"/>
  <c r="F26" i="146" s="1"/>
  <c r="F16" i="146" a="1"/>
  <c r="F16" i="146" s="1"/>
  <c r="E22" i="146"/>
  <c r="E26" i="146" s="1" a="1"/>
  <c r="E26" i="146" s="1"/>
  <c r="E11" i="150"/>
  <c r="D26" i="146" a="1"/>
  <c r="D26" i="146" s="1"/>
  <c r="E23" i="150"/>
  <c r="E12" i="150"/>
  <c r="C22" i="150"/>
  <c r="D41" i="150"/>
  <c r="K174" i="146"/>
  <c r="K185" i="146" s="1"/>
  <c r="K177" i="146"/>
  <c r="K188" i="146" s="1"/>
  <c r="D21" i="150"/>
  <c r="E40" i="150"/>
  <c r="C20" i="150"/>
  <c r="D39" i="150"/>
  <c r="L61" i="147"/>
  <c r="C21" i="150"/>
  <c r="D40" i="150"/>
  <c r="E41" i="150"/>
  <c r="D22" i="150"/>
  <c r="P174" i="146" l="1"/>
  <c r="P185" i="146" s="1"/>
  <c r="P177" i="146"/>
  <c r="P188" i="146" s="1"/>
  <c r="Q48" i="81"/>
  <c r="Q34" i="82"/>
  <c r="C35" i="161"/>
  <c r="C19" i="161"/>
  <c r="G128" i="161" s="1"/>
  <c r="C18" i="161"/>
  <c r="Y25" i="109"/>
  <c r="E39" i="150"/>
  <c r="D20" i="150"/>
  <c r="E20" i="150" s="1"/>
  <c r="E22" i="150"/>
  <c r="E21" i="150"/>
  <c r="L75" i="147"/>
  <c r="E27" i="161" l="1"/>
  <c r="C37" i="161"/>
  <c r="E28" i="161"/>
  <c r="E30" i="161"/>
  <c r="H109" i="161" s="1"/>
  <c r="E29" i="161"/>
  <c r="H103" i="161" s="1"/>
  <c r="C36" i="161"/>
  <c r="C38" i="161"/>
  <c r="C39" i="161"/>
  <c r="G36" i="161" s="1"/>
  <c r="H106" i="161" l="1"/>
  <c r="I103" i="161" s="1"/>
  <c r="H107" i="161"/>
  <c r="H111" i="161"/>
  <c r="H112" i="161"/>
  <c r="H98" i="161"/>
  <c r="K98" i="161"/>
  <c r="I98" i="161"/>
  <c r="M98" i="161"/>
  <c r="L98" i="161"/>
  <c r="O98" i="161"/>
  <c r="P98" i="161"/>
  <c r="H97" i="161"/>
  <c r="H100" i="161" s="1"/>
  <c r="N98" i="161"/>
  <c r="Q98" i="161"/>
  <c r="J98" i="161"/>
  <c r="J92" i="161"/>
  <c r="K92" i="161"/>
  <c r="H92" i="161"/>
  <c r="M92" i="161"/>
  <c r="H91" i="161"/>
  <c r="I92" i="161"/>
  <c r="N92" i="161"/>
  <c r="E31" i="161"/>
  <c r="G35" i="161" s="1"/>
  <c r="G39" i="161" s="1"/>
  <c r="O92" i="161"/>
  <c r="P92" i="161"/>
  <c r="Q92" i="161"/>
  <c r="L92" i="161"/>
  <c r="O80" i="161" l="1"/>
  <c r="O83" i="161" s="1"/>
  <c r="O84" i="161" s="1"/>
  <c r="I80" i="161"/>
  <c r="I83" i="161" s="1"/>
  <c r="N80" i="161"/>
  <c r="N83" i="161" s="1"/>
  <c r="N84" i="161" s="1"/>
  <c r="Q80" i="161"/>
  <c r="Q83" i="161" s="1"/>
  <c r="Q84" i="161" s="1"/>
  <c r="H80" i="161"/>
  <c r="H83" i="161" s="1"/>
  <c r="H84" i="161" s="1"/>
  <c r="O115" i="161" s="1"/>
  <c r="O59" i="161" s="1"/>
  <c r="O58" i="161" s="1"/>
  <c r="O62" i="161" s="1"/>
  <c r="J80" i="161"/>
  <c r="J83" i="161" s="1"/>
  <c r="I97" i="161"/>
  <c r="I100" i="161" s="1"/>
  <c r="H101" i="161"/>
  <c r="L80" i="161"/>
  <c r="L83" i="161" s="1"/>
  <c r="L84" i="161" s="1"/>
  <c r="I109" i="161"/>
  <c r="H95" i="161"/>
  <c r="H94" i="161"/>
  <c r="I91" i="161" s="1"/>
  <c r="M80" i="161"/>
  <c r="M83" i="161" s="1"/>
  <c r="M84" i="161" s="1"/>
  <c r="K80" i="161"/>
  <c r="K83" i="161" s="1"/>
  <c r="P80" i="161"/>
  <c r="P83" i="161" s="1"/>
  <c r="P84" i="161" s="1"/>
  <c r="I106" i="161"/>
  <c r="J103" i="161" s="1"/>
  <c r="I76" i="161" l="1"/>
  <c r="J115" i="161"/>
  <c r="J59" i="161" s="1"/>
  <c r="H114" i="161"/>
  <c r="H60" i="161" s="1"/>
  <c r="K115" i="161"/>
  <c r="K59" i="161" s="1"/>
  <c r="M115" i="161"/>
  <c r="M59" i="161" s="1"/>
  <c r="M58" i="161" s="1"/>
  <c r="M62" i="161" s="1"/>
  <c r="M63" i="161" s="1"/>
  <c r="H115" i="161"/>
  <c r="H59" i="161" s="1"/>
  <c r="P115" i="161"/>
  <c r="P59" i="161" s="1"/>
  <c r="P58" i="161" s="1"/>
  <c r="P62" i="161" s="1"/>
  <c r="P63" i="161" s="1"/>
  <c r="Q115" i="161"/>
  <c r="Q59" i="161" s="1"/>
  <c r="Q58" i="161" s="1"/>
  <c r="Q62" i="161" s="1"/>
  <c r="Q64" i="161" s="1"/>
  <c r="L115" i="161"/>
  <c r="L59" i="161" s="1"/>
  <c r="L58" i="161" s="1"/>
  <c r="L62" i="161" s="1"/>
  <c r="L64" i="161" s="1"/>
  <c r="I115" i="161"/>
  <c r="I59" i="161" s="1"/>
  <c r="N115" i="161"/>
  <c r="N59" i="161" s="1"/>
  <c r="N58" i="161" s="1"/>
  <c r="N62" i="161" s="1"/>
  <c r="N63" i="161" s="1"/>
  <c r="H118" i="161"/>
  <c r="I111" i="161"/>
  <c r="I112" i="161" s="1"/>
  <c r="I82" i="161"/>
  <c r="I84" i="161" s="1"/>
  <c r="J76" i="161" s="1"/>
  <c r="I79" i="161"/>
  <c r="J106" i="161"/>
  <c r="K103" i="161" s="1"/>
  <c r="O64" i="161"/>
  <c r="O63" i="161"/>
  <c r="I94" i="161"/>
  <c r="J91" i="161" s="1"/>
  <c r="I107" i="161"/>
  <c r="I101" i="161"/>
  <c r="J97" i="161"/>
  <c r="J100" i="161" s="1"/>
  <c r="Q63" i="161" l="1"/>
  <c r="H58" i="161"/>
  <c r="H62" i="161" s="1"/>
  <c r="H63" i="161" s="1"/>
  <c r="M64" i="161"/>
  <c r="P64" i="161"/>
  <c r="J107" i="161"/>
  <c r="N64" i="161"/>
  <c r="L63" i="161"/>
  <c r="I95" i="161"/>
  <c r="I114" i="161" s="1"/>
  <c r="I60" i="161" s="1"/>
  <c r="I58" i="161" s="1"/>
  <c r="I62" i="161" s="1"/>
  <c r="I64" i="161" s="1"/>
  <c r="J94" i="161"/>
  <c r="K91" i="161" s="1"/>
  <c r="J109" i="161"/>
  <c r="J111" i="161" s="1"/>
  <c r="I118" i="161"/>
  <c r="K106" i="161"/>
  <c r="L103" i="161" s="1"/>
  <c r="J82" i="161"/>
  <c r="J84" i="161" s="1"/>
  <c r="K76" i="161" s="1"/>
  <c r="J79" i="161"/>
  <c r="J101" i="161"/>
  <c r="K97" i="161"/>
  <c r="K100" i="161" s="1"/>
  <c r="H64" i="161" l="1"/>
  <c r="K107" i="161"/>
  <c r="I63" i="161"/>
  <c r="K82" i="161"/>
  <c r="K84" i="161" s="1"/>
  <c r="R129" i="161" s="1" a="1"/>
  <c r="R129" i="161" s="1"/>
  <c r="K79" i="161"/>
  <c r="L106" i="161"/>
  <c r="M103" i="161" s="1"/>
  <c r="J112" i="161"/>
  <c r="J118" i="161"/>
  <c r="K109" i="161"/>
  <c r="K111" i="161" s="1"/>
  <c r="L97" i="161"/>
  <c r="L100" i="161" s="1"/>
  <c r="K101" i="161"/>
  <c r="J95" i="161"/>
  <c r="K94" i="161"/>
  <c r="L91" i="161" s="1"/>
  <c r="J114" i="161" l="1"/>
  <c r="J60" i="161" s="1"/>
  <c r="J58" i="161" s="1"/>
  <c r="J62" i="161" s="1"/>
  <c r="J64" i="161" s="1"/>
  <c r="L107" i="161"/>
  <c r="K95" i="161"/>
  <c r="M97" i="161"/>
  <c r="M100" i="161" s="1"/>
  <c r="L101" i="161"/>
  <c r="K112" i="161"/>
  <c r="K118" i="161"/>
  <c r="R131" i="161" s="1" a="1"/>
  <c r="R131" i="161" s="1"/>
  <c r="R128" i="161" s="1"/>
  <c r="G133" i="161" s="1" a="1"/>
  <c r="G133" i="161" s="1"/>
  <c r="L109" i="161"/>
  <c r="L111" i="161" s="1"/>
  <c r="M106" i="161"/>
  <c r="N103" i="161" s="1"/>
  <c r="L94" i="161"/>
  <c r="M91" i="161" s="1"/>
  <c r="K114" i="161" l="1"/>
  <c r="K60" i="161" s="1"/>
  <c r="K58" i="161" s="1"/>
  <c r="K62" i="161" s="1"/>
  <c r="K63" i="161" s="1"/>
  <c r="J63" i="161"/>
  <c r="M107" i="161"/>
  <c r="M94" i="161"/>
  <c r="N91" i="161" s="1"/>
  <c r="L112" i="161"/>
  <c r="M109" i="161"/>
  <c r="L118" i="161"/>
  <c r="L95" i="161"/>
  <c r="N106" i="161"/>
  <c r="O103" i="161" s="1"/>
  <c r="M101" i="161"/>
  <c r="N97" i="161"/>
  <c r="N100" i="161" s="1"/>
  <c r="K64" i="161" l="1"/>
  <c r="N107" i="161"/>
  <c r="O97" i="161"/>
  <c r="O100" i="161" s="1"/>
  <c r="N101" i="161"/>
  <c r="O106" i="161"/>
  <c r="P103" i="161" s="1"/>
  <c r="M111" i="161"/>
  <c r="M112" i="161" s="1"/>
  <c r="M95" i="161"/>
  <c r="N94" i="161"/>
  <c r="O91" i="161" s="1"/>
  <c r="N95" i="161" l="1"/>
  <c r="O107" i="161"/>
  <c r="O94" i="161"/>
  <c r="P91" i="161" s="1"/>
  <c r="M118" i="161"/>
  <c r="N109" i="161"/>
  <c r="P106" i="161"/>
  <c r="Q103" i="161" s="1"/>
  <c r="Q106" i="161" s="1"/>
  <c r="Q107" i="161" s="1"/>
  <c r="P97" i="161"/>
  <c r="P100" i="161" s="1"/>
  <c r="O101" i="161"/>
  <c r="P107" i="161" l="1"/>
  <c r="Q97" i="161"/>
  <c r="Q100" i="161" s="1"/>
  <c r="Q101" i="161" s="1"/>
  <c r="P101" i="161"/>
  <c r="N111" i="161"/>
  <c r="N112" i="161" s="1"/>
  <c r="O95" i="161"/>
  <c r="P94" i="161"/>
  <c r="Q91" i="161" s="1"/>
  <c r="Q94" i="161" s="1"/>
  <c r="Q95" i="161" s="1"/>
  <c r="P95" i="161" l="1"/>
  <c r="O109" i="161"/>
  <c r="O111" i="161" s="1"/>
  <c r="N118" i="161"/>
  <c r="O112" i="161" l="1"/>
  <c r="P109" i="161"/>
  <c r="O118" i="161"/>
  <c r="P111" i="161" l="1"/>
  <c r="P112" i="161" s="1"/>
  <c r="Q109" i="161" l="1"/>
  <c r="P118" i="161"/>
  <c r="Q111" i="161" l="1"/>
  <c r="Q118" i="161" s="1"/>
  <c r="Q112" i="16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
    <bk>
      <extLst>
        <ext uri="{3e2802c4-a4d2-4d8b-9148-e3be6c30e623}">
          <xlrd:rvb i="0"/>
        </ext>
      </extLst>
    </bk>
    <bk>
      <extLst>
        <ext uri="{3e2802c4-a4d2-4d8b-9148-e3be6c30e623}">
          <xlrd:rvb i="3"/>
        </ext>
      </extLst>
    </bk>
    <bk>
      <extLst>
        <ext uri="{3e2802c4-a4d2-4d8b-9148-e3be6c30e623}">
          <xlrd:rvb i="6"/>
        </ext>
      </extLst>
    </bk>
    <bk>
      <extLst>
        <ext uri="{3e2802c4-a4d2-4d8b-9148-e3be6c30e623}">
          <xlrd:rvb i="9"/>
        </ext>
      </extLst>
    </bk>
    <bk>
      <extLst>
        <ext uri="{3e2802c4-a4d2-4d8b-9148-e3be6c30e623}">
          <xlrd:rvb i="12"/>
        </ext>
      </extLst>
    </bk>
    <bk>
      <extLst>
        <ext uri="{3e2802c4-a4d2-4d8b-9148-e3be6c30e623}">
          <xlrd:rvb i="13"/>
        </ext>
      </extLst>
    </bk>
  </futureMetadata>
  <cellMetadata count="1">
    <bk>
      <rc t="1" v="0"/>
    </bk>
  </cellMetadata>
  <valueMetadata count="6">
    <bk>
      <rc t="2" v="0"/>
    </bk>
    <bk>
      <rc t="2" v="1"/>
    </bk>
    <bk>
      <rc t="2" v="2"/>
    </bk>
    <bk>
      <rc t="2" v="3"/>
    </bk>
    <bk>
      <rc t="2" v="4"/>
    </bk>
    <bk>
      <rc t="2" v="5"/>
    </bk>
  </valueMetadata>
</metadata>
</file>

<file path=xl/sharedStrings.xml><?xml version="1.0" encoding="utf-8"?>
<sst xmlns="http://schemas.openxmlformats.org/spreadsheetml/2006/main" count="2768" uniqueCount="1428">
  <si>
    <t>允䅁䩁䉷䅁䍁䅁䅁䅁橂䅁䅁杄䅁䍁䅍兒卂䙁䅉睔卂䅁䅁兄䅅䍁䅧䅁橁䕁䅫杔坂䕁䅅䅔䩂䕁䅑䅉䑂䕁䄸兔兂䕁䅅杔婂䍁䅁兓䕂䅁䅁䅚䅁䑁䅧䅁橁䕁䅫杔坂䕁䅅䅔䩂䕁䅑䅉䝂䙁䅕杔䑂䙁䅑兓偂䕁䄴䅉兂䕁䅅杕䉂䕁䄰兒啂䕁䅕杕䅁䥁䅅䅁煁䅁䅁睉䩂䕁䄴杖䉂䕁䅷兓䕂䍁䅁兔䙂䙁䅑杕䩂䕁䅍䅉佂䕁䅅兔䙂䅁䅁䅨䅁䉁䅉䅁硁䍁䄸睍癁䑁䅉䅍祁䑁䅑䅁䵁允䅁䅉䅁䑁䅅䅍婂䍁䅁睒求䡁䅉兢桂䝁䄴䅉佂䝁䄸䅤求䅁䅁杄䅅䍁䅁䅁硁䑁䅁入杁䕁䅣党祂䝁䄰兙畂䍁䅁杔療䡁䅑党䅁䅁䉧䅁坁䅁䅁免祁䍁䄸睍睁䍁䄸杍睁䑁䅉免䅁䉁䅫䅁坁䅁䅁免祁䍁䄸睍睁䍁䄸杍睁䑁䅉杍䅁䉁䅯䅁佁䅁䅁杍睁䑁䅉䅎䝂䙁䅫䅁剂允䅁䅉䅁䑁䅍䅍婂䍁䅁睒求䡁䅉兢桂䝁䄴䅉䍂䝁䄸杢歂䅁䅁䅅䅅䍁䅁䅁穁䑁䅁兗杁䕁䅣党祂䝁䄰兙畂䍁䅁杔療䡁䅑党䅁䅁䈸䅁睁䅁䅁兑畁䙁䅁杌杁䕁䄰䄫獂䝁䅷党祂䍁䅁兌杁䕁䄰朵祂䡁䅍睡杁䕁䅅睌呂䅁䅁先䅅䍁䅧䅁䉂䕁䅉䅉䵂䝁䅫杢桂䡁䅍䅉䉂䝁䅣杣療䍁䅁睒祂䝁䄸兤睂䅁䅁䅬䅁䉁䅉䅁䉂䕁䅫兔㙁䕁䅷䅖䥂䕁䄰䅁㑁允䅁䅅䅁䕁䅅兓乂䑁䅯睕卂䕁䅍䅁䱁䅁䅁杆䅁䕁䅅䅕䡂䡁䅷睕䡂䕁䅅䅉呂䕁䅅䅁兄䅁䅁䅅䅁䕁䅅睕奂䑁䅯睔乂䕁䅷䅁睃䅁䅁杆䅁䕁䅅䅖呂䕁䅕杏䝂䕁䄸睔䕂䕁䅷䅁橁䅁䅁杏䅁䕁䅅杙ㅂ䍁䅁䅒潂䝁䅅杙灂䍁䅁䅕療䡁䅉䅤穂䍁䅁睑療䝁䄰䅣桂䝁䄴入杁䙁䅁杓呂䕁䅍䅁佃䅁䅁䅌䅁䕁䅅䅚䑂䝁䅫䅤㕂䕁䄰党歂䝁䅫兙杁䕁䅅村杁䍁䅧䅣ㅂ䝁䅉䅢灁䅁䅁䄹䅁䍁䅧䅁䉂䝁䅑党㕂䍁䅁兓畂䝁䄴睢㉂䝁䅅䅤灂䝁䄸杢杁䕁䅷䅔兂䅁䅁杖䅅䉁䅧䅁䉂䝁䅑杤求䡁䅉䅤灂䡁䅍兡畂䝁䅣䅁求䅁䅁䅋䅁䕁䅅䅚㉂䝁䅕䅤桂䍁䅁兒歂䡁䅕睙桂䡁䅑兡療䝁䄴䅉䉂䕁䅉䅁㙄䅁䅁䅌䅁䕁䅅党祂䝁䄸督睂䝁䅅睙求䍁䅁兙畂䝁䅑䅉䕂䝁䅕杚求䝁䄴督求䅁䅁杕䅅䑁䅙䅁䉂䝁䅣杣療䍁䅁䅢療䝁䅣兡穂䡁䅑兡橂䍁䅁督求䡁䅉杤灂䝁䅍党獁䍁䅁兖䉂䕁䅉䅁㍂䅁䅁䅎䅁䕁䅅兡祂䍁䅁杒祂䝁䅕兡湂䝁䅧䅤杁䝁䅅杢歂䍁䅁䅔療䝁䅣兡穂䡁䅑兡橂䡁䅍䅁䩁䅁䅁䅆䅁䕁䅅兡祂䝁䅉兤穂䍁䅁睕䙂䅁䅁兤䅅䉁䅯䅁䉂䝁䄴杢療䡁䅕杢橂䝁䅕兢求䝁䄴䅤䅁䩁䅯䅁睁䅁䅁兑畂䡁䅑兙獂䝁䅫督杁䙁䅍睢橂䝁䅫儶あ佁䅫䅉桂䝁䄴睢畂䡁䅫兢求䅁䅁睊䅅䉁䅯䅁䉂䡁䅍兡桂䍁䄰䅕桂䝁䅍兡浂䝁䅫睙䅁䱁䅯䅁奁䅁䅁兑穂䡁䅁杣療䡁䅁入祂䝁䅣睢穂䅁䅁兏䅁䍁䅧䅁䉂䡁䅑兙灂䡁䅉睢穂䍁䅁睒祂䝁䄸兤睂䍁䅷䅉䩂䝁䄴睙畁䅁䅁眳䅁䅁䄴䅁䉂䡁䅑䅡求䝁䄴督䅁䍁䅳䅁啁䅁䅁兑ㅂ䡁䅍䅤祂䝁䅅䅢灂䝁䅅䅁䑄䅁䅁杍䅁䕁䅅兤あ䝁䄸兢療䝁䅉兡獂䝁䅕䅉乂䝁䅅杢ㅂ䝁䅙兙橂䡁䅑兤祂䝁䅕杣穂䅁䅁兓䅅䑁䄴䅁䉂䡁䅕䅤療䝁䄰睢あ䝁䅫杤求䍁䅁䅕桂䡁䅉䅤穂䍁䅁兙畂䝁䅑䅉䙂䡁䅅兤灂䡁䅁兢求䝁䄴䅤䅁䝁䉣䅁允䅁䅁村䉂䙁䅍杒杁䙁䅍兒䅁䡁䉷䅁䥁䅁䅁村坂䕁䅫䅁硄䅁䅁杍䅁䕁䅉兙歂䍁䅁䅓療䝁䄰杙ㅂ䡁䅉睚杁䡁䅙睢祂䍁䅁䅚求䡁䅉䅉䥂偁䅙䅡求䅁䅁睗䅅䉁䅁䅁䍂䝁䅅杢湂䝁䅳睢牂䅁䅁兴䅁䉁䅧䅁䍂䝁䅅䅤療䝁䄴䅉卂䝁䄸兤湂䝁䅕䅁佄䅁䅁杍䅁䕁䅉兙㕂䙁䅣兙杁䕁䅅睡あ䝁䅫党畂䝁䅣党穂䝁䅕䅢獂䡁䅍睙潂䝁䅅杚あ䅁䅁兑䅅䑁䅉䅁䍂䝁䅅入求䡁䅉䅉䉂䝁䅳䅤灂䝁䅕杢湂䝁䅕督求䝁䅷䅢穂䝁䅍䅡桂䝁䅙䅤䅁䡁䉳䅁奂䅁䅁村桂䡁䅫党祂䝁䅫督橂䝁䅧党杁䕁䄰睢あ䝁䄸杣求䝁䄴䅉塂䝁䅕杣牂䝁䅕䅉䉂䝁䅳䅤灂䝁䅕杢湂䝁䅕督求䝁䅷䅢穂䝁䅍䅡桂䝁䅙䅤䅁䙁䉍䅁允䅁䅁村求䝁䅷睚灂䡁䅕兢䅁䩁䅣䅁煁䅁䅁村獂䡁䅕党䵂䝁䅫杢㑂䍁䅁睑療䡁䅉䅣療䡁䅉兙あ䝁䅫睢畂䅁䅁䅎䅅䉁䄴䅁䍂䝁䄸杙穂䡁䅑䅉䡂䡁䅉睢ㅂ䡁䅁䅉呂䕁䅅䅁噃允䅁权䅁䕁䅉睢畂䝁䄴䅁浂允䅁䅉䅁䕁䅉兤浂䝁䅅杙杁䕁䅅村杁䍁䅧䅣ㅂ䝁䅉䅢灁䅁䅁睫䅁䉁䅙䅁䑂䙁䅁睕䙂䑁䅯䅒佂䕁䄸杕䕂䅁䅁杅䅅䉁䅉䅁䑂䙁䅁睕䙂䑁䅯䅒呂䙁䅙䅁坁允䅁䅈䅁䕁䅍䅕呂䕁䅕杏乂䕁䅅兒卂䙁䅍睓杁䕁䅉䅁噁允䅁杅䅁䕁䅍䅕呂䕁䅕杏佂䙁䅑睒䅁䍁䅙䅁㉁䅁䅁睑啂䕁䅍䅉䙂䙁䅧䅖䙂䙁䅉杔䉂䕁䅷兓慂䕁䅅睑䩂乁䅍杔杁䙁䅍杌䵂䍁䄴兖畁䅁䅁睥䅁䅁䄴䅁䑂䝁䅅杢桂䝁䅑兙䅁䍁䉧䅁㑁䅁䅁睑桂䡁䅉睚療䍁䅁睒祂䝁䄸兤畂䝁䅑䅉啂䡁䅉兙畂䡁䅍䅣療䡁䅉䅤桂䡁䅑兡療䝁䄴䅁䅂䅁䅁李䅁䕁䅍党歂䝁䅅杣杁䕁䅍杣求䝁䅕睡杁䕁䅧睢獂䝁䅑兡畂䝁䅣督獁䍁䅁兓畂䝁䅍杌䅁䑁䉅䅁䵁䅁䅁睑潂䝁䅫杢桂䅁䅁䅫䅁䉁䅙䅁䑂䝁䅧兡睂䡁䅁党畂䝁䅧兙瑂䅁䅁睒䅁䑁䄴䅁䑂䝁䅫䅤㕂䍁䅁䅔求䝁䅅䅚杁䕁䅑党㉂䝁䅕䅢療䡁䅁兢求䝁䄴䅤穂䍁䅁䅔灂䝁䄰兡あ䝁䅕䅚䅁佁䄰䅁奁䅁䅁睑獂䝁䅅督硂䡁䅕兡畂䍁䅁睕䉂䅁䅁睖䅁䍁䱁䅁䑂䝁䅷兙穂䡁䅅兤灂䝁䄴䅉呂䕁䅅䅉療䡁䅁党祂䝁䅅䅤求䡁䅍䅉桂䡁䅍䅉桂䝁䄴䅉灂䝁䄴䅤求䡁䅉杢桂䡁䅑兡療䝁䄴兙獂䍁䅁杚祂䝁䅕兡湂䝁䅧䅤杁䝁䅙睢祂䡁䅣兙祂䝁䅑兡畂䝁䅣䅉桂䝁䄴䅚杁䝁䄸杤求䡁䅉督求䝁䅅督杁䝁䅷睢湂䝁䅫督あ䝁䅫睙穂䍁䅁睙療䝁䄰䅣桂䝁䄴入杁䡁䅣睢祂䝁䅷䅚㍂䝁䅫䅚求䍁䄴䅉啂䝁䅧党杁䝁䅍睢瑂䡁䅁兙畂䡁䅫䅉療䝁䅙杚求䡁䅉督杁䝁䅅兡祂䍁䅁杚祂䝁䅕兡湂䝁䅧䅤杁䡁䅍睢獂䡁䅕䅤灂䝁䄸杢穂䍁䅷䅉灂䝁䄴睙獂䡁䅕䅚灂䝁䄴睚杁䡁䅍䅡灂䡁䅁兢求䝁䄴䅤杁䝁䄰兙畂䝁䅅睚求䝁䄰党畂䡁䅑䅉桂䝁䄴䅚杁䝁䅕兢求䡁䅉睚求䝁䄴睙㕂䍁䅁䅤祂䝁䅅杢穂䡁䅁睢祂䡁䅑䅉瑂䝁䅅杢桂䝁䅣党瑂䝁䅕杢あ䍁䅷䅉桂䡁䅍䅉㍂䝁䅕䅢獂䍁䅁兙穂䍁䅁兢桂䝁䄴兙湂䝁䅕督杁䡁䅑䅡求䍁䅁杚祂䝁䅕兡湂䝁䅧䅤灂䝁䄴睚杁䝁䄸杚杁䝁䄸杤求䡁䅉督灂䡁䅯党歂䍁䅁䅣桂䝁䅍睡桂䝁䅣党穂䑁䅳䅉穂䝁䅕兙杁䝁䅙杣求䝁䅫睚潂䡁䅑䅉穂䝁䄸䅢ㅂ䡁䅑兡療䝁䄴督獁䍁䅁督ㅂ䝁䅍䅡杁䝁䅅督杁䝁䅙兤獂䝁䅷䅉橂䝁䄸杢あ䝁䅅兡畂䝁䅕杣杁䝁䅷睢桂䝁䅑䅉穂䝁䅧兡睂䡁䅁兡畂䝁䅣䅉瑂䝁䅅杢桂䝁䅣党瑂䝁䅕杢あ䍁䅷䅉橂䝁䄸杢穂䝁䄸䅢灂䝁䅑兙あ䝁䅕䅚杁䡁䅍䅡灂䡁䅁䅣灂䝁䄴睚杁䝁䄰兙畂䝁䅅睚求䝁䄰党畂䡁䅑䅌杁䝁䅅杢歂䍁䅁睙ㅂ䡁䅍䅤療䝁䄰兡㙂䝁䅕䅚杁䝁䅍睢畂䡁䅍睢獂䝁䅫䅚桂䡁䅑党歂䍁䅁督潂䝁䅫䅣睂䝁䅫杢湂䍁䅁兢桂䝁䄴兙湂䝁䅕兢求䝁䄴䅤獁䍁䅁兙穂䍁䅁睤求䝁䅷䅢杁䝁䅅督杁䝁䄰兙畂䝁䅅睚求䝁䄰党畂䡁䅑䅉療䝁䅙䅉畂䝁䄸杢瑁䝁䅍睢畂䡁䅑兙灂䝁䄴党祂䝁䅫来求䝁䅑䅉獂䝁䄸兙歂䡁䅍䅉桂䝁䄴䅚杁䝁䅍䅡桂䡁䅉䅤求䡁䅉兡畂䝁䅣䅉穂䝁䅧兡睂䡁䅍睏杁䝁䅅杢歂䍁䅁杣桂䝁䅫䅢杁䝁䅅杢歂䍁䅁睤桂䡁䅑党祂䡁䅣兙㕂䍁䅁督療䝁䅷兤あ䝁䅫睢畂䡁䅍䅉橂䝁䄸兢睂䡁䅉兡穂䝁䅫杢湂䍁䅁杣療䝁䅅䅚杁䡁䅑杣桂䝁䄴督睂䝁䄸杣あ䍁䅁兢桂䝁䄴兙湂䝁䅕兢求䝁䄴䅤獁䍁䅁䅤祂䝁䅅杢穂䡁䅁睢祂䡁䅑䅉橂䝁䅧兙祂䡁䅑党祂䝁䅫杢湂䍁䅁杚療䡁䅉䅉歂䝁䄸兢求䡁䅍䅤灂䝁䅍䅉桂䝁䄴䅚杁䕁䅕兤祂䝁䄸䅣求䝁䅅杢杁䡁䅍䅡灂䡁䅁兢求䝁䄴䅤穂䍁䅷䅉穂䝁䅧兡睂䝁䄰党畂䡁䅑䅉瑂䝁䅅杢桂䝁䅣党瑂䝁䅕杢あ䍁䅷䅉桂䝁䄴䅚杁䡁䅉兙灂䝁䅷䅉あ䡁䅉兙畂䡁䅍䅣療䡁䅉䅤杁䝁䄰兙畂䝁䅅睚求䝁䄰党畂䡁䅑杌杁䕁䅫䅤杁䝁䅅䅢穂䝁䄸䅉睂䡁䅉睢㉂䝁䅫䅚求䡁䅍䅉祂䝁䄸兙歂䍁䅁杙祂䝁䄸睡求䡁䅉兙湂䝁䅕䅉穂䝁䄸䅢ㅂ䡁䅑兡療䝁䄴督㝁䍁䅁睙ㅂ䡁䅍䅤療䝁䄰䅉穂䝁䄸䅢ㅂ䡁䅑兡療䝁䄴督杁䝁䅅杢歂䍁䅁杣求䝁䅣兤獂䝁䅅䅤療䡁䅉入杁䝁䅍睢瑂䡁䅁䅢灂䝁䅅杢橂䝁䅕䅉穂䝁䅕杣㉂䝁䅫睙求䡁䅍睏杁䝁䅫杢あ䝁䅕杣畂䝁䅅䅤灂䝁䄸杢桂䝁䅷䅉獂䝁䄸睚灂䡁䅍䅤灂䝁䅍督杁䡁䅍党祂䡁䅙兡橂䝁䅕督獁䍁䅁睤潂䝁䅫睙潂䍁䅁兡畂䝁䅍䅢ㅂ䝁䅑党杁䝁䅅杢桂䝁䅷入穂䝁䅫督杁䝁䅅杢歂䍁䅁䅚求䡁䅍兡湂䝁䄴䅉療䝁䅙䅉橂䡁䅕督あ䝁䄸兢灂䡁䅯党歂䍁䅁督あ䝁䄸杣桂䝁䅣党杁䝁䅅杢歂䍁䅁䅚灂䡁䅍䅤祂䝁䅫杙ㅂ䡁䅑兡療䝁䄴䅌杁䡁䅣兙祂䝁䅕䅡療䡁䅕督灂䝁䄴睚獁䍁䅁督あ䝁䄸睙牂䍁䅁兢桂䝁䄴兙湂䝁䅕兢求䝁䄴䅤獁䍁䅁睢祂䝁䅑党祂䍁䅁䅣祂䝁䅕䅣桂䡁䅉兙あ䝁䅫睢畂䍁䅷䅉桂䝁䄴䅚杁䡁䅙兙獂䡁䅕党杁䝁䅅䅚歂䝁䅕䅚杁䡁䅍党祂䡁䅙兡橂䝁䅕督㝁䍁䅁兡畂䡁䅑党祂䝁䄴兙あ䝁䅫睢畂䝁䅅䅢杁䡁䅍兤睂䡁䅁䅢㕂䍁䅁睙潂䝁䅅兡畂䍁䅁睙療䝁䄴督ㅂ䝁䅷䅤灂䝁䄴睚杁䡁䅍党祂䡁䅙兡橂䝁䅕督㝁䍁䅁杣灂䡁䅍睡杁䝁䄰兙畂䝁䅅睚求䝁䄰党畂䡁䅑䅉穂䝁䄸䅢ㅂ䡁䅑兡療䝁䄴督㝁䍁䅁兙畂䝁䅑䅉䩂䙁䅑䅉穂䝁䅕杣㉂䝁䅫睙求䡁䅍杌杁䙁䅑䅡求䍁䅁睙療䝁䄰䅣桂䝁䄴入杁䝁䄸杚浂䝁䅕杣穂䍁䅁兡あ䡁䅍䅉穂䝁䅕杣㉂䝁䅫睙求䡁䅍䅉浂䝁䄸杣杁䝁䅣党畂䝁䅕杣桂䝁䅷䅉橂䝁䅅杣湂䝁䄸䅌杁䝁䅙兙穂䝁䅧兡療䝁䄴䅉桂䝁䄴䅚杁䝁䅷兤㑂䡁䅕杣㕂䍁䅷䅉灂䝁䄴䅚ㅂ䡁䅍䅤祂䝁䅫兙獂䍁䅷䅉浂䝁䄸睢歂䍁䅁兙畂䝁䅑䅉睂䝁䅕杣灂䡁䅍䅡桂䝁䅉䅢求䍁䅷䅉㍂䝁䅫杢求䍁䅁兙畂䝁䅑䅉穂䡁䅁兡祂䝁䅫䅤穂䍁䅷䅉橂䝁䄸督瑂䝁䅕䅤灂䝁䅍督杁䝁䅅杢歂䍁䅁䅣求䡁䅉杚ㅂ䝁䄰党穂䍁䅷䅉獂䝁䅫杚求䍁䅁督橂䝁䅫党畂䝁䅍党穂䍁䅁兙畂䝁䅑䅉潂䝁䅕兙獂䡁䅑䅡橂䝁䅅杣求䍁䅷䅉桂䡁䅉䅤杁䡁䅍䅡灂䡁䅁䅣灂䝁䄴睚獁䍁䅁杚桂䝁䅫杣穂䍁䅁兙畂䝁䅑䅉求䡁䅙党畂䡁䅑督獁䍁䅁䅤求䝁䄰䅣求䡁䅉兙あ䡁䅕杣求䍁䅁睙療䝁䄴䅤祂䝁䄸䅢獂䝁䅕䅚杁䝁䅷睢湂䝁䅫督あ䝁䅫睙穂䍁䅷䅉潂䝁䅅来桂䡁䅉䅚療䡁䅕督杁䝁䅅杢歂䍁䅁䅚桂䝁䄴睚求䡁䅉睢ㅂ䡁䅍䅉湂䝁䄸睢歂䡁䅍䅌杁䝁䅅杢歂䍁䅁䅣祂䝁䄸条求䝁䅍䅤杁䝁䅷睢湂䝁䅫督あ䝁䅫睙穂䍁䅁督求䝁䅍䅤療䡁䅉督畁䍁䅁睑獂䝁䅅督硂䡁䅕兡畂䍁䅁睕䉂䍁䅁睤桂䡁䅍䅉灂䝁䄴睙療䡁䅉䅣療䡁䅉兙あ䝁䅕䅚杁䝁䅫杢杁䑁䅅兏ㅁ䑁䅫䅉桂䝁䄴䅚杁䝁䅫督杁䝁䅧党桂䝁䅑兣ㅂ䝁䅅杣あ䝁䅕杣求䝁䅑䅉灂䝁䄴䅉䵂䡁䅫睢畂䍁䅷䅉䝂䡁䅉兙畂䝁䅍党畁䅁䅁䅖䅁䑁䅁䅁䑂䝁䅷党桂䡁䅉䅉䑂䝁䅧兙畂䝁䄴党獂䍁䅁杒祂䝁䅅杢橂䝁䅕䅉呂䕁䅅䅁睄䅁䅁杓䅁䕁䅍䅢求䝁䅅杣杁䕁䅍䅡桂䝁䄴杢求䝁䅷䅉偂䡁䅕䅤歂䝁䄸睢祂䍁䅁䅓療䝁䅷䅚灂䝁䄴睚穂䍁䅷䅉䩂䝁䄴睙畁䅁䅁儳䅁䍁䅧䅁䑂䝁䅷党桂䡁䅉䅉乂䝁䅕䅚灂䝁䅅䅉䵂䝁䅫兢灂䡁䅑党歂䅁䅁朴䅁䍁䅷䅁䑂䝁䅷兡睂䡁䅁党祂䍁䅁䅔療䝁䅣兡穂䡁䅑兡橂䡁䅍䅉睂䝁䅷睙䅁䡁䅫䅁允䅁䅁睑療䝁䅷睢湂䝁䄴党䅁䵁䅕䅁坁䅁䅁睑療䝁䄰䅣獂䝁䅕䅤灂䝁䄸杢䅁䩁䅳䅁畁䅁䅁睑療䝁䄴督あ䡁䅉兤橂䡁䅑兡療䝁䄴䅉乂䝁䅅䅤求䡁䅉兡桂䝁䅷督䅁䕁䅷䅁⭁䅁䅁睑療䝁䄴䅤灂䝁䄴党畂䡁䅑兙獂䍁䅁兑牂䡁䅑兡求䝁䄴睚求䡁䅍党獂䝁䅷督橂䝁䅧兙浂䡁䅑䅁㑂允䅁杆䅁䕁䅍睢睂䝁䅕杢潂䝁䅅睚求䝁䄴䅁杁允䅁䅇䅁䕁䅍睢㉂䝁䅕督あ䡁䅉睢杁䕁䅅睒䅁䡁䉑䅁㑁䅁䅁睑祂䝁䅅入療䝁䄴督杁䕁䅅䅚㉂䝁䅕杣あ䝁䅫督灂䝁䄴睚杁䕁䅷兡瑂䝁䅫䅤求䝁䅑䅁坄䅁䅁杍䅁䕁䅍杣求䝁䅅䅤灂䡁䅙党杁䙁䅉党桂䝁䅷兡あ䝁䅫党穂䍁䅷䅉䩂䝁䄴睙畁䅁䅁眰䅁䍁䅙䅁䕂䍁䅣兓求䡁䅑党祂䝁䅕杢杁䕁䅣杣療䡁䅕䅣杁䙁䅍兑䅁䩁䅙䅁十䅁䅁䅒䝂䕁䅑睕杁䕁䅅睌呂䅁䅁䅌䅅䉁䅁䅁䕂䙁䅍杖杁䕁䅅睌呂䅁䅁杈䅅䑁䅷䅁䕂䝁䅅䅡獂䝁䄰兙畂䍁䅁兓畂䝁䅑兤穂䡁䅑杣灂䝁䅅䅢杁䕁䅣杣療䡁䅕䅣杁䕁䅉杌坂䍁䄴䅁䉃允䅁杍䅁䕁䅑兙灂䝁䄰䅢求䡁䅉䅉啂䡁䅉兤橂䝁䅳䅉䥂䝁䄸䅢歂䝁䅫杢湂䍁䅁兑䡂䅁䅁睤䅅䑁䅷䅁䕂䝁䅅兢睂䡁䅍睡灂䝁䅉督穂䝁䅕䅢穂䝁䅳兙楂䝁䅕䅤杁䕁䄴睢祂䝁䅑党畂䍁䅁兑癁䙁䅍䅁慁允䅁䅅䅁䕁䅑党畂䝁䄰兙祂䝁䅳䅁䉂䅁䅁杉䅁䕁䅑党ㅂ䡁䅑督橂䝁䅧党杁䙁䅁睢穂䡁䅑䅉䉂䕁䅣䅁㕂允䅁䅌䅁䕁䅑䅡ㅂ䍁䅁䅓療䝁䅷䅚灂䝁䄴睚杁䙁䅁䅤求䍁䄴䅉䵂䡁䅑䅚畁䅁䅁八䅁䍁䅧䅁䕂䝁䅫兙畂䝁䅅䅉呂䝁䅧兡睂䡁䅁兡畂䝁䅣䅉䩂䝁䄴睙畁䅁䅁䅗䅁䩁䕑䅁䕂䝁䅫兙畂䝁䅅䅉呂䝁䅧兡睂䡁䅁兡畂䝁䅣䅉䩂䝁䄴睙畁䍁䅁䅣祂䝁䄸杤灂䝁䅑党穂䍁䅁督潂䝁䅫䅣睂䝁䅫杢湂䍁䅁䅤祂䝁䅅杢穂䡁䅁睢祂䡁䅑兙あ䝁䅫睢畂䍁䅁督求䡁䅉杤灂䝁䅍党穂䍁䄴䅉啂䝁䅧党杁䝁䅍睢瑂䡁䅁兙畂䡁䅫䅉あ䡁䅉兙畂䡁䅍䅣療䡁䅉䅤穂䍁䅁兙杁䡁䅉兙畂䝁䅣党杁䝁䄸杚杁䝁䅑杣㕂䍁䅁杙ㅂ䝁䅷睡杁䝁䅍兙祂䝁䅣睢求䡁䅍䅌杁䝁䅫杢橂䝁䅷兤歂䝁䅫杢湂䍁䅁睙療䝁䄰兢療䝁䅑兡あ䝁䅫党穂䍁䅷䅉穂䡁䅕睙潂䍁䅁兙穂䍁䅁兡祂䝁䄸杢杁䝁䄸杣求䍁䅷䅉橂䝁䄸兙獂䍁䅷䅉湂䡁䅉兙灂䝁䄴䅌杁䝁䅅杢歂䍁䅁睢あ䝁䅧党祂䍁䅁兢桂䡁䅑党祂䝁䅫兙獂䡁䅍䅉灂䝁䄴䅉穂䝁䅧兡睂䡁䅁兡畂䝁䅣䅉祂䝁䄸兤あ䝁䅕督杁䡁䅣睢祂䝁䅷䅚㍂䝁䅫䅚求䍁䄴䅉䉂䡁䅍䅉療䝁䅙䅉乂䝁䅅杣橂䝁䅧䅉硁䑁䅣䅌杁䑁䅉䅍祁䑁䅍䅌杁䝁䅫䅤杁䝁䄸䅣求䡁䅉兙あ䝁䅕䅚杁䝁䅅䅉浂䝁䅷党求䡁䅑䅉療䝁䅙䅉ぁ䑁䅅䅉歂䡁䅉入杁䝁䅉兤獂䝁䅳䅉㉂䝁䅕督穂䝁䅕䅢穂䍁䅷䅉灂䝁䄴睙獂䡁䅕䅚灂䝁䄴睚杁䑁䅑䅉佂䝁䅕睤橂䝁䅅督あ䝁䅷党瑂䝁䅅䅥獁䍁䅁免睁䍁䅁睑桂䡁䅁党穂䝁䅫来求䍁䅷䅉ㅁ䍁䅁䅕療䡁䅍䅤瑁䙁䅁兙畂䝁䅅兢桂䡁䅧䅌杁䑁䅙䅉䱂䝁䅅兢穂䝁䅅杣瑂䝁䅅䅥獁䍁䅁兏杁䙁䅕䅢あ䡁䅉兙瑂䝁䅅䅥獁䍁䅁兙畂䝁䅑䅉㍁䍁䅁䅕桂䝁䄴兙瑂䝁䅅䅥畁䍁䅁䅖潂䝁䅕䅉橂䝁䄸兢睂䝁䅅杢㕂䍁䅁睤桂䡁䅍䅉浂䝁䄸杣瑂䝁䅕杣獂䡁䅫䅉牂䝁䄴睢㍂䝁䄴䅉桂䡁䅍䅉䕂䝁䅫兙畂䝁䅅䅉呂䝁䅧兡睂䡁䅁兡畂䝁䅣䅉䩂䝁䄴杤求䡁䅍䅤瑂䝁䅕杢あ䡁䅍䅉䑂䝁䄸杣睂䍁䄴䅉桂䝁䄴䅚杁䝁䅍䅡桂䝁䄴睚求䝁䅑䅉灂䡁䅑督杁䝁䄴兙瑂䝁䅕䅉あ䝁䄸䅉䕂䝁䅫兙畂䝁䅅䅉呂䝁䅧兡睂䡁䅁兡畂䝁䅣䅉䩂䝁䄴睙畁䍁䅁兡畂䍁䅁杒求䝁䅉杣ㅂ䝁䅅杣㕂䍁䅁杍睁䑁䅁兎畁䍁䅁䅒灂䝁䅅杢桂䍁䅁睕潂䝁䅫䅣睂䝁䅫杢湂䍁䅁兓畂䝁䅍杌杁䡁䅣兙穂䍁䅁兡畂䝁䅍睢祂䡁䅁睢祂䝁䅅䅤求䝁䅑䅉灂䝁䄴䅉硁䑁䅫兏㕁䍁䅁兙畂䝁䅑䅉灂䡁䅍䅉楂䝁䅅督求䝁䅑䅉灂䝁䄴䅉䉂䡁䅑䅡求䝁䄴督獁䍁䅁睒祂䝁䅕党橂䝁䅕杌䅁䙁䅉䅁獁䅁䅁䅒灂䡁䅙党祂䡁䅍兡浂䝁䅫党歂䍁䅁睑潂䝁䅕兢灂䝁䅍兙獂䡁䅍䅁硂允䅁杏䅁䕁䅑兡㉂䝁䅕杣穂䝁䅫杚灂䝁䅕䅚杁䙁䅍兤睂䡁䅁睢祂䡁䅑䅉呂䝁䅕杣㉂䝁䅫睙求䡁䅍䅁乃䅁䅁䅅䅁䕁䅕杌偂䕁䄴䅉呂䕁䅕䅁㙂允䅁杇䅁䕁䅕杔奂䙁䅑䅕䉂䑁䅯兑䵂䕁䅍䅔䉂䅁䅁睂䅁䉁䅙䅁䙂䕁䄴䅗啂䙁䅁兑㙁䕁䅑兒䑂䅁䅁䅱䅁䉁䅙䅁䙂䕁䄴䅗啂䙁䅁兑㙁䕁䅫䅒䵂䅁䅁杅䅁䑁䅉䅁䙂䝁䅅睙療䝁䄰䅉啂䝁䅫兢楂䝁䅕杣杁䕁䅍睢祂䡁䅁睢祂䝁䅅䅤灂䝁䄸杢䅁䑁䉁䅁流䅁䅁兒歂䡁䅕睙桂䡁䅑兡療䝁䄴䅉呂䝁䅕杣㉂䝁䅫睙求䡁䅍䅁㝄䅁䅁䅎䅁䕁䅕兡瑂䡁䅍睡灂䡁䅁兙浂佁䅫䅢桂䝁䅣䅉乄䡁䅍䅢桂䝁䄴䅚穂䍁䅁䅡浂䍁䄴䅁婂䅁䅁杶䅫䕁䅕兡瑂䡁䅍睡灂䡁䅁兙浂佁䅫䅢桂䝁䅣䅉乄䡁䅍䅢桂䝁䄴䅚穂䍁䅁䅡浂䍁䄴䅌杁䡁䅑睢湂䝁䅕䅤潂䝁䅕杣杁䡁䅣兡あ䝁䅧䅉灂䡁䅑督杁䡁䅍兤楂䡁䅍兡歂䝁䅫兙祂䝁䅫党穂䍁䅷䅉睂䡁䅉睢㉂䝁䅫䅚求䡁䅍䅉穂䝁䅧兡睂䡁䅁兡畂䝁䅣䅌杁䝁䅷睢湂䝁䅫督あ䝁䅫睙穂䍁䅷䅉桂䝁䄴䅚杁䡁䅍兤睂䡁䅁䅢㕂䍁䅁睙潂䝁䅅兡畂䍁䅁兢桂䝁䄴兙湂䝁䅕兢求䝁䄴䅤杁䡁䅍党祂䡁䅙兡橂䝁䅕督杁䡁䅣睢祂䝁䅷䅚㍂䝁䅫䅚求䍁䄴䅉啂䝁䅧党杁䝁䅍睢瑂䡁䅁兙畂䡁䅫䅉療䡁䅁党祂䝁䅅䅤求䡁䅍䅉あ䝁䅧杣療䡁䅕睚潂䍁䅁䅤㍂䝁䄸䅉穂䝁䅕睚瑂䝁䅕杢あ䡁䅍䅌杁䕁䅷兡畂䝁䅕杣杁䙁䅍党祂䡁䅙兡橂䝁䅕督杁䝁䅅杢歂䍁䅁杒療䡁䅉睤桂䡁䅉䅚灂䝁䄴睚杁䙁䅍党祂䡁䅙兡橂䝁䅕督畁䍁䅁兓あ䍁䅁睢浂䝁䅙党祂䡁䅍䅉灂䡁䅑督杁䡁䅍睢獂䡁䅕䅤灂䝁䄸杢穂䍁䅁睢畂䍁䅁䅢桂䝁䄴䅚獁䍁䅁督求䝁䅅䅌杁䝁䅅杢歂䍁䅁兙灂䡁䅉䅉㍂䝁䅫䅤潂䍁䅁杚療䝁䅍兤穂䍁䅁睢畂䍁䅁䅤潂䝁䅕䅉潂䝁䅅杢歂䝁䅷兡畂䝁䅣䅉桂䝁䄴䅚杁䡁䅍䅤療䡁䅉兡畂䝁䅣䅉㉂䝁䅅杣灂䝁䄸兤穂䍁䅁䅤㕂䡁䅁党穂䍁䅁睢浂䍁䅁䅤求䝁䄰䅣求䡁䅉兙あ䡁䅕杣求䍁䄰睙療䝁䄴䅤祂䝁䄸䅢獂䝁䅕䅚杁䝁䅍兙祂䝁䅣睢獁䍁䅁杚祂䝁䄸来求䝁䄴䅉療䡁䅉䅉橂䝁䅧兡獂䝁䅷党歂䍁䅷䅉桂䝁䄴䅚杁䝁䅑杣㕂䍁䅁睙桂䡁䅉睚療䍁䅷䅉橂䝁䄸杢あ䝁䅅兡畂䝁䅕杣灂䡁䅯党歂䍁䅷䅉療䡁䅉䅉橂䝁䄸杢㉂䝁䅕杢あ䝁䅫睢畂䝁䅅䅢獂䡁䅫䅉獂䝁䄸兙歂䝁䅕䅚畁䍁䅁䅖潂䝁䅕䅉橂䝁䄸兢睂䝁䅅杢㕂䍁䅁党畂䝁䅣兙湂䝁䅕督杁䝁䅫杢杁䡁䅑䅡求䍁䅁䅤祂䝁䅅杢穂䡁䅁睢祂䡁䅑兙あ䝁䅫睢畂䍁䅁睢浂䍁䅁睚療䝁䄸䅚穂䍁䅁䅤療䍁䅁兙畂䝁䅑䅉浂䡁䅉睢瑂䍁䅁兓橂䝁䅕䅢桂䝁䄴䅚獁䍁䅁杔療䡁䅉睤桂䡁䅫䅌杁䝁䅅杢歂䍁䅁䅤潂䝁䅕䅉䝂䝁䅅杣療䝁䅕䅉䩂䡁䅍䅢桂䝁䄴䅚穂䍁䅁䅤潂䡁䅉睢ㅂ䝁䅣䅡杁䝁䅫䅤穂䍁䅁督求䡁䅉杤灂䝁䅍党杁䡁䅉睢ㅂ䡁䅑党穂䍁䅁睢畂䍁䅁䅤潂䝁䅕䅉佂䝁䄸杣あ䝁䅧䅉䉂䡁䅑䅢桂䝁䄴䅤灂䝁䅍杌杁䕁䅫䅤穂䍁䅁督求䡁䅉杤灂䝁䅍党穂䍁䅁兡畂䝁䅍䅢ㅂ䝁䅑党杁䡁䅁杣求䍁䄰睙桂䡁䅉杣灂䝁䅅睚求䍁䅷䅉橂䝁䄸杢あ䝁䅅兡畂䝁䅕杣獁䍁䅁䅚療䝁䅍兤瑂䝁䅕杢あ䝁䅅䅤灂䝁䄸杢獁䍁䅁睢畂䍁䄰睙桂䡁䅉杣灂䝁䅅睚求䍁䅷䅉歂䝁䅫督あ䡁䅉兡楂䡁䅕䅤灂䝁䄸杢獁䍁䅁督求䝁䅅䅉あ䡁䅉兙畂䡁䅍䅣療䡁䅉䅤桂䡁䅑兡療䝁䄴䅌杁䡁䅑杣ㅂ䝁䅍睡灂䝁䄴睚獁䍁䅁睤桂䡁䅉党潂䝁䄸兤穂䝁䅫杢湂䍁䅷䅉桂䝁䄴䅚杁䝁䅷睢湂䝁䅫督あ䝁䅫睙杁䡁䅍党祂䡁䅙兡橂䝁䅕督獁䍁䅁兙穂䍁䅁睤求䝁䅷䅢杁䝁䅅督杁䡁䅑党祂䝁䄰兡畂䝁䅅䅢穂䍁䅁睢睂䝁䅕杣桂䡁䅑兡療䝁䄴督畁䍁䅁䅖潂䝁䅕䅉橂䝁䄸兢睂䝁䅅杢㕂䍁䅁兙獂䡁䅍睢杁䝁䄸䅣求䡁䅉兙あ䝁䅕督杁䝁䅅䅉瑂䝁䅫䅥杁䝁䄸杚杁䝁䅍睢畂䡁䅑兙灂䝁䄴党祂䍁䅷䅉祂䝁䅕杚祂䝁䅫睚求䡁䅉兙あ䝁䅕䅚杁䝁䅉兤獂䝁䅳䅌杁䝁䅅杢歂䍁䅁兢ㅂ䝁䅷䅤灂䡁䅁兤祂䡁䅁睢穂䝁䅕䅉橂䝁䄸杢あ䝁䅅兡畂䝁䅕杣癁䝁䅉兤獂䝁䅳䅉㉂䝁䅕督穂䝁䅕䅢穂䍁䄴䅉䩂䝁䄴䅉桂䝁䅑䅚灂䡁䅑兡療䝁䄴䅌杁䝁䅫䅤杁䝁䄸睤畂䝁䅕䅚杁䝁䅅杢歂䍁䅁睢睂䝁䅕杣桂䡁䅑党歂䍁䅁睙潂䝁䅫䅢獂䝁䅕䅚杁䝁䅅杢歂䍁䅁睙療䝁䅷䅚杁䡁䅍䅤療䡁䅉兙湂䝁䅕䅉浂䝁䅅睙灂䝁䅷兡あ䝁䅫党穂䍁䅁兡畂䍁䅁兓橂䝁䅕䅢桂䝁䄴䅚獁䍁䅁杔療䡁䅉睤桂䡁䅫䅌杁䡁䅑䅡求䍁䅁杒桂䡁䅉睢求䍁䅁兓穂䝁䅷兙畂䝁䅑督獁䍁䅁杔求䡁䅣杚療䡁䅕杢歂䝁䅷兙畂䝁䅑䅌杁䕁䅷兙楂䡁䅉兙歂䝁䄸杣獁䍁䅁兙畂䝁䅑䅉䑂䝁䅧兡畂䝁䅅睏杁䝁䅅杢歂䍁䅁睤桂䡁䅉党潂䝁䄸兤穂䝁䅕督杁䝁䅙睢祂䍁䅁䅚祂䡁䅫䅉橂䝁䅅杣湂䝁䄸䅉灂䝁䄴䅉䩂䝁䅍党獂䝁䅅杢歂䍁䅷䅉あ䝁䅧党杁䙁䅕杢灂䡁䅑党歂䍁䅁睕あ䝁䅅䅤求䡁䅍䅌杁䡁䅑䅡求䍁䅁杒桂䡁䅉睢求䍁䅁兓穂䝁䅷兙畂䝁䅑督獁䍁䅁䅤潂䝁䅕䅉噂䝁䄴兡あ䝁䅕䅚杁䕁䅳兡畂䝁䅣䅚療䝁䄰䅌杁䕁䄴睢祂䡁䅣兙㕂䍁䅷䅉呂䡁䅣党歂䝁䅕杢獁䍁䅁䅒求䝁䄴兢桂䡁䅉睡獁䍁䅁䅤潂䝁䅕䅉佂䝁䅕䅤潂䝁䅕杣獂䝁䅅杢歂䡁䅍䅌杁䝁䅅杢歂䍁䅁杖灂䝁䅕䅤畂䝁䅅兢畁䍁䅁䅖潂䝁䅕䅉橂䝁䄸兢睂䝁䅅杢㕂䍁䅁睤桂䡁䅍䅉浂䝁䄸兤畂䝁䅑党歂䍁䅁兡畂䍁䅁免㕁䑁䅅䅎杁䝁䅅杢歂䍁䅁兡穂䍁䅁䅡求䝁䅅䅚硂䡁䅕兙祂䡁䅑党祂䝁䅕䅚杁䝁䅫杢杁䙁䅉党㕂䝁䅳条桂䡁䅙儷牂䍁䅷䅉䩂䝁䅍党獂䝁䅅杢歂䍁䄴䅁敂䅁䅁䅔䅁䕁䅕杢㉂䝁䅫杣療䝁䄴兢求䝁䄴䅤桂䝁䅷䅉桂䝁䄴䅚杁䕁䅙兙橂䝁䅫䅢灂䡁䅑兡求䡁䅍䅉呂䝁䅕杣㉂䝁䅫睙求䡁䅍䅁㉁允䅁杊䅁䕁䅕兣ㅂ䝁䅫杢療䡁䅧䅉䩂䝁䄴䅚ㅂ䡁䅍䅤祂䝁䅫党穂䅁䅁朶䅁䅁䅷䅁䙂䡁䅍督求䝁䄴䅁牂允䅁杄䅁䕁䅕兤祂䝁䄸䅣求䅁䅁䅆䅁䅁䅙䅁䝂䙁䅫䅁汃䅁䅁䅃䅁䕁䅙兗睁䅁䅁兄䅁䅁䅧䅁䝂䙁䅫免䅁䭁䅙䅁佁䅁䅁杒婂䑁䅉䅍祁䑁䅁䅁瑃䅁䅁杄䅁䕁䅙兗祁䑁䅁杍硁䅁䅁李䅁䅁䄴䅁䝂䙁䅫杍睁䑁䅉杍䅁䍁䅉䅁佁䅁䅁杒婂䑁䅉䅍祁䑁䅍䅁畁䅁䅁杅䅁䕁䅙兗祁䑁䅁杍穁䕁䅙睑䅁偁䄸䅁佁䅁䅁杒婂䑁䅉䅍祁䑁䅑䅁㥄䅁䅁䅅䅁䕁䅙兡畂䝁䅷兙畂䝁䅑䅁㑁䅁䅁杗䅁䕁䅙睢橂䡁䅕督杁䕁䄰党歂䝁䅫兙杁䕁䅫杢浂䝁䄸杣瑂䝁䅅䅤灂䝁䄸杢杁䙁䅑党橂䝁䅧杢療䝁䅷睢湂䡁䅫䅉䑂䝁䄸杌獁䍁䅁䅔あ䝁䅑杌䅁䵁䅅䅁捁䅁䅁杒療䝁䄸䅚獂䝁䅫杢牂䍁䅁兑畁䕁䅕杌䅁䙁䅁䅁捃䅂䅁杒療䝁䄸䅚獂䝁䅫杢牂䍁䅁兑畁䕁䅕杌杁䡁䅁杣灂䝁䄰兙祂䝁䅫䅢㕂䍁䅁䅣祂䝁䄸杤灂䝁䅑党穂䍁䅁兡畂䡁䅑党湂䡁䅉兙あ䝁䅕䅚杁䝁䅷睢湂䝁䅫督あ䝁䅫睙穂䍁䅁督求䡁䅉杤灂䝁䅍党穂䍁䄴䅉䩂䡁䅑䅉療䝁䅙杚求䡁䅉督杁䝁䅍睢畂䡁䅑杣桂䝁䅍䅤杁䝁䅷睢湂䝁䅫督あ䝁䅫睙穂䍁䅁兡畂䝁䅍䅢ㅂ䝁䅑兡畂䝁䅣䅉橂䡁䅉睢穂䡁䅍兌歂䝁䄸睙牂䝁䅫杢湂䍁䅷䅉祂䝁䅕杤求䡁䅉督求䍁䅁䅢療䝁䅣兡穂䡁䅑兡橂䡁䅍䅌杁䝁䅅杢歂䍁䅁睙療䍁䄰䅣桂䝁䅍睡灂䝁䄴睚癁䡁䅉党睂䝁䅅睙牂䝁䅅睚灂䝁䄴睚㝁䍁䅁兡畂䡁䅑党祂䝁䄴兙あ䝁䅫睢畂䝁䅅䅢杁䡁䅑杣桂䝁䄴督睂䝁䄸杣あ䝁䅅䅤灂䝁䄸杢杁䡁䅍党祂䡁䅙兡橂䝁䅕督獁䍁䅁督ㅂ䝁䅍䅡杁䝁䅅督杁䡁䅉睢桂䝁䅑䅉あ䡁䅉兙畂䡁䅍䅣療䡁䅉䅤獁䍁䅁兙灂䡁䅉䅉あ䡁䅉兙畂䡁䅍䅣療䡁䅉䅤獁䍁䅁督潂䝁䅫䅣睂䝁䅫杢湂䍁䅷䅉桂䝁䄴䅚杁䝁䅍杣療䡁䅍督杁䝁䅑睢橂䝁䅳兡畂䝁䅣睏杁䡁䅍兙獂䝁䅕督杁䝁䅷睢湂䝁䅫督あ䝁䅫睙穂䑁䅳䅉求䍁䄰督潂䝁䄸䅣杁䝁䅷睢湂䝁䅫督あ䝁䅫睙穂䍁䅁睙療䝁䄰䅣祂䝁䅫督灂䝁䄴睚杁䡁䅍党橂䡁䅉党あ䝁䅅杣灂䝁䅅䅢杁䡁䅍兤睂䡁䅁睢祂䡁䅑䅉流䍁䅁睚療䝁䄸䅚穂䍁䅁兢桂䝁䄴兙湂䝁䅕兢求䝁䄴䅤獁䍁䅁杚灂䝁䅷党杁䝁䄰兙畂䝁䅅睚求䝁䄰党畂䡁䅑䅌杁䝁䅙兡畂䝁䅅杢橂䝁䅫兙獂䍁䅁兢桂䝁䄴兙湂䝁䅕兢求䝁䄴䅤獁䍁䅁睙療䡁䅕杣灂䝁䅕杣杁䡁䅍党祂䡁䅙兡橂䝁䅕督獁䍁䅁兙畂䝁䅑䅉橂䝁䄸兢睂䡁䅕䅤求䡁䅉兡㙂䝁䅅䅤灂䝁䄸杢杁䡁䅍党祂䡁䅙兡橂䝁䅕督㝁䍁䅁督睂䝁䅕睙灂䝁䅅䅢灂䡁䅯党歂䍁䅁睙療䡁䅕杣灂䝁䅕杣杁䡁䅍党祂䡁䅙兡橂䝁䅕督㝁䍁䅁兙畂䝁䅑䅉獂䝁䄸睚灂䡁䅍䅤灂䝁䅍督杁䝁䅫杢あ䝁䅕䅢獂䝁䅫睚求䝁䄴睙求䍁䅁督求䡁䅉杤灂䝁䅍党穂䍁䄴䅉䝂䝁䄸睢歂䝁䅷兡畂䝁䅳䅉䉂䍁䄴兒畁䍁䅁睤桂䡁䅍䅉浂䝁䄸兤畂䝁䅑党歂䍁䅁兡畂䍁䅁免㕁䑁䅫睎杁䝁䅅杢歂䍁䅁兡穂䍁䅁䅡求䝁䅅䅚硂䡁䅕兙祂䡁䅑党祂䝁䅕䅚杁䝁䅫杢杁䕁䅅督睂䡁䅉睢睂䡁䅫杣湂䝁䄸督獁䍁䅁睒祂䝁䅕党橂䝁䅕杌䅁䙁䄸䅁杁䅁䅁杒療䡁䅉党穂䡁䅑䅉兂䡁䅉睢歂䡁䅕睙あ䡁䅍䅁扁允䅁䅋䅁䕁䅙睢祂䡁䅑兤畂䝁䅅䅉乂䝁䅕䅚灂䝁䅕杢杁䕁䅣兢楂䕁䅧䅁䝁䅁䅁杄䅁䕁䅙杣桂䝁䄴睙求䅁䅁杈䅁䑁䅁䅁䝂䡁䅉党穂䝁䅕杢灂䡁䅕督杁䙁䅍兒杁䍁䅙䅉䑂䝁䄸杌杁䕁䅳睒桂䕁䅅䅁㉂允䅁䅊䅁䕁䅣兒杁䕁䄸督瑂䝁䄸杢灂䝁䅍督獁䍁䅁兓畂䝁䅍杌䅁䥁䉉䅁潁䅁䅁睒奂䕁䄸䅉䵂䝁䄸睚灂䡁䅍䅤灂䝁䅍督獁䍁䅁兓畂䝁䅍杌䅁䥁䅷䅁佁䅁䅁睒求䝁䄴党㉂䝁䅅䅁⭃䅁䅁䅅䅁䕁䅣党祂䝁䄰兙畂䡁䅫䅁䕁䅁䅁杄䅁䕁䅣杣求䝁䅕睙求䅁䅁䅋䅁䕁䅑䅁䡂䡁䅉党求䝁䄴䅉䵂䝁䅅杢歂䡁䅍睙桂䡁䅁兡畂䝁䅣䅉䡂䡁䅉睢ㅂ䡁䅁䅉䉂䕁䅉䅉潁䡁䅁兤楂䝁䅷克䅁䕁䉁䅁⭁䅁䅁䅓䡂䍁䅁兔求䡁䅑兙獂䍁䅁兔桂䝁䄴兤浂䝁䅅睙あ䡁䅕杣灂䝁䄴睚杁䕁䅷兡瑂䝁䅫䅤求䝁䅑䅁㡂䅁䅁杆䅁䕁䅧䅔呂䕁䅕杏佂䕁䅷睒硁䙁䅙䅁偁䅁䅁䅏䅁䕁䅧睕䝂䍁䅁䅔療䝁䅣兡穂䡁䅑兡橂䡁䅍䅉佂䝁䅫条瑂䝁䅕睚求䝁䄴䅉䍂䍁䄴杖畁䅁䅁睌䅅䉁䅯䅁䥂䙁䅑杊䙂䍁䅁䅔灂䝁䄰兡あ䝁䅕䅚䅁佁䅳䅁歁䅁䅁䅓婂䕁䄸杓䩂䙁䅑睔杁䕁䅍睢畁䍁䅷䅉䵂䡁䅑䅚畁䅁䅁睺䅁䉁䅁䅁䥂䝁䅅兢楂䡁䅕杣湂䅁䅁睐䅁䝁䅁䅁䥂䝁䅅兢楂䡁䅕杣湂䝁䅕杣杁䕁䅧兙浂䝁䅕杢杁䡁䅕杢歂䍁䅁䅔療䝁䅣兡穂䡁䅑兡牂䍁䅁兑牂䡁䅑兡求䝁䄴睚求䡁䅍党獂䝁䅷督橂䝁䅧兙浂䡁䅑䅁噂䅁䅁朶䅫䕁䅧兙瑂䝁䅉兤祂䝁䅣党祂䍁䅁䅓桂䝁䅙党畂䍁䅁兤畂䝁䅑䅉䵂䝁䄸睚灂䡁䅍䅤灂䝁䅳䅉䉂䝁䅳䅤灂䝁䅕杢湂䝁䅕督求䝁䅷䅢穂䝁䅍䅡桂䝁䅙䅤獁䍁䅁䅤療䝁䅣党あ䝁䅧党祂䍁䅁睤灂䡁䅑䅡杁䝁䅫䅤穂䍁䅁督ㅂ䝁䅉督灂䝁䅑兡桂䡁䅉兡求䡁䅍䅌杁䝁䄸䅣求䡁䅉兙あ䝁䅕督杁䝁䅅督杁䝁䅅䅉睂䝁䄸杣あ䍁䅁兙畂䝁䅑䅉あ䡁䅉兙畂䡁䅍䅣療䡁䅉䅤杁䝁䅷睢湂䝁䅫督あ䝁䅫睙穂䍁䅁睙療䝁䄰䅣桂䝁䄴入杁䝁䅫杢杁䕁䅣党祂䝁䄰兙畂䡁䅫䅌杁䡁䅉党穂䡁䅑䅉療䝁䅙䅉䙂䡁䅕杣療䡁䅁党桂䝁䄴䅉噂䝁䄴兡療䝁䄴䅌杁䝁䅅杢歂䍁䅁兡畂䡁䅑党祂䝁䄴兙あ䝁䅫睢畂䝁䅅䅢獂䡁䅫杌杁䕁䅫䅤杁䝁䄸䅣求䡁䅉兙あ䝁䅕督杁䡁䅑䅡祂䝁䄸兤湂䝁䅧䅉浂䝁䄸兤祂䍁䅁督求䝁䅣兢求䝁䄴䅤穂䑁䅯䅉䑂䝁䄸杢あ䝁䅅兡畂䝁䅕杣獁䍁䅁兓畂䡁䅑党祂䝁䄰睢歂䝁䅅䅢獁䍁䅁䅔療䝁䅣兡穂䡁䅑兡橂䡁䅍䅌杁䝁䅅杢歂䍁䅁杕求䝁䅅䅢杁䕁䅕督あ䝁䅅䅤求䍁䄴䅉啂䝁䅧党杁䝁䅍睢瑂䡁䅁兙畂䡁䅫䅉療䡁䅁党祂䝁䅅䅤求䡁䅍䅉あ䝁䅧杣求䝁䅕䅉橂䝁䄸杢あ䝁䅅兡畂䝁䅕杣杁䡁䅑党祂䝁䄰兡畂䝁䅅䅢穂䍁䅁兡畂䍁䅁䅓桂䝁䄰杙ㅂ䡁䅉睚㝁䍁䅁兙畂䝁䅑䅉橂䝁䄸杢あ䝁䅅兡畂䝁䅕杣杁䡁䅑党祂䝁䄰兡畂䝁䅅䅢穂䍁䅁兡畂䍁䅁睔歂䝁䅕督穂䝁䅅䅌杁䙁䅕睡祂䝁䅅兡畂䝁䅕䅌杁䝁䅅杢歂䍁䅁䅖桂䝁䅷䅢灂䝁䄴杢獁䍁䅁兒穂䡁䅑睢畂䝁䅫兙獁䍁䅁兙穂䍁䅁睤求䝁䅷䅢杁䝁䅅督杁䝁䅫杢杁䙁䅑杣灂䝁䅕督あ䝁䅕䅌杁䕁䅫䅤桂䝁䅷入畁䍁䅁兓あ䍁䅁兙獂䡁䅍睢杁䝁䄸杚浂䝁䅕杣穂䍁䅁兡畂䡁䅑党祂䝁䄰睢歂䝁䅅䅢杁䡁䅍党祂䡁䅙兡橂䝁䅕督杁䡁䅑䅡桂䡁䅑䅉橂䝁䄸杢畂䝁䅕睙あ䍁䅁䅣療䡁䅉䅤穂䍁䅁睢畂䍁䅁䅤潂䝁䅕䅉佂䝁䄸杣あ䝁䅧䅉桂䝁䄴䅚杁䕁䅉兙獂䡁䅑兡橂䍁䅁督求䝁䅅督獁䍁䅁兙畂䝁䅑䅉楂䝁䅕䅤㍂䝁䅕党畂䍁䅁䅤潂䝁䅕䅉佂䝁䄸杣あ䝁䅧党祂䝁䄴䅉䉂䝁䅑杣灂䝁䅅䅤灂䝁䅍䅉桂䝁䄴䅚杁䝁䅫䅤穂䍁䅁䅡灂䝁䄴䅤求䡁䅉䅢桂䝁䄴䅚獁䍁䅁兙穂䍁䅁睤求䝁䅷䅢杁䝁䅅督杁䝁䅫杢獂䝁䅅杢歂䍁䅁䅤求䡁䅉兢灂䝁䄴兙獂䡁䅍杌杁䕁䅫杢杁䝁䅅䅚歂䝁䅫䅤灂䝁䄸杢獁䍁䅁䅤潂䝁䅕䅉橂䝁䄸兢睂䝁䅅杢㕂䍁䅁䅣祂䝁䄸杤灂䝁䅑党穂䍁䅁督睂䝁䅕睙灂䝁䅅䅢灂䡁䅍䅤杁䝁䅧兙畂䝁䅑䅢灂䝁䄴睚獁䍁䅁䅚灂䝁䅣兡あ䝁䅅䅢獁䍁䅁兙畂䝁䅑䅉橂䝁䄸杢穂䡁䅕䅢あ䝁䅫杢湂䍁䅁兙畂䝁䅑䅉瑂䝁䅅杢桂䝁䅣党瑂䝁䅕杢あ䍁䅁督求䡁䅉杤灂䝁䅍党穂䑁䅳䅉桂䝁䄴䅚杁䡁䅁杣療䝁䅍党穂䡁䅍䅉桂䡁䅕䅤療䝁䄰兙あ䝁䅫睢畂䍁䅷䅉桂䝁䅑䅚灂䡁䅑兡㉂䝁䅕䅉瑂䝁䅅杢ㅂ䝁䅙兙橂䡁䅑兤祂䝁䅫杢湂䍁䅷䅉桂䝁䄴䅚杁䝁䅅兡祂䝁䅉睢祂䝁䄴党杁䝁䅷睢湂䝁䅫督あ䝁䅫睙穂䍁䅁督求䡁䅉杤灂䝁䅍党穂䍁䅷䅉桂䡁䅍䅉㍂䝁䅕䅢獂䍁䅁兙穂䍁䅁䅚求䡁䅙党獂䝁䄸䅣穂䍁䅷䅉祂䝁䅕杢あ䡁䅍䅌杁䝁䅅杢歂䍁䅁兢桂䝁䄴兙湂䝁䅕督杁䡁䅉党桂䝁䅷䅉求䡁䅍䅤桂䡁䅑党杁䡁䅁杣療䡁䅁党祂䡁䅑兡求䡁䅍杌杁䕁䅙兤祂䡁䅑䅡求䡁䅉䅌杁䝁䅫䅤杁䝁䄸䅣求䡁䅉兙あ䝁䅕督杁䝁䄸杚浂䝁䅫睙求䍁䅁督睂䝁䅅睙求䍁䅁兙畂䝁䅑䅉橂䝁䄸兢瑂䝁䅕杣橂䝁䅫兙獂䍁䅁䅣祂䝁䅕兢灂䡁䅍党穂䍁䄴䅉啂䝁䅧党杁䝁䅍睢瑂䡁䅁兙畂䡁䅫䅉㍂䝁䅅督杁䝁䅙睢祂䝁䄰党祂䝁䅷入杁䝁䅳杢療䡁䅣杢杁䝁䅅督杁䕁䅧兙瑂䝁䅉兤祂䝁䅣党祂䍁䅁䅓桂䝁䅙党畂䍁䄰䅉ㅂ䝁䄴䅚杁䕁䅷兙湂䝁䅕杣潂䝁䅅兤穂䍁䄰兑䡂䍁䅁兙畂䝁䅑䅉橂䝁䅧兙畂䝁䅣党歂䍁䅁兡あ䡁䅍䅉畂䝁䅅兢求䍁䅁䅤療䍁䅁䅓桂䝁䄰杙ㅂ䡁䅉睚求䡁䅉䅉䥂䝁䅅杚求䝁䄴䅉ㅂ䝁䄴䅚杁䕁䅷睢湂䝁䅫督あ䝁䅫睡杁䕁䅅睡あ䝁䅫党畂䝁䅣党穂䝁䅕䅢獂䡁䅍睙潂䝁䅅杚あ䍁䅁兡畂䍁䅁杍睁䑁䅁兎畁䍁䅁䅖潂䝁䅕䅉橂䝁䄸兢睂䝁䅅杢㕂䍁䅁睤桂䡁䅍䅉浂䝁䄸兤畂䝁䅑党歂䍁䅁兡畂䍁䅁免㑁䑁䅧兎杁䝁䅅杢歂䍁䅁兡穂䍁䅁䅡求䝁䅅䅚硂䡁䅕兙祂䡁䅑党祂䝁䅕䅚杁䝁䅫杢杁䕁䅧兙瑂䝁䅉兤祂䝁䅣䅌杁䕁䅣党祂䝁䄰兙畂䡁䅫杌杁䕁䅧兙瑂䝁䅉兤祂䝁䅣党祂䍁䅁䅓桂䝁䅙党畂䍁䅁兤畂䝁䅑䅉䵂䝁䄸睚灂䡁䅍䅤灂䝁䅳䅉䉂䝁䅳䅤灂䝁䅕杢湂䝁䅕督求䝁䅷䅢穂䝁䅍䅡桂䝁䅙䅤杁䝁䅫督杁䝁䅅䅉穂䡁䅕杙穂䝁䅫䅚灂䝁䅅杣㕂䍁䅁睢浂䍁䅁䅓䡂䙁䅙䅉䥂䝁䅅兢楂䡁䅕杣湂䝁䅕杣杁䕁䅣党穂䝁䅕䅢獂䡁䅍睙潂䝁䅅杚あ䍁䅁杚㡄䡁䅉䅉坂䝁䅕杣瑂偁䅙睚求䝁䄴督瑁䍁䅁兤畂䝁䅑䅉䍂䝁䅕䅤求䝁䅫䅢灂䝁䅣兤畂䝁䅣督瑂䝁䅅杢桂䝁䅣党瑂䝁䅕杢あ䍁䅁兢楂䕁䅧杌䅁䙁䅙䅁允䅁䅁䅓桂䝁䄴睢㉂䝁䅕杣䅁䙁䉧䅁煁䅁䅁䅓求䝁䅅䅢あ䝁䅧䅉䑂䝁䅅杣求䍁䅁睕求䡁䅉杤灂䝁䅍党穂䅁䅁睙䅅䉁䅙䅁䥂䝁䅕䅚求䝁䅧兤穂䝁䅕杢求䅁䅁䅊䅅䉁䅉䅁䥂䝁䅕䅢獂䝁䅕杣ㅂ䡁䅁䅁晁允䅁杅䅁䕁䅧党獂䡁䅍兡畂䝁䅳兡䅁䕁䅍䅁杁䅁䅁䅓求䝁䄰党獂䍁䅁䅓求䝁䄰䅣穂䡁䅑党桂䝁䅑䅁㡁允䅁䅏䅁䕁䅧兡療䝁䅷䅢求䍁䅁䅒求䡁䅙党獂䝁䄸䅣睂䝁䅕兢求䝁䄴䅤杁䙁䅍杌䉂䍁䄴睕畁䅁䅁䅩䅅䍁䄴䅁䥂䝁䅫睢獂䝁䅷党杁䕁䅫杢歂䡁䅕督あ䡁䅉兡求䡁䅍䅉呂䍁䄴兑畁䅁䅁杬䅅䉁䅑䅁䥂䝁䄸杢湂䍁䅁睓療䝁䄴睚䅁佁䄴䅁十䅁䅁䅓㉂䝁䅫䅚療䡁䅙杣求䅁䅁睍䅁䕁䅉䅁䥂䡁䅫䅚祂䝁䄸䅉䉂䝁䅫杣杁䙁䅉党穂䝁䅕兙祂䝁䅍䅡杁䕁䅫䅤桂䝁䅷兡桂䍁䅁督畁䡁䅉杌獂䍁䄴䅁䑃允䅁杅䅁䕁䅫睑呂䕁䅕杏䙂䕁䅫兔䅁䍁䅅䅁獁䅁䅁兓䕂䍁䅁䅔療䝁䅣兡穂䡁䅑兡橂䡁䅍䅉䡂䡁䅉睢ㅂ䡁䅁䅉呂䕁䅅䅁摂䅁䅁杷䅑䕁䅫䅒杁䕁䅷睢湂䝁䅫督あ䝁䅫睙穂䍁䅁睒祂䝁䄸兤睂䍁䅁睕䉂䍁䅁䅣祂䝁䄸杤灂䝁䅑党穂䍁䅁睙療䝁䄴䅤祂䝁䅅睙あ䍁䅁䅢療䝁䅣兡穂䡁䅑兡橂䡁䅍䅉穂䝁䅕杣㉂䝁䅫睙求䡁䅍䅉灂䝁䄴䅉䝂䡁䅉兙畂䝁䅍党杁䝁䅅杢歂䍁䅁兡畂䡁䅑党祂䝁䄴兙あ䝁䅫睢畂䝁䅅䅢獂䡁䅫杌杁䕁䅫䅤杁䡁䅁杣療䡁䅙兡歂䝁䅕督杁䡁䅣兙祂䝁䅕䅡療䡁䅕督灂䝁䄴睚杁䝁䅅杢歂䍁䅁杤桂䝁䅷兤求䍁䄰兙歂䝁䅑党歂䍁䅷䅉あ䡁䅉兙畂䡁䅍䅣療䡁䅉䅤杁䝁䅅杢歂䍁䅁杚獂䝁䄸睤杁䝁䄸杣湂䝁䅅杢灂䡁䅯兙あ䝁䅫睢畂䍁䅷䅉桂䝁䄴䅚杁䡁䅍兤睂䡁䅁䅢㕂䍁䅁睙潂䝁䅅兡畂䍁䅁睢睂䡁䅑兡瑂䝁䅫来桂䡁䅑兡療䝁䄴䅉穂䝁䅕杣㉂䝁䅫睙求䡁䅍杌杁䙁䅑䅡求䍁䅁睙療䝁䄰䅣桂䝁䄴入杁䝁䅅䅢穂䝁䄸䅉療䝁䅙杚求䡁䅉督杁䝁䅍睢瑁䡁䅁兙橂䝁䅳兡畂䝁䅣䅉桂䝁䄴䅚杁䡁䅍兡あ䝁䅕䅉桂䡁䅕䅤療䝁䄰兙あ䝁䅫睢畂䍁䅁督求䡁䅉杤灂䝁䅍党穂䍁䄴䅉䩂䝁䄴䅉桂䝁䅑䅚灂䡁䅑兡療䝁䄴䅌杁䝁䅫䅤杁䡁䅁杣療䡁䅙兡歂䝁䅕督杁䡁䅑兤祂䝁䄴睡求䡁䅫䅉睂䡁䅉睢煂䝁䅕睙あ䍁䅁䅚求䝁䅷兡㉂䝁䅕杣㕂䍁䅁兙畂䝁䅑䅉求䍁䄰睙療䝁䄰兢求䡁䅉睙求䍁䅁督療䝁䅷兤あ䝁䅫睢畂䡁䅍睏杁䝁䅅杢歂䍁䅁睢睂䝁䅕杣桂䡁䅑党穂䍁䅁兙睂䡁䅁杣療䡁䅧兡瑂䝁䅅䅤求䝁䅷入杁䑁䅍李ㅁ䍁䅁督灂䡁䅑党穂䍁䅁兙橂䡁䅉睢穂䡁䅍䅉硁䑁䅣䅉橂䝁䄸兤畂䡁䅑杣灂䝁䅕督畁䍁䅁䅖潂䝁䅕䅉橂䝁䄸兢睂䝁䅅杢㕂䍁䅁督求䡁䅉杤求䡁䅍䅉橂䡁䅕督あ䝁䄸兢求䡁䅉督杁䝁䅫杢杁䡁䅑䅡求䍁䅁杒乂䕁䅍睒獁䍁䅁党瑁䝁䅍睢瑂䝁䄰党祂䝁䅍党獁䍁䅁䅡灂䝁䅣䅡瑁䡁䅑党橂䝁䅧䅌杁䝁䅍睢穂䝁䄰党あ䝁䅫睙穂䍁䅁兙畂䝁䅑䅉浂䡁䅉兙湂䡁䅉兙畂䝁䅍党獁䍁䅁杚桂䡁䅍䅡灂䝁䄸杢獁䍁䅁兡畂䝁䅑兤穂䡁䅑杣灂䝁䅅䅢獁䍁䅁兙畂䝁䅑䅉祂䝁䅕䅤桂䝁䅫䅢杁䡁䅍党橂䡁䅑睢祂䡁䅍杌杁䙁䅑䅡求䍁䅁睙療䝁䄰䅣桂䝁䄴入杁䡁䅣兙穂䍁䅁兡畂䝁䅍睢祂䡁䅁睢祂䝁䅅䅤求䝁䅑䅉灂䝁䄴䅉祁䑁䅁䅍硁䍁䅁兙畂䝁䅑䅉灂䡁䅍䅉潂䝁䅕兙歂䡁䅅兤桂䡁䅉䅤求䡁䅉党歂䍁䅁兡畂䍁䅁睔祂䝁䅣睢畂䍁䅷䅉䝂䡁䅉兙畂䝁䅍党䅁䕁䅫䅁坁䅁䅁兓剂䑁䅕䅍睁䑁䅉睎ㅁ䑁䅍䅎䅁䅁䉯䅁奁䅁䅁兓剂䙁䄸杔䙂䙁䅑睘䕂䕁䅕村啂䅁䅁六䅅䉁䅷䅁䩂䙁䅅睘卂䕁䅅䅖䙂䙁䄸䅔䙂䙁䅙兒䵂䅁䅁睃䅅䅁䄴䅁䩂䙁䅅睘啂䕁䅕杖䅁䉁䄸䅁奁䅁䅁兓剂䙁䄸䅖䙂䙁䅙睘䙂䕁䅉兓啂䅁䅁杏䅁䉁䅷䅁䩂䙁䅅睘啂䕁䅕杖時䕁䅕村䩂䙁䅑䅒䉂䅁䅁䅇䅁䉁䅙䅁䩂䙁䅅睘啂䕁䅕杖時䙁䅉兒坂䅁䅁䅰䅁䍁䅉䅁䩂䙁䅅睘啂䕁䅕杖時䙁䅑睔啂䕁䅅䅔時䙁䅉兒坂䅁䅁睌䅁䉁䅯䅁䩂䙁䅅睘啂䕁䄸䅖䉂䕁䅷睘卂䕁䅕杖䅁䕁䄸䅁楁䅁䅁兓剂䙁䄸䅖偂䙁䅑兑䵂䙁䄸杕䙂䙁䅙睘䙂䙁䅍䅖䅁偁䄴䅁獁䅁䅁兓剂䙁䄸䅖卂䙁䄸兓乂䙁䅁䅔䩂䕁䅕䅒時䕁䅕杖時䕁䅕村䩂䙁䅑䅁桃䅁䅁䅍䅁䕁䅫兕時䙁䅑杕時䕁䅫兔兂䕁䅷兓䙂䕁䅑睘䙂䙁䅙睘䙂䕁䅉兓啂䕁䅑兑䅁䭁䅁䅁煁䅁䅁兓剂䙁䄸䅖卂䙁䄸兓乂䙁䅁䅔䩂䕁䅕䅒時䕁䅕杖時䙁䅉党㉂䅁䅁杯䅁䉁䅁䅁䩂䝁䅍党獂䝁䅅杢歂䅁䅁杍䅁䅁䅷䅁䩂䝁䄴䅚灂䝁䅅䅁奄䅁䅁杙䅁䕁䅫杢歂䡁䅕督あ䡁䅉兡桂䝁䅷䅉乂䝁䅅睙潂䝁䅫杢求䡁䅉入杁䝁䅅杢歂䍁䅁睕ㅂ䡁䅁䅣獂䝁䅫党穂䍁䅁兙畂䝁䅑䅉䑂䝁䄸兢睂䝁䄸杢求䝁䄴䅤穂䅁䅁杔䅅䉁䅁䅁䩂䝁䄴督求䡁䅉䅤桁䅁䅁䅆䅅䕁䅁䅁䩂䝁䄴䅤求䡁䅉杙求䡁䅍䅤杁䕁䅉杌坂䍁䄴睌佂䝁䅣兙湂䝁䅕䅉乂䝁䅕䅚灂䝁䅅䅉䍂䍁䄴杖畁䅁䅁儹䅁䍁䅯䅁䩂䝁䄴䅤求䡁䅉杚療䡁䅉䅉䑂䝁䄸杣睂䝁䄸杣桂䡁䅑兡療䝁䄴䅁穁允䅁杈䅁䕁䅫杢㉂䝁䅕督あ䝁䄸杣杁䕁䅣杣療䡁䅕䅣䅁䍁䉳䅁䵁䅁䅁兓あ䝁䅅䅢㕂䅁䅁䅢䅅䉁䄴䅁䭂䕁䅉杒杁䕁䅙兡畂䝁䅅杢橂䝁䅕䅉呂䕁䅅䅁偃允䅁䅇䅁䕁䅯睑䕂䝁䅕睙桂䡁䅕䅥杁䙁䅍兒䅁乁䅉䅁楁䅁䅁杓桂䝁䄰党穂䍁䅁䅔桂䡁䅑䅡桂䝁䄰䅉睂䝁䅷睙䅁䑁䈸䅁䵁䅁䅁杓桂䡁䅁兙畂䅁䅁䅵䅁䉁䅁䅁䱂䝁䅅督あ䝁䄸杣浂䅁䅁睅䅅䑁䅧䅁䱂䝁䄸睡ㅂ䡁䅍兙灂䍁䅁䅕ㅂ䝁䅷䅣流䙁䅁兙睂䝁䅕杣杁䕁䅍睢畁䍁䅷䅔あ䝁䅑杌䅁䍁䈰䅁䅂䅁䅁䅔杁䕁䅕䅉䵂䡁䅕杢歂䝁䅉党祂䝁䅣杚㉄䡁䅉党あ䝁䅅睚求䝁䄴䅉䉂䕁䅉䅉潁䡁䅁兤楂䝁䅷克䅁䩁䉍䅁允䅁䅁䅔呂䕁䅕杏塂䕁䅫杔䅁䅁䅯䅁䥁䅁䅁䅔啂䕁䄰䅁剁䅁䅁䅎䅁䕁䅷兙瑂䝁䅅杣杁䕁䅅䅚㉂䝁䅕杣あ䝁䅫督灂䝁䄴睚杁䕁䅍睢瑂䡁䅁兙畂䡁䅫䅁啄䅁䅁杄䅁䕁䅷党灂䝁䅑党畂䅁䅁睑䅅䑁䅁䅁䵂䝁䅕兡畂䝁䅙党獂䝁䅑党畂䍁䄰兒橂䝁䅧䅤求䡁䅉䅚灂䝁䄴睚求䝁䄴䅁歂允䅁杆䅁䕁䅷党㉂䝁䅕杣牂䡁䅕督求䝁䄴䅁桂允䅁䅆䅁䕁䅷兡あ䝁䅧兤桂䝁䄴兡桂䅁䅁公䅁䅁䄴䅁䵂䝁䄸杢歂䝁䄸杢䅁䕁䄰䅁䵂䅁䅁䅔療䝁䄴党杁䙁䅍䅤桂䡁䅉䅉䉂䝁䄰党祂䝁䅫睙桂䡁䅍䅉䉂䝁䅍兣ㅂ䝁䅫督灂䡁䅑兡療䝁䄴督獁䍁䅁兓畂䝁䅍杌䅁䥁䉁䅁坁䅁䅁䅔療䡁䅕兡穂䡁䅙兡獂䝁䅷党䅁䵁䅳䅁獁䅁䅁䅔ㅂ䝁䅑睤灂䝁䅣督潂䝁䅅杚求䝁䄴䅉桂䝁䄰䅉卂䝁䅧党灂䝁䄴䅁祂允䅁杇䅁䕁䅷入歂䝁䅅䅢獂䍁䅷䅉䩂䝁䄴睙畁䅁䅁督䅅䅁䅯䅁䵂䡁䅫睢畂䅁䅁兊䅁䉁䄴䅁乂䍁䅙兑杁䍁䄰䅉乂䝁䅫杢療䡁䅉兡あ䡁䅫䅁䑃䅁䅁䅇䅁䕁䄰杊䉂䍁䅁兌杁䙁䅣䅡療䝁䅷党䅁䩁䅫䅁潁䅁䅁兔䩂䙁䄸䅕卂䕁䅫兔䉂䙁䅉兗時䕁䅫杔䕂䙁䅕睕啂䙁䅉兗䅁䅁䅧䅁⭂䅁䅁兔桂䝁䅍䅡灂䝁䄴党祂䡁䅫䅉桂䝁䄴䅚杁䕁䅕兣ㅂ䝁䅫䅣瑂䝁䅕杢あ䑁䅯䅉䑂䝁䄸杢穂䡁䅑杣ㅂ䝁䅍䅤灂䝁䄸杢杁䝁䅅杢歂䍁䅁䅓求䝁䅅杤㕂䍁䅁䅖祂䝁䅅杢穂䡁䅁睢祂䡁䅑兙あ䝁䅫睢畂䅁䅁杗䅅䑁䅑䅁乂䝁䅅杣灂䝁䄴党杁䙁䅁睢祂䡁䅑督杁䝁䅅杢歂䍁䅁睕求䡁䅉杤灂䝁䅍党穂䅁䅁䅐䅁䍁䅷䅁乂䝁䅅杣灂䝁䄴党杁䙁䅑杣桂䝁䄴督睂䝁䄸杣あ䝁䅅䅤灂䝁䄸杢䅁䍁䅣䅁捁䅁䅁兔桂䡁䅉睡求䡁䅑督畁䙁䅫兡求䝁䅷䅚䅁䅁䉣䅁䍂䅁䅁兔桂䡁䅍䅤求䡁䅉䅉䉂䝁䅑䅉兂䡁䅕杙獂䝁䅫睙杁䕁䅍睢瑂䡁䅁兙畂䡁䅫䅉䵂䝁䅫兢灂䡁䅑党歂䅁䅁儰䅁䕁䅉䅁乂䝁䅍杙ㅂ䡁䅉杢求䡁䅫䅉啂䡁䅉兙畂䡁䅍䅣療䡁䅉䅤杁䕁䅣杣療䡁䅕䅣杁䕁䅷兡瑂䝁䅫䅤求䝁䅑䅁祁允䅁䅉䅁䕁䄰兤獂䡁䅑兡瑁䙁䅕䅤灂䝁䅷兡あ䝁䅫党穂䅁䅁兡䅅䅁䄴䅁乂䡁䅕杢灂䝁䅍䅡䅁䑁䈴䅁䝁䅁䅁杔䉂䅁䅁杁䅁䉁䅷䅁佂䕁䅅睕䕂䕁䅅兕䑂䕁䄰杏䑂䙁䅉兒奂䅁䅁共䅁䉁䅷䅁佂䕁䅅睕䕂䕁䅅兕䡂䙁䅍杏䵂䕁䅅兔卂䅁䅁杲䅁䅁䅙䅁佂䕁䄰䅁呂䅁䅁杇䅁䕁䄴睕䙂䕁䅫杏䑂䙁䅉兑婂䕁䄸杔呂䅁䅁儱䅁䑁䄴䅁佂䙁䅑睒杁䕁䄴睢祂䝁䅑兡橂䍁䅁䅖祂䝁䅅杢穂䡁䅁睢祂䡁䅑䅉䡂䡁䅉睢ㅂ䡁䅁䅉䉂䍁䄸睕䅁䍁䅷䅁流权䅁杔啂䕁䅣䅉佂䝁䄸杣歂䝁䅫睙杁䙁䅑杣桂䝁䄴督睂䝁䄸杣あ䍁䅁睒祂䝁䄸兤睂䍁䅁兑癁䙁䅍䅌杁䡁䅑䅡祂䝁䄸兤湂䝁䅧䅉灂䡁䅑督杁䡁䅍兤楂䡁䅍兡歂䝁䅫兙祂䝁䅫党穂䍁䅷䅉睂䡁䅉睢㉂䝁䅫䅚求䡁䅍䅉桂䡁䅍督求䡁䅑兌獂䝁䅫睚潂䡁䅑䅉浂䡁䅉党灂䝁䅣䅡あ䍁䅁杚療䡁䅉睤桂䡁䅉䅚灂䝁䄴睚杁䡁䅍党祂䡁䅙兡橂䝁䅕督杁䡁䅑䅡祂䝁䄸兤湂䝁䅧䅉祂䝁䄸兙歂䍁䅷䅉祂䝁䅅兡獂䍁䅷䅉桂䝁䅫杣獁䍁䅁兙畂䝁䅑䅉療䝁䅍党桂䝁䄴䅉灂䝁䄴䅉䕂䝁䅕杢瑂䝁䅅杣牂䍁䅷䅉呂䡁䅣党歂䝁䅕杢獁䍁䅁䅤潂䝁䅕䅉噂䝁䄴兡あ䝁䅕䅚杁䙁䅍䅤桂䡁䅑党穂䍁䅷䅉䡂䝁䅕杣瑂䝁䅅杢㕂䍁䅷䅉䝂䝁䅫杢獂䝁䅅杢歂䍁䅷䅉桂䝁䄴䅚杁䝁䅫杢あ䝁䅕杣畂䝁䅅䅤灂䝁䄸杢桂䝁䅷䅢㕂䍁䄴䅉啂䝁䅧党杁䝁䅍睢瑂䡁䅁兙畂䡁䅫䅉療䡁䅁党祂䝁䅅䅤求䡁䅍䅉あ䝁䅧杣療䡁䅕睚潂䍁䅁䅤㍂䝁䄸䅉穂䝁䅕睚瑂䝁䅕杢あ䡁䅍䅌杁䙁䅉睢桂䝁䅑䅉流䍁䅁䅔療䝁䅣兡穂䡁䅑兡橂䡁䅍䅉桂䝁䄴䅚杁䕁䅅兡祂䍁䅁杊杁䕁䄸睙求䝁䅅杢畁䍁䅁兓あ䍁䅁睢浂䝁䅙党祂䡁䅍䅉睂䡁䅉睢煂䝁䅕睙あ䍁䅁䅤祂䝁䅅杢穂䡁䅁睢祂䡁䅑兙あ䝁䅫睢畂䍁䅷䅉灂䝁䄴睙獂䡁䅕䅚灂䝁䄴睚杁䙁䅉睢卂䝁䄸䅌杁䝁䄸杤求䡁䅉督灂䡁䅯党歂䍁䅁睙桂䡁䅉睚療䍁䅷䅉楂䡁䅉党桂䝁䅳䅉楂䡁䅕䅢牂䍁䄸䅡求䝁䅅杤㕂䍁䅁䅢療䝁䅅䅚穂䍁䅷䅉睂䝁䄸兡畂䡁䅑䅉あ䝁䄸䅉睂䝁䄸兡畂䡁䅑睌橂䡁䅉睢穂䡁䅍䅉あ䡁䅉兙歂䝁䅕睌あ䝁䅧兡祂䝁䅑䅉睂䝁䅅杣あ䡁䅫䅉獂䝁䄸睚灂䡁䅍䅤灂䝁䅍督獁䍁䅁杤求䡁䅍督求䝁䅷䅉橂䝁䅧兙祂䡁䅑党祂䍁䅷䅉桂䝁䅫杣杁䝁䅍䅡桂䡁䅉䅤求䡁䅉䅌杁䝁䅧兙㙂䝁䅅杣歂䝁䄸兤穂䍁䅁睚療䝁䄸䅚穂䍁䅷䅉あ䡁䅕杣畂䝁䅳党㕂䍁䅁䅤祂䝁䅅杢穂䡁䅁睢祂䡁䅑䅌杁䝁䅅杢歂䍁䅁督ㅂ䡁䅉杤求䝁䅫䅢獂䝁䅅杢橂䝁䅕䅉桂䝁䄴䅚杁䡁䅉党睂䝁䄸杣あ䝁䅫杢湂䍁䅁督求䡁䅉杤灂䝁䅍党穂䑁䅳䅉あ䡁䅉兙畂䡁䅍䅣療䡁䅉䅤杁䝁䅍睢畂䡁䅍兤獂䡁䅑兡畂䝁䅣䅉穂䝁䅕杣㉂䝁䅫睙求䡁䅍䅌杁䡁䅍兤橂䝁䅧䅉桂䡁䅍䅉㉂䝁䅕督穂䝁䅕䅢杁䝁䅷睢桂䝁䅑䅉穂䡁䅕杣㉂䝁䅕入灂䝁䄴睚獁䍁䅁杤求䝁䅷䅢求䡁䅍䅉療䡁䅁党祂䝁䅅䅤灂䝁䄸杢穂䍁䅷䅉睂䝁䅅睙牂䝁䅅睚灂䝁䄴睚杁䝁䅅杢歂䍁䅁督求䝁䅍兤祂䝁䅫杢湂䍁䅁睙療䝁䄴䅤祂䝁䄸䅢獁䍁䅁党㑂䡁䅁睢祂䡁䅑睌灂䝁䄰䅣療䡁䅉䅤杁䝁䅑睢橂䡁䅕兢求䝁䄴䅤杁䝁䅍睢畂䡁䅑杣療䝁䅷䅌杁䝁䅍兤穂䡁䅑睢瑂䡁䅍䅉橂䝁䅷党桂䡁䅉兙畂䝁䅍党獁䍁䅁䅡求䝁䅅杤㕂䍁䅁䅢灂䝁䅙䅤灂䝁䄴睚杁䝁䅅杢歂䍁䅁䅢療䝁䅅䅚杁䡁䅁䅢桂䝁䄴杢灂䝁䄴睚獁䍁䅁兙畂䝁䅑䅉祂䝁䅕䅣療䡁䅉䅤灂䝁䄴睚杁䡁䅍党祂䡁䅙兡橂䝁䅕督㝁䍁䅁兙畂䝁䅑䅉㍂䝁䅅杣求䝁䅧睢ㅂ䡁䅍兡畂䝁䅣睌獂䝁䄸睚灂䡁䅍䅤灂䝁䅍督杁䡁䅍睢獂䡁䅕䅤灂䝁䄸杢穂䍁䅁睙療䝁䄰䅣祂䝁䅫督灂䝁䄴睚杁䡁䅕杢獂䝁䄸兙歂䝁䅫杢湂䍁䅁睢浂䍁䅁睙療䝁䄴䅤桂䝁䅫杢求䡁䅉督獁䍁䅁督あ䝁䄸睙牂䍁䅁兢桂䝁䄴兙湂䝁䅕兢求䝁䄴䅤獁䍁䅁杙療䝁䄴䅚求䝁䅑䅉㍂䝁䅅杣求䝁䅧睢ㅂ䡁䅍党獁䍁䅁䅣灂䝁䅍睡杁䝁䅅杢歂䍁䅁䅣桂䝁䅍睡獁䍁䅁杤桂䝁䅷兤求䍁䅁兙歂䝁䅑党歂䍁䅁督求䡁䅉杤灂䝁䅍党穂䍁䅷䅉橂䝁䅧党瑂䝁䅫睙桂䝁䅷䅉獂䝁䄸睚灂䡁䅍䅤灂䝁䅍督獁䍁䅁兙畂䝁䅑䅉潂䝁䅅来桂䡁䅉䅚療䡁䅕督杁䝁䅣睢療䝁䅑督杁䡁䅍䅤療䡁䅉兙湂䝁䅕䅉穂䝁䅕杣㉂䝁䅫睙求䡁䅍杌杁䙁䅑䅡求䍁䅁睙療䝁䄰䅣桂䝁䄴入杁䝁䅅䅢穂䝁䄸䅉睂䡁䅉睢㉂䝁䅫䅚求䡁䅍䅉橂䡁䅕督あ䝁䄸兢杁䝁䅍䅢求䝁䅅杣桂䝁䄴睙求䍁䅁督求䡁䅉杤灂䝁䅍党穂䑁䅳䅉求䡁䅧䅣祂䝁䅕督穂䍁䅁督求䡁䅉杤灂䝁䅍党穂䑁䅳䅉桂䝁䄴䅚杁䝁䄸䅤潂䝁䅕杣杁䡁䅍党祂䡁䅙兡橂䝁䅕督獁䍁䅁督ㅂ䝁䅍䅡杁䝁䅅督杁䝁䅙兤祂䝁䄴兡あ䡁䅕杣求䍁䅁䅤祂䝁䅅杢穂䡁䅁睢祂䡁䅑䅌杁䝁䅫杢あ䝁䅕杣畂䝁䅅䅤灂䝁䄸杢桂䝁䅷䅉祂䝁䅕兢療䡁䅙兙獂䡁䅍䅌杁䝁䅅杢歂䍁䅁䅤求䝁䄰䅣求䡁䅉兙あ䡁䅕杣求䍁䄰睙療䝁䄴䅤祂䝁䄸䅢獂䝁䅕䅚杁䡁䅑杣桂䝁䄴督睂䝁䄸杣あ䍁䅷䅉桂䡁䅍䅉㍂䝁䅕䅢獂䍁䅁兙穂䍁䅁杣療䝁䅅䅚獁䍁䅁兙灂䡁䅉䅌杁䝁䅅杢歂䍁䅁督求䝁䅅䅉浂䡁䅉党灂䝁䅣䅡あ䍁䅁䅤祂䝁䅅杢穂䡁䅁睢祂䡁䅑兙あ䝁䅫睢畂䍁䅁督求䡁䅉杤灂䝁䅍党穂䍁䄴䅉佂䙁䅑睒杁䕁䄴睢祂䝁䅑兡橂䍁䅁䅖祂䝁䅅杢穂䡁䅁睢祂䡁䅑䅉䡂䡁䅉睢ㅂ䡁䅁䅉䉂䍁䄸睕杁䡁䅣兙穂䍁䅁杚療䡁䅕杢歂䝁䅕䅚杁䝁䅫杢杁䑁䅉䅍硁䑁䅅䅉桂䝁䄴䅚杁䝁䅫督杁䝁䅉兙穂䝁䅕䅚杁䝁䅫杢杁䕁䅧杤灂䝁䅑睢㉂䡁䅉党獁䍁䅁䅒求䝁䄴兢桂䡁䅉睡畁䅁䅁䅙䅁䉁䅉䅁佂䙁䅫睕䙂䑁䅯睑䑂䕁䄸䅁慄䅁䅁杅䅁䕁䄴兗呂䕁䅕杏䕂䙁䅍䅗䅁䉁䅕䅁䵁䅁䅁杔桂䝁䅍睡桂䅁䅁䄯䅁䅁䄴䅁佂䝁䅅睚療䡁䅫兙䅁䱁䅣䅁祁䅁䅁杔求䡁䅁䅤ㅂ䝁䄴党杁䙁䅉党あ䝁䅅兡獂䍁䅁睕療䝁䅷兤あ䝁䅫睢畂䡁䅍䅁穄䅁䅁䅇䅁䕁䄴党あ䝁䅧党祂䝁䅷兙畂䝁䅑督䅁佁䄸䅁歁䅁䅁杔求䡁䅕兡獂䝁䅷入瑁䡁䅍兤祂䍁䄰睕求䝁䅫杢求䅁䅁兵䅁䑁䅙䅁佂䝁䅕兤穂䡁䅑兙歂䡁䅑䅉桂䝁䄴䅉歂䝁䅕杣杁䙁䅣党灂䝁䄴督あ䡁䅉兙晄䝁䅕䅁湂䅁䅁䅆䅁䕁䄴党㍂䍁䅁䅒求䝁䅷䅡灂䅁䅁儲䅁䍁䅧䅁佂䝁䄸兙あ䡁䅕兢杁䕁䅷睢湂䝁䅫督あ䝁䅫睙穂䍁䅁睕䵂䅁䅁来䅁䉁䅯䅁佂䝁䄸杣あ䝁䅧䅉呂䡁䅫䅚畂䝁䅕入䅁䵁䅑䅁畁䅁䅁杔ㅂ䡁䅉兢灂䝁䄴党畂䍁䅁䅔療䝁䅣兡穂䡁䅑兡橂䡁䅍䅉偂䡁䅫条䅁䙁䅳䅁㉁睁䅁杔ㅂ䡁䅉兢灂䝁䄴党畂䍁䅁䅔療䝁䅣兡穂䡁䅑兡橂䡁䅍䅉偂䡁䅫条杁䡁䅁杣療䡁䅙兡歂䝁䅕督杁䝁䅷睢湂䝁䅫督あ䝁䅫睙穂䍁䅁督求䡁䅉杤灂䝁䅍党穂䍁䅁兡畂䍁䅁杒灂䝁䄴䅢桂䝁䄴䅚獁䍁䅁杕ㅂ䡁䅍督灂䝁䅅䅌杁䝁䅅杢歂䍁䅁村桂䝁䅷䅤灂䝁䅍䅉橂䝁䄸兤畂䡁䅑杣灂䝁䅕督畁䍁䅁䅖潂䝁䅕䅉橂䝁䄸兢睂䝁䅅杢㕂䍁䅁睢浂䝁䅙党祂䡁䅍䅉祂䝁䅅兡獂䡁䅣兙㕂䍁䅁䅤祂䝁䅅杢穂䡁䅁睢祂䡁䅑䅌杁䝁䅣睢療䝁䅑督杁䝁䅧兙畂䝁䅑䅢灂䝁䄴睚獁䍁䅁䅤求䡁䅉兢灂䝁䄴兙獂䍁䅷䅉桂䝁䄴䅚杁䝁䅙睢祂䡁䅣兙祂䝁䅑兡畂䝁䅣䅉桂䝁䄴䅚杁䝁䅍兤穂䡁䅑睢瑂䡁䅍䅉橂䝁䅷党桂䡁䅉兙畂䝁䅍党杁䡁䅍党祂䡁䅙兡橂䝁䅕督獁䍁䅁兙穂䍁䅁睤求䝁䅷䅢杁䝁䅅督杁䝁䄰兤獂䡁䅑兡瑂䝁䄸䅚桂䝁䅷䅉あ䡁䅉兙畂䡁䅍䅣療䡁䅉䅤杁䡁䅍党祂䡁䅙兡橂䝁䅕督畁䍁䅁兓あ䍁䅁兙獂䡁䅍睢杁䡁䅁杣療䡁䅙兡歂䝁䅕督杁䡁䅣兙祂䝁䅕䅡療䡁䅕督灂䝁䄴睚杁䝁䅅杢歂䍁䅁䅚桂䝁䄴睚求䡁䅉睢ㅂ䡁䅍䅉穂䡁䅕杙穂䡁䅑兙畂䝁䅍党穂䍁䅁䅤祂䝁䅅杢穂䡁䅁睢祂䡁䅑兙あ䝁䅫睢畂䍁䅁督求䡁䅉杤灂䝁䅍党穂䍁䄴䅉佂䡁䅕杣瑂䝁䅫杢求䝁䄴䅉䵂䝁䄸睚灂䡁䅍䅤灂䝁䅍督杁䕁䄸入煂䍁䅁睤桂䡁䅍䅉浂䝁䄸兤畂䝁䅑党歂䍁䅁兡畂䍁䅁免㑁䑁䅧李杁䝁䅅杢歂䍁䅁兡穂䍁䅁䅡求䝁䅅䅚硂䡁䅕兙祂䡁䅑党祂䝁䅕䅚杁䝁䅫杢杁䕁䅧党獂䡁䅍兡畂䝁䅳兡獁䍁䅁杒灂䝁䄴䅢桂䝁䄴䅚畁䅁䅁杗䅁䉁䅉䅁偂䕁䄰杏䡂䙁䅉兒䙂䕁䄴䅁ㅁ允䅁䅋䅁䕁䄸睙求䝁䅅杢杁䕁䅉兡歂䝁䅍睢杁䕁䅷兡瑂䝁䅫䅤求䝁䅑䅁灄䅁䅁䅌䅁䕁䄸睙求䝁䅅杢杁䕁䄸兤あ䝁䅑睢療䡁䅉䅉䵂䝁䅫兢灂䡁䅑党歂䅁䅁䄵䅁䙁䅧䅁偂䡁䅁䅤灂䝁䄸杢穂䑁䅯䅉䑂䡁䅕杣祂䑁䄰兒噂䙁䅉䅌杁䕁䅍睢畂䡁䅙兔求䡁䅑䅡療䝁䅑児卂䍁䅷䅉啂䝁䅕杣瑂䑁䄰䅚求䍁䄰䅒䙂䅁䅁睁䅁䕁䅁䅁偂䡁䅁䅤灂䝁䄸杢穂䑁䅯䅉䑂䡁䅕杣祂䑁䄰兒噂䙁䅉䅌杁䕁䄰兙湂䑁䄰兔灂䝁䅷䅢灂䝁䄸杢穂䅁䅁杄䅁䙁䅧䅁偂䡁䅁䅤灂䝁䄸杢穂䑁䅯䅉䑂䡁䅕杣祂䑁䄰兒噂䙁䅉䅌杁䕁䄰兙湂䑁䄰睕あ䝁䅅杢歂䝁䅅杣歂䍁䅷䅉啂䝁䅕杣瑂䑁䄰䅚求䍁䄰䅒䙂䅁䅁允䅁䍁䅯䅁偂䡁䅁䅤灂䝁䄸杢穂䑁䅯䅒桂䡁䅑党穂䑁䄰杙求䝁䅙睢祂䝁䅕䅁䩁允䅁䅄䅁䕁䄸杣湂䝁䄸杢䅁䕁䅯䅁畁䅁䅁睔あ䝁䅧党祂䍁䅁睕睂䝁䅕睙灂䝁䅅䅢灂䡁䅯党歂䍁䅁杕䙂䕁䅫䅖䅁䵁䄰䅁敁䅁䅁䅕䑂䙁䅍䅉䥂䝁䄸䅢歂䝁䅫杢湂䍁䅁兑䡂䅁䅁杫䅅䍁䅁䅁兂䝁䅙兙ㅂ䝁䅑䅢求䡁䅉䅉呂䍁䄴杣畁䝁䅷杌䅁䡁䈸䅁杁䅁䅁䅕潂䝁䅅杣瑂䝁䅅睙求䡁䅕䅤灂䝁䅍兙獂䡁䅍䅁療允䅁杆䅁䙁䅁兡橂䝁䅅杢療䝁䅷䅉畂䡁䅙䅁塃允䅁杊䅁䙁䅁睢獂䡁䅫䅣灂䡁䅁党杁䕁䅣杣療䡁䅕䅣杁䡁䅁䅢橂䅁䅁杒䅅䉁䅧䅁兂䝁䄸杣㉂䝁䅅兡祂䍁䅁䅣獂䝁䅍䅁㥂允䅁䅊䅁䙁䅅兔呂䍁䅁兔求䝁䅑兡桂䍁䅁䅔灂䝁䄰兡あ䝁䅕䅚䅁佁䅷䅁䥂䅁䅁兕ㅂ䝁䅅䅚祂䝁䅅杢あ䍁䅁䅕祂䝁䅫杤桂䡁䅑党杁䕁䅕兣ㅂ䝁䅫䅤㕂䍁䅁䅕あ䡁䅫䅉䵂䝁䅫兢灂䡁䅑党歂䅁䅁朸䅁䑁䅉䅁剂䡁䅕睢あ䝁䅫党畂䡁䅑䅉啂䝁䅕睙潂䝁䄴睢獂䝁䄸睚㕂䍁䅁兓畂䝁䅍杌䅁偁䅙䅁捁䅁䅁杕桂䝁䄴䅚穂䡁䅑兙歂䍁䅁杔畁䙁䅙杌䅁䥁䄸䅁啁䅁䅁杕求䡁䅫睡煂䝁䅅杤瑄䝁䅳䅁ぁ䅁䅁䅊䅁䙁䅉兡求䡁䅑党祂䍁䅁䅓療䝁䅷䅚灂䝁䄴睚杁䕁䅅睒䅁䩁䉁䅁十䅁䅁睕䙂䙁䅑杏乂䕁䅅睑偂䅁䅁睲䅁䉁䅧䅁呂䙁䅁䅖祁䑁䅁兏祁䑁䅍睎㑁䑁䅁䅁䅁允䅁杇䅁䙁䅍䅕啂䑁䅍䅏睁䑁䅑䅍硁䑁䅅睎㕁䅁䅁杂䅅䉁䅧䅁呂䙁䅁䅖ぁ䑁䅉䅍㑁䑁䅕免硁䑁䅑䅁䕁允䅁䅇䅁䙁䅍䅕啂䑁䅑杍㕁䑁䅁兎穁䑁䅅睎䅁䅁䉍䅁奁䅁䅁睕兂䙁䅑兎㕁䑁䅣䅎ㅁ䑁䅙䅎㍁䅁䅁兂䅅䉁䅯䅁呂䙁䅁䅖㉁䑁䅅睍㍁䑁䅕睍ㅁ䑁䅣䅏䅁䅁䉉䅁慁䅁䅁睕兂䙁䅑杕䕂䑁䅅睍㍁䑁䅫睎穁䑁䅁䅁流允䅁杇䅁䙁䅍䅕啂䙁䅉䅒硁䑁䅕兎硁䑁䅙睎ㅁ䅁䅁䄴䅁䉁䅯䅁呂䙁䅁䅖卂䕁䅑免㉁䑁䅅睍㑁䑁䅉兎䅁䕁䈰䅁慁䅁䅁睕兂䙁䅑杕䕂䑁䅅李ぁ䑁䅉䅍㍁䑁䅣䅁橄䅁䅁杇䅁䙁䅍䅕啂䙁䅉䅒硁䑁䅙兎硁䑁䅕兎㕁䅁䅁䄶䅁䉁䅯䅁呂䙁䅁䅖卂䕁䅑免㉁䑁䅣睎㕁䑁䅙䅍䅁偁䅣䅁慁䅁䅁睕兂䙁䅑杕䕂䑁䅅睎祁䑁䅍兎祁䑁䅁䅁汄䅁䅁杇䅁䙁䅍䅕啂䙁䅉䅒硁䑁䅣睍㑁䑁䅉李祁䅁䅁杉䅅䉁䅯䅁呂䙁䅁䅖卂䕁䅑免㍁䑁䅫兏㑁䑁䅙兏䅁䍁䉫䅁慁䅁䅁睕兂䙁䅑杕䕂䑁䅅䅏睁䑁䅍䅎㑁䑁䅙䅁䙂允䅁杇䅁䙁䅍䅕啂䙁䅉䅒硁䑁䅧杍睁䑁䅑䅎㍁䅁䅁䅣䅁䉁䅯䅁呂䙁䅁䅖卂䕁䅑免㑁䑁䅕䅏ぁ䑁䅁杍䅁䝁䅫䅁慁䅁䅁睕兂䙁䅑杕䕂䑁䅅䅏㑁䑁䅧䅎㍁䑁䅑䅁啂允䅁杇䅁䙁䅍䅕啂䙁䅉䅒硁䑁䅧兏硁䑁䅙䅎硁䅁䅁儴䅁䉁䅯䅁呂䙁䅁䅖卂䕁䅑免㑁䑁䅫杍㑁䑁䅫免䅁䝁䄰䅁慁䅁䅁睕兂䙁䅑杕䕂䑁䅅兏睁䑁䅕兏㍁䑁䅍䅁祂䅁䅁杇䅁䙁䅍䅕啂䙁䅉䅒硁䑁䅫免穁䑁䅑䅎祁䅁䅁䅡䅁䉁䅯䅁呂䙁䅁䅖卂䕁䅑免㕁䑁䅅兏㕁䑁䅙䅏䅁䉁䉧䅁慁䅁䅁睕兂䙁䅑杕䕂䑁䅅兏祁䑁䅑兎㕁䑁䅧䅁瑂允䅁杇䅁䙁䅍䅕啂䙁䅉䅒硁䑁䅫䅎穁䑁䅅杍硁䅁䅁䅤䅁䉁䅯䅁呂䙁䅁䅖卂䕁䅑免㕁䑁䅕睎㉁䑁䅧睎䅁乁䄴䅁慁䅁䅁睕兂䙁䅑杕䕂䑁䅅兏ㅁ䑁䅧杍穁䑁䅕䅁䵃允䅁杇䅁䙁䅍䅕啂䙁䅉䅒硁䑁䅫李睁䑁䅧李硁䅁䅁睨䅅䉁䅯䅁呂䙁䅁䅖卂䕁䅑免㕁䑁䅣睍㑁䑁䅉李䅁䥁䈰䅁慁䅁䅁睕兂䙁䅑杕䕂䑁䅅兏㍁䑁䅑李㍁䑁䅁䅁楂允䅁杇䅁䙁䅍䅕啂䙁䅉䅒硁䑁䅫䅏ㅁ䑁䅣睎祁䅁䅁兊䅅䉁䅯䅁呂䙁䅁䅖卂䕁䅑免㕁䑁䅧李㑁䑁䅧免䅁䝁䄴䅁慁䅁䅁睕兂䙁䅑杕䕂䑁䅅兏㕁䑁䅍䅏㕁䑁䅙䅁䩃允䅁杇䅁䙁䅍䅕啂䙁䅉䅒硁䑁䅫兏ぁ䑁䅅䅍祁䅁䅁睢䅁䉁䅯䅁呂䙁䅁䅖卂䕁䅑免㕁䑁䅫兏㕁䑁䅫䅏䅁䉁䉷䅁慁䅁䅁睕兂䙁䅑杕䕂䑁䅉䅍睁䑁䅅李㕁䑁䅧䅁婁允䅁杇䅁䙁䅍䅕啂䙁䅉䅒祁䑁䅁免㉁䑁䅣李㑁䅁䅁䅢䅁䉁䅯䅁呂䙁䅁䅖卂䕁䅑杍睁䑁䅅兏ㅁ䑁䅙睍䅁䥁䉳䅁慁䅁䅁睕兂䙁䅑杕䕂䑁䅉䅍穁䑁䅅睍㕁䑁䅑䅁湄䅁䅁杇䅁䙁䅍䅕啂䙁䅉䅒祁䑁䅁睍ぁ䑁䅣免祁䅁䅁兣䅁䉁䅯䅁呂䙁䅁䅖卂䕁䅑杍睁䑁䅑兎祁䑁䅧免䅁佁䅙䅁慁䅁䅁睕兂䙁䅑杕䕂䑁䅉䅍ㅁ䑁䅁兎祁䑁䅉䅁佃允䅁䅇䅁䙁䅍䅕啂䙁䅉䅒穁䑁䅑兏硁䑁䅁兏䅁䝁䉯䅁獁䅁䅁睕兂䙁䅑杕時䕁䅅睑剂䙁䅕兓卂䕁䅕杕時䕁䅍睔噂䕁䄴䅖卂䙁䅫䅁䝃允䅁杊䅁䙁䅍䅕啂䙁䅉睘䍂䙁䅕兗䙂䙁䅉睘䑂䕁䄸兖佂䙁䅑杕婂䅁䅁全䅅䍁䅁䅁呂䙁䅁䅖卂䙁䄸村噂䙁䅫兒卂䙁䄸杔䉂䕁䄰兒䅁䥁䅧䅁潁䅁䅁睕兂䙁䅑杕時䕁䅍䅔偂䙁䅍兒䕂䙁䄸䅒䉂䙁䅑兒時䕁䄰兑䅁䥁䅯䅁杁䅁䅁睕兂䙁䅑杕時䕁䅫兔兂䕁䅷兓䙂䕁䅑睘䙂䙁䅅䅁扃允䅁䅉䅁䙁䅍䅕啂䙁䅉睘䩂䕁䄰䅕䵂䕁䅫兒䕂䙁䄸兒坂䅁䅁䅧䅁䕁䅁䅁呂䙁䅁䅖卂䙁䄸兓剂䙁䄸䅖䉂䙁䅉睒䙂䙁䅑睘兂䙁䅉兓乂䕁䅅杕婂䙁䄸兓佂䕁䅑兖呂䙁䅑杕婂䅁䅁全䅁䍁䅷䅁呂䙁䅁䅖卂䙁䄸杔䙂䙁䅑睘䕂䕁䅕村啂䙁䄸兑呂䙁䅍兖乂䕁䅕䅒䅁䩁䉯䅁煁䅁䅁睕兂䙁䅑杕時䙁䅑兑卂䕁䅣兒啂䙁䄸睑䩂䙁䅅睘䙂䕁䅉兓啂䅁䅁睮䅁䍁䄴䅁呂䙁䅁䅖卂䙁䄸䅖䉂䙁䅉睒䙂䙁䅑睘䑂䕁䅫兕時䕁䅕村䩂䙁䅑䅒䉂䅁䅁杮䅁䑁䅑䅁呂䙁䅁䅖卂䙁䄸䅖䉂䙁䅉睒䙂䙁䅑睘䑂䕁䅫兕時䙁䅑睔啂䕁䅅䅔時䙁䅉兒坂䅁䅁兮䅁䍁䅧䅁呂䙁䅁䅖卂䙁䄸䅖䉂䙁䅉睒䙂䙁䅑睘䑂䕁䄸兖佂䙁䅑杕婂䅁䅁兦䅁䍁䅉䅁呂䙁䅁䅖卂䙁䄸䅖䉂䙁䅉睒䙂䙁䅑睘佂䕁䅅兔䙂䅁䅁条䅁䍁䅷䅁呂䙁䅁䅖卂䙁䄸䅖䉂䙁䅉睒䙂䙁䅑睘啂䕁䄸䅖䉂䕁䅷睘卂䕁䅕杖䅁䩁䅷䅁獁䅁䅁睕兂䙁䅑杕時䙁䅑杕䉂䕁䄴睕䉂䕁䅍䅖䩂䕁䄸杔時䙁䅑兗兂䕁䅕䅁奃䅁䅁杌䅁䙁䅍䅕啂䙁䅉睘啂䙁䅉兑佂䙁䅍兑䑂䙁䅑兓偂䕁䄴睘坂䕁䅅䅔噂䕁䅕䅁⽂䅁䅁杊䅁䙁䅍䅕啂䙁䄸睔䝂䕁䅙兒卂䕁䅫杔䡂䙁䄸兗䩂䕁䅕䅔䕂䅁䅁䅁䅁䉁䄴䅁呂䙁䅁䅗杁䕁䅙䅔偂䙁䅣䅌杁䕁䅫杢橂䍁䄴䅁䕃允䅁䅍䅁䙁䅍䅕時䕁䅉兖呂䕁䅫杔䙂䙁䅍睕時䕁䅑兒呂䕁䅍杕䩂䙁䅁䅖䩂䕁䄸杔䅁䕁䅧䅁允䅁䅁睕兂䙁䄸睑䩂䙁䅑兗䅁䍁䅑䅁杁䅁䅁睕兂䙁䄸睑偂䕁䄰䅕䉂䕁䄴兗時䕁䄴兑乂䕁䅕䅁䙁䅁䅁䅉䅁䙁䅍䅕時䕁䅍睔噂䕁䄴䅖卂䙁䅫睘佂䕁䅅兔䙂䅁䅁先䅁䉁䅁䅁呂䙁䅁睘䙂䕁䅉兓啂䅁䅁䅅䅁䉁䅑䅁呂䙁䅁睘䙂䕁䅉兓啂䕁䅑兑䅁䍁䅫䅁捁䅁䅁睕兂䙁䄸兒䍂䕁䅫䅖䕂䕁䅅睘䙂䙁䅍䅖䅁䍁䄰䅁奁䅁䅁睕兂䙁䄸兒䍂䕁䅫䅖時䕁䅕睕啂䅁䅁免䅁䉁䅯䅁呂䙁䅁睘䡂䕁䅕睔䡂䙁䅉兑兂䕁䅧兗䅁䉁䅍䅁楁䅁䅁睕兂䙁䄸䅔䉂䙁䅍䅖呂䕁䅅䅔䙂䙁䅁杕䩂䕁䅍兒䅁䅁䉅䅁慁䅁䅁睕兂䙁䄸兔䉂䙁䅉睓䙂䙁䅑睑䉂䙁䅁䅁捁䅁䅁杆䅁䙁䅍䅕時䙁䅉兒坂䙁䄸兒呂䙁䅑䅁㥁䅁䅁䅊䅁䙁䅍䅕時䙁䅑兒坂䙁䄸兒䍂䕁䅫䅖䕂䕁䅅睘䝂䙁䅣䅒䅁䅁䅷䅁杁䅁䅁睕兂䙁䄸䅖䙂䙁䅙睘䙂䕁䅉兓啂䙁䄸杒塂䕁䅑䅁煁䅁䅁杈䅁䙁䅍䅕時䙁䅑兒坂䙁䄸杕䙂䙁䅙睘䝂䙁䅣䅒䅁䭁䅍䅁煁䅁䅁睕兂䙁䄸䅖䙂䙁䅙睘啂䕁䄸䅖䉂䕁䅷睘卂䕁䅕杖時䕁䅙睖䕂䅁䅁杔䅁䉁䅯䅁呂䙁䅁睘啂䕁䄸䅖䉂䕁䅷睘卂䕁䅕杖䅁䑁䄴䅁坁䅁䅁睕兂䙁䄸睖䙂䕁䅉睕䩂䙁䅑兒䅁䉁䅙䅁十䅁䅁睕塂䙁䅧杏䉂䙁䅁睒佂䅁䅁关䅁䉁䅧䅁呂䙁䅯睕䙂䑁䅯䅍睁䑁䅉䅍祁䑁䅣䅁ぃ䅁䅁䅇䅁䙁䅍兙畂䍁䅁兑畂䡁䅑睢畂䝁䅫睢䅁乁䅷䅁歁䅁䅁睕桂䝁䄴䅚㉂䝁䅫睡杁䕁䅅村杁䍁䅧䅣ㅂ䝁䅉䅢灁䅁䅁䅭䅅䉁䅉䅁呂䝁䅧兙畂䝁䅣䅡桂䝁䅫䅁䅄䅁䅁杖䅁䙁䅍兡橂䝁䅧兤桂䝁䄴䅉啂䝁䄸兤祂䝁䅫督瑂䍁䅁兓畂䡁䅙党穂䡁䅑兢求䝁䄴䅤杁䕁䅣杣療䡁䅕䅣杁䕁䅍睢畁䍁䅷䅉䵂䡁䅑䅚畁䅁䅁䄫䅁䉁䅯䅁呂䝁䅫睚瑂䝁䅅杕療䝁䅍䅉睂䝁䅷睙䅁䙁䅅䅁元杂䅁睕灂䝁䅣兢桂䙁䅉睢橂䍁䅁䅣獂䝁䅍䅌杁䡁䅑䅡祂䝁䄸兤湂䝁䅧䅉灂䡁䅑督杁䡁䅍兤楂䡁䅍兡歂䝁䅫兙祂䝁䅫党穂䍁䅷䅉灂䝁䄴杤求䡁䅍䅤穂䍁䅁兡畂䍁䅁兙畂䝁䅑睌療䡁䅉䅉桂䝁䅍兣ㅂ䝁䅫杣求䡁䅍䅉睂䡁䅉睢煂䝁䅕睙あ䡁䅍䅉灂䝁䄴䅉あ䝁䅧党杁䝁䅍睢畂䡁䅍䅤祂䡁䅕睙あ䝁䅫睢畂䍁䅁兢桂䡁䅑党祂䝁䅫兙獂䡁䅍䅉穂䝁䅕睙あ䝁䄸杣畁䍁䅁兓あ䍁䅁兙獂䡁䅍睢杁䡁䅁杣療䝁䅑兤橂䝁䅕督杁䝁䅅睚湂䡁䅉党湂䝁䅅䅤求䡁䅍䅉桂䝁䄴䅚杁䡁䅁杣求䍁䄰睙桂䡁䅍䅤杁䝁䅍睢畂䝁䅍杣求䡁䅑党㝁䍁䅁督ㅂ䡁䅁䅣獂䝁䅫党穂䍁䅁杤桂䝁䅷兤求䍁䄰兙歂䝁䅑党歂䍁䅁兡畂䝁䅑兤穂䡁䅑杣灂䝁䅅䅢杁䝁䅅杢歂䍁䅁睙療䝁䄴督あ䡁䅉兤橂䡁䅑兡療䝁䄴䅉硂䡁䅕兙祂䡁䅉兡求䝁䅑䅉瑂䝁䅅䅤求䡁䅉兡桂䝁䅷督㝁䍁䅁兙畂䝁䅑䅉睂䡁䅉睢㉂䝁䅫䅚求䡁䅍䅉穂䝁䅧兡睂䡁䅁兡畂䝁䅣䅉獂䝁䄸睚灂䡁䅍䅤灂䝁䅍督獁䍁䅁杣療䝁䅅䅚杁䝁䅍睢畂䡁䅑杣桂䝁䅍䅤灂䝁䄴睚獁䍁䅁兙畂䝁䅑䅉㍂䝁䅅督あ䝁䅕䅉祂䝁䅕睙㕂䝁䅍䅢灂䝁䄴睚杁䡁䅍党祂䡁䅙兡橂䝁䅕督獁䍁䅁兙穂䍁䅁睤求䝁䅷䅢杁䝁䅅督杁䝁䅕杢湂䝁䅅睚求䡁䅍䅉灂䝁䄴䅉あ䝁䅧党杁䝁䅷兡瑂䝁䅕督あ䝁䄸杢求䍁䅁兣ㅂ䝁䅅杣祂䡁䅫兡畂䝁䅣䅉桂䝁䄴䅚杁䡁䅁杣療䝁䅍党穂䡁䅍兡畂䝁䅣杌杁䕁䅫杢杁䝁䅅䅚歂䝁䅫䅤灂䝁䄸杢獁䍁䅁䅤潂䝁䅕䅉橂䝁䄸兢睂䝁䅅杢㕂䍁䅁睢浂䝁䅙党祂䡁䅍䅉灂䝁䄴䅤求䡁䅉杢桂䡁䅑兡療䝁䄴兙獂䍁䅁兢桂䡁䅉睡求䡁䅑兡畂䝁䅣䅉桂䝁䄴䅚杁䝁䅙兡畂䝁䅅杢橂䝁䅫杢湂䍁䅁督求䡁䅉杤灂䝁䅍党穂䍁䄴䅉䩂䡁䅑䅉療䡁䅁党祂䝁䅅䅤求䡁䅍䅉灂䝁䄴䅉あ䝁䅧党杁䙁䅕杢灂䡁䅑党歂䍁䅁睓灂䝁䄴睚歂䝁䄸兢獁䍁䅁䅤潂䝁䅕䅉䑂䝁䅧兙畂䝁䄴党獂䍁䅁兓穂䝁䅷兙畂䝁䅑督獁䍁䅁村求䝁䅷睚灂䡁䅕兢獁䍁䅁䅤潂䝁䅕䅉佂䝁䅕䅤潂䝁䅕杣獂䝁䅅杢歂䡁䅍䅌杁䕁䅷兤㑂䝁䅕兢楂䝁䄸兤祂䝁䅣䅌杁䕁䄴睢祂䡁䅑䅡求䡁䅉杢杁䕁䅙杣桂䝁䄴睙求䍁䅷䅉䝂䝁䅫杢獂䝁䅅杢歂䍁䅷䅉呂䡁䅣党歂䝁䅕杢獁䍁䅁䅕療䝁䅷兙畂䝁䅑䅌杁䕁䄴睢祂䡁䅣兙㕂䍁䅷䅉䙂䡁䅍䅤療䝁䄴兡桂䍁䅷䅉䵂䝁䅅䅤㉂䝁䅫兙獁䍁䅁䅔灂䡁䅑䅡ㅂ䝁䅅杢灂䝁䅅䅌杁䝁䅅杢歂䍁䅁睕睂䝁䅅兡畂䍁䄴䅉啂䝁䅧党杁䝁䅍睢瑂䡁䅁兙畂䡁䅫䅉㍂䝁䅅督杁䝁䅙睢祂䝁䄰党祂䝁䅷入杁䝁䅳杢療䡁䅣杢杁䝁䅅督杁䕁䄰党穂䡁䅍兙湂䝁䅫杢湂䍁䅁兓畂䡁䅑党祂䝁䄴兙あ䝁䅫睢畂䝁䅅䅢杁䙁䅁䅢橂䍁䅁兙畂䝁䅑䅉橂䝁䅧兙畂䝁䅣党歂䍁䅁兡あ䡁䅍䅉畂䝁䅅兢求䍁䅁䅤療䍁䅁睕灂䝁䅣兢桂䙁䅉睢橂䍁䅁䅣獂䝁䅍䅉灂䝁䄴䅉䉂䡁䅕睚ㅂ䡁䅍䅤杁䑁䅉䅍硁䑁䅙杌杁䙁䅍兡湂䝁䄰兙卂䝁䄸睙杁䡁䅁䅢橂䍁䅁睤桂䡁䅍䅉浂䝁䄸兤畂䝁䅑党歂䍁䅁兡畂䍁䅁免㕁䑁䅫兏杁䝁䅅杢歂䍁䅁兡穂䍁䅁䅡求䝁䅅䅚硂䡁䅕兙祂䡁䅑党祂䝁䅕䅚杁䝁䅫杢杁䕁䅷睢畂䝁䅑睢畂䍁䅷䅉あ䝁䅧党杁䙁䅕杢灂䡁䅑党歂䍁䅁睓灂䝁䄴睚歂䝁䄸兢畁䅁䅁杙䅁䍁䅯䅁呂䝁䅫兢求䝁䅫䅉乂䝁䅕䅚灂䝁䅅䅉䑂䝁䄸杌獁䕁䅷䅤歂䍁䄴䅁㕄䅁䅁䅆䅁䙁䅍兡畂䝁䅣兙睂䝁䄸杣求䅁䅁杧䅁䅁䅷䅁呂䡁䅁兙灂䝁䄴䅁䡃䅁䅁䅋䅁䙁䅍䅣求䝁䅍兡桂䝁䅷䅤㕂䍁䅁睑潂䝁䅕兢灂䝁䅍兙獂䡁䅍䅁敂允䅁杍䅁䙁䅍䅤桂䡁䅉杣桂䝁䅣䅉䡂䡁䅉睢ㅂ䡁䅁䅉䥂䝁䄸䅢歂䝁䅫杢湂䍁䅁兑䡂䅁䅁䅬䅅䉁䅑䅁呂䡁䅑睢橂䝁䅳䅡療䝁䅷兢䅁䑁䉯䅁煁䅁䅁睕あ䡁䅉朹求䡁䅉䅉呂䕁䅕䅉流䍁䅁睑療䍁䄴䅉䱂䕁䅣兙䉂䅁䅁䅲䅁䅁䄴䅁呂䡁䅣党歂䝁䅕杢䅁䡁䄴䅁奁䅁䅁睕㍂䝁䅫䅤㙂䝁䅕杣獂䝁䅅杢歂䅁䅁睸䅁䉁䅉䅁啂䙁䅍兒㙁䑁䅣睍㉁䑁䅧䅁祃䅁䅁䅐䅁䙁䅑杖䥂䍁䄰睒祂䝁䄸兤睂䍁䅁䅖潂䝁䅕杣瑂䝁䄸䅤求䍁䅁杊杁䙁䅙兙畂䝁䅧兙獂䡁䅍䅤䅁䡁䅕䅁煁䅁䅁䅖求䡁䅍督求䝁䄴䅚求䡁䅉䅢療䍁䅁睒祂䝁䄸兤睂䍁䅁杔坂䅁䅁杩䅅䉁䅉䅁啂䝁䅧兙灂䝁䅷兙畂䝁䅑䅁㥃䅁䅁杍䅁䙁䅑兡獂䝁䅳兙杁䙁䅑杣桂䝁䅑兡畂䝁䅣䅉䉂䝁䅳䅤灂䝁䅕杙療䝁䅷兙湂䅁䅁睡䅁䍁䅑䅁啂䝁䄸杣畂䝁䄸督杁䕁䅧睢獂䝁䅑兡畂䝁䅣䅉䉂䕁䅣䅁剃允䅁杒䅁䙁䅑杣桂䝁䅑兡畂䝁䅣䅉䑂䝁䄸兢睂䝁䅅杢灂䝁䅕督杁䝁䅅杢歂䍁䅁䅒灂䡁䅍䅤祂䝁䅫杙ㅂ䡁䅑睢祂䡁䅍䅁䝃䅁䅁䅃䅁䙁䅕睕䉂䅁䅁杹䅁䉁䅷䅁噂䝁䄴兡浂䡁䅉兙㑂䍁䅁兓杁䕁䅷䅔䑂䅁䅁杦䅅䉁䄴䅁噂䝁䄴兡あ䝁䅕䅚杁䕁䅳兡畂䝁䅣䅚療䝁䄰䅁䕂䅁䅁杍䅁䙁䅕杢灂䡁䅑党歂䍁䅁睕あ䝁䅅䅤求䡁䅍䅉桂䝁䄴䅚杁䕁䅍兙畂䝁䅅䅚桂䅁䅁東䅁䕁䅉䅁坂䝁䅅杢歂䝁䅕杣瑂䝁䅕党祂䍁䅁杒療䡁䅉党穂䡁䅑䅉兂䡁䅉睢歂䡁䅕睙あ䡁䅍䅌杁䕁䅫杢橂䍁䄴䅁煁允䅁䅈䅁䙁䅣兡畂䝁䅍兙畂䡁䅑睢畂䍁䅁䅣獂䝁䅍䅁捂䅁䅁䅋䅙䙁䅣兡畂䝁䅍兙畂䡁䅑睢畂䍁䅁䅣獂䝁䅍䅌杁䡁䅑睢湂䝁䅕䅤潂䝁䅕杣杁䡁䅣兡あ䝁䅧䅉灂䡁䅑督杁䡁䅍兤楂䡁䅍兡歂䝁䅫兙祂䝁䅫党穂䍁䅷䅉睂䡁䅉睢㉂䝁䅫䅚求䡁䅍䅉桂䍁䅁杣桂䝁䄴睚求䍁䅁睢浂䍁䅁睢ㅂ䡁䅑督療䡁䅕杣橂䝁䅕䅚杁䝁䅅杢歂䍁䅁兡畂䡁䅑党湂䡁䅉兙あ䝁䅕䅚杁䡁䅍兤睂䡁䅁䅢㕂䍁䅁睙潂䝁䅅兡畂䍁䅁督療䝁䅷兤あ䝁䅫睢畂䡁䅍䅉灂䝁䄴䅉あ䝁䅧党杁䙁䅕杢灂䡁䅑党歂䍁䅁睓灂䝁䄴睚歂䝁䄸兢杁䝁䅅杢歂䍁䅁兓祂䝁䅕䅢桂䝁䄴䅚畁䍁䅁兓あ䍁䅁睢浂䝁䅙党祂䡁䅍䅉楂䡁䅕督灂䝁䄴党穂䡁䅍䅉橂䡁䅉兡あ䝁䅫睙桂䝁䅷䅉穂䝁䅕杣㉂䝁䅫睙求䡁䅍䅌杁䝁䅫杢橂䝁䅷兤歂䝁䅫杢湂䍁䅁督あ䝁䄸杣桂䝁䅣党獁䍁䅁䅡桂䝁䄴䅚獂䝁䅫杢湂䍁䅁兙畂䝁䅑䅉歂䝁䅫督あ䡁䅉兡楂䡁䅕䅤灂䝁䄸杢獁䍁䅁党䝂䡁䅕䅢浂䝁䅫䅢瑂䝁䅕杢あ䍁䅷䅉祂䝁䅕䅤桂䝁䅫䅢求䡁䅉䅌杁䝁䅧睢瑂䝁䅕䅉歂䝁䅕䅢灂䡁䅙党祂䡁䅫䅌杁䝁䅙䅢求䝁䅕䅤杁䝁䅅杢歂䍁䅁䅤祂䝁䅅杢穂䡁䅁睢祂䡁䅑䅉瑂䝁䅅杢桂䝁䅣党瑂䝁䅕杢あ䍁䅷䅉桂䝁䄴䅚杁䝁䄴党あ䡁䅣睢祂䝁䅳䅉療䡁䅁䅤灂䝁䄰兡㙂䝁䅅䅤灂䝁䄸杢畁䍁䅁䅖潂䝁䅕䅉橂䝁䄸兢睂䝁䅅杢㕂䍁䅁兙獂䡁䅍睢杁䡁䅁杣療䡁䅙兡歂䝁䅕督杁䝁䅍睢畂䡁䅑杣桂䝁䅍䅤杁䝁䅷睢湂䝁䅫督あ䝁䅫睙穂䍁䅷䅉灂䝁䄴督ㅂ䡁䅉兙畂䝁䅍党獁䍁䅁兙畂䝁䅑䅉あ䡁䅉兤穂䡁䅑党求䍁䅁督求䡁䅉杤灂䝁䅍党穂䍁䅷䅉桂䡁䅍䅉㍂䝁䅕䅢獂䍁䅁兙穂䍁䅁睢畂䝁䅷兡畂䝁䅕䅉穂䝁䄸䅢ㅂ䡁䅑兡療䝁䄴督杁䝁䅙睢祂䍁䅁睤桂䡁䅉党潂䝁䄸兤穂䝁䅫杢湂䍁䅁督睂䝁䅅睙求䍁䄴䅉䩂䡁䅑䅉穂䝁䅕杣㉂䝁䅕督杁䝁䅣杣療䝁䅍党祂䡁䅫䅌杁䝁䅍睢畂䡁䅍兤瑂䝁䅕杣杁䡁䅁兙橂䝁䅳兙湂䝁䅕䅚杁䝁䅣睢療䝁䅑督獁䍁䅁杢療䝁䄴兌浂䝁䄸睢歂䍁䅁杣求䡁䅑兙灂䝁䅷䅌杁䝁䄰兙畂䡁䅕杚桂䝁䅍䅤ㅂ䡁䅉党祂䡁䅍䅉桂䝁䄴䅚杁䝁䅑兡穂䡁䅑杣灂䝁䅉兤あ䝁䄸杣穂䍁䅷䅉歂䝁䅕杚求䝁䄴督求䍁䅷䅉潂䝁䅕兙獂䡁䅑䅡橂䝁䅅杣求䍁䅷䅉橂䝁䄸杢穂䡁䅑杣ㅂ䝁䅍䅤灂䝁䄸杢獁䍁䅁党畂䝁䅕杣湂䡁䅫䅌杁䝁䅙兤求䝁䅷䅉桂䝁䄴䅚杁䝁䅣兙穂䝁䅕督獁䍁䅁杙ㅂ䝁䅫䅢歂䝁䅫杢湂䍁䅁兢桂䡁䅑党祂䝁䅫兙獂䡁䅍䅌杁䝁䅙睢療䝁䅑䅌杁䝁䅫杢浂䡁䅉兙穂䡁䅑杣ㅂ䝁䅍䅤ㅂ䡁䅉党獁䍁䅁兙畂䝁䅑䅉求䕁䅍睢瑂䝁䄰党祂䝁䅍党杁䝁䄰兙祂䝁䅳党あ䡁䅍䅌杁䝁䅅督杁䡁䅣党獂䝁䅷䅉桂䡁䅍䅉あ䝁䅧党杁䡁䅁兤楂䝁䅷兡橂䍁䅁督求䝁䅍䅤療䡁䅉杌杁䙁䅑䅡求䍁䅁睙療䝁䄰䅣桂䝁䄴入杁䡁䅣兙穂䍁䅁杚療䡁䅕杢歂䝁䅕䅚杁䝁䅫杢杁䑁䅅兏祁䑁䅕䅉桂䝁䄴䅚杁䝁䅫督杁䝁䅉兙穂䝁䅕䅚杁䝁䅫杢杁䕁䅍䅡灂䡁䅁䅣求䝁䄴䅡桂䝁䄰䅌杁䡁䅑䅡求䍁䅁兖畂䝁䅫䅤求䝁䅑䅉䱂䝁䅫杢湂䝁䅑睢瑂䍁䄴䅁桂䅁䅁䅎䅁䙁䅧䅕偂䍁䅁䅔療䝁䅣兡穂䡁䅑兡橂䡁䅍䅉䙂䡁䅕杣療䡁䅁党杁䙁䅍杌䉂䍁䄴䅁㑂䅁䅁䅋䅁䙁䅧䅕偂䍁䅁䅔療䝁䅣兡穂䡁䅑兡橂䡁䅍䅌杁䕁䅫杢橂䍁䄴䅁䱃䅁䅁䅆䅁䙁䅧䅖卂䕁䅅杏硁䕁䅍睔坂䅁䅁䅕䅅䉁䅉䅁奂䙁䅑杕䉂䑁䅯兑䩂䙁䅉䅁䍂允䅁杅䅁䙁䅧䅖卂䕁䅅杏䍂䕁䅅睕䅁䝁䉕䅁啁䅁䅁䅗啂䙁䅉兑㙁䕁䅉兑婂䕁䄴䅁䡂允䅁杅䅁䙁䅧䅖卂䕁䅅杏䍂䕁䄰睖䅁䕁䉧䅁十䅁䅁䅗啂䙁䅉兑㙁䕁䅉兗塂䅁䅁睎䅅䉁䅉䅁奂䙁䅑杕䉂䑁䅯睑偂䕁䄴䅁塂允䅁杅䅁䙁䅧䅖卂䕁䅅杏䕂䕁䅧䅔䅁䕁䉑䅁十䅁䅁䅗啂䙁䅉兑㙁䕁䅑䅖䡂䅁䅁杓䅅䉁䅑䅁奂䙁䅑杕䉂䑁䅯兒偂䕁䅅杔䅁䕁䉷䅁十䅁䅁䅗啂䙁䅉兑㙁䕁䅙杕䙂䅁䅁睔䅅䉁䅑䅁奂䙁䅑杕䉂䑁䅯䅓䥂䕁䅙兑䅁䉁䅳䅁十䅁䅁䅗啂䙁䅉兑㙁䙁䅍兑奂䅁䅁睱䅁䕁䅙䅁奂䝁䅫兙瑂䝁䅕杢杁䕁䅫杢あ䝁䅕杣畂䝁䅅䅤灂䝁䄸杢桂䝁䅷䅉兂䝁䄸杣あ䍁䅁睑療䍁䄴䅌䵂䡁䅑䅚畁䅁䅁督䅁䕁䅙䅁奂䝁䅫兙瑂䝁䅕杢杁䙁䅁睢祂䡁䅑䅉䥂䝁䄸䅢歂䝁䅫杢湂䍁䅁睒祂䝁䄸兤睂䍁䅁睑療䍁䄴䅌䵂䡁䅑䅚畁䅁䅁杫䅁䉁䅷䅁奂䡁䅁党歂䝁䅫兙あ䝁䄸杣杁䙁䅁䅢橂䅁䅁杌䅅䝁䅑䅁慂䝁䅧党煂䝁䅫兙畂䝁䅣䅉䑂䝁䄸兢瑂䡁䅕杢灂䝁䅍兙あ䝁䅫睢畂䡁䅍䅉䩂䝁䄴杤求䡁䅍䅤瑂䝁䅕杢あ䍁䅁睒祂䝁䄸兤睂䍁䅁睑療䍁䄴䅌杁䕁䅷䅤歂䅁䅁兩䅁䕁䅙䅁慂䝁䅧党煂䝁䅫兙畂䝁䅣䅉䕂䝁䅕杤求䝁䅷睢睂䝁䄰党畂䡁䅑䅉䡂䡁䅉睢ㅂ䡁䅁䅉䑂䝁䄸杌獁䕁䅷䅤歂䅁䅁杤䅁䕁䅁䅁橂䝁䅷兙ㅂ䡁䅍䅉祂䝁䄸䅚求䝁䄴杙求䡁䅉睚杁䡁䅣兙獂䝁䅑睡療䝁䄴䅤療䡁䅉䅉湂䝁䄰杙潂䅁䅁充䅅䑁䅁䅁橂䝁䅷党桂䡁䅉睙潂䝁䅅杢畂䝁䅕䅢療䡁䅕䅤歂䝁䄸睢祂䍁䄴睙療䝁䄰䅁扄䅁䅁䅃䅁䝁䅙杚湂䅁䅁睰䅁䉁䅁䅁潂䝁䅧䅢桂䍁䄴䅚求䅁䅁睏䅁䉁䅙䅁畂䝁䄸杣歂䝁䅕杢畁䝁䅍睢瑂䅁䅁睉䅅䉁䅁䅁畂䡁䅑睚畁䝁䅍睢瑂䅁䅁睎䅁䍁䅑䅁療䕁䄸䅡桁䝁䄰党歂䝁䅫兙杁䕁䅷兡瑂䝁䅫䅤求䝁䅑䅁䍄䅁䅁䅉䅁䝁䄸睢潂䝁䄰党歂䝁䅫兙畁䝁䅍睢瑂䍁䄴兙ㅂ䅁䅁䅶䅁䉁䅯䅁穂䝁䅫睚瑂䝁䅅杣療䝁䅍杌橂䝁䄸兢䅁䕁䅳䅁敁䅁䅁睤㍂䡁䅣杌桂䝁䅫杣楂䡁䅕督畁䝁䅍睢瑂䅁䅁䅘䅅䉁䅷䅁㍂䡁䅣睤畁䝁䅅䅣湂䡁䅍睚桂䍁䄴睙潂䅁䅁杸䅁䉁䅯䅁㍂䡁䅣睤畁䝁䅉兙穂䝁䅙杌橂䝁䄸兢䅁䡁䉁䅁捁䅁䅁睤㍂䡁䅣杌楂䝁䅅入求䡁䅉杌橂䝁䄸兢䅁䝁䈴䅁捁䅁䅁睤㍂䡁䅣杌楂䝁䅅入㍂䝁䅅杌橂䝁䄸兢䅁䑁䈰䅁楁䅁䅁睤㍂䡁䅣杌楂䝁䄰睤湂䡁䅉睢ㅂ䡁䅁杌橂䝁䄸兢䅁䙁䉕䅁楁䅁䅁睤㍂䡁䅣杌橂䝁䅷兙穂䡁䅅兤灂䝁䄴杌橂䝁䄸兢䅁䍁䅁䅁潁䅁䅁睤㍂䡁䅣杌橂䝁䄸杢あ䝁䅫杢求䝁䄴䅤桂䝁䅷杌橂䝁䄸兢䅁䙁䈰䅁楁䅁䅁睤㍂䡁䅣杌橂䝁䄸杤求䡁䅍䅤祂䝁䄸杌橂䝁䄸兢䅁䙁䈸䅁奁䅁䅁睤㍂䡁䅣杌橂䡁䅉兡畁䝁䅍睢瑂䅁䅁兹䅁䍁䅯䅁㍂䡁䅣睤畁䝁䅑兙灂䝁䄰䅢求䡁䅉䅤祂䡁䅕睙牂䍁䄴睙療䝁䄰䅁䱂允䅁杍䅁䡁䅣睤㍂䍁䄴䅚灂䝁䅅杢桂䡁䅍䅡灂䡁䅁䅣灂䝁䄴睚灂䝁䄴睙畁䝁䅍睢瑂䅁䅁睆䅁䉁䅷䅁㍂䡁䅣睤畁䝁䅑䅣歂䝁䅧䅢畁䝁䅍睢瑂䅁䅁䅡䅅䉁䅧䅁㍂䡁䅣睤畁䝁䅑督㉂䍁䄴睙療䝁䄰䅁桁允䅁䅉䅁䡁䅣睤㍂䍁䄴党灂䝁䄰督牂䝁䅫䅣畁䝁䅍睢瑂䅁䅁䅍䅁䉁䅧䅁㍂䡁䅣睤畁䝁䅕睢畂䍁䄴睙療䝁䄰䅁杂允䅁䅉䅁䡁䅣睤㍂䍁䄴杚歂䝁䅷睚祂䝁䄸兤睂䍁䄴睚祂䅁䅁兎䅁䍁䅑䅁㍂䡁䅣睤畁䝁䅙睢橂䡁䅕督瑂䝁䅕䅚灂䝁䅅杌橂䝁䄴䅁⽃䅁䅁䅌䅁䡁䅣睤㍂䍁䄴杚療䡁䅉䅤ㅂ䝁䄴兙㍂䝁䅕杣楂䡁䅕杢湂䍁䄴䅚求䅁䅁杚䅁䍁䅑䅁㍂䡁䅣睤畁䝁䅙杣求䡁䅍党畂䝁䅫兤穂䍁䄴睙療䝁䄰䅁婂允䅁杈䅁䡁䅣睤㍂䍁䄴睚獂䝁䅣杣療䡁䅕䅣畁䡁䅍党䅁䑁䉫䅁歁䅁䅁睤㍂䡁䅣杌潂䡁䅫睢煂䝁䅫䅤療䍁䄴睙療䍁䄴条睂䅁䅁杴䅁䍁䅯䅁㍂䡁䅣睤畁䝁䅫䅚瑁䝁䅷睢湂䝁䅫督あ䝁䅫睙穂䍁䄴睙療䝁䄰䅁䝂䅁䅁杉䅁䡁䅣睤㍂䍁䄴条橂䝁䅑党橂䝁䅅兤㑂䍁䄴睙療䝁䄰䅁穃䅁䅁䅈䅁䡁䅣睤㍂䍁䄴䅢桂䝁䄰兙祂䍁䄴睙療䝁䄰䅁䵄䅁䅁杌䅁䡁䅣睤㍂䍁䄴䅢桂䡁䅑䅡桂䝁䄰䅤灂䝁䄰杙求䡁䅉杌橂䝁䄸杌ㅂ䝁䅳䅁㝁允䅁杈䅁䡁䅣睤㍂䍁䄴兢桂䝁䅕杣穂䝁䅳杌橂䝁䄸兢䅁䉁䉣䅁楁䅁䅁睤㍂䡁䅣杌瑂䝁䅅督あ䝁䅕杣桂䝁䅑杌橂䝁䄸兢䅁䱁䅳䅁ぁ䅁䅁睤㍂䡁䅣杌畂䡁䅕杣瑂䝁䅫杢求䝁䄴䅢療䝁䅣兡穂䡁䅑兡橂䡁䅍杌橂䝁䄸兢䅁䕁䅉䅁敁䅁䅁睤㍂䡁䅣杌穂䡁䅑杣療䝁䅕党祂䍁䄴䅚求䅁䅁䅹䅁䑁䅑䅁㍂䡁䅣睤畁䡁䅑䅡求䝁䅍杣桂䡁䅫睢畂䡁䅍杢求䡁䅑睤療䡁䅉睡畁䝁䅍睢瑂䅁䅁眱䅁䍁䅧䅁㍂䡁䅣睤畁䡁䅣兡畂䝁䅍兙畂䡁䅑睢畂䍁䄴睙療䍁䄴兤牂䅁䅁兒䅁䱁䈸䅁䵁䅉䅅䅁䕁䅁䅁睁䵁䅁䅁权兂允䅁权捁䅁䅁权佁䅁䅁允䅁䅁䅅䅁䙁䵁湇塏穭獂䅊䍄䉁䅁䅁兂䅁䅁䅍䅄䅁䅁䅯村䅅䅁䅯兌䅁䅁䅯儯䅁䅁䅯杄䅁䅁䅅䅁䉁䅁䅁兂坃㑑獴㠹䉔䅑杷允䅁䅁䅕䅁䑁䅁䅷䅁䭁䕁䉉䅁䭁䉁䅧䅁䭁䉁䅅䅁䙁䅁䅁䅁权⬷䅖允䅁䅁䅅䅁䙁䍁楫祷敲䍃䅨䍄䉁䅁䅁兂䅁䅁䅍䅄䅁䅁䅯䅔䅅䅁䅯䅅䅁䅁䅯杉䅁䅁䅯杄䅁䅁䅅䅁䉁䅁䅁兂䅁䅁䅁偁㥂䅷杷允䅁䅁䅕䅁䑁䅁䅷䅁䭁䙁䉣䅁䭁䑁䅯䅁䭁䉁䅅䅁䙁䅁䅁䅁䅂效䅚允䅁䅁䅅䅁䙁乁杕佺攱桔䄱䍄䉁䅁䅁睁䅁䅁䅍䅄䅁䅁䅯杪䅅䅁䅯杩䅁䅁䅅䅁䉁䅁䅁睂䅁䅁䅁䉙浲䅑杷允䅁䅁䅙䅁䑁䅁䅷䅁䭁䕁䉷䅁䭁䉁䅧䅁䭁䉁䅅䅁䭁䅁䅑潁䙁䅁䅁䅁䅂效䅚允䅁䅁䅅䅁䙁䥁呤电扙十䄱䍄䉁䅁䅁睁䅁䅁䅍䅄䅁䅁䅯睖䅅䅁䅯睅䅁䅁䅅䅁䉁䅁䅁权啁䅁䅁䍄䉁䅁䅁䅂䅁䅁䅍䅄䅁䅁䅯杓䅅䅁䅯睈䅁䅁䅯杄䅁䅁䅅䅁䉁䅁䅁兂湄汕噺畔潦䅑杷允䅁䅁䅕䅁䑁䅁䅷䅁䭁䕁䉑䅁䭁䑁䄴䅁䭁䍁䄴䅁䭁䅁䄴䅁䉁䅁䅁允䅁䅁䅕䅁䅁䉁偁䔹䵁䅉䅅䅁䑁䅁䅁睁䵁䅁䅁权啂允䅁权䝃允䅁允䅁䅁䅅䅁䭁䵁䅯䅁䵁䅉䅅䅁䝁䅁䅁睁䵁䅁䅁权䭂允䅁权奁䅁䅁权剁䅁䅁权䕁䅁䅋兂䅁䅁䅁䉑洳䅑䅅䅁䉁䅁䅁兂䥃⭒汌吶村䅑杷允䅁䅁䅍䅁䑁䅁䅷䅁䭁䕁䉯䅁䭁䉁䅙䅁䉁䅁䅁允䅁䅁䅯睓䅅䅁杷允䅁䅁䅕䅁䑁䅁䅷䅁䭁䕁䉧䅁䭁䑁䄴䅁䭁䍁䄴䅁䭁䅁䄴䅁䉁䅁䅁允䅁䅁䅕䅁䅁䙁㝄歁䵅䅉䅅䅁䑁䅁䅁睁䵁䅁䅁权䡂允䅁权呁䅁䅁允䅁䅁䅅䅁䭁䉁䅑䅁䵁䅉䅅䅁䙁䅁䅁睁䵁䅁䅁权䍂允䅁权灁䅁䅁权畁䅁䅁权佁䅁䅁允䅁䅁䅅䅁䙁䅁䅁䅁䅁爷䅤䍄䉁䅁䅁兂䅁䅁䅍䅄䅁䅁䅯䅒䅅䅁䅯克䅁䅁䅯杌䅁䅁䅯杄䅁䅁䅅䅁䉁䅁䅁兂䅁䅁䅁䭁⭹䅑杷允䅁䅁䅕䅁䑁䅁䅷䅁䭁䕁䉯䅁䭁䉁䅁䅁䭁䍁䄴䅁䭁䅁䄴䅁䉁䅁䅁允䅁䅁䅕䅁䅁䅁坁啴䵁䅉䅅䅁䑁䅁䅁睁䵁䅁䅁权瑂允䅁权䥃䅁䅁允䅁䅁䅅䅁䭁䥁䉁䅁䵁䅉䅅䅁䕁䅁䅁睁䵁䅁䅁权䱃允䅁权桃䅁䅁权扃䅁䅁允䅁䅁䅅䅁䙁䑁㙪䱔䕢穙䅊䍄䉁䅁䅁兂䅁䅁䅍䅄䅁䅁䅯䅔䅅䅁䅯睌䅁䅁䅯充䅁䅁䅕䅁䅁䕁摁欵䉁䅁䅁允䅁䅁䅕煺偲嘱獢稴䴸䅉䅅䅁䝁䅁䅁睁䵁䅁䅁权䍂允䅁权奁䅁䅁权剁䅁䅁权䕁䅁䅋兂䅁䅁䅁䉑洳䅑䅅䅁䉁䅁䅁兂䉃灂㙳睪礴䅑杷允䅁䅁䅑䅁䑁䅁䅷䅁䭁䙁䉁䅁䭁䕁䄴䅁䭁䙁䉅䅁䉁䅁䅁允䅁䅁䅕桳剱楍剣樶䴸䅉䅅䅁䙁䅁䅁睁䵁䅁䅁权䡂允䅁权奁䅁䅁权剁䅁䅁兂䅁䅁䅁佯氯䅑䅅䅁䉁䅁䅁兂㡂杴伴渹塙䅑杷允䅁䅁䅕䅁䑁䅁䅷䅁䭁䥁䈰䅁䭁䩁䉯䅁䭁䩁䅳䅁䭁䅁䄴䅁䉁䅁䅁允䅁䅁䅯杁䅁䅁杷允䅁䅁䅑䅁䑁䅁䅷䅁䭁䕁䉷䅁䭁䉁䅷䅁䭁䅁䄴䅁䉁䅁䅁允䅁䅁䅕䭧㍁倰剪䔴䵁䅉䅅䅁䕁䅁䅁睁䵁䅁䅁权塂允䅁权佂䅁䅁权剂允䅁允䅁䅁䅅䅁䙁䑁㕫㡭婰乶⽳䍄䉁䅁䅁兂䅁䅁䅍䅄䅁䅁䅯杓䅅䅁䅯杏䅁䅁䅯充䅁䅁䅕䅁䅁䭁癄唵䉁䅁䅁允䅁䅁䅕ㅯ癵唶灅啌䵁䅉䅅䅁䑁䅁䅁睁䵁䅁䅁权䍂允䅁权呁䅁䅁允䅁䅁䅅䅁䭁䉁䅑䅁䵁䅉䅅䅁䙁䅁䅁睁䵁䅁䅁权偂允䅁权㥁䅁䅁权畁䅁䅁权佁䅁䅁允䅁䅁䅅䅁䙁䝁䵱氱硅搵䅖䍄䉁䅁䅁䅂䅁䅁䅍䅄䅁䅁䅯兔䅅䅁䅯杯䅁䅁䅯睭䅁䅁䅅䅁䉁䅁䅁兂杄癌歖䠯桢睐杷允䅁䅁䅕䅁䑁䅁䅷䅁䭁䕁䈸䅁䭁䑁䄴䅁䭁䍁䄴䅁䭁䅁䄴䅁䉁䅁䅁允䅁䅁䅕䅁䅁䵁䝄唱䵁䅉䅅䅁䑁䅁䅁睁䵁䅁䅁权䥂允䅁权坁䅁䅁允䅁䅁䅅䅁䭁䙁䉕䅁䵁䅉䅅䅁䙁䅁䅁睁䵁䅁䅁权䥂允䅁权⭁䅁䅁权楁䅁䅁权佁䅁䅁允䅁䅁䅅䅁䙁䅁䅁䅁元䅡䉆䍄䉁䅁䅁睁䅁䅁䅍䅄䅁䅁䅯兔䅅䅁䅯兦䅁䅁䅅䅁䉁䅁䅁权癄䅁䅁䍄䉁䅁䅁兂䅁䅁䅍䅄䅁䅁䅯䅔䅅䅁䅯児䅁䅁䅯杌䅁䅁䅯杄䅁䅁䅅䅁䉁䅁䅁兂楁㡎乍歷㥺䅑杷允䅁䅁䅕䅁䑁䅁䅷䅁䭁䥁䈴䅁䭁䥁䅁䅁䭁䩁䅳䅁䭁䅁䄴䅁䉁䅁䅁允䅁䅁䅕䭷牳半䝯啘䵁䅉䅅䅁䑁䅁䅁睁䵁䅁䅁权䵂允䅁权呁䅁䅁允䅁䅁䅅䅁䭁䉁䅑䅁䵁䅉䅅䅁䕁䅁䅁睁䵁䅁䅁权䥂允䅁权晁䅁䅁权佁䅁䅁允䅁䅁䅅䅁䙁䭁け㑭呥杙䉊䍄䉁䅁䅁兂䅁䅁䅍䅄䅁䅁䅯睖䅅䅁䅯克䅁䅁䅯杌䅁䅁䅯杄䅁䅁䅅䅁䉁䅁䅁兂乄䵺䵺䍺瑩䅑杷允䅁䅁䅑䅁䑁䅁䅷䅁䭁䕁䈸䅁䭁䕁䄴䅁䭁䙁䉅䅁䉁䅁䅁允䅁䅁䅕橣煰湏千吹䴸䅉䅅䅁䕁䅁䅁睁䵁䅁䅁权求允䅁权捁䅁䅁权佁䅁䅁允䅁䅁䅅䅁䙁䡁㑙䍥瀴⭘䅖䍄䉁䅁䅁兂䅁䅁䅍䅄䅁䅁䅯䅓䅅䅁䅯免䅁䅁䅯儯䅁䅁䅯杄䅁䅁䅅䅁䉁䅁䅁兂硂䥲扶䱣偘䅑杷允䅁䅁䅍䅁䑁䅁䅷䅁䭁䕁䈸䅁䭁䉁䄰䅁䉁䅁䅁允䅁䅁䅯䅂䅁䅁杷允䅁䅁䅕䅁䑁䅁䅷䅁䭁䕁䉧䅁䭁䑁䄰䅁䭁䍁䄴䅁䭁䅁䄴䅁䉁䅁䅁允䅁䅁䅕㑨慖硕⼶歁䵅䅉䅅䅁䙁䅁䅁睁䵁䅁䅁权求允䅁权⭁䅁䅁权畁䅁䅁权佁䅁䅁允䅁䅁䅅䅁䙁䅁䅁䅁杂瘰䅂䍄䉁䅁䅁睁䅁䅁䅍䅄䅁䅁䅯䅖䅅䅁䅯全䅁䅁䅅䅁䉁䅁䅁权佂允䅁䍄䉁䅁䅁杂䅁䅁䅍䅄䅁䅁䅯党䅅䅁䅯䅇䅁䅁䅯充䅁䅁䅯䅂䍁䅧䅕䅁䅁䕁摁欵䉁䅁䅁允䅁䅁䅕瑱䍢䱌㝓ぉ䵁䅉䅅䅁䕁䅁䅁睁䵁䅁䅁权䕂允䅁权晁䅁䅁权佁䅁䅁允䅁䅁䅅䅁䙁䅁敁慕䵈⭩䄹䍄䉁䅁䅁兂䅁䅁䅍䅄䅁䅁䅯村䅅䅁䅯克䅁䅁䅯杉䅁䅁䅯杄䅁䅁䅅䅁䉁䅁䅁兂䅁䅁䅁䕁㡋䅑杷允䅁䅁䅕䅁䑁䅁䅷䅁䭁䙁䉁䅁䭁䑁䄰䅁䭁䍁䄴䅁䭁䅁䄴䅁䉁䅁䅁允䅁䅁䅕湥㍂由慉䕺䵁䅉䅅䅁䙁䅁䅁睁䵁䅁䅁权䵂允䅁权硁䅁䅁权㥄䅁䅁权佁䅁䅁允䅁䅁䅅䅁䙁䵁噚摚丫䱥䅚䍄䉁䅁䅁兂䅁䅁䅍䅄䅁䅁䅯䅖䅅䅁䅯杮䅁䅁䅯杉䅁䅁䅯杄䅁䅁䅅䅁䉁䅁䅁兂塃㥚䙨桖噸䅑杷允䅁䅁䅕䅁䑁䅁䅷䅁䭁䕁䉑䅁䭁䑁䄴䅁䭁䍁䅉䅁䭁䅁䄴䅁䉁䅁䅁允䅁䅁䅕䅁䅁䥁橁〹䵁䅉䅅䅁䙁䅁䅁睁䵁䅁䅁权求允䅁权奁䅁䅁权剁䅁䅁兂䅁䅁䅁佯氯䅑䅅䅁䉁䅁䅁兂慄愴䨯畇啕䅑杷允䅁䅁䅕䅁䑁䅁䅷䅁䭁䕁䉧䅁䭁䍁䅫䅁䭁䍁䅉䅁䭁䅁䄴䅁䉁䅁䅁允䅁䅁䅕䅁䅁䕁㥁〰䵁䅉䅅䅁䙁䅁䅁睁䵁䅁䅁权䕂允䅁权瑁䅁䅁权㥄䅁䅁权佁䅁䅁允䅁䅁䅅䅁䙁䱁獯橊癙㠶䅒䍄䉁䅁䅁兂䅁䅁䅍䅄䅁䅁䅯䅓䅅䅁䅯克䅁䅁䅯杌䅁䅁䅯杄䅁䅁䅅䅁䉁䅁䅁兂䅁䅁䅁䥑堯䅑杷允䅁䅁䅕䅁䑁䅁䅷䅁䭁䙁䉁䅁䭁䑁䄴䅁䭁䍁䄴䅁䭁䅁䄴䅁䉁䅁䅁允䅁䅁䅕䅁䅁䥁啁䕺䵁䅉䅅䅁䙁䅁䅁睁䵁䅁䅁权䥂允䅁权瑁䅁䅁权㥄䅁䅁权佁䅁䅁允䅁䅁䅅䅁䙁乁礸㡰歳乚䅨䍄䉁䅁䅁兂䅁䅁䅍䅄䅁䅁䅯䅪䅅䅁䅯杮䅁䅁䅯杉䅁䅁䅯杄䅁䅁䅅䅁䉁䅁䅁兂穃剱搳湣橃䅑杷允䅁䅁䅕䅁䑁䅁䅷䅁䭁䕁䉧䅁䭁䉁䅁䅁䭁䍁䅉䅁䭁䅁䄴䅁䉁䅁䅁允䅁䅁䅕䅁䅁䥁ㅂべ䵁䅉䅅䅁䙁䅁䅁睁䵁䅁䅁权䭂允䅁权㙁䅁䅁权剁䅁䅁兂䅁䅁䅁䉑洳䅑䅅䅁䉁䅁䅁兂剁橎㥹癕栴䅑杷允䅁䅁䅕䅁䑁䅁䅷䅁䭁䕁䉧䅁䭁䉁䅁䅁䭁䍁䄴䅁䭁䅁䄴䅁䉁䅁䅁允䅁䅁䅕䅁䅁䕁畄唰䵁䅉䅅䅁䑁䅁䅁睁䵁䅁䅁权䕂允䅁权坁䅁䅁允䅁䅁䅅䅁䭁䝁䉧䅁䵁䅉䅅䅁䙁䅁䅁睁䵁䅁䅁权䵂允䅁权瑁䅁䅁权㥄䅁䅁权佁䅁䅁允䅁䅁䅅䅁䙁偁摷杩摊獚䅆䍄䉁䅁䅁兂䅁䅁䅍䅄䅁䅁䅯䅔䅅䅁䅯杏䅁䅁䅯充䅁䅁䅕䅁䅁䭁癄唵䉁䅁䅁允䅁䅁䅕浃桘㈶瑵え䵁䅉䅅䅁䙁䅁䅁睁䵁䅁䅁权塂允䅁权⭁䅁䅁权楁䅁䅁权佁䅁䅁允䅁䅁䅅䅁䙁䵁䴳䵺捷畐䅎䍄䉁䅁䅁䅂䅁䅁䅍䅄䅁䅁䅯睖䅅䅁䅯睈䅁䅁䅯杄䅁䅁䅅䅁䉁䅁䅁兂㑁渲䑈㥖剶䅑杷允䅁䅁䅕䅁䑁䅁䅷䅁䭁䕁䉣䅁䭁䍁䄰䅁䭁偁䄰䅁䭁䅁䄴䅁䉁䅁䅁允䅁䅁䅕䱡煐㡣䝫䕸䵁䅉䅅䅁䑁䅁䅁睁䵁䅁䅁权兂允䅁权䥁䅁䅁允䅁䅁䅅䅁䭁䙁䈴䅁䵁䅉䅅䅁䑁䅁䅁睁䵁䅁䅁权求允䅁权摁䅁䅁允䅁䅁䅅䅁䭁䅁䅑䅁䵁䅉䅅䅁䕁䅁䅁睁䵁䅁䅁权䍂允䅁权煁䅁䅁权剂允䅁允䅁䅁䅅䅁䙁䉁䭮䭧摳䑌䅊䍄䉁䅁䅁䅂䅁䅁䅍䅄䅁䅁䅯睖䅅䅁䅯杋䅁䅁䅯兕䅅䅁䅅䅁䉁䅁䅁兂慃睉㙹灯愸䅑杷允䅁䅁䅕䅁䑁䅁䅷䅁䭁䙁䉣䅁䭁䍁䄸䅁䭁䉁䅅䅁䙁䅁䅁䅁䅂效䅚允䅁䅁䅅䅁䙁䍁⼫㈰䝔⬲⽁䍄䉁䅁䅁睁䅁䅁䅍䅄䅁䅁䅯䅒䅅䅁䅯䅊䅁䅁䅅䅁䉁䅁䅁权浂允䅁䍄䉁䅁䅁兂䅁䅁䅍䅄䅁䅁䅯睖䅅䅁䅯児䅁䅁䅯杌䅁䅁䅯杄䅁䅁䅅䅁䉁䅁䅁兂偃㤳ぶ㉥武䅑杷允䅁䅁䅕䅁䑁䅁䅷䅁䭁䕁䉷䅁䭁䉁䅁䅁䭁䍁䄴䅁䭁䅁䄴䅁䉁䅁䅁允䅁䅁䅕䅁䅁䅁獁䕫䵁䅉䅅䅁䑁䅁䅁睁䵁䅁䅁权塂允䅁权摁䅁䅁允䅁䅁䅅䅁䭁䅁䅑䅁䵁䅉䅅䅁䙁䅁䅁睁䵁䅁䅁权求允䅁权瑁䅁䅁权㥄䅁䅁权佁䅁䅁允䅁䅁䅅䅁䙁䝁栰䕹灇䵆䅂䍄䉁䅁䅁兂䅁䅁䅍䅄䅁䅁䅯村䅅䅁䅯児䅁䅁䅯杌䅁䅁䅯杄䅁䅁䅅䅁䉁䅁䅁兂䕄䈸硅㠰癢䅑杷允䅁䅁䅕䅁䑁䅁䅷䅁䭁䕁䈸䅁䭁䍁䄸䅁䭁䉁䅅䅁䙁䅁䅁䅁䅂效䅚允䅁䅁䅅䅁䙁䕁䭉歮畋伱⼴䍄䉁䅁䅁睁䅁䅁䅍䅄䅁䅁䅯䅖䅅䅁䅯兦䅁䅁䅅䅁䉁䅁䅁权䭄䅁䅁䍄䉁䅁䅁兂䅁䅁䅍䅄䅁䅁䅯睔䅅䅁䅯睌䅁䅁䅯充䅁䅁䅕䅁䅁䭁癄唵䉁䅁䅁允䅁䅁䅕㑑琶睚䡩吹䴸䅉䅅䅁䙁䅁䅁睁䵁䅁䅁权䭂允䅁权奁䅁䅁权剁䅁䅁兂䅁䅁䅁佯氯䅑䅅䅁䉁䅁䅁兂䡃李扁䑅汅䅑杷允䅁䅁䅕䅁䑁䅁䅷䅁䭁䕁䈸䅁䭁䑁䅯䅁䭁䉁䅅䅁䙁䅁䅁䅁䅂效䅚允䅁䅁䅅䅁䙁佁し⭰捓䍩䅰䍄䉁䅁䅁睁䅁䅁䅍䅄䅁䅁䅯睒䅅䅁䅯䅃䅁䅁䅅䅁䉁䅁䅁权療允䅁䍄䉁䅁䅁䅂䅁䅁䅍䅄䅁䅁䅯兢䅅䅁䅯睭䅅䅁䅯杄䅁䅁䅅䅁䉁䅁䅁权䉃䅁䅁䍄䉁䅁䅁兂䅁䅁䅍䅄䅁䅁䅯䅓䅅䅁䅯䅇䅁䅁䅯充䅁䅁䅕䅁䅁䭁癄唵䉁䅁䅁允䅁䅁䅕⽥捚楰硙啈䵁䅉䅅䅁䙁䅁䅁睁䵁䅁䅁权兂允䅁权㙁䅁䅁权剁䅁䅁兂䅁䅁䅁䉑洳䅑䅅䅁䉁䅁䅁权䍁䅁䅁䍄䉁䅁䅁兂䅁䅁䅍䅄䅁䅁䅯党䅅䅁䅯克䅁䅁䅯杌䅁䅁䅯杄䅁䅁䅅䅁䉁䅁䅁兂䅁䅁䅁䕁㑗䅑杷允䅁䅁䅕䅁䑁䅁䅷䅁䭁䕁䉣䅁䭁䉁䅁䅁䭁䍁䅉䅁䭁䅁䄴䅁䉁䅁䅁允䅁䅁䅕䅁䅁䥁兄啷䵁䅉䅅䅁䙁䅁䅁睁䵁䅁䅁权偂允䅁权允䅁䅁权楁䅁䅁权佁䅁䅁允䅁䅁䅅䅁䙁䅁䅁䅁䅁䩭䅸䍄䉁䅁䅁䅂䅁䅁䅍䅄䅁䅁䅯䅕䅅䅁䅯䅄䅁䅁䅯兕䅅䅁䅅䅁䉁䅁䅁兂䍄嘶猹做桧䅑杷允䅁䅁䅕䅁䑁䅁䅷䅁䭁䕁䉣䅁䭁䉁䅁䅁䭁䍁䄴䅁䭁䅁䄴䅁䉁䅁䅁允䅁䅁䅕䅁䅁䅁㍂歶䵁䅉䅅䅁䙁䅁䅁睁䵁䅁䅁权塂允䅁权癁䅁䅁权剁䅁䅁兂䅁䅁䅁佯氯䅑䅅䅁䉁䅁䅁兂湁獌牣䑅攳睐杷允䅁䅁䅑䅁䑁䅁䅷䅁䭁䙁䉣䅁䭁䅁䅷䅁䭁䙁䉅䅁䉁䅁䅁允䅁䅁䅕䝣瘹权噁い䵁䅉䅅䅁䕁䅁䅁睁䵁䅁䅁权求允䅁权晁䅁䅁权佁䅁䅁允䅁䅁䅅䅁䙁乁䱁祤䨷數䄹䍄䉁䅁䅁兂䅁䅁䅍䅄䅁䅁䅯村䅅䅁䅯材䅁䅁䅯杉䅁䅁䅯杄䅁䅁䅅䅁䉁䅁䅁兂䅁䅁䅁䱙獈䅑杷允䅁䅁䅕䅁䑁䅁䅷䅁䭁䕁䉉䅁䭁䑁䄴䅁䭁䍁䄴䅁䭁䅁䄴䅁䉁䅁䅁允䅁䅁䅕䅁䅁䵁い〷䵁䅉䅅䅁䙁䅁䅁睁䵁䅁䅁权兂允䅁权⭁䅁䅁权楁䅁䅁权佁䅁䅁允䅁䅁䅅䅁䙁䅁䅁䅁䅁乪䅆䍄䉁䅁䅁兂䅁䅁䅍䅄䅁䅁䅯睔䅅䅁䅯材䅁䅁䅯杉䅁䅁䅯杄䅁䅁䅅䅁䉁䅁䅁兂䅁䅁䅁䅁噦䅑杷允䅁䅁䅕䅁䑁䅁䅷䅁䭁䕁䉯䅁䭁䑁䄴䅁䭁䍁䅉䅁䭁䅁䄴䅁䉁䅁䅁允䅁䅁䅕䅁䅁䍁杄䔶䵁䅉䅅䅁䙁䅁䅁睁䵁䅁䅁权䥂允䅁权癁䅁䅁权剁䅁䅁兂䅁䅁䅁䉑洳䅑䅅䅁䉁䅁䅁兂㑂䜷硥䵆畮睐杷允䅁䅁䅕䅁䑁䅁䅷䅁䭁䕁䈸䅁䭁䍁䅫䅁䭁䍁䅉䅁䭁䅁䄴䅁䉁䅁䅁允䅁䅁䅕䅁䅁䅁千ぱ䵁䅉䅅䅁䑁䅁䅁睁䵁䅁䅁权佃允䅁权䙃䅁䅁允䅁䅁䅅䅁䭁䕁䈴䅁䵁䅉䅅䅁䙁䅁䅁睁䵁䅁䅁权䍂允䅁权癁䅁䅁权剁䅁䅁兂䅁䅁䅁䉑洳䅑䅅䅁䉁䅁䅁兂䕃䡧䩷剆㝺睐杷允䅁䅁䅕䅁䑁䅁䅷䅁䭁䕁䉯䅁䭁䑁䄴䅁䭁䍁䄴䅁䭁䅁䄴䅁䉁䅁䅁允䅁䅁䅕䅁䅁䕁䭂〶䵁䅉䅅䅁䙁䅁䅁睁䵁䅁䅁权䭂允䅁权㥁䅁䅁权畁䅁䅁权佁䅁䅁允䅁䅁䅅䅁䙁䍁癰穒灩留䅴䍄䉁䅁䅁兂䅁䅁䅍䅄䅁䅁䅯兪䅅䅁䅯睮䅁䅁䅯杉䅁䅁䅯杄䅁䅁䅅䅁䉁䅁䅁兂䉃䜲䅧歄敎䅑杷允䅁䅁䅑䅁䑁䅁䅷䅁䭁䕁䈰䅁䭁䩁䄰䅁䭁䅁䄴䅁䉁䅁䅁允䅁䅁䅕㉚浚浚浚䕌䵁䅉䅅䅁䕁䅁䅁睁䵁䅁䅁权瑂允䅁权晃䅁䅁权佁䅁䅁允䅁䅁䅅䅁䙁䡁丰㐯⽤噡䄵䍄䉁䅁䅁兂䅁䅁䅍䅄䅁䅁䅯䅕䅅䅁䅯免䅁䅁䅯儯䅁䅁䅯杄䅁䅁䅅䅁䉁䅁䅁兂卄㕖浂䅌⬱䅑杷允䅁䅁䅕䅁䑁䅁䅷䅁䭁䥁䉣䅁䭁䩁䄸䅁䭁䍁䅉䅁䭁䅁䄴䅁䉁䅁䅁允䅁䅁䅕汒圷䅸偊え䵁䅉䅅䅁䙁䅁䅁睁䵁䅁䅁权塂允䅁权⭁䅁䅁权畁䅁䅁权佁䅁䅁允䅁䅁䅅䅁䙁䅁䅁䅁元敏䅒䍄䉁䅁䅁兂䅁䅁䅍䅄䅁䅁䅯䅒䅅䅁䅯免䅁䅁䅯儯䅁䅁䅯杄䅁䅁䅅䅁䉁䅁䅁兂⽂䍇㡅畗㌶䅑杷允䅁䅁䅕䅁䑁䅁䅷䅁䭁䕁䉧䅁䭁䑁䅯䅁䭁䉁䅅䅁䙁䅁䅁䅁权⬷䅖允䅁䅁䅅䅁䙁䙁㕧䵴㉨楢䅒䍄䉁䅁䅁兂䅁䅁䅍䅄䅁䅁䅯䅒䅅䅁䅯児䅁䅁䅯杌䅁䅁䅯杄䅁䅁䅅䅁䉁䅁䅁兂⭁奙䡭呒ご䅑杷允䅁䅁䅑䅁䑁䅁䅷䅁䭁䕁䉯䅁䭁䩁䉫䅁䭁䅁䄴䅁䉁䅁䅁允䅁䅁䅕䅁䅁䕁䕁唰䵁䅉䅅䅁䕁䅁䅁睁䵁䅁䅁权啂允䅁权摃䅁䅁权佁䅁䅁允䅁䅁䅅䅁䙁䭁塉牳䬷潳䅚䍄䉁䅁䅁兂䅁䅁䅍䅄䅁䅁䅯䅔䅅䅁䅯材䅁䅁䅯杉䅁䅁䅯杄䅁䅁䅅䅁䉁䅁䅁兂䅁䅁䅁䡅㡶䅑杷允䅁䅁䅑䅁䑁䅁䅷䅁䭁䥁䉫䅁䭁䡁䄸䅁䭁䅁䄴䅁䉁䅁䅁允䅁䅁䅕㕸漫䉢㕧啤䵁䅉䅅䅁䙁䅁䅁睁䵁䅁䅁权䵂允䅁权⭁䅁䅁权畁䅁䅁权佁䅁䅁允䅁䅁䅅䅁䙁䅁䅁䅁䅄癍䅤䍄䉁䅁䅁兂䅁䅁䅍䅄䅁䅁䅯睒䅅䅁䅯材䅁䅁䅯杉䅁䅁䅯杄䅁䅁䅅䅁䉁䅁䅁兂䅁䅁䅁䵙潢䅑杷允䅁䅁䅑䅁䑁䅁䅷䅁䭁䕁䉣䅁䭁䍁䅯䅁䭁䙁䉅䅁䉁䅁䅁允䅁䅁䅕䱮䥥㉘瑍ぉ䵁䅉䅅䅁䙁䅁䅁睁䵁䅁䅁权䡂允䅁权⭁䅁䅁权畁䅁䅁权佁䅁䅁允䅁䅁䅅䅁䙁䅁䅁䅁权畑䅤䍄䉁䅁䅁兂䅁䅁䅍䅄䅁䅁䅯睒䅅䅁䅯児䅁䅁䅯杌䅁䅁䅯杄䅁䅁䅅䅁䉁䅁䅁兂牃汐扤呙湺䅑杷允䅁䅁䅑䅁䑁䅁䅷䅁䭁䕁䉣䅁䭁䩁䉫䅁䭁䅁䄴䅁䉁䅁䅁允䅁䅁䅕䅁䅁䝁佄䔴䵁䅉䅅䅁䙁䅁䅁睁䵁䅁䅁权求允䅁权⭁䅁䅁权楁䅁䅁权佁䅁䅁允䅁䅁䅅䅁䙁䅁䅁䅁睄晕䅖䍄䉁䅁䅁兂䅁䅁䅍䅄䅁䅁䅯党䅅䅁䅯児䅁䅁䅯杌䅁䅁䅯杄䅁䅁䅅䅁䉁䅁䅁兂䥁电硪睢确䅑杷允䅁䅁䅕䅁䑁䅁䅷䅁䭁䕁䉧䅁䭁䍁䄸䅁䭁䉁䅅䅁䙁䅁䅁䅁权⬷䅖允䅁䅁䅅䅁䙁䍁瑷⽉敗癩⽅䍄䉁䅁䅁䅂䅁䅁䅍䅄䅁䅁䅯䅔䅅䅁䅯䅄䅁䅁䅯兕䅅䅁䅅䅁䉁䅁䅁兂捂桮䝫⭐敉䅑杷允䅁䅁䅕䅁䑁䅁䅷䅁䭁䙁䉁䅁䭁䍁䅫䅁䭁䍁䅉䅁䭁䅁䄴䅁䉁䅁䅁允䅁䅁䅕䅁䅁䅁䵃啬䵁䅉䅅䅁䙁䅁䅁睁䵁䅁䅁权兂允䅁权灁䅁䅁权畁䅁䅁权佁䅁䅁允䅁䅁䅅䅁䙁䅁䅁䅁䅁䥍䅬䍄䉁䅁䅁兂䅁䅁䅍䅄䅁䅁䅯村䅅䅁䅯睌䅁䅁䅯充䅁䅁䅕䅁䅁䭁癄唵䉁䅁䅁允䅁䅁䅕䭒卨睳慤䐫䴸䅉䅅䅁䙁䅁䅁睁䵁䅁䅁权兂允䅁权瑁䅁䅁权㥄䅁䅁权佁䅁䅁允䅁䅁䅅䅁䙁佁汏㡭杓㕸䅒䍄䉁䅁䅁兂䅁䅁䅍䅄䅁䅁䅯睔䅅䅁䅯克䅁䅁䅯杌䅁䅁䅯杄䅁䅁䅅䅁䉁䅁䅁兂䅁䅁䅁偁扩䅑杷允䅁䅁䅕䅁䑁䅁䅷䅁䭁䕁䉉䅁䭁䑁䅅䅁䭁偁䄰䅁䭁䅁䄴䅁䉁䅁䅁允䅁䅁䅕⼳慪⽍䵎歵䵁䅉䅅䅁䙁䅁䅁睁䵁䅁䅁权偂允䅁权瑁䅁䅁权㥄䅁䅁权佁䅁䅁允䅁䅁䅅䅁䙁䉁振扮牕䭔䄱䍄䉁䅁䅁兂䅁䅁䅍䅄䅁䅁䅯杓䅅䅁䅯克䅁䅁䅯杉䅁䅁䅯杄䅁䅁䅅䅁䉁䅁䅁兂䅁䅁䅁䕁硃䅑杷允䅁䅁䅕䅁䑁䅁䅷䅁䭁䙁䉁䅁䭁䉁䅁䅁䭁䍁䄴䅁䭁䅁䄴䅁䉁䅁䅁允䅁䅁䅕䅁䅁䅁䅄䕙䵁䅉䅅䅁䙁䅁䅁睁䵁䅁䅁权䭂允䅁权灁䅁䅁权畁䅁䅁权佁䅁䅁允䅁䅁䅅䅁䙁䅁䅁䅁䅁牓䅨䍄䉁䅁䅁兂䅁䅁䅍䅄䅁䅁䅯杓䅅䅁䅯兌䅁䅁䅯儯䅁䅁䅯杄䅁䅁䅅䅁䉁䅁䅁兂䭃穎偋䵘㑭䅑杷允䅁䅁䅕䅁䑁䅁䅷䅁䭁䙁䉣䅁䭁䍁䄰䅁䭁偁䄰䅁䭁䅁䄴䅁䉁䅁䅁允䅁䅁䅕楒ㅖ汁楰歳䵁䅉䅅䅁䙁䅁䅁睁䵁䅁䅁权䩃允䅁权䅃䅁䅁权扃䅁䅁权佁䅁䅁允䅁䅁䅅䅁䙁佁版ㅡ䬱慒䄹䍄䉁䅁䅁兂䅁䅁䅍䅄䅁䅁䅯睒䅅䅁䅯克䅁䅁䅯杌䅁䅁䅯杄䅁䅁䅅䅁䉁䅁䅁兂䅁䅁䅁䍧䝈䅑杷允䅁䅁䅕䅁䑁䅁䅷䅁䭁䙁䉣䅁䭁䍁䅫䅁䭁䍁䅉䅁䭁䅁䄴䅁䉁䅁䅁允䅁䅁䅕積積積硎啱䵁䅉䅅䅁䑁䅁䅁睁䵁䅁䅁权䵃允䅁权䥃䅁䅁允䅁䅁䅅䅁䭁䩁䉍䅁䵁䅉䅅䅁䕁䅁䅁睁䵁䅁䅁权䵂允䅁权煁䅁䅁权剂允䅁允䅁䅁䅅䅁䙁䕁朸偏䝑椶䅤䍄䉁䅁䅁兂䅁䅁䅍䅄䅁䅁䅯兔䅅䅁䅯杮䅁䅁䅯杉䅁䅁䅯杄䅁䅁䅅䅁䉁䅁䅁权䍁䅁䅁䍄䉁䅁䅁兂䅁䅁䅍䅄䅁䅁䅯䅒䅅䅁䅯克䅁䅁䅯杉䅁䅁䅯杄䅁䅁䅅䅁䉁䅁䅁兂䅁䅁䅁偁䑘䅑杷允䅁䅁䅙䅁䑁䅁䅷䅁䭁䕁䉧䅁䭁䉁䅧䅁䭁䉁䅅䅁䭁䅁䅑潁䙁䅁䅁䅁䅂效䅚允䅁䅁䅅䅁䙁偁敍㕚睱剶䅬䍄䉁䅁䅁兂䅁䅁䅍䅄䅁䅁䅯䅔䅅䅁䅯克䅁䅁䅯杉䅁䅁䅯杄䅁䅁䅅䅁䉁䅁䅁兂䅁䅁䅁䉁楋䅑杷允䅁䅁䅕䅁䑁䅁䅷䅁䭁䕁䉷䅁䭁䍁䅫䅁䭁䍁䄴䅁䭁䅁䄴䅁䉁䅁䅁允䅁䅁䅕䅁䅁䅁啄啲䵁䅉䅅䅁䑁䅁䅁睁䵁䅁䅁权啂允䅁权䥃䅁䅁允䅁䅁䅅䅁䭁䡁䈴䅁䵁䅉䅅䅁䙁䅁䅁睁䵁䅁䅁权䡂允䅁权灁䅁䅁权楁䅁䅁权佁䅁䅁允䅁䅁䅅䅁䙁䅁䅁䅁䅃䴰䅨䍄䉁䅁䅁兂䅁䅁䅍䅄䅁䅁䅯党䅅䅁䅯克䅁䅁䅯杉䅁䅁䅯杄䅁䅁䅅䅁䉁䅁䅁兂䅁䅁䅁偧䑲䅑杷允䅁䅁䅑䅁䑁䅁䅷䅁䭁䕁䉧䅁䭁䕁䄴䅁䭁䙁䉅䅁䉁䅁䅁允䅁䅁䅕扑穢⽖硨樷䴸䅉䅅䅁䕁䅁䅁睁䵁䅁䅁权䍂允䅁权佂䅁䅁权剂允䅁允䅁䅁䅅䅁䙁䍁唳祦卓偤⽳䍄䉁䅁䅁兂䅁䅁䅍䅄䅁䅁䅯村䅅䅁䅯䅅䅁䅁䅯杉䅁䅁䅯杄䅁䅁䅅䅁䉁䅁䅁兂䅁䅁䅁偁祓䅑杷允䅁䅁䅕䅁䑁䅁䅷䅁䭁䕁䉉䅁䭁䉁䅁䅁䭁䍁䄴䅁䭁䅁䄴䅁䉁䅁䅁允䅁䅁䅕䅁䅁䅁煃䕳䵁䅉䅅䅁䙁䅁䅁睁䵁䅁䅁权䍂允䅁权㙁䅁䅁权剁䅁䅁兂䅁䅁䅁佯氯䅑䅅䅁䉁䅁䅁兂㝃攸䤷䩗砰䅑杷允䅁䅁䅕䅁䑁䅁䅷䅁䭁䙁䉁䅁䭁䉁䅧䅁䭁䉁䅅䅁䙁䅁䅁䅁权⬷䅖允䅁䅁䅅䅁䙁䩁䔲栰䍤样䅆䍄䉁䅁䅁兂䅁䅁䅍䅄䅁䅁䅯䅕䅅䅁䅯䅅䅁䅁䅯杉䅁䅁䅯杄䅁䅁䅅䅁䉁䅁䅁兂䅁䅁䅁䱁䕃䅑杷允䅁䅁䅑䅁䑁䅁䅷䅁䭁䥁䈰䅁䭁䭁䅅䅁䭁䩁䅳䅁䉁䅁䅁允䅁䅁䅕捘晇䑪敦ぉ䵁䅉䅅䅁䙁䅁䅁睁䵁䅁䅁权偂允䅁权允䅁䅁权畁䅁䅁权佁䅁䅁允䅁䅁䅅䅁䙁䅁䅁䅁䅁䩣䅊䍄䉁䅁䅁睁䅁䅁䅍䅄䅁䅁䅯杪䅅䅁䅯䅩䅁䅁䅅䅁䉁䅁䅁权啃允䅁䍄䉁䅁䅁兂䅁䅁䅍䅄䅁䅁䅯睔䅅䅁䅯免䅁䅁䅯儯䅁䅁䅯杄䅁䅁䅅䅁䉁䅁䅁兂䡄娫兴䵏椲䅑杷允䅁䅁䅕䅁䑁䅁䅷䅁䭁䕁䉯䅁䭁䉁䅁䅁䭁䍁䅉䅁䭁䅁䄴䅁䉁䅁䅁允䅁䅁䅕䅁䅁䅁㡁䕲䵁䅉䅅䅁䙁䅁䅁睁䵁䅁䅁权䭂允䅁权硁䅁䅁权㥄䅁䅁权佁䅁䅁允䅁䅁䅅䅁䙁䱁剉乩噦㝆䅒䍄䉁䅁䅁兂䅁䅁䅍䅄䅁䅁䅯睖䅅䅁䅯䅅䅁䅁䅯杉䅁䅁䅯杄䅁䅁䅅䅁䉁䅁䅁兂䅁䅁䅁䡁噹䅑杷允䅁䅁䅙䅁䑁䅁䅷䅁䭁䕁䈸䅁䭁䉁䅧䅁䭁䉁䅅䅁䭁䅁䅑潁䙁䅁䅁䅁䅂效䅚允䅁䅁䅅䅁䙁䱁挰瑤砸䍖䅬䍄䉁䅁䅁兂䅁䅁䅍䅄䅁䅁䅯睖䅅䅁䅯䅅䅁䅁䅯杌䅁䅁䅯杄䅁䅁䅅䅁䉁䅁䅁兂䅁䅁䅁䍁敋䅑杷允䅁䅁䅕䅁䑁䅁䅷䅁䭁䙁䉣䅁䭁䑁䅅䅁䭁偁䄰䅁䭁䅁䄴䅁䉁䅁䅁允䅁䅁䅕摐㑯湙㈱啰䵁䅉䅅䅁䙁䅁䅁睁䵁䅁䅁权䕂允䅁权允䅁䅁权楁䅁䅁权佁䅁䅁允䅁䅁䅅䅁䙁䅁䅁䅁䅁䵌䅂䍄䉁䅁䅁兂䅁䅁䅍䅄䅁䅁䅯䅒䅅䅁䅯䅅䅁䅁䅯杌䅁䅁䅯杄䅁䅁䅅䅁䉁䅁䅁兂䅁䅁䅁䡁㉩䅑杷允䅁䅁䅕䅁䑁䅁䅷䅁䭁䕁䉣䅁䭁䑁䅅䅁䭁偁䄰䅁䭁䅁䄴䅁䉁䅁䅁允䅁䅁䅕漯摌䡳堳啵䵁䅉䅅䅁䙁䅁䅁睁䵁䅁䅁权求允䅁权允䅁䅁权楁䅁䅁权佁䅁䅁允䅁䅁䅅䅁䙁䅁䅁䅁䅁䱹䅰䍄䉁䅁䅁睁䅁䅁䅍䅄䅁䅁䅯䅪䅅䅁䅯条䅁䅁䅅䅁䉁䅁䅁权奃允䅁䍄䉁䅁䅁兂䅁䅁䅍䅄䅁䅁䅯党䅅䅁䅯䅅䅁䅁䅯杌䅁䅁䅯杄䅁䅁䅅䅁䉁䅁䅁兂䅁䅁䅁䝁浩䅑杷允䅁䅁䅕䅁䑁䅁䅷䅁䭁䕁䉷䅁䭁䉁䅧䅁䭁䉁䅅䅁䙁䅁䅁䅁权⬷䅖允䅁䅁䅅䅁䙁䅁昳牷硲桢䅖䍄䉁䅁䅁兂䅁䅁䅍䅄䅁䅁䅯党䅅䅁䅯免䅁䅁䅯儯䅁䅁䅯杄䅁䅁䅅䅁䉁䅁䅁兂䍄䅎晷敵睓䅑杷允䅁䅁䅕䅁䑁䅁䅷䅁䭁䙁䉁䅁䭁䍁䄸䅁䭁䉁䅅䅁䙁䅁䅁䅁权⬷䅖允䅁䅁䅅䅁䙁佁汹克捋畘⽅䍄䉁䅁䅁兂䅁䅁䅍䅄䅁䅁䅯䅕䅅䅁䅯杏䅁䅁䅯充䅁䅁䅕䅁䅁䭁癄唵䉁䅁䅁允䅁䅁䅕㉏㐷堳牑歈䵁䅉䅅䅁䙁䅁䅁睁䵁䅁䅁权䱃允䅁权敃䅁䅁权楁䅁䅁权佁䅁䅁允䅁䅁䅅䅁䙁䱁啂䱴㥈ㄯ䅨䍄䉁䅁䅁兂䅁䅁䅍䅄䅁䅁䅯䅕䅅䅁䅯睌䅁䅁䅯充䅁䅁䅕䅁䅁䕁摁欵䉁䅁䅁允䅁䅁䅕游砱啱扲樶䴸䅉䅅䅁䙁䅁䅁睁䵁䅁䅁权佃允䅁权敃䅁䅁权楁䅁䅁权佁䅁䅁允䅁䅁䅅䅁䙁䙁睏爯㙁穤䅎䍄䉁䅁䅁䅂䅁䅁䅍䅄䅁䅁䅯睒䅅䅁䅯䅄䅁䅁䅯兕䅅䅁䅅䅁䉁䅁䅁兂呂摴灲爹头䅑杷允䅁䅁䅑䅁䑁䅁䅷䅁䭁䙁䉁䅁䭁䍁䅯䅁䭁䙁䉅䅁䉁䅁䅁允䅁䅁䅕坕华硁慲䕏䵁䅉䅅䅁䙁䅁䅁睁䵁䅁䅁权䭂允䅁权癁䅁䅁权剁䅁䅁兂䅁䅁䅁佯氯䅑䅅䅁䉁䅁䅁兂時慃䕔浲焳睐杷允䅁䅁䅕䅁䑁䅁䅷䅁䭁䕁䉷䅁䭁䑁䅯䅁䭁䉁䅅䅁䙁䅁䅁䅁䅂效䅚允䅁䅁䅅䅁䭁䙁䅍䅁䵁䅉䅅䅁䙁䅁䅁睁䵁䅁䅁权䭂允䅁权癁䅁䅁权剁䅁䅁兂䅁䅁䅁䉑洳䅑䅅䅁䉁䅁䅁兂㉂晕䅔㉸灄睐杷允䅁䅁䅑䅁䑁䅁䅷䅁䭁䕁䉯䅁䭁䕁䄴䅁䭁䙁䉅䅁䉁䅁䅁允䅁䅁䅕獋䭑瑡刹樷䴸䅉䅅䅁䕁䅁䅁睁䵁䅁䅁权䵂允䅁权佂䅁䅁权剂允䅁允䅁䅁䅅䅁䙁䝁䝯㙊歪畭⽧䍄䉁䅁䅁䅂䅁䅁䅍䅄䅁䅁䅯兔䅅䅁䅯杮䅁䅁䅯杄䅁䅁䅅䅁䉁䅁䅁权䍁䅁䅁䍄䉁䅁䅁兂䅁䅁䅍䅄䅁䅁䅯䅒䅅䅁䅯睌䅁䅁䅯充䅁䅁䅕䅁䅁䭁癄唵䉁䅁䅁允䅁䅁䅕克敧㤳ㄴ䐵䴸䅉䅅䅁䕁䅁䅁睁䵁䅁䅁权䩃允䅁权敃䅁䅁权佁䅁䅁允䅁䅁䅅䅁䙁䩁婱婭婭堲䅸䍄䉁䅁䅁兂䅁䅁䅍䅄䅁䅁䅯䅒䅅䅁䅯睌䅁䅁䅯充䅁䅁䅕䅁䅁䕁摁欵䉁䅁䅁允䅁䅁䅕祈伳佇䕙稶䴸䅉䅅䅁䙁䅁䅁睁䵁䅁䅁权瑂允䅁权扃允䅁权扃䅁䅁权佁䅁䅁允䅁䅁䅅䅁䙁乁坎橚支煒䅰䍄䉁䅁䅁䅂䅁䅁䅍䅄䅁䅁䅯䅒䅅䅁䅯杔䅁䅁䅯兕䅅䅁䅅䅁䉁䅁䅁兂摂栫猰㕚潔睐杷允䅁䅁䅕䅁䑁䅁䅷䅁䭁䕁䉷䅁䭁䍁䄸䅁䭁䉁䅅䅁䙁䅁䅁䅁权⬷䅖允䅁䅁䅅䅁䙁䥁䠱奱湑丹⼴䍄䉁䅁䅁兂䅁䅁䅍䅄䅁䅁䅯睒䅅䅁䅯睌䅁䅁䅯充䅁䅁䅕䅁䅁䭁癄唵䉁䅁䅁允䅁䅁䅕䉘圯㝇䍘樫䴸䅉䅅䅁䙁䅁䅁睁䵁䅁䅁权䡂允䅁权癁䅁䅁权剁䅁䅁兂䅁䅁䅁䉑洳䅑䅅䅁䉁䅁䅁兂㕁⭘㥹伫㍌睐杷允䅁䅁䅑䅁䑁䅁䅷䅁䭁䕁䉣䅁䭁䕁䄴䅁䭁䙁䉅䅁䉁䅁䅁允䅁䅁䅕䅂砸灚丶吹䴸䅉䅅䅁䙁䅁䅁睁䵁䅁䅁权求允䅁权癁䅁䅁权剁䅁䅁兂䅁䅁䅁佯氯䅑䅅䅁䉁䅁䅁兂奃㝅䩔娴浐睐杷允䅁䅁䅕䅁䑁䅁䅷䅁䭁䥁䉣䅁䭁䩁䉳䅁䭁䩁䅳䅁䭁䅁䄴䅁䉁䅁䅁允䅁䅁䅕猶漲匫呱啒䵁䅉䅅䅁䙁䅁䅁睁䵁䅁䅁权求允䅁权癁䅁䅁权剁䅁䅁兂䅁䅁䅁䉑洳䅑䅅䅁䉁䅁䅁兂䙂潋瑷䑂獮睐杷允䅁䅁䅑䅁䑁䅁䅷䅁䭁䝁䉕䅁䭁䕁䄴䅁䭁䙁䉅䅁䉁䅁䅁允䅁䅁䅕⽕㍋桐⽰樷䴸䅉䅅䅁䝁䅁䅁睁䵁䅁䅁权䕂允䅁权奁䅁䅁权剁䅁䅁权䕁䅁䅋兂䅁䅁䅁䉑洳䅑䅅䅁䉁䅁䅁兂捄摶湷㡒婅䅑杷允䅁䅁䅑䅁䑁䅁䅷䅁䭁䕁䉉䅁䭁䅁䅷䅁䭁䙁䉅䅁䉁䅁䅁允䅁䅁䅕㙤䍉㕏氯歋䵁䅉䅅䅁䝁䅁䅁睁䵁䅁䅁权兂允䅁权奁䅁䅁权剁䅁䅁权䕁䅁䅋兂䅁䅁䅁䉑洳䅑䅅䅁䉁䅁䅁兂睄祍挴䙃灅䅑杷允䅁䅁䅕䅁䑁䅁䅷䅁䭁䕁䉣䅁䭁䑁䅯䅁䭁䉁䅅䅁䙁䅁䅁䅁䅂效䅚允䅁䅁䅅䅁䙁䥁ㄵ剣乳欳䅎䍄䉁䅁䅁兂䅁䅁䅍䅄䅁䅁䅯睔䅅䅁䅯䅇䅁䅁䅯充䅁䅁䅕䅁䅁䭁癄唵䉁䅁䅁允䅁䅁䅕浴塲䱨佑啉䵁䅉䅅䅁䙁䅁䅁睁䵁䅁䅁权䡃允䅁权䅃䅁䅁权扃䅁䅁权佁䅁䅁允䅁䅁䅅䅁䙁䕁䉔䍪奬う䅬䍄䉁䅁䅁䅂䅁䅁䅍䅄䅁䅁䅯睔䅅䅁䅯䅄䅁䅁䅯兕䅅䅁䅅䅁䉁䅁䅁兂婁噙佮祲杫䅑杷允䅁䅁䅍䅁䑁䅁䅷䅁䭁䝁䈰䅁䭁䥁䉙䅁䉁䅁䅁允䅁䅁䅯杹䅁䅁杷允䅁䅁䅑䅁䑁䅁䅷䅁䭁䕁䉯䅁䭁䅁䅷䅁䭁䙁䉅䅁䉁䅁䅁允䅁䅁䅕瑓噌噱呑䕉䵁䅉䅅䅁䙁䅁䅁睁䵁䅁䅁权塂允䅁权奁䅁䅁权剁䅁䅁兂䅁䅁䅁佯氯䅑䅅䅁䉁䅁䅁兂噁䰴乶睇摣䅑杷允䅁䅁䅑䅁䑁䅁䅷䅁䭁䝁䈰䅁䭁䭁䅉䅁䭁䩁䅳䅁䉁䅁䅁允䅁䅁䅕爱祐湒婑䕂䵁䅉䅅䅁䝁䅁䅁睁䵁䅁䅁权塂允䅁权奁䅁䅁权剁䅁䅁权䕁䅁䅋兂䅁䅁䅁䉑洳䅑䅅䅁䉁䅁䅁兂摃瑋稸畅呅䅑杷允䅁䅁䅕䅁䑁䅁䅷䅁䭁䕁䉑䅁䭁䉁䅧䅁䭁䉁䅅䅁䙁䅁䅁䅁权⬷䅖允䅁䅁䅅䅁䙁乁朱䵱䭍硎䅎䍄䉁䅁䅁兂䅁䅁䅍䅄䅁䅁䅯兢䅅䅁䅯杭䅅䅁䅯睭䅁䅁䅯杄䅁䅁䅅䅁䉁䅁䅁兂硁歗噤ㅅ杰䅑杷允䅁䅁䅑䅁䑁䅁䅷䅁䭁䕁䉑䅁䭁䅁䅷䅁䭁䙁䉅䅁䉁䅁䅁允䅁䅁䅕砱塳佇杧䕇䵁䅉䅅䅁䝁䅁䅁睁䵁䅁䅁权䡂允䅁权奁䅁䅁权剁䅁䅁权䕁䅁䅋兂䅁䅁䅁䉑洳䅑䅅䅁䉁䅁䅁兂䡄瑅䝢倲噫䅑杷允䅁䅁䅑䅁䑁䅁䅷䅁䭁䝁䉕䅁䭁䅁䅷䅁䭁䙁䉅䅁䉁䅁䅁允䅁䅁䅕㝭昵癪捡え䵁䅉䅅䅁䑁䅁䅁睁䵁䅁䅁权乃允䅁权煂䅁䅁允䅁䅁䅅䅁䭁䩁䉕䅁䵁䅉䅅䅁䕁䅁䅁睁䵁䅁䅁权䥂允䅁权䵁䅁䅁权剂允䅁允䅁䅁䅅䅁䙁䕁呲䉨䭲案䅨䍄䉁䅁䅁兂䅁䅁䅍䅄䅁䅁䅯村䅅䅁䅯杏䅁䅁䅯充䅁䅁䅕䅁䅁䕁摁欵䉁䅁䅁允䅁䅁䅕噡ㅎ㉪慷歎䵁䅉䅅䅁䕁䅁䅁睁䵁䅁䅁权䱃允䅁权权䅁䅁权扃䅁䅁允䅁䅁䅅䅁䙁佁夸煗祐卦䅆䍄䉁䅁䅁兂䅁䅁䅍䅄䅁䅁䅯党䅅䅁䅯杏䅁䅁䅯充䅁䅁䅕䅁䅁䕁摁欵䉁䅁䅁允䅁䅁䅯睕䅁䅁杷允䅁䅁䅕䅁䑁䅁䅷䅁䭁䕁䈸䅁䭁䑁䅯䅁䭁䉁䅅䅁䙁䅁䅁䅁权⬷䅖允䅁䅁䅅䅁䙁䉁⭁䝬䩪祷䄱䍄䉁䅁䅁䅂䅁䅁䅍䅄䅁䅁䅯睔䅅䅁䅯杋䅁䅁䅯兕䅅䅁䅅䅁䉁䅁䅁兂佁㍌祎楨瀸䅑杷允䅁䅁䅕䅁䑁䅁䅷䅁䭁䥁䈰䅁䭁䩁䉳䅁䭁䩁䅳䅁䭁䅁䄴䅁䉁䅁䅁允䅁䅁䅕卶⽪慅㑆䕬䵁䅉䅅䅁䕁䅁䅁睁䵁䅁䅁权䭂允䅁权煁䅁䅁权剂允䅁允䅁䅁䅅䅁䙁䵁䉨敬挶䌱䅎䍄䉁䅁䅁兂䅁䅁䅍䅄䅁䅁䅯睖䅅䅁䅯杏䅁䅁䅯充䅁䅁䅕䅁䅁䭁癄唵䉁䅁䅁允䅁䅁䅕灳瘳㡰扢䕓䵁䅉䅅䅁䙁䅁䅁睁䵁䅁䅁权䕂允䅁权㙁䅁䅁权剁䅁䅁兂䅁䅁䅁佯氯䅑䅅䅁䉁䅁䅁兂ぁ䝨坏敐扫䅑杷允䅁䅁䅕䅁䑁䅁䅷䅁䭁䕁䉑䅁䭁䑁䅯䅁䭁䉁䅅䅁䙁䅁䅁䅁䅂效䅚允䅁䅁䅅䅁䙁䉁琵䱈坅祒䅤䍄䉁䅁䅁睁䅁䅁䅍䅄䅁䅁䅯睒䅅䅁䅯兂䅁䅁䅅䅁䉁䅁䅁权㝂允䅁䍄䉁䅁䅁䅂䅁䅁䅍䅄䅁䅁䅯䅒䅅䅁䅯杋䅁䅁䅯兕䅅䅁䅅䅁䉁䅁䅁兂䉃噪㠷硘汣䅑杷允䅁䅁䅑䅁䑁䅁䅷䅁䭁䝁䈰䅁䭁䭁䅅䅁䭁䩁䅳䅁䉁䅁䅁允䅁䅁䅕婺佤摬㉡歏䵁䅉䅅䅁䙁䅁䅁睁䵁䅁䅁权䡂允䅁权㙁䅁䅁权剁䅁䅁兂䅁䅁䅁佯氯䅑䅅䅁䉁䅁䅁兂煃⽊偏牶摫䅑杷允䅁䅁䅕䅁䑁䅁䅷䅁䭁䕁䉧䅁䭁䩁䄸䅁䭁䍁䅉䅁䭁䅁䄴䅁䉁䅁䅁允䅁䅁䅯杁䅁䅁杷允䅁䅁䅕䅁䑁䅁䅷䅁䭁䙁䉑䅁䭁䩁䉯䅁䭁䩁䅳䅁䭁䅁䄴䅁䉁䅁䅁允䅁䅁䅕ぶ呮佯灩す䵁䅉䅅䅁䙁䅁䅁睁䵁䅁䅁权求允䅁权㙁䅁䅁权剁䅁䅁兂䅁䅁䅁佯氯䅑䅅䅁䉁䅁䅁兂扄㥆䱁⭤攴䅑杷允䅁䅁䅑䅁䑁䅁䅷䅁䭁䝁䉕䅁䭁䍁䅯䅁䭁䙁䉅䅁䉁䅁䅁允䅁䅁䅕婂䉴䩪塷歌䵁䅉䅅䅁䙁䅁䅁睁䵁䅁䅁权䥂允䅁权㙁䅁䅁权剁䅁䅁兂䅁䅁䅁䉑洳䅑䅅䅁䉁䅁䅁兂楃㠶偉発杣䅑杷允䅁䅁䅑䅁䑁䅁䅷䅁䭁䕁䉧䅁䭁䍁䅯䅁䭁䙁䉅䅁䉁䅁䅁允䅁䅁䅕牥捐㡣丶歉䵁䅉䅅䅁䑁䅁䅁睁䵁䅁䅁权塂允䅁权歁䅁䅁允䅁䅁䅅䅁䭁䙁䉧䅁䵁䅉䅅䅁䕁䅁䅁睁䵁䅁䅁权䕁允䅁权䉁允䅁兂䅁䅁䅁䍉洷䅑䅅䅁䉁䅁䅁兂偃癷潕䐯慈䅑杷允䅁䅁䅍䅁䑁䅁䅷䅁䭁䕁䈸䅁䭁䉁䅙䅁䉁䅁䅁允䅁䅁䅯兗䅅䅁杷允䅁䅁䅍䅁䑁䅁䅷䅁䭁䥁䉣䅁䭁䥁䉙䅁䉁䅁䅁允䅁䅁䅯杈䅁䅁杷允䅁䅁䅑䅁䑁䅁䅷䅁䭁䕁䉧䅁䭁䉁䅷䅁䭁䅁䄴䅁䉁䅁䅁允䅁䅁䅕摫獊獈洶〷䵁䅉䅅䅁䙁䅁䅁睁䵁䅁䅁权乂允䅁权慃允䅁权扃䅁䅁权佁䅁䅁允䅁䅁䅅䅁䭁䅁䅉䅁䵁䅉䅅䅁䑁䅁䅁睁䵁䅁䅁权䵂允䅁权䙁䅁䅁允䅁䅁䅅䅁䭁䡁䉯䅁䵁䅉䅅䅁䑁䅁䅁睁䵁䅁䅁权䡃允䅁权䭃䅁䅁允䅁䅁䅅䅁䡁䅁䅁䅁䅁⬲䅖䍄䉁䅁䅁䅂䅁䅁䅍䅄䅁䅁䅯䅂䅅䅁䅯允䅅䅁䅕䅁䅁䵁䉃〴䉁䅁䅁允䅁䅁䅕䡰㥁汃敦啴䵁䅉䅅䅁䑁䅁䅁睁䵁䅁䅁权䥂允䅁权呁䅁䅁允䅁䅁䅅䅁䭁䉁䅑䅁䵁䅉䅅䅁䑁䅁䅁睁䵁䅁䅁权䱃允䅁权䝃允䅁允䅁䅁䅅䅁䭁䵁䅣䅁䵁䅉䅅䅁䑁䅁䅁睁䵁䅁䅁权乂允䅁权䭃</t>
  </si>
  <si>
    <t>䅁䅁允䅁䅁䅅䅁䡁䅁䅁䅁䅁佗䅖䍄䉁䅁䅁䅂䅁䅁䅍兂䅁䅁䅯睂䅅䅁䅯䅅䅅䅁䅕䅁䅁䍁畁欵䉁䅁䅁允䅁䅁䅕匶硙䭃捷啂䵁䅉䅅䅁䑁䅁䅁睁䵁䅁䅁权䍂允䅁权䥁䅁䅁允䅁䅁䅅䅁䭁䙁䉉䅁䵁䅉䅅䅁䑁䅁䅁睁䵁䅁䅁权䥂允䅁权䙁䅁䅁允䅁䅁䅅䅁䭁䙁䉍䅁䵁䅉䅅䅁䕁䅁䅁睁䵁䅁䅁权啂允䅁权楃䅁䅁权扃䅁䅁允䅁䅁䅅䅁䙁䅁扡睹㉶晸⽧䍄䉁䅁䅁兂䅁䅁䅍䅄䅁䅁䅯兪䅅䅁䅯杮䅁䅁䅯杉䅁䅁䅯杄䅁䅁䅅䅁䉁䅁䅁兂䵁㉉䱨煢楸䅑杷允䅁䅁䅍䅁䑁䅁䅷䅁䭁䕁䉧䅁䭁䉁䄰䅁䉁䅁䅁允䅁䅁䅯䅂䅁䅁杷允䅁䅁䅍䅁䑁䅁䅷䅁䭁䥁䉣䅁䭁䥁䅧䅁䉁䅁䅁允䅁䅁䅯䅩䅅䅁杷允䅁䅁䅍䅁䑁䅁䅷䅁䭁䕁䉧䅁䭁䅁䅧䅁䉁䅁䅁允䅁䅁䅯兓䅅䅁杷允䅁䅁䅑䅁䑁䅁䅷䅁䭁䥁䈰䅁䭁䭁䅉䅁䭁䩁䅳䅁䉁䅁䅁允䅁䅁䅕卉捊慲济樵䴸䅉䅅䅁䑁䅁䅁睁䵁䅁䅁权䍂允䅁权歁䅁䅁允䅁䅁䅅䅁䭁䕁䉍䅁䵁䅉䅅䅁䑁䅁䅁睁䵁䅁䅁权乂允䅁权䙃䅁䅁允䅁䅁䅅䅁䭁䕁䈴䅁䵁䅉䅅䅁䑁䅁䅁睁䵁䅁䅁权䥂允䅁权歁䅁䅁允䅁䅁䅅䅁䭁䑁䈴䅁䵁䅉䅅䅁䕁䅁䅁睁䵁䅁䅁权䵃允䅁权摃䅁䅁权佁䅁䅁允䅁䅁䅅䅁䙁䝁䕖㉕慱㡉䅒䍄䉁䅁䅁睁䅁䅁䅍䅄䅁䅁䅯睔䅅䅁䅯睅䅁䅁䅅䅁䉁䅁䅁权啁䅁䅁䍄䉁䅁䅁睁䅁䅁䅍䅄䅁䅁䅯兩䅅䅁䅯䅩䅁䅁䅅䅁䉁䅁䅁权䭃允䅁䍄䉁䅁䅁䅂䅁䅁䅍䅄䅁䅁䅯䅔䅅䅁䅯六䅅䅁䅯杄䅁䅁䅅䅁䉁䅁䅁兂䅁䅁䅁乁扄䅑杷允䅁䅁䅑䅁䑁䅁䅷䅁䭁䥁䉣䅁䭁䩁䄴䅁䭁䅁䄴䅁䉁䅁䅁允䅁䅁䅕唶慺乖䐱お䵁䅉䅅䅁䙁䅁䅁睁䵁䅁䅁权啂允䅁权䅃䅁䅁权扃䅁䅁权佁䅁䅁允䅁䅁䅅䅁䙁乁眷䵂䑂灈䅊䍄䉁䅁䅁兂䅁䅁䅍䅄䅁䅁䅯兢䅅䅁䅯睮䅁䅁䅯杉䅁䅁䅯杄䅁䅁䅅䅁䉁䅁䅁兂㥂晄䠫㉦敬䅑杷允䅁䅁䅕䅁䑁䅁䅷䅁䭁䥁䉷䅁䭁䥁䅁䅁䭁䩁䅳䅁䭁䅁䄴䅁䉁䅁䅁允䅁䅁䅕匵砷晭㝤䔲䵁䅉䅅䅁䑁䅁䅁睁䵁䅁䅁权䭂允䅁权䥁䅁䅁允䅁䅁䅅䅁䭁䙁䉯䅁䵁䅉䅅䅁䕁䅁䅁睁䵁䅁䅁权䡃允䅁权摃䅁䅁权佁䅁䅁允䅁䅁䅅䅁䙁䑁牧楯㙢䙏䅚䍄䉁䅁䅁䅂䅁䅁䅍䅄䅁䅁䅯兔䅅䅁䅯兯䅁䅁䅯睭䅁䅁䅅䅁䉁䅁䅁权䍁䅁䅁䍄䉁䅁䅁䅂䅁䅁䅍䅄䅁䅁䅯睖䅅䅁䅯六䅅䅁䅯杄䅁䅁䅅䅁䉁䅁䅁兂䅁䅁䅁䑁ㄲ䅑杷允䅁䅁䅍䅁䑁䅁䅷䅁䭁䕁䉑䅁䭁䅁䅧䅁䉁䅁䅁允䅁䅁䅯元䅁䅁杷允䅁䅁䅍䅁䑁䅁䅷䅁䭁䙁䉁䅁䭁䉁䄰䅁䉁䅁䅁允䅁䅁䅯䅂䅁䅁杷允䅁䅁䅍䅁䑁䅁䅷䅁䭁䕁䈸䅁䭁䍁䅑䅁䉁䅁䅁允䅁䅁䅯睗䅅䅁杷允䅁䅁䅍䅁䑁䅁䅷䅁䭁䕁䉉䅁䭁䉁䄰䅁䉁䅁䅁允䅁䅁䅯眷䅁䅁杷允䅁䅁䅍䅁䑁䅁䅷䅁䭁䕁䉉䅁䭁䉁䅙䅁䉁䅁䅁允䅁䅁䅯䅘䅅䅁杷允䅁䅁䅍䅁䑁䅁䅷䅁䭁䕁䈰䅁䭁䝁䅯䅁䉁䅁䅁允䅁䅁䅯內䅅䅁杷允䅁䅁䅑䅁䑁䅁䅷䅁䭁䕁䉉䅁䭁䉁䄸䅁䭁䅁䄴䅁䉁䅁䅁允䅁䅁䅕㥋䡵䈯晘唯䵁䅉䅅䅁䙁䅁䅁睁䵁䅁䅁权䵃允䅁权晃䅁䅁权楁䅁䅁权佁䅁䅁允䅁䅁䅅䅁䙁䉁畺楮汑灏䄵䍄䉁䅁䅁睁䅁䅁䅍䅄䅁䅁䅯杪䅅䅁䅯杨䅅䅁䅅䅁䉁䅁䅁权䡄䅁䅁䍄䉁䅁䅁兂䅁䅁䅍䅄䅁䅁䅯兩䅅䅁䅯杮䅁䅁䅯杉䅁䅁䅯杄䅁䅁䅅䅁䉁䅁䅁兂慃婭婭摭㡬䅑杷允䅁䅁䅍䅁䑁䅁䅷䅁䭁䙁䉣䅁䭁䉁䅙䅁䉁䅁䅁允䅁䅁䅯兘䅅䅁杷允䅁䅁䅑䅁䑁䅁䅷䅁䭁䕁䉉䅁䭁䉁䅷䅁䭁䅁䄴䅁䉁䅁䅁允䅁䅁䅕杈䥡䜯䅗欯䵁䅉䅅䅁䕁䅁䅁睁䵁䅁䅁权䭂允䅁权捁䅁䅁权佁䅁䅁允䅁䅁䅅䅁䙁乁䨱摘畖⭈䅂䍄䉁䅁䅁睁䅁䅁䅍䅄䅁䅁䅯䅕䅅䅁䅯杆䅁䅁䅅䅁䉁䅁䅁权時允䅁䍄䉁䅁䅁睁䅁䅁䅍䅄䅁䅁䅯杓䅅䅁䅯先䅁䅁䅅䅁䉁䅁䅁权䕁䅁䅁䍄䉁䅁䅁睁䅁䅁䅍䅄䅁䅁䅯䅔䅅䅁䅯杆䅁䅁䅅䅁䉁䅁䅁权杂允䅁䍄䉁䅁䅁睁䅁䅁䅍䅄䅁䅁䅯杓䅅䅁䅯睅䅁䅁䅅䅁䉁䅁䅁权啁䅁䅁䍄䉁䅁䅁睁䅁䅁䅍䅄䅁䅁䅯䅕䅅䅁䅯䅊䅁䅁䅅䅁䉁䅁䅁权桂允䅁䍄䉁䅁䅁睁䅁䅁䅍䅄䅁䅁䅯䅕䅅䅁䅯睅䅁䅁䅅䅁䉁䅁䅁权啁䅁䅁䍄䉁䅁䅁䅂䅁䅁䅍䅄䅁䅁䅯䅔䅅䅁䅯睈䅁䅁䅯杄䅁䅁䅅䅁䉁䅁䅁兂㡄硰潴䴯睲䅑杷允䅁䅁䅑䅁䑁䅁䅷䅁䭁䙁䉁䅁䭁䉁䄸䅁䭁䅁䄴䅁䉁䅁䅁允䅁䅁䅕慷㕣扥坎へ䵁䅉䅅䅁䑁䅁䅁睁䵁䅁䅁权偂允䅁权䥁䅁䅁允䅁䅁䅅䅁䭁䝁䉍䅁䵁䅉䅅䅁䕁䅁䅁睁䵁䅁䅁权塂允䅁权捁䅁䅁权佁䅁䅁允䅁䅁䅅䅁䙁偁獮㐶癙獐䅨䍄䉁䅁䅁䅂䅁䅁䅍䅄䅁䅁䅯兪䅅䅁䅯睦䅁䅁䅯杄䅁䅁䅅䅁䉁䅁䅁兂潂捆煓⬰㐵䅑杷允䅁䅁䅑䅁䑁䅁䅷䅁䭁䕁䈸䅁䭁䉁䄸䅁䭁䅁䄴䅁䉁䅁䅁允䅁䅁䅕態嘫䤰奃唳䵁䅉䅅䅁䕁䅁䅁睁䵁䅁䅁权偂允䅁权捁䅁䅁权佁䅁䅁允䅁䅁䅅䅁䙁䙁剤䭍䉅獩䄹䍄䉁䅁䅁睁䅁䅁䅍䅄䅁䅁䅯杓䅅䅁䅯䅊䅁䅁䅅䅁䉁䅁䅁权歂允䅁䍄䉁䅁䅁睁䅁䅁䅍䅄䅁䅁䅯睩䅅䅁䅯兦䅁䅁䅅䅁䉁䅁䅁权䡄䅁䅁䍄䉁䅁䅁睁䅁䅁䅍䅄䅁䅁䅯睩䅅䅁䅯全䅁䅁䅅䅁䉁䅁䅁权佂允䅁䍄䉁䅁䅁睁䅁䅁䅍䅄䅁䅁䅯睖䅅䅁䅯䅃䅁䅁䅅䅁䉁䅁䅁权湂允䅁䍄䉁䅁䅁睁䅁䅁䅍䅄䅁䅁䅯䅒䅅䅁䅯先䅁䅁䅅䅁䉁䅁䅁权䕁䅁䅁䍄䉁䅁䅁睁䅁䅁䅍䅄䅁䅁䅯䅒䅅䅁䅯睅䅁䅁䅅䅁䉁䅁䅁权啁䅁䅁䍄䉁䅁䅁䅂䅁䅁䅍䅄䅁䅁䅯兢䅅䅁䅯睦䅁䅁䅯杄䅁䅁䅅䅁䉁䅁䅁兂湁摵呤く爲䅑杷允䅁䅁䅍䅁䑁䅁䅷䅁䭁䕁䉷䅁䭁䅁䅧䅁䉁䅁䅁允䅁䅁䅯兡䅅䅁杷允䅁䅁䅕䅁䑁䅁䅷䅁䭁䕁䈰䅁䭁䩁䉳䅁䭁䩁䅳䅁䭁䅁䄴䅁䉁䅁䅁允䅁䅁䅕䅁䅁䅁䅁え䵁䅉䅅䅁䕁䅁䅁睁䵁䅁䅁权䕂允䅁权捁䅁䅁权佁䅁䅁允䅁䅁䅅䅁䙁䱁牘煕獅佮䅚䍄䉁䅁䅁睁䅁䅁䅍䅄䅁䅁䅯䅔䅅䅁䅯先䅁䅁䅅䅁䉁䅁䅁权䕁䅁䅁䍄䉁䅁䅁睁䅁䅁䅍䅄䅁䅁䅯䅔䅅䅁䅯䅊䅁䅁䅅䅁䉁䅁䅁权牂允䅁䍄䉁䅁䅁睁䅁䅁䅍䅄䅁䅁䅯睒䅅䅁䅯杆䅁䅁䅅䅁䉁䅁䅁权畂允䅁䍄䉁䅁䅁睁䅁䅁䅍䅄䅁䅁䅯睒䅅䅁䅯先䅁䅁䅅䅁䉁䅁䅁权䕁䅁䅁䍄䉁䅁䅁兂䅁䅁䅍䅄䅁䅁䅯睩䅅䅁䅯睮䅁䅁䅯杉䅁䅁䅯杄䅁䅁䅅䅁䉁䅁䅁兂䩃䩘䙭㡪䡤䅑杷允䅁䅁䅍䅁䑁䅁䅷䅁䭁䕁䉣䅁䭁䍁䅑䅁䉁䅁䅁允䅁䅁䅯兙䅅䅁杷允䅁䅁䅑䅁䑁䅁䅷䅁䭁䕁䉣䅁䭁䉁䄸䅁䭁䅁䄴䅁䉁䅁䅁允䅁䅁䅕湐畳稰㕐欷䵁䅉䅅䅁䕁䅁䅁睁䵁䅁䅁权䡂允䅁权捁䅁䅁权佁䅁䅁允䅁䅁䅅䅁䙁䕁楩慘湢㥌䅸䍄䉁䅁䅁睁䅁䅁䅍䅄䅁䅁䅯党䅅䅁䅯杆䅁䅁䅅䅁䉁䅁䅁权睂允䅁䍄䉁䅁䅁睁䅁䅁䅍䅄䅁䅁䅯党䅅䅁䅯䅃䅁䅁䅅䅁䉁䅁䅁权硂允䅁䍄䉁䅁䅁睁䅁䅁䅍䅄䅁䅁䅯党䅅䅁䅯䅊䅁䅁䅅䅁䉁䅁䅁权祂允䅁䍄䉁䅁䅁䅂䅁䅁䅍䅄䅁䅁䅯兩䅅䅁䅯睭䅅䅁䅯杄䅁䅁䅅䅁䉁䅁䅁权䉃䅁䅁䍄䉁䅁䅁睁䅁䅁䅍䅄䅁䅁䅯党䅅䅁䅯睅䅁䅁䅅䅁䉁䅁䅁权啁䅁䅁䍄䉁䅁䅁兂䅁䅁䅍䅄䅁䅁䅯兩䅅䅁䅯睮䅁䅁䅯杉䅁䅁䅯杄䅁䅁䅅䅁䉁䅁䅁兂慃婭婭六硆䅑杷允䅁䅁䅕䅁䑁䅁䅷䅁䭁䥁䈰䅁䭁䥁䅁䅁䭁䩁䅳䅁䭁䅁䄴䅁䉁䅁䅁允䅁䅁䅕偳䑹祚䔲に䵁䅉䅅䅁䕁䅁䅁睁䵁䅁䅁权瑂允䅁权权䅁䅁权扃䅁䅁允䅁䅁䅅䅁䙁偁獱䈴捱䑈䅊䍄䉁䅁䅁䅂䅁䅁䅍䅄䅁䅁䅯䅪䅅䅁䅯䅯䅁䅁䅯睭䅁䅁䅅䅁䉁䅁䅁兂晁䱏穅䥸歁䅑杷允䅁䅁䅍䅁䑁䅁䅷䅁䭁䥁䈰䅁䭁䥁䅯䅁䉁䅁䅁允䅁䅁䅣䅁䅁佁浄唵䵁䅉䅅䅁䙁䅁䅁睁䵁䅁䅁权乂允䅁权䅃䅁䅁权扃䅁䅁权佁䅁䅁允䅁䅁䅅䅁䙁䅁䅁䅁䅁䉁䄹䍄䉁䅁䅁睁䅁䅁䅍䅄䅁䅁䅯杪䅅䅁䅯兦䅁䅁䅅䅁䉁䅁䅁权䡄䅁䅁䍄䉁䅁䅁䅂䅁䅁䅍䅄䅁䅁䅯兩䅅䅁䅯兮䅁䅁䅯杄䅁䅁䅅䅁䉁䅁䅁兂湂浚浚楚漲䅑杷允䅁䅁䅑䅁䑁䅁䅷䅁䭁䙁䉑䅁䭁䭁䅅䅁䭁䩁䅳䅁䉁䅁䅁允䅁䅁䅕歴䑓匹晊啑䵁䅉䅅䅁䙁䅁䅁睁䵁䅁䅁权乂允䅁权晃䅁䅁权楁䅁䅁权佁䅁䅁允䅁䅁䅅䅁䭁䅁䅉䅁䵁䅉䅅䅁䑁䅁䅁睁䵁䅁䅁权乂允䅁权䝃允䅁允䅁䅁䅅䅁䭁䕁䅑䅁䵁䅉䅅䅁䙁䅁䅁睁䵁䅁䅁权䵃允䅁权慃允䅁权扃䅁䅁权佁䅁䅁允䅁䅁䅅䅁䭁䅁䅉䅁䵁䅉䅅䅁䕁䅁䅁睁䵁䅁䅁权䡃允䅁权⽂䅁䅁权佁䅁䅁允䅁䅁䅅䅁䙁䍁硣䭃捷桵䄵䍄䉁䅁䅁䅂䅁䅁䅍䅄䅁䅁䅯兪䅅䅁䅯睭䅅䅁䅯杄䅁䅁䅅䅁䉁䅁䅁权䉃䅁䅁䍄䉁䅁䅁睁䅁䅁䅍䅄䅁䅁䅯睨䅅䅁䅯全䅁䅁䅅䅁䉁䅁䅁权佂允䅁䍄䉁䅁䅁睁䅁䅁䅍䅄䅁䅁䅯兢䅅䅁䅯全䅁䅁䅅䅁䉁䅁䅁权佂允䅁䍄䉁䅁䅁䅂䅁䅁䅍䅄䅁䅁䅯兩䅅䅁䅯䅯䅁䅁䅯睭䅁䅁䅅䅁䉁䅁䅁兂䭄㍔䑍噲档䅑杷允䅁䅁䅍䅁䑁䅁䅷䅁䭁䙁䉑䅁䭁䝁䅯䅁䉁䅁䅁允䅁䅁䅯督䅅䅁杷允䅁䅁䅍䅁䑁䅁䅷䅁䭁䙁䉁䅁䭁䅁䅕䅁䉁䅁䅁允䅁䅁䅯䅤䅅䅁杷允䅁䅁䅑䅁䑁䅁䅷䅁䭁䥁䉫䅁䭁䭁䅅䅁䭁䩁䅳䅁䉁䅁䅁允䅁䅁䅕䉮湢㕐爹啌䵁䅉䅅䅁䙁䅁䅁睁䵁䅁䅁权䡃允䅁权敃䅁䅁权楁䅁䅁权佁䅁䅁允䅁䅁䅅䅁䙁佁䵬氲摔祑䅤䍄䉁䅁䅁睁䅁䅁䅍䅄䅁䅁䅯兪䅅䅁䅯䅩䅁䅁䅅䅁䉁䅁䅁权偃允䅁䍄䉁䅁䅁睁䅁䅁䅍䅄䅁䅁䅯兪䅅䅁䅯杨䅅䅁䅅䅁䉁䅁䅁权䡄䅁䅁䍄䉁䅁䅁睁䅁䅁䅍䅄䅁䅁䅯睩䅅䅁䅯条䅁䅁䅅䅁䉁䅁䅁权元允䅁䍄䉁䅁䅁䅂䅁䅁䅍䅄䅁䅁䅯兩䅅䅁䅯杯䅁䅁䅯睭䅁䅁䅅䅁䉁䅁䅁兂䵂硇㡏牴え睐杷允䅁䅁䅍䅁䑁䅁䅷䅁䭁䕁䈸䅁䭁䅁䅕䅁䉁䅁䅁允䅁䅁䅯杤䅅䅁杷允䅁䅁䅑䅁䑁䅁䅷䅁䭁䕁䈰䅁䭁䡁䄸䅁䭁䅁䄴䅁䉁䅁䅁允䅁䅁䅕䅁䅁䅁䅁え䵁䅉䅅䅁䑁䅁䅁睁䵁䅁䅁权䍂允䅁权䙁䅁䅁允䅁䅁䅅䅁䭁䡁䉕䅁䵁䅉䅅䅁䕁䅁䅁睁䵁䅁䅁权䵃允䅁权晃䅁䅁权佁䅁䅁允䅁䅁䅅䅁䙁䉁畺楮汑灏䄵䍄䉁䅁䅁睁䅁䅁䅍䅄䅁䅁䅯杓䅅䅁䅯兂䅁䅁䅅䅁䉁䅁䅁权㍂允䅁䍄䉁䅁䅁睁䅁䅁䅍䅄䅁䅁䅯睖䅅䅁䅯兂䅁䅁䅅䅁䉁䅁䅁权㑂允䅁䍄䉁䅁䅁䅂䅁䅁䅍䅄䅁䅁䅯村䅅䅁䅯六䅅䅁䅯杄䅁䅁䅅䅁䉁䅁䅁兂䅁䅁䅁䡁歋䅷杷允䅁䅁䅍䅁䑁䅁䅷䅁䭁䝁䈰䅁䭁䡁䄰䅁䉁䅁䅁允䅁䅁䅯杹䅁䅁杷允䅁䅁䅍䅁䑁䅁䅷䅁䭁䕁䉑䅁䭁䅁䅕䅁䉁䅁䅁允䅁䅁䅯入䅅䅁杷允䅁䅁䅍䅁䑁䅁䅷䅁䭁䝁䉕䅁䭁䅁䅕䅁䉁䅁䅁允䅁䅁䅯䅦䅅䅁杷允䅁䅁䅍䅁䑁䅁䅷䅁䭁䕁䈰䅁䭁䥁䅧䅁䉁䅁䅁允䅁䅁䅯兦䅅䅁杷允䅁䅁䅍䅁䑁䅁䅷䅁䭁䥁䉫䅁䭁䥁䅕䅁䉁䅁䅁允䅁䅁䅯杔䅅䅁杷允䅁䅁䅑䅁䑁䅁䅷䅁䭁䥁䈰䅁䭁䭁䅁䅁䭁䩁䅳䅁䉁䅁䅁允䅁䅁䅕噤癒す娰䕉䵁䅉䅅䅁䑁䅁䅁睁䵁䅁䅁权啂允䅁权䭃䅁䅁允䅁䅁䅅䅁䡁䅁䅁䅁䅄畴䅖䍄䉁䅁䅁䅂䅁䅁䅍䅄䅁䅁䅯䅖䅅䅁䅯睦䅁䅁䅯杄䅁䅁䅅䅁䉁䅁䅁兂乂㥄塖噄偋䅑杷允䅁䅁䅍䅁䑁䅁䅷䅁䭁䥁䈰䅁䭁䥁䅕䅁䉁䅁䅁允䅁䅁䅯杔䅅䅁杷允䅁䅁䅕䅁䑁䅁䅷䅁䭁䝁䈰䅁䭁䥁䅁䅁䭁䩁䅳䅁䭁䅁䄴䅁䉁䅁䅁允䅁䅁䅕㝊塮穕乴ぱ䵁䅉䅅䅁䑁䅁䅁睁䵁䅁䅁权䵃允䅁权䝃允䅁允䅁䅁䅅䅁䭁䡁䄴䅁䵁䅉䅅䅁䑁䅁䅁睁䵁䅁䅁权乃允䅁权㥂䅁䅁允䅁䅁䅅䅁䭁䵁䅣䅁䵁䅉䅅䅁䙁䅁䅁睁䵁䅁䅁权佃允䅁权扃允䅁权扃䅁䅁权佁䅁䅁允䅁䅁䅅䅁䙁䩁扄䭱橪汎䄱䍄䉁䅁䅁睁䅁䅁䅍䅄䅁䅁䅯杪䅅䅁䅯条䅁䅁䅅䅁䉁䅁䅁权剃允䅁䍄䉁䅁䅁睁䅁䅁䅍䅄䅁䅁䅯睨䅅䅁䅯兦䅁䅁䅅䅁䉁䅁䅁权敁䅁䅁䍄䉁䅁䅁睁䅁䅁䅍䅄䅁䅁䅯兩䅅䅁䅯兦䅁䅁䅅䅁䉁䅁䅁权塃䅁䅁䍄䉁䅁䅁睁䅁䅁䅍䅄䅁䅁䅯睩䅅䅁䅯杩䅁䅁䅅䅁䉁䅁䅁睂䅁䅁䅁偯汶䅑杷允䅁䅁䅍䅁䑁䅁䅷䅁䭁䥁䉫䅁䭁䥁䅯䅁䉁䅁䅁允䅁䅁䅣䅁䅁䝁㑄唵䵁䅉䅅䅁䑁䅁䅁睁䵁䅁䅁权䩃允䅁权䝃允䅁允䅁䅁䅅䅁䭁䩁䅣䅁䵁䅉䅅䅁䑁䅁䅁睁䵁䅁䅁权䱃允䅁权䥃䅁䅁允䅁䅁䅅䅁䭁䩁䉉䅁䵁䅉䅅䅁䕁䅁䅁睁䵁䅁䅁权啂允䅁权权䅁䅁权扃䅁䅁允䅁䅁䅅䅁䙁䵁瑤硥癐楯䅰䍄䉁䅁䅁兂䅁䅁䅍䅄䅁䅁䅯睩䅅䅁䅯䅧䅁䅁䅯睭䅁䅁䅯杄䅁䅁䅅䅁䉁䅁䅁兂乄瑅伳歅䱹䅑杷允䅁䅁䅑䅁䑁䅁䅷䅁䭁䥁䉳䅁䭁䡁䄸䅁䭁䅁䄴䅁䉁䅁䅁允䅁䅁䅕杦⽅浢丸䕒䵁䅉䅅䅁䑁䅁䅁睁䵁䅁䅁权䵃允䅁权䙃䅁䅁允䅁䅁䅅䅁䭁䕁䈴䅁䵁䅉䅅䅁䕁䅁䅁睁䵁䅁䅁权䡃允䅁权晃䅁䅁权佁䅁䅁允䅁䅁䅅䅁䙁䕁敚猱䍑硔䄹䍄䉁䅁䅁䅂䅁䅁䅍䅄䅁䅁䅯兪䅅䅁䅯兮䅁䅁䅯杄䅁䅁䅅䅁䉁䅁䅁兂䵃⽍佷瑆慥䅑杷允䅁䅁䅑䅁䑁䅁䅷䅁䭁䥁䈴䅁䭁䭁䅁䅁䭁䩁䅳䅁䉁䅁䅁允䅁䅁䅕㥅椷⽑㘯歆䵁䅉䅅䅁䑁䅁䅁睁䵁䅁䅁权䵃允䅁权㥂䅁䅁允䅁䅁䅅䅁䭁䡁䄴䅁䵁䅉䅅䅁䕁䅁䅁睁䵁䅁䅁权乃允䅁权晃䅁䅁权佁䅁䅁允䅁䅁䅅䅁䙁䥁奈䅡佁ㅑ䄵䍄䉁䅁䅁睁䅁䅁䅍䅄䅁䅁䅯䅪䅅䅁䅯杩䅁䅁䅅䅁䉁䅁䅁睂䅁䅁䅁乙汈䅑杷允䅁䅁䅑䅁䑁䅁䅷䅁䭁䥁䈴䅁䭁䭁䅅䅁䭁䩁䅳䅁䉁䅁䅁允䅁䅁䅕摋穄䥘圴ぇ䵁䅉䅅䅁䕁䅁䅁睁䵁䅁䅁权䵃允䅁权⽂䅁䅁权佁䅁䅁允䅁䅁䅅䅁䙁䝁⽎倫噰椳䅆䍄䉁䅁䅁䅂䅁䅁䅍䅄䅁䅁䅯杪䅅䅁䅯睦䅁䅁䅯杄䅁䅁䅅䅁䉁䅁䅁兂䉄祱汳杋摚䅑杷允䅁䅁䅍䅁䑁䅁䅷䅁䭁䝁䈰䅁䭁䥁䅯䅁䉁䅁䅁允䅁䅁䅣䅁䅁䅁佄唵䵁䅉䅅䅁䑁䅁䅁睁䵁䅁䅁权䡃允䅁权煂䅁䅁允䅁䅁䅅䅁䭁䩁䉙䅁䵁䅉䅅䅁䑁䅁䅁睁䵁䅁䅁权䩃允䅁权煂䅁䅁允䅁䅁䅅䅁䭁䩁䉣䅁䵁䅉䅅䅁䕁䅁䅁睁䵁䅁䅁权䵃允䅁权敃䅁䅁权佁䅁䅁允䅁䅁䅅䅁䙁䱁灏摈礱䭣䅎䍄䉁䅁䅁睁䅁䅁䅍䅄䅁䅁䅯兢䅅䅁䅯条䅁䅁䅅䅁䉁䅁䅁权䕃允䅁䍄䉁䅁䅁䅂䅁䅁䅍䅄䅁䅁䅯睩䅅䅁䅯兮䅁䅁䅯杄䅁䅁䅅䅁䉁䅁䅁兂慃渳䥌摉奩䅑杷允䅁䅁䅑䅁䑁䅁䅷䅁䭁䥁䈴䅁䭁䩁䄰䅁䭁䅁䄴䅁䉁䅁䅁允䅁䅁䅕晨䥇㐵捆ず䵁䅉䅅䅁䕁䅁䅁睁䵁䅁䅁权佃允䅁权楃䅁䅁权扃䅁䅁允䅁䅁䅅䅁䙁䑁㙯牁㙈敊⽍䍄䉁䅁䅁䅂䅁䅁䅍䅄䅁䅁䅯兢䅅䅁䅯兮䅁䅁䅯杄䅁䅁䅅䅁䉁䅁䅁兂敂捐㙅吳啗䅑杷允䅁䅁䅕䅁䑁䅁䅷䅁䭁䝁䈰䅁䭁䩁䄴䅁䭁䍁䅉䅁䭁䅁䄴䅁䉁䅁䅁允䅁䅁䅕杗灸㙚瑴歚䵁䅉䅅䅁䙁䅁䅁睁䵁䅁䅁权啂允䅁权晃䅁䅁权楁䅁䅁权佁䅁䅁允䅁䅁䅅䅁䙁䙁䅔搱剖が䅂䍄䉁䅁䅁兂䅁䅁䅍䅄䅁䅁䅯杪䅅䅁䅯睮䅁䅁䅯杉䅁䅁䅯杄䅁䅁䅅䅁䉁䅁䅁兂䙄汯⽌奫睍䅑杷允䅁䅁䅑䅁䑁䅁䅷䅁䭁䥁䉣䅁䭁䭁䅉䅁䭁䩁䅳䅁䉁䅁䅁允䅁䅁䅕湐奘㝤具樴䴸䅉䅅䅁䕁䅁䅁睁䵁䅁䅁权䱃允䅁权楃䅁䅁权扃䅁䅁允䅁䅁䅅䅁䙁䥁㡳摣䍳畭⽅䍄䉁䅁䅁䅂䅁䅁䅍䅄䅁䅁䅯䅪䅅䅁䅯杯䅁䅁䅯睭䅁䅁䅅䅁䉁䅁䅁兂㕁偔样㡘䑯䅑杷允䅁䅁䅑䅁䑁䅁䅷䅁䭁䕁䈰䅁䭁䭁䅁䅁䭁䩁䅳䅁䉁䅁䅁允䅁䅁䅯杁䅁䅁杷允䅁䅁䅑䅁䑁䅁䅷䅁䭁䥁䉣䅁䭁䭁䅁䅁䭁䩁䅳䅁䉁䅁䅁允䅁䅁䅕摯扑㍢䈹啅䵁䅉䅅䅁䕁䅁䅁睁䵁䅁䅁权䡃允䅁权桃䅁䅁权扃䅁䅁允䅁䅁䅅䅁䙁䝁卨䬷癁剰䅬䍄䉁䅁䅁䅂䅁䅁䅍䅄䅁䅁䅯䅪䅅䅁䅯兯䅁䅁䅯睭䅁䅁䅅䅁䉁䅁䅁兂塁何歧ㅂ焸䅑杷允䅁䅁䅑䅁䑁䅁䅷䅁䭁䕁䉧䅁䭁䩁䉫䅁䭁䅁䄴䅁䉁䅁䅁允䅁䅁䅕䅁䅁䡁奁䔹䵁䅉䅅䅁䕁䅁䅁睁䵁䅁䅁权䕂允䅁权婃允䅁权佁䅁䅁允䅁䅁䅅䅁䙁䅁䅁䅁䅂乢䅆䍄䉁䅁䅁䅂䅁䅁䅍䅄䅁䅁䅯睔䅅䅁䅯六䅅䅁䅯杄䅁䅁䅅䅁䉁䅁䅁兂䅁䅁䅁䙧䭢䅑杷允䅁䅁䅑䅁䑁䅁䅷䅁䭁䙁䉁䅁䭁䩁䉫䅁䭁䅁䄴䅁䉁䅁䅁允䅁䅁䅕䅁䅁䅁䵁啰䵁䅉䅅䅁䕁䅁䅁睁䵁䅁䅁权求允䅁权婃允䅁权佁䅁䅁允䅁䅁䅅䅁䙁䅁䅁䅁䅁瑣䅎䍄䉁䅁䅁兂䅁䅁䅍䅄䅁䅁䅯䅓䅅䅁䅯杮䅁䅁䅯杉䅁䅁䅯杄䅁䅁䅅䅁䉁䅁䅁权䍁䅁䅁䍄䉁䅁䅁䅂䅁䅁䅍䅄䅁䅁䅯䅓䅅䅁䅯兮䅁䅁䅯杄䅁䅁䅅䅁䉁䅁䅁权䍁䅁䅁䍄䉁䅁䅁兂䅁䅁䅍䅄䅁䅁䅯睨䅅䅁䅯杭䅅䅁䅯睭䅁䅁䅯杄䅁䅁䅅䅁䉁䅁䅁权䍁䅁䅁䍄䉁䅁䅁兂䅁䅁䅍䅄䅁䅁䅯兩䅅䅁䅯杭䅅䅁䅯睭䅁䅁䅯杄䅁䅁䅅䅁䉁䅁䅁权䍁䅁䅁䍄䉁䅁䅁兂䅁䅁䅍䅄䅁䅁䅯睩䅅䅁䅯杭䅅䅁䅯睭䅁䅁䅯杄䅁䅁䅅䅁䉁䅁䅁权䍁䅁䅁䍄䉁䅁䅁兂䅁䅁䅍䅄䅁䅁䅯杪䅅䅁䅯杭䅅䅁䅯睭䅁䅁䅯杄䅁䅁䅅䅁䉁䅁䅁兂杁䨶⭥噷潺睶杷允䅁䅁䅑䅁䑁䅁䅷䅁䭁䙁䉑䅁䭁䩁䄸䅁䭁䅁䄴䅁䉁䅁䅁允䅁䅁䅕䵖噄嘱癅䕑䵁䅉䅅䅁䕁䅁䅁睁䵁䅁䅁权佃允䅁权扃允䅁权佁䅁䅁允䅁䅁䅅䅁䭁䥁䅅䅁䵁䅉䅅䅁䕁䅁䅁睁䵁䅁䅁权䡃允䅁权扃允䅁权佁䅁䅁允䅁䅁䅅䅁䭁䥁䅅䅁䵁䅉䅅䅁䕁䅁䅁睁䵁䅁䅁权乂允䅁权扃允䅁权佁䅁䅁允䅁䅁䅅䅁䭁䥁䅅䅁䵁䅉䅅䅁䕁䅁䅁睁䵁䅁䅁权啂允䅁权扃允䅁权佁䅁䅁允䅁䅁䅅䅁䭁䥁䅅䅁䵁䅉䅅䅁䕁䅁䅁睁䵁䅁䅁权䱃允䅁权扃允䅁权佁䅁䅁允䅁䅁䅅䅁䭁䥁䅅䅁䵁䅉䅅䅁䕁䅁䅁睁䵁䅁䅁权䵃允䅁权扃允䅁权佁䅁䅁允䅁䅁䅅䅁䭁䥁䅅䅁䵁䅉䅅䅁䙁䅁䅁睁䵁䅁䅁权䱃允䅁权扃允䅁权扃䅁䅁权佁䅁䅁允䅁䅁䅅䅁䙁䱁瀶慬獊㐵䅆䍄䉁䅁䅁兂䅁䅁䅍䅄䅁䅁䅯䅖䅅䅁䅯睭䅅䅁䅯睭䅁䅁䅯杄䅁䅁䅅䅁䉁䅁䅁兂⽃牌䜷䵺佱䅑杷允䅁䅁䅕䅁䑁䅁䅷䅁䭁䥁䉫䅁䭁䩁䉳䅁䭁䩁䅳䅁䭁䅁䄴䅁䉁䅁䅁允䅁䅁䅕㑥䙕⬹楐䕱䵁䅉䅅䅁䙁䅁䅁睁䵁䅁䅁权䵃允䅁权扃允䅁权扃䅁䅁权佁䅁䅁允䅁䅁䅅䅁䙁偁䡈牦䕗㤴䅖䍄䉁䅁䅁䅂䅁䅁䅍䅄䅁䅁䅯䅖䅅䅁䅯杮䅁䅁䅯杄䅁䅁䅅䅁䉁䅁䅁兂塃㥚䙨桖噸䅑杷允䅁䅁䅑䅁䑁䅁䅷䅁䭁䥁䈴䅁䭁䩁䄴䅁䭁䅁䄴䅁䉁䅁䅁允䅁䅁䅕㝕⭄䑳㍰き䵁䅉䅅䅁䕁䅁䅁睁䵁䅁䅁权䱃允䅁权敃䅁䅁权佁䅁䅁允䅁䅁䅅䅁䙁䱁啂䱴㥈ㄯ䅨䍄䉁䅁䅁䅂䅁䅁䅍䅄䅁䅁䅯兢䅅䅁䅯杮䅁䅁䅯杄䅁䅁䅅䅁䉁䅁䅁兂慂䝄湬㉱洱䅑杷允䅁䅁䅑䅁䑁䅁䅷䅁䭁䥁䈰䅁䭁䩁䄴䅁䭁䅁䄴䅁䉁䅁䅁允䅁䅁䅕䍄潎㉓猶歙䵁䅉䅅䅁䕁䅁䅁睁䵁䅁䅁权䱃允䅁权晃䅁䅁权佁䅁䅁允䅁䅁䅅䅁䙁䥁捬奭偗へ䅤䍄䉁䅁䅁䅂䅁䅁䅍䅄䅁䅁䅯兩䅅䅁䅯睮䅁䅁䅯杄䅁䅁䅅䅁䉁䅁䅁兂慃婭婭六硆䅑杷允䅁䅁䅑䅁䑁䅁䅷䅁䭁䕁䈰䅁䭁䩁䄸䅁䭁䅁䄴䅁䉁䅁䅁允䅁䅁䅯杁䅁䅁杷允䅁䅁䅑䅁䑁䅁䅷䅁䭁䥁䈴䅁䭁䩁䄸䅁䭁䅁䄴䅁䉁䅁䅁允䅁䅁䅕慸半㔯䑇䕍㵁</t>
  </si>
  <si>
    <t>Financial Model</t>
  </si>
  <si>
    <t>Firma:</t>
  </si>
  <si>
    <t>Inhaltsverzeichnis</t>
  </si>
  <si>
    <t>Sektion</t>
  </si>
  <si>
    <t>Sheet Name</t>
  </si>
  <si>
    <t>Reiter</t>
  </si>
  <si>
    <t>Seite</t>
  </si>
  <si>
    <t>Kerninformationen</t>
  </si>
  <si>
    <t>Eckdaten</t>
  </si>
  <si>
    <t>Output/Analysen</t>
  </si>
  <si>
    <t>Financial Dashboard</t>
  </si>
  <si>
    <t>FDB</t>
  </si>
  <si>
    <t>Stetements im IM Format</t>
  </si>
  <si>
    <t>IS-IM</t>
  </si>
  <si>
    <t>Finanzabschlüsse</t>
  </si>
  <si>
    <t>Gewinn- &amp; Verlustrechnung</t>
  </si>
  <si>
    <t>G&amp;V</t>
  </si>
  <si>
    <t>Aktiva</t>
  </si>
  <si>
    <t>Akt.</t>
  </si>
  <si>
    <t>Passiva</t>
  </si>
  <si>
    <t>Pas.</t>
  </si>
  <si>
    <t>Cash Flow Statement</t>
  </si>
  <si>
    <t>CF</t>
  </si>
  <si>
    <t>Planungsteil</t>
  </si>
  <si>
    <t>Zentrale Planungsannahmen</t>
  </si>
  <si>
    <t>Planung</t>
  </si>
  <si>
    <t>Working Capital und Net Debt</t>
  </si>
  <si>
    <t>WC&amp;ND</t>
  </si>
  <si>
    <t>G&amp;V Bereinigungen</t>
  </si>
  <si>
    <t>Berein.</t>
  </si>
  <si>
    <t>Bewertung</t>
  </si>
  <si>
    <t>PB Multiple Analyse</t>
  </si>
  <si>
    <t>Multiple</t>
  </si>
  <si>
    <t>Multiplikator Bewertung</t>
  </si>
  <si>
    <t>MultBew</t>
  </si>
  <si>
    <t>Discounted Cashflow Verfahren</t>
  </si>
  <si>
    <t>DCF</t>
  </si>
  <si>
    <t>Ertragswertverfahren (vereinf.)</t>
  </si>
  <si>
    <t>EW</t>
  </si>
  <si>
    <t>Leveraged Buyout Bewertung</t>
  </si>
  <si>
    <t>LBO</t>
  </si>
  <si>
    <t>Input</t>
  </si>
  <si>
    <t>Multiples Aggregation</t>
  </si>
  <si>
    <t>Mult.Aggr.</t>
  </si>
  <si>
    <t>FINANCE Multiples</t>
  </si>
  <si>
    <t>FM</t>
  </si>
  <si>
    <t>NYU Stern Trading Multiples</t>
  </si>
  <si>
    <t>NYU</t>
  </si>
  <si>
    <t>Kroll Multiples</t>
  </si>
  <si>
    <t>Kroll</t>
  </si>
  <si>
    <t>DUB Multiples</t>
  </si>
  <si>
    <t>DUB</t>
  </si>
  <si>
    <t>Language Index Sheet</t>
  </si>
  <si>
    <t>Lang.</t>
  </si>
  <si>
    <t>Helping Index Sheet</t>
  </si>
  <si>
    <t>HS</t>
  </si>
  <si>
    <t>Think Cell Data Link</t>
  </si>
  <si>
    <t>TCDL</t>
  </si>
  <si>
    <t>Key Data</t>
  </si>
  <si>
    <t>Market Return</t>
  </si>
  <si>
    <t>Alternatives</t>
  </si>
  <si>
    <t>Ticker</t>
  </si>
  <si>
    <t>DAX</t>
  </si>
  <si>
    <t>Last Working Day</t>
  </si>
  <si>
    <t>MDAX</t>
  </si>
  <si>
    <t>Company Name:</t>
  </si>
  <si>
    <t>XYZ</t>
  </si>
  <si>
    <t>Index:</t>
  </si>
  <si>
    <t>MSCI Germany</t>
  </si>
  <si>
    <t>Legal Form:</t>
  </si>
  <si>
    <t>GmbH</t>
  </si>
  <si>
    <t>Maturity (in y):</t>
  </si>
  <si>
    <t>NSADAQ</t>
  </si>
  <si>
    <t>Accounting standard:</t>
  </si>
  <si>
    <t>HGB</t>
  </si>
  <si>
    <t>Index Today</t>
  </si>
  <si>
    <t>P&amp;L method:</t>
  </si>
  <si>
    <t>Gesamtkostenverfahren</t>
  </si>
  <si>
    <t>Balance sheet date:</t>
  </si>
  <si>
    <t>31.12.</t>
  </si>
  <si>
    <t>Year with the latest year-end figures:</t>
  </si>
  <si>
    <t>Current date:</t>
  </si>
  <si>
    <t>Currency:</t>
  </si>
  <si>
    <t>EUR</t>
  </si>
  <si>
    <t>Language:</t>
  </si>
  <si>
    <t>Englisch</t>
  </si>
  <si>
    <t>Global Assumptions</t>
  </si>
  <si>
    <t>How to Use</t>
  </si>
  <si>
    <t>Current Risk Free Rate</t>
  </si>
  <si>
    <t>Projected Years after last reported Date</t>
  </si>
  <si>
    <t>1. Allow macros for this excel sheet and install PB Excel Plug-In, sign in</t>
  </si>
  <si>
    <t>Risk Free Rate (German Bund TTM 30 Years) used:</t>
  </si>
  <si>
    <t>2. Fill in/check all blue cells/numbers/letters on green, orange and blue sheets (Historical P&amp;L, Balance Sheet (Active &amp; Passive)</t>
  </si>
  <si>
    <t>Market Risk Premium</t>
  </si>
  <si>
    <t xml:space="preserve">3. Plan future P&amp;L and Balance sheet via Planung Sheet, check assumptions made and adjust, if necessary </t>
  </si>
  <si>
    <t>Perpetual Growth Rate</t>
  </si>
  <si>
    <t>(if a P&amp;L plan is already avalaible, insert into G&amp;V sheet)</t>
  </si>
  <si>
    <t>Corprate Tax Rate (on EBT)</t>
  </si>
  <si>
    <t>4. Make adjustments, if necessary (Berein. Sheet)</t>
  </si>
  <si>
    <t>5. In Multiple sheet: insert  PB Deal IDs ticker of peergroup, transactions ID &amp; chose peer industry for multiples (refresh in S&amp;P ribbon)</t>
  </si>
  <si>
    <t>PB Company ID</t>
  </si>
  <si>
    <t>insert!</t>
  </si>
  <si>
    <t>6. Fill/adjust blue font cells to do the Valuation via Ertragswertverfahren (EW), DCF and LBO, if needed</t>
  </si>
  <si>
    <t>(in RZ-sheet, make risk adjustments, if needed)</t>
  </si>
  <si>
    <t>(press to DCF Button, to run the calculations)</t>
  </si>
  <si>
    <t>7. Press Update all Links &amp; Codes button, to update valuations to date</t>
  </si>
  <si>
    <t>Formating</t>
  </si>
  <si>
    <t>Design Board</t>
  </si>
  <si>
    <t>Light blue cells are calculated by macros</t>
  </si>
  <si>
    <t>Colours Used</t>
  </si>
  <si>
    <t>Blue cells represent entries with drop-down</t>
  </si>
  <si>
    <t>Accent 1: Deisgn Colour Dark</t>
  </si>
  <si>
    <t>Blue letters/numbers stand for input cells</t>
  </si>
  <si>
    <t>Accent 2: Design Colour Light</t>
  </si>
  <si>
    <t>Green letters/numbers stand for linked cells to other worksheets (tabs)</t>
  </si>
  <si>
    <t>Accent 3: Highlight Colour</t>
  </si>
  <si>
    <t>Black letters/numbers represent formulas/links between cells on the same worksheet (tab)</t>
  </si>
  <si>
    <t>Accent 4: Darkest Grey</t>
  </si>
  <si>
    <t>Purple letters/number represent optional planned numbers used, if a planned figures are given from client</t>
  </si>
  <si>
    <t>Accent 5: Medium Grey</t>
  </si>
  <si>
    <t>Accent 6: Light Grey</t>
  </si>
  <si>
    <t xml:space="preserve">Grey tabs are output sheet </t>
  </si>
  <si>
    <t>- do not edit</t>
  </si>
  <si>
    <t>Green sheets are income statements</t>
  </si>
  <si>
    <t>- Edit past, future is foresighted via planning sheets, CF is automatic</t>
  </si>
  <si>
    <t xml:space="preserve"> How to Change:</t>
  </si>
  <si>
    <t>Orange sheets are plans and adjustments for the future</t>
  </si>
  <si>
    <t>- edit</t>
  </si>
  <si>
    <t>1. Go to Page Layout - Colours</t>
  </si>
  <si>
    <t>Blue sheets are ratings</t>
  </si>
  <si>
    <t>2. Customize Colours</t>
  </si>
  <si>
    <t>Black sheets are pure input/helping sheets</t>
  </si>
  <si>
    <t>3. Change Accents 1-6</t>
  </si>
  <si>
    <t>Typical Errors</t>
  </si>
  <si>
    <t>Solution</t>
  </si>
  <si>
    <t>Drop Down arrows not shown</t>
  </si>
  <si>
    <t>Go to File &gt; Options &gt; Advanced. Under the "Display options for this workbook" section, make sure "Show all objects" is selected.</t>
  </si>
  <si>
    <t>Valuation</t>
  </si>
  <si>
    <t>Overview - Valuation</t>
  </si>
  <si>
    <t>Entity Value, in TEUR</t>
  </si>
  <si>
    <t>Min</t>
  </si>
  <si>
    <t>1. Quart</t>
  </si>
  <si>
    <t>Median</t>
  </si>
  <si>
    <t>3. Quart</t>
  </si>
  <si>
    <t>Max</t>
  </si>
  <si>
    <t>Discounts on EV</t>
  </si>
  <si>
    <t>Waterfall Charts in Excel - A Beginner's Guide | GoSkills</t>
  </si>
  <si>
    <t>NA</t>
  </si>
  <si>
    <t>DCF (Growth)</t>
  </si>
  <si>
    <t>DCF (Multiple EBITDA)</t>
  </si>
  <si>
    <t>DCF (Multiple EBIT)</t>
  </si>
  <si>
    <t>Equity Value, in TEUR</t>
  </si>
  <si>
    <t>Valuation Year</t>
  </si>
  <si>
    <t>Net Debt</t>
  </si>
  <si>
    <t>Note:</t>
  </si>
  <si>
    <t>- (Public, Transaction and Database Multiples valuation figures are averaged over EV/Revenue, EV/EBITDA, EV/EBIT)</t>
  </si>
  <si>
    <t>- DCF valuation range is based on a sensitivity analysis with +/- 1% WACC and  +/- 1% growthrate bzw. +- 0.4x multiple; Median = value after predefined assumptions</t>
  </si>
  <si>
    <t>- Entragswertverfahren Valuation range is based on adjusting risk premium of +/- 20% of equity costs; Assumption: 100% of income is distributable (simplified calculation of financial requirements)</t>
  </si>
  <si>
    <t>Analyse -  Finanzkennzahlen</t>
  </si>
  <si>
    <t>GuV Kennzahlen</t>
  </si>
  <si>
    <t>Note: deactivate/activate columns to match planing horizon (Chart filter Function)</t>
  </si>
  <si>
    <t>Bilanz &amp; Cashflow Kennzahlen</t>
  </si>
  <si>
    <t>Sum</t>
  </si>
  <si>
    <t>Cash Conversion Cycle (CCC)</t>
  </si>
  <si>
    <t>DIO</t>
  </si>
  <si>
    <t>DPO</t>
  </si>
  <si>
    <t>DSO</t>
  </si>
  <si>
    <t>3 Income Statements im IM Format</t>
  </si>
  <si>
    <t>Rounding Digits</t>
  </si>
  <si>
    <t>Actuals/FC</t>
  </si>
  <si>
    <t>Planned</t>
  </si>
  <si>
    <t>A</t>
  </si>
  <si>
    <t>FC</t>
  </si>
  <si>
    <t>dd</t>
  </si>
  <si>
    <t>Profit &amp; Loss</t>
  </si>
  <si>
    <t>(in % der GL)</t>
  </si>
  <si>
    <t>EBITDA (reported)</t>
  </si>
  <si>
    <t>EBIT (reported)</t>
  </si>
  <si>
    <t>EBT (reported)</t>
  </si>
  <si>
    <t>(in % des EBT adj.)</t>
  </si>
  <si>
    <t>Check</t>
  </si>
  <si>
    <t>Aktivseite Bilanz</t>
  </si>
  <si>
    <t>Aktiv = Passiv Check</t>
  </si>
  <si>
    <t>Control</t>
  </si>
  <si>
    <t>Delta Kasse = CF Check</t>
  </si>
  <si>
    <t>Passivseite Bilanz</t>
  </si>
  <si>
    <t>Cash Flow Statement (non adjusted)</t>
  </si>
  <si>
    <t>Bezeichnung</t>
  </si>
  <si>
    <t>Actuals</t>
  </si>
  <si>
    <t>Januar</t>
  </si>
  <si>
    <t>Februar</t>
  </si>
  <si>
    <t>März</t>
  </si>
  <si>
    <t>April</t>
  </si>
  <si>
    <t>Mai</t>
  </si>
  <si>
    <t>Juni</t>
  </si>
  <si>
    <t>Juli</t>
  </si>
  <si>
    <t>August</t>
  </si>
  <si>
    <t>September</t>
  </si>
  <si>
    <t>Oktober</t>
  </si>
  <si>
    <t>November</t>
  </si>
  <si>
    <t>Dezember</t>
  </si>
  <si>
    <t>Kumuliert</t>
  </si>
  <si>
    <t>LTM</t>
  </si>
  <si>
    <t>Umsatzerlöse</t>
  </si>
  <si>
    <t>Bestandsveränderung FE/UE</t>
  </si>
  <si>
    <t>Akt.Eigenleistungen</t>
  </si>
  <si>
    <t>Gesamtleistung</t>
  </si>
  <si>
    <t>Mat./Wareneinkauf</t>
  </si>
  <si>
    <t>Rohertrag</t>
  </si>
  <si>
    <t>So. betr. Erlöse</t>
  </si>
  <si>
    <t>Betriebl. Rohertrag</t>
  </si>
  <si>
    <t>DB I</t>
  </si>
  <si>
    <t>Personalkosten</t>
  </si>
  <si>
    <t>Raumkosten</t>
  </si>
  <si>
    <t>Betriebl. Steuern</t>
  </si>
  <si>
    <t>Versich./Beiträge</t>
  </si>
  <si>
    <t>Besondere Kosten</t>
  </si>
  <si>
    <t>Fahrzeugko. (o. St)</t>
  </si>
  <si>
    <t>Werbe-/Reisekosten</t>
  </si>
  <si>
    <t>Kosten Warenabgabe</t>
  </si>
  <si>
    <t>Abschreibungen</t>
  </si>
  <si>
    <t>Reparatur/Instandh.</t>
  </si>
  <si>
    <t>Sonstige Kosten</t>
  </si>
  <si>
    <t>Gesamtkosten</t>
  </si>
  <si>
    <t>Betriebsergebnis</t>
  </si>
  <si>
    <t>EBIT Marge %</t>
  </si>
  <si>
    <t>Zinsaufwand</t>
  </si>
  <si>
    <t>Sonst. neutr. Aufw</t>
  </si>
  <si>
    <t>Neutraler Aufwand</t>
  </si>
  <si>
    <t>Zinserträge</t>
  </si>
  <si>
    <t>Sonst. neutr. Ertr</t>
  </si>
  <si>
    <t>Verr. kalk. Kosten</t>
  </si>
  <si>
    <t>Neutraler Ertrag</t>
  </si>
  <si>
    <t>Ergebnis vor Steuern</t>
  </si>
  <si>
    <t>Steuern Eink.u.Ertr</t>
  </si>
  <si>
    <t>Vorläufiges Ergebnis</t>
  </si>
  <si>
    <t>P&amp;L Plan</t>
  </si>
  <si>
    <t>If a plan exists, enter in the row beyond</t>
  </si>
  <si>
    <t>Standard = 3Y Average</t>
  </si>
  <si>
    <t>Growth</t>
  </si>
  <si>
    <t>Plan available?</t>
  </si>
  <si>
    <t>(in % of Revenue)</t>
  </si>
  <si>
    <t>based on intr. bearing liab.</t>
  </si>
  <si>
    <t>based on financial assets</t>
  </si>
  <si>
    <t>based on total turnover</t>
  </si>
  <si>
    <t>based on EBT</t>
  </si>
  <si>
    <t>(in % of EBT)</t>
  </si>
  <si>
    <t>Stand BoP</t>
  </si>
  <si>
    <t>CapEx/ Zugang / Investitionen</t>
  </si>
  <si>
    <t>CapEx</t>
  </si>
  <si>
    <t>(in % der Abschr.)</t>
  </si>
  <si>
    <t>(in % Stand BoP)</t>
  </si>
  <si>
    <t>Abgang</t>
  </si>
  <si>
    <t>Umbuchung</t>
  </si>
  <si>
    <t>Stand EoP</t>
  </si>
  <si>
    <t>CapEx/ Zugang/ Investitionen</t>
  </si>
  <si>
    <t>in % of cost of materials = DIO planning</t>
  </si>
  <si>
    <t>(in % der Materialaufwand)</t>
  </si>
  <si>
    <t>(in % der Gesamtleistung)</t>
  </si>
  <si>
    <t>in % of revenue = DSO planning</t>
  </si>
  <si>
    <t>(Absolut)</t>
  </si>
  <si>
    <t>(in % der Personalaufwand)</t>
  </si>
  <si>
    <t>in % of cost of materials = DPO planning</t>
  </si>
  <si>
    <t>Capital Increase</t>
  </si>
  <si>
    <t>Par Value</t>
  </si>
  <si>
    <t>Premium</t>
  </si>
  <si>
    <t>Dividend Payout</t>
  </si>
  <si>
    <t>Trade Working Capital</t>
  </si>
  <si>
    <t>NWC Anpassungen sind Verrechnung von 3. erhaltenen Anzahlungen, geleistete Anzahlungen sind in den Vorräten (HGB § 266)</t>
  </si>
  <si>
    <t>Average working capital (FC and last 3 years)</t>
  </si>
  <si>
    <t>Analysis of trade working capital</t>
  </si>
  <si>
    <t xml:space="preserve"> </t>
  </si>
  <si>
    <t>Net Debt/Cash</t>
  </si>
  <si>
    <t>Notes</t>
  </si>
  <si>
    <t xml:space="preserve"> - manually to verify what type of provisions are involved (unfunded?)</t>
  </si>
  <si>
    <t xml:space="preserve"> - to verify that securities can be easily liquidated</t>
  </si>
  <si>
    <t>Only adjust planned numbers, if existing P&amp;L is used - As standard: planing is based on adjusted historical numbers</t>
  </si>
  <si>
    <t>Adjustments are added in the income statement!</t>
  </si>
  <si>
    <t>-Adjust income negatively (positively) in the event of a decrease (increase)</t>
  </si>
  <si>
    <t>-Adjust expenses for increase (decrease) negative (positive)</t>
  </si>
  <si>
    <t>Erträge aus der Auflösung von Rückstellungen</t>
  </si>
  <si>
    <t>Veräußerung von Patenten</t>
  </si>
  <si>
    <t>Schadensersatzleistungen</t>
  </si>
  <si>
    <t>Versicherungsleistungen</t>
  </si>
  <si>
    <t>Investitionszulagen, Zuschüsse</t>
  </si>
  <si>
    <t>Erträge aus dem Abgang des AV</t>
  </si>
  <si>
    <t>Erträge aus der Auflösung von Wertberichtigungen der Ford.</t>
  </si>
  <si>
    <t>...</t>
  </si>
  <si>
    <t>…</t>
  </si>
  <si>
    <t>VioTrans Group SRL</t>
  </si>
  <si>
    <t>Source: https://www.ecb.europa.eu/stats/policy_and_exchange_rates/euro_reference_exchange_rates/html/eurofxref-graph-ron.de.html</t>
  </si>
  <si>
    <t>EUR vs. RON</t>
  </si>
  <si>
    <t>In €</t>
  </si>
  <si>
    <t>No. Description</t>
  </si>
  <si>
    <t>for the period ended 
December 31, 2022</t>
  </si>
  <si>
    <t>for the period ended 
December 31, 2023</t>
  </si>
  <si>
    <t>for the period ended 
December 31, 2024</t>
  </si>
  <si>
    <t>1.       Net turnover</t>
  </si>
  <si>
    <t xml:space="preserve"> - out of which net turnover for the main activity</t>
  </si>
  <si>
    <t>- out of which, the net turnover achieved from operations carried out on national territory</t>
  </si>
  <si>
    <t xml:space="preserve">         Sales of goods</t>
  </si>
  <si>
    <t xml:space="preserve">         Sales of merchandise</t>
  </si>
  <si>
    <t xml:space="preserve">         Discounts granted</t>
  </si>
  <si>
    <t xml:space="preserve">         Revenue from operating subsidies related to the turnover</t>
  </si>
  <si>
    <t>2.     Revenue related to the cost of the work in progress</t>
  </si>
  <si>
    <t xml:space="preserve">        Revenue related to the cost of the work in progress</t>
  </si>
  <si>
    <t xml:space="preserve">3.       Income from production of tangible and intangible assets 
</t>
  </si>
  <si>
    <t>4.       Income from the revaluation of tangible assets</t>
  </si>
  <si>
    <t>5.      Income from production of real estate investments</t>
  </si>
  <si>
    <t>6.       Income from operating subsidies</t>
  </si>
  <si>
    <t>7. Other operating income</t>
  </si>
  <si>
    <t xml:space="preserve">             - out of which, income from investment subsidies</t>
  </si>
  <si>
    <t xml:space="preserve">             - out of which, income from negative goodwill</t>
  </si>
  <si>
    <t xml:space="preserve">OPERATING INCOME – TOTAL
</t>
  </si>
  <si>
    <t>Growth in %</t>
  </si>
  <si>
    <t>8. a) Expenses related to raw materials and consumables</t>
  </si>
  <si>
    <t xml:space="preserve">         Other material expenses</t>
  </si>
  <si>
    <t xml:space="preserve">    b) Other external expenses (power and water supply)</t>
  </si>
  <si>
    <t>- 	out of which, expenses with power consumption</t>
  </si>
  <si>
    <t>- out of which, expenses with natural gas consumption</t>
  </si>
  <si>
    <t xml:space="preserve">        c)  Merchandise expenses</t>
  </si>
  <si>
    <t>Commercial discounts received</t>
  </si>
  <si>
    <t>9. Personnel expenses</t>
  </si>
  <si>
    <t xml:space="preserve">         a) Salaries and allowance</t>
  </si>
  <si>
    <t xml:space="preserve">         b) Social security</t>
  </si>
  <si>
    <t>10. a) Value adjustments regarding tangible and intangible assets</t>
  </si>
  <si>
    <t xml:space="preserve">         a. 1) Expenses with depreciation and amortisation</t>
  </si>
  <si>
    <t xml:space="preserve">         a. 2) Other expenses</t>
  </si>
  <si>
    <t xml:space="preserve">         a. 3) Income</t>
  </si>
  <si>
    <t>10. b) Value adjustments regarding current assets</t>
  </si>
  <si>
    <t xml:space="preserve">         b. 1) Expenses</t>
  </si>
  <si>
    <t xml:space="preserve">         b. 2) Income</t>
  </si>
  <si>
    <t>11. Other operating expenses</t>
  </si>
  <si>
    <t xml:space="preserve">         11.1. External services expenses</t>
  </si>
  <si>
    <t xml:space="preserve">         11.2.Expenses with Royalties, management leases and rental</t>
  </si>
  <si>
    <t xml:space="preserve">          - Expenses with Royalties</t>
  </si>
  <si>
    <t xml:space="preserve">          - Expenses with Management leases</t>
  </si>
  <si>
    <t xml:space="preserve">          - Expenses with Rent expenses</t>
  </si>
  <si>
    <t xml:space="preserve">         11.2.Expenses with Intellectual property rights</t>
  </si>
  <si>
    <t xml:space="preserve">             - of which, expenses related to affiliates</t>
  </si>
  <si>
    <t xml:space="preserve">         11.4. Expenses with management</t>
  </si>
  <si>
    <t xml:space="preserve">         11.5. Expenses with consulting</t>
  </si>
  <si>
    <t xml:space="preserve">         11.6. Expenses with other taxes, charges and similar expenses; Transfers and contributions owed based on special acts of legislation</t>
  </si>
  <si>
    <t xml:space="preserve">         11.7. Expenses with environmental protection</t>
  </si>
  <si>
    <t xml:space="preserve">         11.8. Expenses related to revaluation of tangible assets</t>
  </si>
  <si>
    <t xml:space="preserve">         11.9. Expenses related to natural disasters and other similar events</t>
  </si>
  <si>
    <t xml:space="preserve">         11.10. Other expenses</t>
  </si>
  <si>
    <t>12. Adjustments regarding the provisions</t>
  </si>
  <si>
    <t xml:space="preserve">         - Expenses</t>
  </si>
  <si>
    <t xml:space="preserve">         - Income</t>
  </si>
  <si>
    <t xml:space="preserve">OPERATING EXPENSES – TOTAL  
</t>
  </si>
  <si>
    <t>OPERATING PROFIT OR LOSS</t>
  </si>
  <si>
    <t xml:space="preserve">         - Profit</t>
  </si>
  <si>
    <t xml:space="preserve">         - Loss</t>
  </si>
  <si>
    <t>13. Income from participating interests</t>
  </si>
  <si>
    <t xml:space="preserve"> - of which, income from affiliates</t>
  </si>
  <si>
    <t>14. Interest income</t>
  </si>
  <si>
    <t>- of which, income from affiliates</t>
  </si>
  <si>
    <t xml:space="preserve">15. Income from operating subsidies for interest payable 
</t>
  </si>
  <si>
    <t>16. Other financial income</t>
  </si>
  <si>
    <t>- of which, income from financial assets</t>
  </si>
  <si>
    <t>FINANCIAL INCOME – TOTAL</t>
  </si>
  <si>
    <t>17. Value adjustments regarding the financial assets and financial investments held as current assets</t>
  </si>
  <si>
    <t xml:space="preserve">             Expenses</t>
  </si>
  <si>
    <t xml:space="preserve">             Income</t>
  </si>
  <si>
    <t>18. Interest expenses</t>
  </si>
  <si>
    <t>19. Other financial expenses</t>
  </si>
  <si>
    <t>FINANCIAL EXPENSES – TOTAL</t>
  </si>
  <si>
    <t>TOTAL INCOME</t>
  </si>
  <si>
    <t>TOTAL EXPENSES</t>
  </si>
  <si>
    <t>GROSS PROFIT OR LOSS</t>
  </si>
  <si>
    <t>20.      Income Tax</t>
  </si>
  <si>
    <t>21.  Expenses with income tax, including minimum turnover tax, resulting from income tax settlements in the tax group</t>
  </si>
  <si>
    <t>22. Income from income tax, including minimum turnover tax, resulting from income tax settlements in the tax group</t>
  </si>
  <si>
    <t>23. Expenses with income tax at the level of the minimum turnover tax</t>
  </si>
  <si>
    <t>24. Other taxes not included in the captions above</t>
  </si>
  <si>
    <t xml:space="preserve">NET PROFIT OR LOSS FOR THE REPORTING PERIOD
- Profit </t>
  </si>
  <si>
    <t xml:space="preserve">- Loss </t>
  </si>
  <si>
    <t>EBIT</t>
  </si>
  <si>
    <t>EBITDA</t>
  </si>
  <si>
    <t>Adj.</t>
  </si>
  <si>
    <t>as at 
December 31, 2022</t>
  </si>
  <si>
    <t>as at 
December 31, 2023</t>
  </si>
  <si>
    <t>as at 
December 31, 2024</t>
  </si>
  <si>
    <t xml:space="preserve">NON-CURRENT ASSETS </t>
  </si>
  <si>
    <t>I. INTANGIBLE ASSETS</t>
  </si>
  <si>
    <t xml:space="preserve">       1 Set-up expenses</t>
  </si>
  <si>
    <t xml:space="preserve">       2 Development expenses</t>
  </si>
  <si>
    <t xml:space="preserve">       3 Concessions, patents, licenses, trademarks, similar rights and assets and other intangible assets</t>
  </si>
  <si>
    <t xml:space="preserve">     4  Goodwill</t>
  </si>
  <si>
    <t xml:space="preserve">       5  Intangible exploration assets and evaluation of mineral resources</t>
  </si>
  <si>
    <t xml:space="preserve">      6 Advances</t>
  </si>
  <si>
    <t xml:space="preserve">       TOTAL</t>
  </si>
  <si>
    <t>II. TANGIBLE ASSETS</t>
  </si>
  <si>
    <t xml:space="preserve">       1  Land and buildings</t>
  </si>
  <si>
    <t xml:space="preserve">       2  Installations and machinery</t>
  </si>
  <si>
    <t xml:space="preserve">       3  Other installations, machines and furniture</t>
  </si>
  <si>
    <t xml:space="preserve">       4  Investment property</t>
  </si>
  <si>
    <t xml:space="preserve">       5 Tangible assets in progress</t>
  </si>
  <si>
    <t xml:space="preserve">       6 Investment property in progress</t>
  </si>
  <si>
    <t xml:space="preserve">       7  Tangible assets for exploration and valuation of mineral resources</t>
  </si>
  <si>
    <t xml:space="preserve">       8  Productive biological assets</t>
  </si>
  <si>
    <t xml:space="preserve">       9 Advances</t>
  </si>
  <si>
    <t>III. FINANCIAL ASSETS</t>
  </si>
  <si>
    <t xml:space="preserve">       1  Investments in related parties</t>
  </si>
  <si>
    <t xml:space="preserve">       2  Loans granted to related parties</t>
  </si>
  <si>
    <t xml:space="preserve">       3  Equity investment</t>
  </si>
  <si>
    <t xml:space="preserve">       4  Loans granted to associated entities and jointly controlled entities</t>
  </si>
  <si>
    <t xml:space="preserve">       5  Other fixed assets</t>
  </si>
  <si>
    <t xml:space="preserve">       6  Other loans</t>
  </si>
  <si>
    <t xml:space="preserve">       TOTAL NON-CURRENT ASSETS</t>
  </si>
  <si>
    <t>CURRENT ASSETS</t>
  </si>
  <si>
    <t>I. INVENTORIES</t>
  </si>
  <si>
    <t xml:space="preserve">       1  Raw materials and consumables</t>
  </si>
  <si>
    <t xml:space="preserve">       2  Production in progress</t>
  </si>
  <si>
    <t xml:space="preserve">       3  Finished goods and commodities</t>
  </si>
  <si>
    <t xml:space="preserve">       4  Advances</t>
  </si>
  <si>
    <t>II. RECEIVABLES</t>
  </si>
  <si>
    <t xml:space="preserve">       1  Trade receivables</t>
  </si>
  <si>
    <t xml:space="preserve">       2  Receivables from affiliated entities</t>
  </si>
  <si>
    <t xml:space="preserve">       3  Receivables from associated entities and jointly controlled entities</t>
  </si>
  <si>
    <t xml:space="preserve">       4  Other receivables</t>
  </si>
  <si>
    <t xml:space="preserve">       5  Subscribed and not paid capital</t>
  </si>
  <si>
    <t xml:space="preserve">       6 Dividends receivables for interim distributions</t>
  </si>
  <si>
    <t>III. SHORT TERM INVESTMENTS</t>
  </si>
  <si>
    <t xml:space="preserve">       1  Shares owned in affiliated entities</t>
  </si>
  <si>
    <t xml:space="preserve">       2  Other short-term investments</t>
  </si>
  <si>
    <t>IV   PETTY CASH AND BANK ACCOUNTS</t>
  </si>
  <si>
    <t xml:space="preserve">       TOTAL CURRENT ASSETS</t>
  </si>
  <si>
    <t>TCA 2024 nicht verformelt weil Wert nicht aufgeht -&gt; Fehler in Ursprungsdatei, habe Fehler auch nicht gefunden</t>
  </si>
  <si>
    <t xml:space="preserve">   PREPAYMENTS</t>
  </si>
  <si>
    <t>Amounts to be resumed in a period of up to one year</t>
  </si>
  <si>
    <t>Amounts to be resumed in a period of more than one year</t>
  </si>
  <si>
    <t>Total Assets</t>
  </si>
  <si>
    <t>Payables: Amounts to be paid in a period of up to one year</t>
  </si>
  <si>
    <t xml:space="preserve">       1  Loans from the issue of bonds; the issue of convertible bonds shall be disclosed separately</t>
  </si>
  <si>
    <t xml:space="preserve">       2  Amounts owed to credit institutions</t>
  </si>
  <si>
    <t xml:space="preserve">       3 Advances received for the orders</t>
  </si>
  <si>
    <t xml:space="preserve">       4  Trade payables - suppliers</t>
  </si>
  <si>
    <t xml:space="preserve">       5  Bills of exchange payable</t>
  </si>
  <si>
    <t xml:space="preserve">       6  Amounts owed to affiliated entities</t>
  </si>
  <si>
    <t xml:space="preserve">       7  Amounts owed to associated entities and jointly controlled entities</t>
  </si>
  <si>
    <t xml:space="preserve">       8  Other debts, including fiscal debts and debts related to social securities</t>
  </si>
  <si>
    <t xml:space="preserve">E     NET CURRENT ASSETS/NET CURRENT LIABILITIES
         </t>
  </si>
  <si>
    <t xml:space="preserve">F     TOTAL ASSETS MINUS CURRENT LIABILITIES
  </t>
  </si>
  <si>
    <t>Payables: Amounts to be paid in a period of more than one year</t>
  </si>
  <si>
    <t>PROVISIONS</t>
  </si>
  <si>
    <t xml:space="preserve">       1  Provisions for employee benefits</t>
  </si>
  <si>
    <t xml:space="preserve">       2  Provisions for taxes</t>
  </si>
  <si>
    <t xml:space="preserve">       3  Other provisions</t>
  </si>
  <si>
    <t xml:space="preserve">       TOTAL PROVISIONS</t>
  </si>
  <si>
    <t>INCOME IN ADVANCE</t>
  </si>
  <si>
    <t xml:space="preserve">       1   Investment subsidies</t>
  </si>
  <si>
    <t xml:space="preserve">             Amounts to be resumed in a period of up to one year</t>
  </si>
  <si>
    <t xml:space="preserve">             Amounts to be resumed in a period of more than one year</t>
  </si>
  <si>
    <t xml:space="preserve">       2   Deferred income</t>
  </si>
  <si>
    <t xml:space="preserve">       3   Deferred revenues from assets received from transfer from clients</t>
  </si>
  <si>
    <t xml:space="preserve">       Negative goodwill</t>
  </si>
  <si>
    <t>CAPITAL AND RESERVES</t>
  </si>
  <si>
    <t xml:space="preserve">       1    Subscribed and paid up share capital</t>
  </si>
  <si>
    <t xml:space="preserve">       2    Subscribed and not paid share capital</t>
  </si>
  <si>
    <t xml:space="preserve">       3   Patrimony (autonomus companies)</t>
  </si>
  <si>
    <t xml:space="preserve">       4   Patrimony of national institutions for research and development</t>
  </si>
  <si>
    <t xml:space="preserve">       5   Other equity elements</t>
  </si>
  <si>
    <t>II     SHARE PREMIUM ACCOUNT</t>
  </si>
  <si>
    <t>III   REVALUATION RESERVE</t>
  </si>
  <si>
    <t>IV RESERVES</t>
  </si>
  <si>
    <t xml:space="preserve">       1  Legal reserves</t>
  </si>
  <si>
    <t xml:space="preserve">       2  Statutory or contractual capital reserve</t>
  </si>
  <si>
    <t xml:space="preserve">       3  Other reserves</t>
  </si>
  <si>
    <t>Own shares</t>
  </si>
  <si>
    <t>Gains related to own equity instruments</t>
  </si>
  <si>
    <t>Losses related to own equity instruments</t>
  </si>
  <si>
    <t>V. Profit or loss carried forward</t>
  </si>
  <si>
    <t xml:space="preserve">             - Cr Balance</t>
  </si>
  <si>
    <t xml:space="preserve">             - Dr Balance</t>
  </si>
  <si>
    <t>VI. Profit or loss for the period</t>
  </si>
  <si>
    <t xml:space="preserve">        Distribution of profit</t>
  </si>
  <si>
    <t xml:space="preserve">        TOTAL EQUITY
      </t>
  </si>
  <si>
    <t xml:space="preserve">        Public patrimony</t>
  </si>
  <si>
    <t xml:space="preserve">        Private patrimony </t>
  </si>
  <si>
    <t xml:space="preserve">        TOTAL CAPITAL</t>
  </si>
  <si>
    <t>Total Equity and Liabilities</t>
  </si>
  <si>
    <t>H4sIAAAAAAAEAOy9BVScO9f3zeAMTr1Upm5Q3OqlpVSpUVcK0zItDHSAuru7u7vbqbu7u+upUi+lcr7kmtm5dmAmw/re513rW9967nXfvQ+HmV//SXaSnZ2dxEJhYWHxH/kP/X/6HydL8kfTJprU2PjwpKQequi+yeoUVUNNF12Mrq+XqqVal6JJ0lb19/UPruhX0beir5eqVlpCappOXVWrTkvVxSR4qZqkdUnQxDZQ941O6qHWVtWmJSTYUH5zhu0kYTsZsBWbq3WamARNv5guCepaMbHx6uz/pkJ0UnJDdS91gvRTbU1sKpFBvmtNuHYGVfa1khKTY3RqnX3dmJT45pp+amciomVMQpq6SYxGl2JhZWFlP03RvG9KqjqxYq2khAS1hEmpGKnWkr8wFv4/omca+ctT+wKvs1+7doZvNU/VabTdvFSJKbFJugRNF7lKAmlt5KQ+uoSExATFBgX7hQUEqn1Dwzp0sF9nKRCFy9DZ//+qEq92/ydNlKVpyF/3P21GHTq060ANlFqTgxX5g/7PgdqANf2n/y+2Le1UdlShJJr+z2rN/7Z2Dlvb+hcZmv63unJaXbRrWPVQ97XpRatEYd3gf1AwZdvakj/sGxEtmuQEtYMd+cmG/vE/+ff8/2NAX/X/H5uNIzOvJvb/4mDu5mAYzK+4kn9woO3vAOMl/Z3Viv+tzJyMld/JWPm/VfX/ZpyM/B8SK42RjuSPwv5+fiF+Ad4hwdER4fWi67Tx9fPxDfOhSiNaNHNyJh+pWSdJlxiTmvJ/4FN/JQ3+PyWd9r+8VSTzqNajU6fwmNgexCjqaNQJcYWq1FanxOo0ydSasv4yXxV9ObL+e0uFdS5DCStKVP0PtORSLbmQPxxLtGrWOCqyXlSTFtFKm0+kNMa+QocBO6mhOnWysKcAGzo4fCQfpxZv605+quDnF0yqOywkoqUqNUlFvtg7RhenonVfu2aW2ld8IN+iVWdv+7GlvVX5NcVrKBXvyc9UgORcvgN0HvJTSY02Ra1LLaYn64nR0Y18Q3z8AykygCB1ijcGpm0+8hXXEhFR0fWi20Q1jq7TuEVUbaXiX4x/BfiC5KdSQWFBoQHe/kFZ+QE+5L/+vn4hEv8F01x4wKlOO/96Ec3PMfQZQIuQn4r6+/uG+AZ4+wZFG6+CJwacA20GpeKRgSRV7EMglaDyAv2C/Py8g/2yygvVy/P3k+TdZ/KK523dOaRZCSLvHpZ3F6BlpDL7BgX7evsGZIf6U41+wRL0NoM+ihldx8mSttMtDL0J0ArkpzJ+oYGhAYHeAaTLCbHX+bJfxcQrQPQlPxUPCgjwDfMOCmgUo+uhTlXVikmmNK4iLzGNl4/tG9R/XNlwpeIirs0LQAwkP5UI8g0LDAn2Dg0RIM8x5MDqI/9MqvWwplJxFiPPADKUWj5nnmD4zchKWUs6UJZmPwVFzycV/QQu+nGgViU/FWNCoyKiVbXVXVKzyTzKZJLPD32z5TCReQTLPAzAmrR10ICYpXXCfHxpR/ILklrnIN86+7HEfUCsIxFlG8/WNf0k29QT9/DEfzBxFxAbUF/DLygsJDTIOzgoKiZR3aJ5bcUO6NWNyK89mrVV1dOmqnXe0boYbUpKsjpOqdhmoNHhU7EVaE2okfNDkqzOXz9w+IVK6jazarQ/qm7aYXtJYuSbsMSNAI0mP6lgtOCbRV9cqVnWM15G85Tjt11ekGZZh5tlLfBaCwY3MvgEyz1mNVRDW6OD20osdwXg6cK3qNwnG2oSNal+FWurYxJUNROT0rSpVO0yaJtOUtsswUIXA6kLnVD9/PzCgsK8/X1lqXXa0DZuQyfUOPKRVhF9YtUJtbUxFWkrddPF0OlKnl39cjq1dvX3D1KHBQeFhQaFqOO6qBULQaRaEjkPN/lcEBlP+yI/lhuZhVBDzWYNldb3wY8erUqRhp+Fa3ImoBNE0wTpPf5yS02XoYof3QZZeBPoNAydCtBk0TjMN/9kBk3yrPGoeAEVgU7C0IkATSU/FQwkXwwko2ZEy2xjxng8Zpy9EredGOc4TBoLpD4ieaTAofLUOJpBq6dp39b2Lk3kjcLQkQAdQOXBoA7yUJMMR/LcamXWrUgG82GYNBRIQ0RNEqKfbvz9JXmDGbRiq+Vhvz8VJPIGYehAgI4wM9/6y9D+DFpiZ9ea7u0LEWg/DO0L0DGSNxoaGhgc6h0caMwbVfTmB8g03AlTgTOR/OTNOmF0Uirpx3QAklT2TCNra0N1BjGujokM7u9u//H5m+pKRU8sMhngU6XqZA2TrTqlkgdKJdcy6LFrDa0ndi9PSp6IoQkAnSlNEqHBgb7+3sFh2SaJAK7jdOfrIB4TuwFxnkhmqI+fJNNX4qmZzLUD9qz4o61FZMZhaCxAF5GfSrPp1ojKIFllDKhcIqnshEeijgBcLnZaQ2WntT3g2kq4tlhfG8CtEc9lfsFyoVuxQg+KrTk6tlM5UuiWGNoCoBt4J9X45NAc5G2S5DXFdtkESFtFPdHPJ8BX7jRRTN6AaafTIrfTgaIRltcQoDtpmxiZcdiQ6ye3SX1Q+Y+ksi5uk0gA7hVVIoEFywYewVTa7D7z8nku6hDUxiprAfQg+cmTjRfQsdF4VhMPt6E+FY6R4bYGrsXqgDpqxrLDZIelKoOma86tX9gzlOirgvVVBuhJOmRksWxjDioaMsIYfHLAgzqdfz4mQ0YohocA/CxVbLDyLKORYboF50ARBC2k93oDDDwaaFT4A++S1OTgAIqrwBeAVyRgRdzk3gC8zvs/xtdhFfhhpxxunLJAuqP3dgOCgoON+c+8kZfmiSVx5ZUA4kP90Mgmhezza5A8vxbjiUUxsQgQn+l9NIOBI4dHbttCyBovv2053JrMrp64wAUB9ko/EQaG+XmHhYmd+/wMWruXz4s744sSa8yHFeYF6FvRQOGvF+oXJkFzM2i/QkvG+vpWINBcGOoB0HTaBZHVZHMp3KDyPkmV54JNxRkoX801sGwxOoUj3xwOWJc9EH9Sb5R3JcTeqC0r8iZt/XbNWlQkRbbBaGtA/xHOV2SCCZEnGEtGzah7TLspXwChKjDVAqgKhcDf40Mtf/8CtOYet9GN2xQh0D9/EfT3XwOUbjp7YqPUl9qflTrzr2ySQ1b9N/c3GSB//kUmmQEoB4VUob7BYd6BgaYrVEZ/Z+hWy8d57V7qT1R+wyq/AtqZorMGLzA866Dx+S9nAR8xNR2oHgqpD2HB3HAWKE/b75nUB2O/eNT5jy4a3mHoW4DmJVBVsF+gH5kWg5roNIkxur5kTRyXlpJK/qFWUpya6ntt4NnmJx93aJjUTZOSqolNUSpe/UXW/xKgngpBbydzY4A8Nz5nSme1jS335SB1MJ5hpU8BWpRA3QKDg/38SaX60/U8VfYYlBWjv66VlNhFo1X3UdVNSojTaLspFQ+xwAfAKqkQe6fI4O8xgeP3Th3mfowKvIsF3gFoWQL1AqjAnZa76C3GDu4+xOlikQ9kbryJ2TeA7aUQuS+h+vnCMLpfY9Q6HTYqb+16QqhXMfUKUH3NUCWTMoygl8BE/RXURC/gej0PwCDyu2JyzIWPaMg96SywQiTWacw6BaxKCuEQykcrT/Ad6Bgu7lEgVleYcQiQt38YgDUliQexxAMArE1+5+0fEhgYFOTt52ukn2d3D/bxQvdgobuBW49wixo8oSyVKE++u8DyGyiMhXB24EFvO5CjFMIwG7+C2spr3Yy1bgJic6ENwTiv7+wbmGVusWvYuHNkMdKX1mPqOqC2UgjXAHj2XMOgPa5FB6flpt71agxdBdB2CsFqnI+6rGDQFY7W+ytspguL5Ri6DKCd6ABqPFCNHNYlfFUuwqiFgIpTiGOMvrK/Op/pK2JRupLndhqdn4ehcwEaL7V4Fhs15RjO5mXOxMQZQEwUV6Ofrxz6ncZkHs/8W9b1ejSRORVDpwC0JzV5/0AyepIW9zfhW0/i5U3AJj4eSL0IqZBskEZ8hLFM1fsB1VeUmjSF+AhjMGs0sPoRVmEY0o3OjoqR0A0HZJkah+MhYxgQB4smcb63DGEyQw9djLs3w49U3mBceYMAOlyCsiBdtoEyRB4oBzDoDs8X9wuWpF2wP4b2A+hoAi3JKzWxB9GHMZ2syz89cvMXmXB6Y2YvYI4348KEyvNNKoPuD/C483IS9dhTMFQH0MkEWkQe1o06w8lgOVOl4VyL2yYRQDNoiflBx8SitgcTl//AjLj7y9JJibtjcRpgziHMcrwrJHIEu4HOeZJONdYZB8yFCuFaz8/gCuq7YBe+z3TGKjsBcZmoS/PDbQdW9J1vFz/4PdaXtEt7DG0H0FWKnOzion7ZhqHn2G25u/UC3R1sjdGtAL2OoCtmncbM7JS14CuiOQY3A/Bmyei5nmTCBJrIg8iyjFX1Xt4mJtAYM6OAud2cl4WsviGI3Cm1f33c/vUAuJuW3tTywkTpI/nSR2CltQF8gIDd/QMDQ/yDyZotGvbMwvnv1sCiqsN3j5pZ7vnJA1tVVnURu+e876yhLnUVLKgyQE+KxgvcHDpFGIMuvbPpc3QZOlqGYmgIQM9Kfrqhmwv8dNkwgxi7xLhVqRWWZZC2DsTsAGBfpGORsY1R5Av48dXpg0EVAXRNmg9ZHzeEU+slJido1KT/tFRRkheQbkjWUh43TDkg3Sa/y5vFPYTVUxkA6ONopTCgJAAeiH0xHH4uziqq1Jt/tjZvnJs0QjFcPhVAnwh9cT+9s2OwlyKg8plUzEJYpScAX1I/jAUx9M3K+gKr+wKA+ldC5cOovIB6K836xGcK9fUO8w/XadRdVShfhnJyw6z/nnx2raJxsloXk5qkUyV1VcWoUulmcnKSLlUVo41TJYBLoIqlqYraviqNNlWtjSPNSMqcrEvqpYlTq2JJu2pTU1S9NanxqtQYTUKSzjsxhvwiJSkhTcr5UsXExSSn6r8Vk5CA/hatWh2X4qXqkkS+qpX2SMnv+0p/Of2rdPK/q6hUeOAiu0ORP5Ji5JbNrW5T4tykaYmTo3DlrdUZf90Jvv5N77lyQxw3bsp9SclMRLO50bvI449IX3LAJmIP0J9moGh0s2VQ7yE9lRETKNQGQ60B+kdheivFzyfAD0W6oOANJFOxwLj//hhwlpai0Jk/N7b/+WMAWltS4K8/qCYzAWhHfleC08fVo+zRZABNv9Pz/Q+S9w1o9OiHaJ85RHbVv/yBKuyev2aPfEE0XPgZQz8B1M1S4CyE6MPqBucjnUEPVK2Zt5o/hX7A0PcAzW0pcGH5tdlbBt16qUH39rXp2uwNhr4GaH5LmkQU4u8bSCbKECOOEh5lXv3hDP0FJj4HYmHLnOTnIHN/aqDaFrU0tkp/jP+WR/C3FLekO7P84Ghmm+UBqC8pGdc9bFx3gVvGUhCXC9XH5QwLzNuskofVfrzotx3NZbiFxd4EaAXyY3HkNJjKLrrO1+/VP2jBdQVgviKD9Tds2RgCUkzhtLr5StV7SbeNL2KFFwAaSH50k9OfDF7NOWiZYNoyzVo3VpVlq7dySsUZXIOnARVmpr9LeU+GpdZJKHBlqUmOY+AxAFYjv/MCDydHe/BHWLnTwgfuLZVwiYx1h3G5DwE7XNSn+P2RAwz6ZNta7+ENaTxhP4buA2gdS2l5nTVIgebYPVDuulK5/8Hl3gWYBsKK5DfndgCwkQTchoFbAdhEZDlkDRwqx/Y2s8L2iVy3p1cGHUA24cJuBGi0pTAGydfhet7A12LiGiC2sTQdIUWdZRWw2klFXoGLvBxYHS2py2OITpgMti5lpT2pSn5x6LpNuFKxBHe+xcDrIh6DcWBnIYOmpuT6stKZbgMtwAWeD9CulqLcBWl+NAzAc/9wzuhsjJsFuB4CHJ9ENANwRaUqnIZxUwGXTPt+UFBIsJ+3XwB4xZNhZNCR31rXrlO7uVIxEbfABPh6mqVoacdnAYxjVXYuz5a+90vSnKuxWNQYoNKDOSgWZjyVYhQUr79UvBG4RYcDaZCoRfkI+lAmb92VdhvPK2lgaAiWNxigwyyF+b5+fnJPG8igVcpNnrYiJQ+BDsDQ/gAdJfULf78QMjf5hpjciOoLTTPGko+29cbt0wuo4y2FkRI+TzWV7786rLMnEKdYCmK0/CZcEit8QMTaAT8c6YpUi6GJAJ1hblYJldupB6icJbW7Bpc7HoBzLUWrK94t7QrA+RIwDgNjAbhI7DngNo8B3hKJ1wnzOgJvOfld3gD/kADfIDLvycsN2sbtAbBSArTFgDYAWGMp2MHja6wVa4cL+1vFH7GJoDlMuB1aAHSDYHAJNczt+pyM5qBRvzhoinFNALdV1FHA9vQ+bRTT6J/2svK4cBr6aoShDQG605Ku1AL9A8ICvP24lVp93n7r4nqLhK/vFTWkPxcqjgDefqkdamFeOPAOWdKAB5shUYDCRwLTBq0BoCMSqBouV1UAHZe6KiuXeDOyMl/UMEwMBeIZMx4BSr4MZtW/Z3z99fcdaEZnEIYGAvSCqE35+vNnUPtOnZym5KMutB+G+gL0irC7+nG7AhWh6NekyvTCrVIBgDdFSzQ+u6gcUznm5QzPg4eo51cWqywD0LuC3sFvHJbiZ/ISGFcccI/0sxw0uPEIlwpIT6TSFsGlLQyk59QPAps2uV/qyQpK/jjU8UdsTaWiIJ41CwDvX8pjzWEqlJQPpL2RpOXB0nID6j3trXKolvZW4tPTr3vwJuyGv+4KX/+cg9nG0CWcWfEylh4sVrQ83S9xwhXvCNDv4n6hP8qg96EcGLTyV+Xm/utpsN8eQ+0Amkl+LJ/FE8q20YFaw4aR61++X6JiH+oNWWOyFZD/Wgr3jHDmg4JB9yXuK+hWrAyBWmDof78hbkPquXTWXVETwaU/v7mW+vUbATMBaGcl3Fjnzytl8MTvmPgNiE5WAt+ND7N8+Q3lPm331DFiFE2Z+4yhnwDqRqAq2SHKNlzXrklLnA76PKyovvcY9Q5QeaxEnrg+UqX3CN4ATu+J/4txrwBX0IpOJEZcNdTlXvD19gyDngKoKAF5wAiNOtzj35ApRD7g3DxGo031bhiTplNrU5WKh79xmhCgSoqaAC+ydIp7rAnyTY4/ozpHh9G7WN8dgJYVQfmY3C0GLfni++3II4EEehNDbwDUy0o8UCB/7xqDltntvPznODpQXMXQKwD1tRIPFGixdYlBV75cHlR4Oh0oLmLoBYAG6i3QWA4/aulzfEufwajTgAoT68Orm5NMX7slDyw0+3yIvhMYehygVa3EgQnpGI2BehRUVpf6yWFsRIcAGG5F8wy59hYnbh5gWucUuX7K06IsjcVgrfsAXYegixm6YNbjh2is3QMy9c7qP7/RpLcLWA2shEf6+DyRHXzzbMPqtgKxiZU43QYZ+mZW5GIOQ92G/mxBIzIYuhGg0VZGziOhaMd6RiJfiyzThp5HWodJa4HU2spccDhI3gxYzRd4JSauAGIHSgzwCw4OC/UOzH48hY8OLuOJSzBxMRC7WAnmvjD9KgciMqzgyf00HTO6U6tZgKHzAdqVDtyyTMG51bm8xtnYcGYBrod45uNjPDN44jQscCoQk0WlDjGcT9GXejIrtX3JWpuL9qMz/iQMnQjQVGo48giZrZOMR4bz3bbu+uBwpWIcJo0FUh+RXfNnvEcz6K13L1LVNWhu2igMHQnQAVaCdRl/eG84g07p2PVuGRc3Ah2GoUMBOoRAy8pNY+ZQxWC+bQYakNKhigGAHGlF/TzjWxPGDqz0A+hoaYjsg4fI3gAdR8dcKLwZlWms9D/y/F6a/4ItKX0qlpoC1EnUozBWpYjWk9E83006VbwIXfgl47pMAto0K2EeHe+MJ/JV2QMTuwNxtpVgKcnvRcYzmdXy7ija/oonkdkNQ7sCdL6VaCnJH7yLA5ULpbbpgtsmBoBLrISBFhzw6sRU2oReiB0UFERUdsQqOwB0hZUobsrPNe0YVRWpSl/tQQ8QtcXUNkBdIxo3/A3+gH7V24pBR6V3De2zj24BtMTQFgDdQKCerPxGVjLNGeqfIok7/qY8IDNOMzxSNgXUFithfhkaeBszZp9cCs8369+TMkdheY2AuUNsRHiDswGDlrtZbNOshzQeUR9D6wF0NxXKe5Mmth0jGXN+SnTn1IAvRGgdzIwA5n4rM+nceMenFt9/amJiDSAeESxA+AN91fgFSBWMqwy4k1Lr</t>
  </si>
  <si>
    <t>cDVpYk83jBV6/643zRad/k6PtGFmCDDPEmah7L4+PsnGWL3W9vva1406poGYFQCsi2LrxlujfgxaJOL03J1aevzDF0N9AHrVzGIEORjeDGrVKPLTuIl0MeKFoRUAetOK7mka9XhNJDOUY+yB/aZEvyx6l9RoWcwuA+y7tEbxMJzNaSnF204JjCkOmEd0bpCdP0PwqZYhQadenBR7MoBsn5APO7CTJ0pFETxQFgbkc8nA2T64OLDiyYssgEXmB+JrKykpB5ZKKNSbl/96biwoF3z9g5k1YYhsMO6s/uU1oRvW5ArQz6LpIMBgMPpe5yx7pJPS3g+7SS+4ccJQR4B+txLGfnkX0oEvux0m2gLxlxUXXDSeTm7NkyzxoK0AkoU1TQYzDNrGU8D/+2UwFEtrflPqzy/ULr9/GYg21tLFJMH+YUHeQYGw6ZgJEHqzpFNzVUONVq2K1CWlJSsVGZjzAzhKa9FKlV9gfTPQHZysaVG/YOBnALpai3wH3rP9CEB3CfgBA98DMLe1eJrHIfi3v9iOcrHwT7P86em6N79wVg9Q81sL7VrvO+jnkVcMumrzw5Z3C9MckZcY+gKghQi0HG/X2d1aeQp4xsA1DvWzLDiM7n8/xeAnAFZZi/aU8JGjR1Cl+oyuBxh3H3ClrIU5HXiFeZdpbN3XY+L44nRP6Q6G3gZoOWvB4oOfBW4y6Lip80b0m5OPQG9g6HWAeougvNKrUHIfyZguY2O6BDx/MQ87oheYSMtaxxd9qkPjoeexyHMADRZXJ/ZDzzBos8Yjrbp3pLlspzH0FEArCc2ev7DhBKO6TJ7etMcCGjc8jqnHgFqNUIuFBAURI/X2CzW5Q34ExpEa5PPWzZJi4pSKQ7hCDwKwlrXQI+M3x/f/4sbKvVjiHiDWpURTN4pkXXr9A8T6UqPvxBp3ALGRcEjij7ZsA2BjCbgFAzcDsJk1yrfKUQbfRtZC977XWzzs8R/im2zAxV8P7JZCsX76GdcQuFgLYltLYldjsasA2M5acu65Ed6EI76CqXx69G3jQHe6SlqOVS4DaCdrabFtNOMs27E1UBkjqVyEVS4EYBz5XYWss7fokMt83pbmYplzgKoRdXd+YTOLlT2uc9E7w6QzxDMxdAZAE0VTB++9TGPQar0G7/nWloZupmLoFID2tBZuUOH5aBKDvj19eFLQbeqYT8TQCQBNs6bLTlgrGqnEcQzV6+DqePerd8iyc+wv5MGMAVRfUaH5tK5RDBrv2q/So980nDYS6xsB0IHCMY5P2B0G7T1YsqIh2IoGA3CYtZS/r19+mUxmG8gEzpu7Nenz5aek1ANwqfsDb5S5QRjdP9CXUXsu/xh1S0FXxn1wsXsDdRyhFjHM5rBjre2lTklN0qWQZUOKFKGC4up3v1NwcXUAmmyNb1IxnfiJWjyZqVz9oNqB3EvukS6ehFVqAT7dWrgxgqfKBAat2/nWsWvTaIv3wNDuAJ0tgoYYcgoM4SoGrZNW8lXva9Tz6IahXQE6XzhkhnBDZhzU60LJjLrgeo0B4BJrcbgK5Wt2Yiqtm20p7jyHLmg7YpUdALrCWnx1Gbr8rx2DvlDbFmvfks7nbTG0DUDXmPFn8C1MRvyZlhjaAqAbrOn2CItNZ4tyN2ckC4u6XT/mdw9XKpphUlMgbRH4rXwYsTHvtzbCuIaA22kt3G3h98fr8xNEXUyMBOJeQixrNBXfWJQuApD6PbBaGBkOyEPWNLcZnyTNiqkBmCOSDVbDNlgVMMeppyY7VqYSSCrzpQzDw1gosM5YC7fl+IvpgnliIC5kABAvilxefnfFj1nLl8qhvf/+pHbni6E+AL1KoHnl5pVyVWvHpEoeqTeoui7VWQUDQHo7oTwAbtHh3/jeGaqysnwBS2MtpQB1X6oy+Si50KsvwROLYaIKiE9Egwrv1xVhVdbNPapMiVY06bMwhhYC6AtrYY4WdnAKMuiafCGZqv5rCLQAhuYH6GsCdQUonHTIC0uCt+S3Vq2bNFYqcmPDzQXf/mCdo9Mtcndw53uVK9bkAtQv1jQWI4fsjMZinPh2UOLO4ACkDGokgmRDffaKHaAyJXuzwaKsAfVHVPuh+uixoVdZstq/2SLslf00ejOjAkMtAKqwES95g2To30yWcbjj4PiCrWj+059MBP2dCeEiG/ESSH8thH5KyzRQHexsaNEzMnHcCIBKG/HlN+ik7jemstTpfyuWfUg9669Y5ReAutiYj5+g5v7EwOnvXPw6xND4yUcMTgewh5ni44Md76H4uaXiv8XFfwPAfDY5uIFB78f8y1TOqlFstuIR9WNeYZUvAeppIzQnHOZ5zqCHFi9KXd2WbtQ/w9CnAC0qLDo/9D+GoheTiv4QF/0BAEvaCE9X4QtG7jGVmbYv5mzoQfcl7mKVdwBa1ka8pkILgVsMWv9+W6d4aTv8JobeAKiXjbHbJLMkh16DMleUynwFl/kykPzI74pDnxTkOlxk2qocaFanRMxwsrK4kIlGofNADBI2C7+KPAsSQySJp7HEUwCsJLZIPL2cYCr7R4YpnJdRd/04rsFjAK1GoAXYWJ79FFkmN3IfwoyDwKhlQx2ZrAdRsi149htYthHk8/ZBYQH+od5BQUrFXlzaPQCtKyotfznYP6y0ddae8dlQhIbcdmGlOwHaULIXtlVi3F62Q5mjpMbYiuVtAVJTGzO3NaCjDpuYPo+V7ceOSaf6NmJ9G4DawkYKO+nHhxzdDbaOsf9JfvxoeH5Lwl6L2WuA3cZG6O/wmQmrMrl5dgUmLgdiRxspcyJ7EyFXbCmAOkuVuRhX5iIAxUoGlK1ZshrQAjAgNfm8AzsWolTMw9S5QI0XjTj8Gm82q8Xrz1f6B9nRDYBZuMwzAZpgZp7B7T4dyq6Vyj4Vq5wCwJ422Q5qGDJRJ/FtMAF/fTx8vZeNkXwlNF6NZSWzsFj4wXY8zVcag0s2Gkj9xKM+PiozkkGXOGS++7yd7gOOwNDhAB1kIz6yhJNDh0J5h0jVNRiXdxAAh5vpd3ieH8BkFj9TytJlBO13/bHMfkAdbWPqJjV8fxHo0wdseuFRPw1IE2zolTOsOXMUsUnhG7onlpgM4KkE7AGdDVmJFjrFdDqqhqsTEtS90tRKRQKuvh5AmWWmT6DsAA2rvcT3Fk3if1KnLh5L6wbQeTYmDyLSl2lU1GgUatC5gBakkVrXTa3zqRlLaiRFQ++dUCpiseIuAF8sMkt+/dOZKbbtHrXAohGd9TphxR0Bulzk2/JW2Z5BB2U2/719HM1WaoehbQG6Wjxj4USt1gw6rmzbsSNL0bVCKwxtCdD1NuLDYWjPLZpBV26q1frbYLpWaI6hzQC62exUgJJsmvDWGYWJjYC4Q2RX/JUBDZjMAX3aeJW5Te2qPobWA+huMRR39UgG1V4/UPLSYppYXgdDIwC6X7T44i9dr8WgcgZlOIbWBOhhAnWB8cOwnK7ODxdVsXVXgS+eEE4nvNFUAuApaXwMxcAQAJ61MZdeggJoQXzTBuCy+QPxkg1K08nR1QO+rN4+T7kTeDHjTnWlwgezKwL7mhnrRjuLXgz6ZbAyM6k/te4KGFoeoLdsuCMiRpN2ysJodIe6EoEBoUH+Qd5+YUpFaVyrpQB530Z/HD8wLJCsM0xuqpYA6kPyeVuyitBoyUhcDCNVgHwibij+susifEMVwuX2BOJLQixvMtKZ/R61AgDVp7vlw9C8AH0rNFD+AE9uAL6XDNQDl9sdgB9thI8z8GOPK19uZyzRCYjfbHL4QAW6XYgZk/xAhQOG2wP8p40wbZ2fgGx5udaYaAXEv9Rjk20+W+9RII8teWWbLlbEY7PApP9+GkiWtuKpMUweO/78ZBEaduPW758I+gugtrbCsA9eZf5k0AbbZlY6Wp8GMTMw9AdAlbbiK0bQuaNvDCpfMfIVQ78A1MVWegXBMN8aSSr/xFDfyxYKX/HgPFmrf/yJvLZ0QHkQlBfMNDny2d4z9tKznV0PDKTb/e+wzLfAzmsrRSPBgkxEI18beA75banpvMKol4DytJW2bWDuymY6z3/KpmOhap0xihT4GSY9BVJRW7EbjSfsxyCtmCTt4U8cMwJgSVvxKR6UZnuPqTwy3LdD9aM0qfouVnkHoGXNQJHzc4tB64TfiN1SqSWNGWHoDYB62dKcTiNeBVq1XoMiV5SKfAUX+TKA/GxztjeLxp2LTKW8N3sBqzwP8CBbse+DElrOMuiq6Y++tgyjvs8ZDD0N0DBbOXCfo5n8JNSDPvxzHFOPAbWaJJWfIkxsBBwBXg2pXg/hej0IvFq24ncG8BC0H4AREnAvBu4BYF1b0WVu+PKVf/jy7sTl3QG4RkJ9AQZb168etgGwsaRvC9a3GYDNzBUYeQIbARgtAddj4DoAthKN4XyC5hpmPPOPjIwo25Uub1bjYq8CaDtbk7eNywa+4ifnUyzDo+1SIHUWyeP9+sVM3h2/SX9b5aWvKS3C8hYCNM5WuocYjxUmTk3MZ8xcS93an29hRZjzMHMuMOPNjZLIl54NJe8uNcxM3DAzAJhIfpeXXRnJ32cyzQCwTSIfsq2ji9HGEudxCuZMBo7Olqa3I+cx2/w08SfniozH5RsHmN62ZjZN0NHYMQDsK5VvFNY1EoADbKmfDBVm8o6F4awF9tabcM9j9WIyTw3DpjIUgEPo5AnDoEneYDTv3e4QdZymKwzCvIHAG2ErWKPzuxD9GXRTrSufnD3pLkQ/XI19ATrGVrq82dSbK1ndkt4MXHHN51mjWtN3lHphcBqAJ4jcJv4W8BQGvVRyfaeBCrpdpMPQngCdIqoC/rh2EoOGLkw/UvIunam1GJoI0Bm2wjQ8fNN0DwZdUCJjgzaDBg+7Y6gGoHOouwPjtpHs6m78YKPGLR4HkIXCwZXvw10AuFiy8c7YxjsBcJm5QQFttHYA4AoJ2A4D2wJwtVAhf1lMawCulYAtMbAFADfY4nshc+TONgfuJonbFHObAHerbQ6f9ZKbKIo19pLRBaq2mkbzTRvhxm4I8J3CavXX5x8aaqE+o+pqVbhx1pMeAqiHqXWBusfWzM18OMmjDj9m1sbEWkA8aCvdIqPvPiZHpJpMYWDA9MOuFoePKBU1sH1WB95ROpTLlWokmagq9upPd/PZRFhVMKsysE6aWRCik+phDLr/RF6HMg3ogjAUFzgEoGepvyxHtI1e3RQENXdeMp8ADPIH0CV9zRmSTkx5EL6otIdTbv98ReYGH1zaisC7Jpy9eLfJCwTekASWx/ZdDoC3RcMtP4iVYSrzncmdeNKJHloqjUtdCqD3baXgOJuqjaa1lOAtrxgurwpIT8zZsr6L6B2nIjyxENbmCcSXovUVn7BYgBV4Zab6+MFLdH7Jj6H5APrGVngCmk+dyMPLzIWJHkBMtxVfpoXyZdyYTKegPzYbV9AUXVcMdQHoF8GiIFSfuGgouhM/zSgxzgFwGWZmBRzVsgNgpmSMNtgYrQH4R9SX+TNRlqzQQ+Z33LZ5ON33UGCVFgBV2BGVWdPnTLjJfzO4pvmdgaNFGRAtIsCScqxVkDjxk8f9yEAm/h1wjgSXB+7Z5N3jr4bv2zqTz9jVVmsTyd+lVHzOQJX3CThudjSeY/r6gew9MB3kedhJdxlh7DvA5rGjDzllidmKuW/4Yv+La/EVcAvaib0ntOB9kQFtre6SVPXba+o9PcfQZwAtQpuGX2WZaOknjPk3esDSxGkKwnyMmY+AWZww88pDEJe/+QBKWlKqwXsGgJS/eRcAZcjvCgeGBoYE+HqHBBq9M/82NHQ58tlq/JX58iX58fqX29hl+V1iUtT0HntVdFKPvkleqvox5F9XVCpu4oa8ATK87KTNVP3AhzZTr8HfXZF8wCFSp1Zre2ti45WKKxhzGTB+dmaOVqL9i4tQPQFS9ZzHwHMADLYzE23GV/Kd4U3rFG6xk0CsbEcXUCzj1kT08TigqkrijmLUEUDVsBNe6IoXi4eYRVUou37Azkt0j+8ghh4AaG076v5kiwWgWNw+0FZH0rYHV9xuwNSzE973i6KZuzK40XwHVrUdcFF24jPRaDDfKhf1T7eT2jo0dWQLhm4GaDOpqIa0J6OmvxHML5p8dDb/XISWGLe03aQhfS6r9Wu0vZISeuk7QHJCjFZLfulFfqsln0+LTaUfpc88JMZoY7rRHzTarroY/e/SdGqVVp3aO0nXI8VLlRyjI90rLSFGl0CpqtR4tSoxKZUOcX1VKepY8k+kU63HbbAOytfKzswTYvgs5xreeFfhGlsJxPZ2Zu5ewi7Zcp64FBOXADFGZMO8oSxiDSsf0ViIoQsAqrYTn6NBKUHzGHTYlJov3kXTqXouhs4BqMaOPrLDahN2lWfxpZyBW2I6fFcrLiXO8pjKBI16F17V/UMBImgKFjQZoDo76TEl3v0085zQRF7teAweB+De5kZRFOYfA8C+0mAwChd/JAAH2BmLG8gBmOEA0Z9EGYpdkSEAGSr11lBfP1KHxnvrIOitw8lH/ZroX2iROit7c0V6UUXqeinxmuRk2vWIql6aWHUK6UYDsPr+8BePssvJFZlyafqyFjzbuH3Qqyp0Y7wPrujeQB5nxixQQlwagxYcuGlcwQPULFIxNAWgk+yMvkUuL197MpQFe4s8GVd5EqCmCQ2Bf8cpkVGrnGmZZLWrHhGYgAX2AOosO5RTmSOr1TD2jYL28XGbaIA4HrO7AXuenfDYDb87rOY7QywmdgHiYjtjBzpRdXZm4uQDnZ1wdXYE1HI7mlXJxJk6X9Sel9UWs9oAa42dmbQSnDzaiie2wAWNBuJGfbMYvczL+OZZM1bya8mWS4OvvauuVDTF7CbA3iryp3lPJYpBi7YuU+3BXxpKaoShDQG6005K1IQqwDdq8+Wti7t1JHx9r2iS4MNbEUxTtYc7qp5fR3382lhTLYAeFPkpeJTQKWoy6PFrZYeeWk4PKdTA0OoAPUoXYfDWM78IqwpD3nE7tEdRGRe4EmBO2QmjKTiBO5RpG7Bq5ajF/9ADZCFYWzBAz9mJ7+5CSaqBDBo2d4536DOa/RmAof4AvUSgxaEWBUtYX0a03pW77Kb8/uFKhQ/uLhWBeM1O+DyT3Ju9wHT0G47lsb5yQLtNaG4s3Zk9ygZtcZf82qZ1b03XVKWiFG6KkgB4QAsItie4AbQ4K2CD6Vu3zFHlJQUshguoAuITgb/N35lehJ9sC+ESegLupR26Pcf4QroA0xYQcKvNhLbPyLiXH2vLB7A34kGZj5Pl4ftuLizPA4jpYs+WH+bdeKILJjoD8aud+FQf6hyOrOAP85wtZ9OXnupTYqgDQDMEjcK/zmkHGvW5iTYYZw24P2YnNxRPtuRLbYGJ//2AhCV77rVC49ck/fnBkX79QBadCSQ7e8Hgwm/BZ/yA+kscGBd5bzIdB378QPK+A9TRXpz6hI68fmXQ9/XfXAytQFOfvmDoZ4C62otvR0Yrjo8M+lp15OlLG5rIkY6hHwCay97MFbL4jNY7vkLfYOJrIOa3p69dGnzDHE3Hr5jaIh9Od8ko85lMxy8x+wWwC9kLU/74E2rPeLVPMPExEItRovHXtLP7sg954n1MvAfE0vbm3pVAa/47PPEWJt4EYgUzDY+2Ca+zqvRxGt6vciMaQ7iGoVcB6mNvZmzDa+zLvMyLmHgBiIGEWMSYKeFrtnnQGQw6DaAwe3pfGdv7N8xSJw1fta1Mfl0wKjpSFZWki9PEqqLZu5SG28uO445+DKjV7KWHQ0xmz0lZRSCvhr2UVYTlHQRQLXvxyQc0J+xnzRG7vNDqDdPpXsc+DN0L0Eh74ZYMvwe1m6/FXZi4E4gN7aVziHoHJ9tULfe+7UzjY//kbnWsaMrDth9oOtwKxCb2ZnYm0KHTzYxaLSrPZLePdKzchHVuBGo0oRZGoRkjh3fX8+Vdi9WtAU4bcbPgvZ1VTFzfgiUq1BxC93ZWYnErANpB3Jn5+XoZL3MJJi4GYhd7+lqAYWpArv9CMO84e7wrMR/b8jyAdBO2BH9bxhxW2PPJQWHJo+k7W7OxtFlA7WEvzqFH1/vNYFA5h346hk4DaJI9t2tp/KDkFKi5nlK/m4QLPRFIqfZ0h4j5TgL3ejzfEGOxvYwBXF97Y/fsIsooVkb5nt2RGDUCUAPFYyk/5A/jxQ3BtTYYiMPscxRqwBcVMbXTjn/rGv8fDTUMwOz+wB5l</t>
  </si>
  <si>
    <t>b+blELyq7cur7Y2JvYA43l78zCe6kCqVyXw5ekfJC3NoLlQKhuoAOlk06/GObTKDFrbJ3e+rhsZCkzBUC9Dp9mZOuKNEqAQo+kzJKLtjo9QAcI69sVve5ZhaNybNwmJJ7rSL9NRkVyxNDaQF9vTZBpO5X3DqQl5jxcpuk+0Qp1Q7emK+C0bHAHqJPXqAPEfW1ImxW6s1sQOPfSAuWUfM7gDsFSJXl79VqB2Dytd1t8XQNgBdYy9YRyOZrRhx+InfjcY2puvolriLtgDiBjM+FMrdas6g9daWWtf2Ds3IaIZlNgXoFnthAhzu9Y3lCv1e9OuHXnQ+jMLQRgDdIc3bhgWJYIndgBGPrBmwL7H4FjI81cdlrwfE3ZLnYyTkhhyzSL6fR2BptQF0QNzWOMsjnKmrudEnvHogvW+jJobWAOgR0azDRwCqya7KeY+4ZS9pdKcqhlYB6Al7GrEMCAj2DfL2DTN5zKoSTLqn7PmLdENxZw8B6ll78SkC9L5eEJO6wtF6f4XNNOExEEsNAOhFe2PPkpVSSSdadXSOJEL9oHkuS2ORD5ZXEUjXeA/X6HE1LyjxDVpi9v6lUlEeI8sB8jZ1zvDJmOyvx5RhJZ1y9Juq/YSLxA5LYzssBbD7dIQzfWVL9nNlJRh6XnWfGtoTNHxZHFdiMUA/tjfzui+6ga4o1OVTqS4L44IXAuALe6M3cyH3oCBgXkmY/BiTDzBvhPMNf2QgDwDfScBcGOgBwHR7egaI9WUTu/BugPokoVxwnTkD6qt9Ts5woBI7AlUf63HAVHug/hT1EX6xaiu74f/9+md0dxpItsFQa4D+kbozC/eY2oCw5AcxC2yFFKQPHTkIIx78VvCf73wI6TtSlwlEOwdh7BwvETK+Q5F3xAQU8DtKt4J/YOh3gDo6iK8AQztYXxl0SJH2VsWqB9MQEoZ+BqirgzDawcdPPvJl/4CJ74GY20HQ3PzNw2+ZzGXFvjgdGNmAyHyDoa8Bmt9BWrrqoYIp8BUjnolesLl7gBOZ/l9+R43+AoiFRLXJP1f2jEH9xjdaML1QFSLzKZb5BKAqB3OONDp/8oivzQeYeB+IpRzoCGnUUTPuA95lYl8VG/A7JpxOM3cw+jagy4kaKtTQzfU+/00ZmvlkRvlIaqQ3MPQ6QL0dcuRYojHkKmOrHQ4Ft29CHcsrmH0Z2H4O4vPCON/6IlRugIOUEvUdp0QBMNhB+HIJzo07w1Q+alVvcLOWdEFxGqs8BdBKDoKlD/9o4gkG1TZ8W+bUWuq9HMfQYwCtJhpQ+JvHjzDooNiao2M70fyowxh6CKDhDvSkD4qdZhvfD/Amug9j9gImUlRgPkiwm2mrftbtzKDF9Or2fzB0F0AbOEi3b0H0y/gD5DtAXiOpkbfhjr4VSE1EHZ03ms1M3sXfwVFTOtLlyCYsbyNAox1ycHpGP8itZ9CpR94MabeAPkC+DkPXArQ1gbqyA0mGpJzVhq/btiW/VbXQalLJ5N4kRherTlA11+d70LSQmolqnSY2RqlYiS19BaA7OEgHUw3hIeObI8vgb+rkwLu+SzByMSC7iKqATyJeyKrg6NIX61LvFiZVsABXwXyAdnWgd/iZHO6yjh1zGThXwxtLE1bTrZI5GDwbwN0d8LkVwYpXdmNngnUlSNY1HdfCNOAmUTvN9opL1mAWkHpKpEmYNBFIqQ6mb5+WRY1nJZZvnx6H7X4s8Po40OQZaB8j2R6jGerW8uQOd1bqCGoURo0E1AAHM49ooI2B4Yz64XrPaiWL0qSHYbhJhgJ1iINgAc6vnQYzaJriR7dBFvTS8kEYOhCgI0STGp8K0Z9BG+3tMeTtLLqW6IehfQE6xiEnL87JNdsb2nuc1N5puL1TATrRwcwrn+j+Tx0AJ0vAZAxMAuA0B7rRjcKX2Z2DRFbkOdq9o6wGPidNnoCbvAfAZol6N/8YoIZBEzw6rezbhW5pxON67AbQeQ7CWwbx/d1qBp3WN9cX1RjqccRhaCxAF5kZitFdojEM+uK39YG9Y+kk3hlDOwF0mQjK22YHBt16qUH39rWpw9UeQ9sBdBVtINwjs69v2zDY97LtZ5eIG0oaqDVuoFYAWyeadfkd+RYM6t2hu+s/bT2IwmissDlANzkYz5VACpsymJwr0QQrbAywbXTOMVaHaH3WiNEsTx/I89mW7ho0xNIaAG2Xg/BeKb7E9Xi/JRIT6wBxn4Mw74xf9tXmieGYWBOIh0VWw690q7OCLz620NejAH1OsRqGVgXocYccJbOhWbEyY8vJbJUwOwzYpwm7BBvYBfsnIQzZ6kZd57DRR0irB+NWDwLkefG6yj9EdrcCGFT1qeWb0nvoKtUf6/QD6GUHM9dAyPbpAw11VRoqvfFQ6QW8G3SuhYYyedCyPNN3/vz5208cx5FCl8OFLgu8O+JC4wfiSzPoMZsjTUbOo4UuhQtdEqAPRFD+AEhxBv1SfmlFu4I0u6MYhqoA+kS4huKlFoGqfCZVZSFclZ4AfCk0IXwlFNP4bPSrSd83UhPKj2szHyDfSB3TyDvsxvyNPHzHzIVL7QHEdBo+kIkmr2F042EuWJ4zwL46CK7zRa6aIytwRKTO/Xtvep2vEhMdgJghclr4ydaOQaPWOuoyr1cmLW2Ly2wD0N8OXEKU8SiyFRT4r9TECtzEFkBSKMU3S6MzCH+/gbyVjQ+OWihdFfDnG5L3+5sBaqM041OidMtMRh2/4u2Q4ZJP+RNTM4DqoOTu8DcRDP1u4Dk4Kmmpv2LUF0C5KIWDOS71J6bvXQ/XE9/taNjyI4amA9RDKR7I8C1QIDK3JPLtN9Q0b4CXz1wtohyHf5nKY+mtc2UWoIulV1jlS6B6Ks0cFcNz7fNvXJ95iolPgKhSCnx9/m6MR0xmqfmOZe+up77+Qwx9ANCSSponAkERo1sR9xjMwuLy25bDrcOVirvfUB+8A7CySuGmE96xvsWg/jvz5EmqQ5ezN7HCGwD1EtkQ/6bkNQYtXqmJ1dVN1De9iqFXAOqrFF/fFCx3nEsMKl/fdBFDLwA0UEnvGTH6YKq8wpEH83MMXKlneP4pZysR8FkMPgPgUKU4EwC9SHqKQX99LXjt3mB3Aj2JoScAWkVJo/8s8cNU9P8Yb5pHcMMfBlZNWnK+OkVHYg4ykeX3BjSd3YLm0x3AIvcDOEIp7ZTJp1eyO9N7kXla1MyMvkymiD1Y5W6A1VOKnwwIkZdOuxh0kqJ17mal6NJpJ1a4A6CNlEKfmg/+b+MrcwsmbgZiM5FMfuNjI5M5on2/XdZ3aD/fgKHrAdpSNHjwd5isZdACWw+8vpdA1/RrMHQ1QNsqhZs+/Ji0ki/7ckxcBsROZiYMdIplCZM5ZU6/w/Fp1PtfjKGLABqrpEf1WBNBVHABL2genhzmwnfjlfRENUtC4k5UzwZAd2l2mWkASCeqZwAgUTQm8luV01iJVMWs9jarT1fBU3GJpgC0p1J8JQ0O0UwClSmSygm4mOMB2Es4B/IJ22OZzLc15ofMtX9BlkZjsMzRQO0nsmT+kryRDJqycHpK+dM0PWQEhg4H6CAl96aE8TjsUL5tB+NCDwLScKltmXfHte0AAIyUaq0fbtu+ABhDflcx6/lXM1s1vXllabiMqQCeqKTpjIbeitIZdYYv204mH3Bs3luT2k+tS4jRxikVybiISQCaphSkvSBViaz6a9yZUb+qG017ScCDaA8gzlKizakcPYGgYewS41alVliWQewlHhe7G7DnKcVP2qBtTzWDnu6UvklxnDrJcRgaC9BFoqmeP1Icw6D2R9VNO2ynaXSdMbQTQJeJh1OpVxugHRjU82Fu358daEJZewxtB9BV0ozMLNvUjNyGt6BWuJlaAmu9aCDl756NZgKtf+Qv6lObXqPdHAtsBtDNSunyfOP3a5iw9ya82igMbgTgHWYGikB5Cm3A1NpuSQs540qjXfUxtB5Ad0vdm6nlunckqNorde8I3L1rA+CAcJTlw6LhTNa2KjY9OgyqSzOzsKwaQD0iahk+0b0ag15+vtWz8HVa1qoYWgWgJ5TG0m5RJ6zEUHLabRi2nFBAnVGaSc7GC5dgvnUDsbgAIF4UdWt+FejHZDbSrq2gdqf3SfpiqA9ArxJoIex7ZBvTvHltFTCmPGBuKYXveqNcw7KA0+fplMa4UoC7r59HjV5UnDVuWwKADyUbLIYHcBUAn4jcB37ntQiru5cPEz9N6kTdh8JYZSGAvqADjYlLRwzdWMrFAoGvJIH5scB8wHpjZiWFum4eJnDcxXYRA6dQgbmxwFwA/aCkWbsmV1LZFwHuDN263Udt6YJ0OnDDaFdAfyboIsaMEbWMMxT8q1RwR1xwJYB+iB1/3lG3523RFkuzAeJvgS3yATsr3hYVGGcBOIWj2OVHvL9f2f6L9cxvLqnU5f/zFYecvkLIyVFgj/wZvEwGPRqep6aPjh6R+ImhGQB1cBSettQv8fXQ7wx6Zu3C8bX/0gDMNwz9ClBnR3oenM2myIv6/JVrjI9fUfOmw9c9HIUxWTnC/Z4p+uN/o+Y0KSb77isaWd8CMi9BFspeTGR4r0FZfkfplnGs7CVgPB2F0QC8RnrOtBV96q30OU973DNcW08BWtRR/HgZirI8ZtAFGVWbFnxCAyKPMPQhQEs4iv05tDK+z6C/uts8uzGEKr2HoXcBWsZReush2D8syDso0GQS8m0D0LacI5+JcRNX6g2gejmaueMZpRxdg1aqKLXSFQy8DEA/RzPPy6GA9EUABkjA8xh4DoDBou7MLyTPsMoMnn6+XevDUqIVrsxTAK3kSP0G6M5GglQnGKpn1bPNunant4Mcx9Z9DFDVxPpwauURBv3++l6Hq/H0pNhhrO8QQMMdhREGPkvoAN+v92HiXiBGOnJp+0bTuXeD7dSjtsPeFVEqduGW2QnIhuRTecJCQ0L9vQN8+QsZtgMpinzGph7xB/oqFVsxZQtQmop6IP8S+yZWf85pzrNmfqX1txGXdgNAWzgKD0Dyk9Q6vv7WYOJqILZ1FLqHfK9eyROXY+IyIHYSjRJ8DuUSVvBl6/I9VuSiVzMvxtBFAI11zNFV+rKDvACk6u9BmIepc4Ea7ygKk/A5DbMB2F3q1DNxo88AYKKjwHviG30aK/vNtICL4+fSxelUrHIKQHsKh55QfU6mYYaYBCpTJJUTsMrxAOzlKNxM5JcEY/k2H40ljgJif5Gx87v8I1i5Az9r10VXpr7JcAwdBtDBjsZej8yyWzcE5A2VCjwIF3ggkEY40r1OOWJoaq+zP1/Wvnhg7AOwsXTCCgj0Dw4O8fYLNTlh9YKhYnyWCSsVS0wB6iSpkbMknZtYg/fkZSbh2tMCcLqoG/IvXSWwJqnYZtyGBSvoXl0PDO0O0NmO5uO5hqVfPIM6BA25Gj6FQrthaFeAzncU+slo0zOO79RdMC4GcEsEOH4rqBPgilpSXAeMaw+4lcIxgr/6oC0AV0vG2Bq3dCsArnMU3m7CR9lb8E3dHEtsBsTN5nwTFO1tAsCtksQoLLERAHc4Ct4VkMfYBqyJ5XcF6uM+Uw+AuwVt4sedJ43kmzgCF7g24A4IvTveuMOZyBSNf1pVKxp0qYmpNYB6RFiNvG9SDWQek6qxCq7GygA8KTQdfgM1DICnJWAIBgYD8Jy4++FblANZsTs0HZeY6Ut9xgBcbH+AXhItAfmrTXwZtHMRXYJlcdqnfTC0IkCvmSk6Pj3txaiVSj0/sbQozd+ogKnlgXrLzJiGbmsty6CtvWfvLhVEd2PLYGhpgN5zNJaunCWtviQ0zwOpeYpjKy8GpMeidS8fRS7K5M2ZFjTuRz16IqEIllcYoM+FNcn7Z54ytViR0gXbUkeyIKYWAOq/1J/iG10ckcnH0C12py/uuZzuoObF6DyAfkfRolubs05nufgxzh1T3YD6iVBdWXqaYcvPBebYL+S37s1i4jQx2lQVmmudcDdyBNZ3+mnZiwaaA6/DDn/XFr77i5bO9NZ49nQLa1ZxRQJ/zsxzm/YZK1xES0D/J/k7bG/SuCFagEiFExX59wsyxD9fDCRrJ+FVC/xQ9usLV+yfX3BIB4gOTmZi58gKvwPQUZL49Quqxy8AdHESmTV/c8GnL1CFDxIU0+ovoGeCPmKZ6UD1cBJefcSH49/zBX+LiW+AmM+JvgHHhtxs4aJ/mTbytcqWvbeTOfAVJr0EkqeT8BAgzvR+zqDyIcBnGPoUoEXFBeZTIh/zBX6IiQ+AWNKJnrkICQ7z9fY37d3eM6BsSzvx3u0d3Nq3AVrOSZj0g8t+k5U9ptTkyKO785Ky38BKrwPU24l6KcxlNvWM+VWQ6kM+bw8XLSoVl7HSSwD1F9oln5xzgUmdueDz/Ya76Gsr57HUc0ANdpLe4tDH+EwuP84wHvnjUMcfscSWTuMOfgp4lZzMXMiFNxJO8M1+DCs8CsTqwnLzlxgfBmBNqYMfxBV5AIC1naRUH32Rje/q74OWqUM+617XcMm2PnajURNj2oPJu4Fcz0l85hHnIewCqQ0kqTswcDsAo4SDG+/ibwVgEwm4GQM3AbC5k3RJryGka2TK28Bauv3ko2mR3zuSll6PW3odoFo5GXu+VJ5e1qDx53FMZy19vnQ1buFVQGonrDZ+O34FlLKDVMpluJRLAdjZSXxYCb1BuZipXPRo2duniTQdZBFWuRCgcUI75Ddp5zOqx5g2HoUq0R2JeZg6F6jxTuLD56josxnUe16bNtG36Hw9C0NnAjTBKcslVYZXDaaDWWtp5dVVx6nj01LU9GniqbgepwCnp9TEzKvNliU+CTWxcvbryhVJE0/EiiYAKc1Mi6Cbvccx6I9lizQ7HehVK2MxdAxA+zqJrpmRZ8JRjNgpRlsjPZReMzMS2/QIIA4kRFeQCd7XMKi1weS3Lg3S1PFataqCKiqmmzpBqRiCa24wgIaZGazxSDCQyXO/6T70bw16Yn0ALnB/oI5yEh/XQLfg9GXQuQPtb3Y7V5VA+2Bob4COc+Lu/TN6sV4a9LoJUq9LwSAdgCY70YQdg7oc3RyZzEQGdx/idLEIPU2ehNlaYE83NxCiSSABxM6UxHbHDaQB4Bxaai5smz3/pRuA9JufamwycQBa6ERTVbLcbWHmzE8Xft7rjIvcCcDLKFhulxyBO/DgdhjcFsCrncRPH4bKVtSaNdDOtrk8UhvTUHArDG0J0PVO4tP56ALqaAY9s/l467WV6YKtOYY2A+hmJzOHvvC6uglf9ihMbATEHU7Gs9BRHTZAgxpkodfHTV8PYLvNrBRkS9cpIhn14dGb1rXe5yeFroMlRgB1v6h5+CLXYtD5537MPD2KhlLCMbQmQA8TaAEW5so2V1eHutPHtqpiRhVgnMhZ/0ZVWclI/w7D7FBgn3ESX9SOYqPBDFqmyaJgG2m9H4ShgQC9QKBu7I0huIjUH4bzS+TX+aI0yclJWlVEn2SdOiVFZXD1iIfni4cNH0BeFenk44XeTOf73NPfBR+ngRQvrLMCQG+K1l98nLkcgx7eYnvX3Ye6K2UxtAxA70qOuIm3H7PmoZSC9r8vDZklcNmLA/GRk+hmM3lUVzGNaVVWnZpmTVM8i+IOVASIz8wtadATpIVkam5te0vPB8SWPHHJCwL1lZOZx2LwJlJ+ftTIi4l5gPiOEIvKQ7Hx+EcuIH2Q6tAdl9gNSJ+chM8ToYimCz/5OGFhjoD7Tldv8mrLxAkqB0BlSMrsMMoWUL9Eww6/4WjNmkLeFbbCUEuA/ifqLv56l9kwa1vIXtDkuoO3dKHQ/z4j6N/PBqiVs7AO0fry92euDjMx7ifg7J1pWMEwrJk8XvrjM8g7qUp+cei6DZkVvn9GTfwNeE7OZkJc+CrgL5858/uEFX4Eoruz9KwwbhrRcZ8PTOoGj+ktypQIJDX5HoPfATiPsCbxcbQ3oFP/PMG/GPcKcAWdxeMY4r1gGjs2aDDqfhs6iD/H0GcALeIsvKEHj7hPGNR6pEPbugtpytZjDH0E0OLO4gsTgmRjf8Cg8oUJ9zH0HkBLO4uP06Cl3B0GvVrz0qoZL+mRktsYegug5Z25t1tMZVDegPbxcqbtcw2zrgLLx9mMEx0ghyAvA9BPAl78jGaECwAMdBZmJvIxvnO8qZ/BEk8DMUxch/iSp5OsDvfc/O+qxw66TjyBoccBWtVZeEKSl3mUl3kYEw8BMdxZGNzkbyM4</t>
  </si>
  <si>
    <t>wBP3YeJeIEY6m3lZAvt9u3niLkzcCcSGzpJHzrW2ictztrOqdOjisXhDt0dkbt2GoVsB2sRZnPGBDzlsBpXNJBPaiE1oAwBbOJu8Oiq6b7JaRd0exToDybYV+bRHI7Wum1rnIyVbpGjow1pKxRoMXw3wtqJuzl94ulLu5rnvHVk1mK50VuAqWA7QjlRxtuBuFsVLQXFnU4oXY8WLAB7rLEyA4df4C3gzmIflzgVivDki3vCczRNnYuIMICYSYmHUnYxEEafxnCl4opwMHJ2z+DXfANngJ7LW+asbszp6AXUOJmBx4wHaS9zkeA4aK08X9k12JX8oRKBjMHQ0QPsRaNmsD2iZdKZH8oUfbkBaU+QwQA6mXofx/o5QQ3jUIKxuIKBGEJQnXtNm7d79WUEtLIas+m/ub+KQ98NN0hdQY5zFsXbskPdm1Ou92i/83Pw5GTR6YYFpQJ3gTK/zMv6QnYlEohQG3/R+6dtHr+8TuA7DewJ8CoGX53wY8Tu8SbxPmIihCQCdSU0cTNP4FkF36OGzyWetmyXFxCkV8bhPdwPYPPIBV8jahFWoGr6+gPw2V3SMtpta208Tk6BWRaSkqnXaGKUiFtO6AG2xszgGiHaBOss+66ARn3+co7eXdMLl7QjQ5c45eWpQdjHbM/LvTn+eevahqSvtMLktkFebHdCQ4Na8ubfExBZA3CAaNvhQQXMm85rdlIxCt+kSvBmGNgXoFgLNQ/yOsOzvTTeGltpGPuNsuNOveWpMKt0HaoTbqCHQdjqjSIlpe0cVWp8pjem+9Mz5bpnE3uthpXWBvcfZ3Is3aCO5Dl+htTGxFhAPOosP1qC7AWsymQULVnl/pwNNnq+BodUBelQE5RO/qjLozSEHTzlH0phGFQytDNCTZrwPnMEbBkU/LXkfIbihggF4zsyKBU1BgUzlhA1jSr57SFcsAVilP0AviaB8/ryvbKAuNy5Pz6RPevlgaEWAXnPOydWyaJzzYuheReqv+HaHOjQVMLo8oG85C+Ml/JmMsrxFlcbEUkC878ydLzW1/10CetZD8nkHFqhTKorhxlIB9YmznGkt6FTyvFcEtBpenMNaPYH60syiCJt/AQD+K9lUPiwzLwDfitf//KZtbr46PbBEdyB+FC2B+bODrqzVA1QbPx+QzuG4YKgzQL8K+xKf6+kIKr9L5XbA5bYH4E/yu7ws+5gfQ22hpX+RD9k0T47REA/YGmOsAPNXHN1BLruCb17KkoNFnyBY5CLFTkw9y5H1zsXfn6D+TlfKlTHoFc37/4XBmQC2I2AvwTWT2fOtMgxsB9rYSsX3T6j43wDr5CK8ABfvG35hWodN9An6cKQ20foZa/0EUDcXUVvzt/6mg0oPSeV7rPIdAPO4CLNm0VGPN584d+tfrO8V4Aq60FQm1kjZIsovWEktLLbUfn/ELVypeI5Jz4BUxIWexWMLc7T3/eQT19Me4XI9hK+XkBrV+KlavIUpG8x9Jm3p2c6uBwb+IRP3PSztLrDLuJg50oH2wG+D2HJSI9zEYm8A0EsI5PvKNQBWlIBXMPAyAP0ErcpHgC8CTh8OPI8LfA5wwS50nSgvcYysE8/wjXLqE1qUnAROZRcTj1jIrXCctYL8iMUxDDsKsOq0jPJkJ7ip4jCv7SDGHQBcbReh74TznvcxjTvSG0REPafO6F5ccXsAWtfFxN2w8ljyD4PJd8Puwgp3AqwhLTAfUTPhg25nzEdvH4d42/ymUSAscCswm7iYea4DvyQH1dhMsryN2PI2ALAF+V1Rfmsx+3b8OiC1kkhrMGk1kNq6GD1nKJvKSlZK+ZzhClxzywHV0UV8WBjt7i5l0N53Nn0ocIOeVF2Cq24xQLu4iDc60Sn2hQwaubaz58DBND6xAEPnA7SrSCl/88hcBl2ZqT5+8BINZ8/B0NkA7e4ifGEZjy4zGfTloH7xJZKoac/A0OkA1QqGGH52mwqtrT8CMxnjJgEuhc7uppPFsw43E5jOEYdufHi2nl5NOB6DxwG4t7hGcbrJGAY9vLiYs2NF2kyjMXQUQPu7GAvUIH0j0DwHgZrh2DaHAWqwi5THJ4+JWVFDGOp72ULhKx6cJ6jBGDUIUMNdpIfLTO0uZV9ZDGDo5XfPzJo7jtZif1zgfoAe7SKM8OH9hj4M+jn1VM/0UrQWe2NoL4CON+MhoQhfKoMurte5w/GZ9KhFCobqADpZOJfyh4qTGTXZsnClK+9oKkcSpmqBOt1FuD/CR3MT+PmmOyZqgDjHRXpJB/wbU9tB3YA1Txoq1XiojAPWQtoX5ewawVTYhZfWGdtRJ8AtE49s+KRlB1aDLkVnzl30ULqFG5e3HUBXuQjzBqVYh8FnasOgz788evvoNr2irjWGtgLoOhcz71nj3ZsWfNmbY2IzIG4WDRd8jKsJkxm91e39rmQaR2iMoVEA3S4agPkr5xsyaK0/HjXHlaOpoQ0wtD5A/xEMwHwj1eV9vDoYFwG4/QRXXM6MMJlAXouvxZrYgmoA7IjerTD69HTWyHg1AB6TLLwKtvDKADwp7n/8IjeMlxiCyxsMxHPClRT/tksgAC9IEv2xRD8AXjbjZKANTx/WyPKNJBWxSm+AXjezMsBxrQqMeu76nZbFGlBqeUwtB9TbLuZen0Jnd8rwtVkKE0sC8YE0fZt8US6r01ucSf1xpYHrknH0UcJiGKwC8BOXbFeyGJaBRXhdhXCjeMLXX0pfZwMEutGlAP/1fPjreeHrb12MPQmYZYcwt4Fk+97FxA6hB4a7A/yjePDir2Vx5eU648pyAuI3F5oAExQSTGPfJs/VKEHvDxf+XI09lmkH0EzhEoFPCLVh7dpy59nc81X1SLtaY6lWQP1LqLkMoxd3zZoCCqoPM/z3Uf9t6Zq1vx8hFuRqJp0UBy5+f+SqLvMjzh0Cor2r+HY+5Hj/+AiFVOkKHelRh97O9x1DvwHUiUALwTmncJ1G3ZUMgymxOk0ytQta2i8Glq0L+WjzJrqkXpo4tY6+LJQA7aJK0T83lKJKSlbrYlLp+RXpkXXDj0la8hutKkar0mil/Sb6r0iFpsTGJKgrKhWfPqJW/QjS3F3pRigbUM2M0R/4Knz3EW2EvgVkXlfxxRQoKvKaVeGDEhO39GlH1y7/4ip8BdCCrmYyXdAw/QJUFnKlKp/hgj8FYFFX4flm/FLcY6ayc8enTkUK0rMfj7DKhwAtQVVm7comNkTv83V5FwPvALCsK3fdmqmF9C2edeMjmoyvA8vb1Ux0CeUqXgWgj1SFl3EVXgKgv6sww4UnXuAlnsPFPQvEEFGj8Cc/T7NGab9+fZ78tegt4Kcw9CRAK7vSABFnjyaa5Dhjvv6RNqx4/i/VlYpjmHkUmNVdhXeZ4cywwwwa4llj2QHpjdxDGHoQoLVEHYfPg9zPoHmnWmaUz0132PZh6F6ARhKoBzjxaNrcDSNOPfIB+yh1b1WbJPq+/S7c1DuB0tBVnAmHdsC2M2mL/j3pe2oqzeLahqVtBWgTcSViT2kzg5Z23HrBewDtgpswdCNAo13pTM+MEs3063kLXIsLuga+3kZsLCi4topJ8on/VWVuHWosK7GkFcDs4Gr0KTDZDVrGUPJTYEtxH14CqBh9a+rbAZVtEbRmrGv2Le0FuKTzAdXV1cyzq5K9GYx4Ll93s3E5ZwGxh3hIxakmM1iJr/z6d7NfCt3LnI6h0wCa5EpP47B0shydUpjCq52EwRMBnCqcUfiDwuOZ3F5tv3tNGk391HGYOhaofVzFr3qieNhoBo3Rljt4JpquG0dh6EiADnCVtrzwQlyUyzEcij9IGryH4uYfAsyhdGbJdplZth3dQWBYw+kwERTq6+crXWc2AEP7A3SUqzCLkl9Q9OVbqTcuei8gjjdHxLnXqTxRh4k9gThFNJTxo2wSa6Hbu9eu27+PPjagxdBEgM4QdyZ+S7cHL1ODifFAnOuagywoFAXvClD94j4OQ2MBukg8Y/NxkhheZidM7AjE5a5mlpC4fdrzxLaY2AaIa1yFyQv87aOteGILTIwG4kYzviO+LKUZADdLfacJNvPGANzmSt8EMwx0OToX2YhZ0ucpdwIvZtwhk0VDLLYBsHeJJkU+Hbceg7q1VicunEBdoLoYGgnQvdSYstSAaF0ewcg1NZPmTbkYRci1MbkWkA+KfBY+mb8mg75ybmxXZQQ921YDQ6sD9Kir+A1f5BhUZdB8ijxXNiyj3lUVDK0M0JOSb54lb82EIxjGm1UIBgYD8Jyr9PI7BAVMHNUJBNQFyaD8McoPUJddjV0/l+U4kg+Qrkokb2yaXkC6IXbU8H245VnVyen25bC8sgC94yo6JyabTWlGnHLgb7vxvzcTP6YU9mNKAvGBK34PNke3LBaH4j+Siq/CxS8K3KciF4Q/J1ZYtvFd9jZut+j0WwgX3xOgL80saNFZgwIMqj46P153ldp4fgzNB9A3ruJ3kdGYlIdBm1d9+Su6BvU+cmNoLoB+MDtbosQvd97IXTHRBYhfRPEQ3p9xYjJbTX/dznUsjYc4YqgSoD9EThJ/rsaeQSecjX0as5k+nmmHobYA/UXLXiIiKrpedJuoxtF1GreIqm0y9mUNZddHlyyxMSmAaOFGL0tgZc/mZv6XLm/u3R77T4184UrF33Sk7U+6gWTtJrwTAs+6vxh03IInP1vNoTspmRj6E6D2bmbeY0dn8X4YqA5KN1reb+movF8B6Owm3W+b/X5WFGn4nM4ZzUesLB1AHm7ozcwcZcu+B2xuSd9brO8NYPO5CbuMZNuG8v7LarGwwsq+/nR6Yu4V1voSoJ5ugrmG3094zqBbNuTvfCg3fe3iGYY+BWhRM+2NRuHHDOo13arXjSJ0xHiEoQ8BWsKNO7NqPIn9Pt8+d3FF3gFSWZE8fh/qFpN34LXl3o8bqDnexPJuANTLTZzFjTJ5rzHoyH/TO/s9o9kFVzH0CkB9CbQQvoQ4Wye8xBf4AsacB0yQm7F797Jc73oWSCGSDZ7GVXcKSJVE5gLxZn3LnmClVHdJqvrtNb199jiWdwyg1YQ9mT+9eARU1pBUHsIqDwKwFvmdd1ZfR5wDsJ+vx71Y6B7g1nUzk/uPtyr+4Yk7MXEHEBu5iZ80QWkZ21h9zj40slSFOnTC3oqhWwDalFoNrJ3QakkebzaBNn0uyoZ05KSsB0xL0XjDP4SzlmlbU7apZshGul27BmtbDdC2FJplmpLs0b9ihDaVOD7SjpK09l6Zzk1Sy3FTLwNeJ3Ffxg/+LmEi27Rrc05dhS5nF2ORiwAa6ybfpWIqI2EBr24eBs0FULybyXsG5Y2z2QaSbXc3ExtnM3HRZwA8UdQ+fK+Zxoq+refO0nFzaCrBVKx4CkB7uhnLw8FXJDGUnIczEdvPBEClEVRZk0v4rNxxvEmOwepGA7KfG7rpzHhHHsn0de3atcjWamqibwTWNxxgg8zYN1q7DWXQU4v3FS/9H52lhmCFgwE6zE14yTvvLg/kh4j+mNgPiKNFMvnjQX2YzEUXBk5bVYEme/fG0F4AHe8mjITwMlN5mTpM7AnEKdRw8OPtWRfVSUxcr4Or492v3iENo8UNkwioGW45eBNTDv30kOdoTy+nvKVov+6ONWoAPEc02vJZLd0YdNjGPCWSpPP8XTFUDdAFbtJjWbCFyO3ixkLNLZJmq5h0tIvbGQBLxXaIN5Y7MlU7ZnTbd2VBEFHVAatqD9CVbsZu+Mgy5bcFeaslea3xMNMKSOtEUz7v2LRg8r6+G3Pl0yIa1o7G8poDdBOBlmARGcHdK00ZsvZ/1pdafHpIrKYJtprGgNzmJj2MrV9VCVbpjRixS+PYne0GOpJlS0NMbADEXXo/Xk/MUZyrHmP/k/z40fD8ljQkhSsgEth73cTX+KN5K4JB4yL+Jj22oINPbQytBdCDBOqOkpcM973V5PtvddzM1eC7x9xE74rLva0KUxO/vXvKkMyhpEEq4+qrBMRTIrvmNxhCGVR+kzAEFzEYoOfcpNvJ+CW+mbO3gXz5/THYD8CX3Ywc2UAQHybRwiLweKne9MhGRUzyBtJ1N2FGGopgVgBh+gM/5TCuLODuuAkfIuG3hUvzRS2JiSWA+NBNGNTAd6UXY6XeFFNnyvM3NKihwtCiAH0qgvJ5X4UZNPjyxsTXg+jh90IY6gnQl27c/r+pXZoC4EH9Sz5vD6delYp82NLzAvStaEDjN69zM6XDK80aXqNbM6I0F1bqAdB0KXhgZEJFwQM3vnFcMMgZQF/Fq3wc1XBk6noXKz3fIoOu8pUY6gDQDDOLU5Skb8egDi031Nq/iJ6EtsVQG4D+dsvRxeby0GElDx2umhmOK+mcaonRCkBbuJPahPuDTSwP/vtgaHRL8uH8TdK6JGhiDTfa9h3Q0TDP6ZSKPx+QEfz+YPgbbNzNnLxFblWm4W9ysHOn7ZaBgT8AqCS/82YzWo5Cut8+QH2sflDtQO4l96orFV8/oPr4AnAXd24Bbzz28ekDZ17pWOYHIOVyN5MXjmJx75i+hkV841URdIPlLdb3Bqj53MVhdwT9l0G9K+isruaiI8orDH0JUE+hVP4JlOeMWiagQfCQRTSY/wxTnwK1qJCa5RZvqNFiUsM/xDX6AIAl3cXLCJRGcI+pjMo/9fv2hnSZfBervAPQsu7m3kZHO8m3+Ia/gYnXgehNuxSzT+MWdBW6lI87nxJ5GZf8EiD93cUPdKNg0AVW8sq+q2eHh1Mf5jzWeQ6gwSIof3r5DINOb5TxZaYLDc6dxtBTAK3kLry2DZ/bOMGgj/orei+qRnfUjmPoMYBWc8/JU+J66hFoohqSJR3C9XkQgLXMGDw+fLcfgBEScC8G7gFgXXfBnMy/zPcPK7bGdv26oy9phtEuXOydAG0o6uv8XdTbGTRtVJ1mlX/SiX4bhm4FaBN34flb9ELBZii4Pk6wEeM2AK6Fu3RGEO+wcJF3eU5axySGBNU5eSaXNZG4FjPXALMNYbobJKJEslWgRx8HWoEbYjl8t6O79Pwz353NeK1L+V69GItaBOBYd7MxFoRcwGudh5FzARnvLj4phg77z2aVF66t5NIojt76NgtDZwI0QdC+/Kmh6bzGqRg3BXA93aVjzSavd8keFprEpHo8vdKgev48ROpEzJ4A7DT9QJl9AEKe3DgQ2VvqfWNwo48GUD9RRfJvyY1k6oZUOuT8vT2dGEZgdcMBOshd2iqHELTxiOJQGMeHuJuIKA7GigcBfLhoKuMHtAFM8fsuRVNCvlLfsz9W3A+go91pRiKzfdR1+vAW3gtrSoOvT6BNbdzLNHXVEpPmnGjb6NzRH/SqJSytJ7CniEcdNH8lgVR9elEixiUAbqZo6uLPInVnGmesTEu63pD2HA2GxgN0Lm1CCIahlMeu0Mbz3bOnPMbhqowF1CJ3KZ5h7GCkiQtHYpjMV16xgw93/UuqsjOW2QnYy8z5lWjPrwOjHg56eH/rQupXtsfUdkBdJepC/M3ebRi0WOSAS8Pc6aXzrTG0FUDXcZ4QXqrIBW/BaOSrXpfnrjiiVER/QFGO5kDbZMYJQlHkpgza7LDL8rztqb/SBEtsDNBt7jm6bwkZfSPG3miX/mhAZXrfUkPMbgDsXXQE4aNa2TPq64G975YGuEhsT3WAtM+dXrJl+saQrCH+2gA9IEHDMbQmQA+7m7m8B4c7qvMjSFVc4CpAPOEub4cZHy8r8XNOKBYWApizgsGCf747iHdRArAqf8Bdcjd3qy7KVfHly1kRE72BeN3ceglNOBUAeFNqinK4xGUBeMddeM0onyxampdYEkssAcSH+sHcZCJe9o5YjNl1hjpsdnpzOs+oMLsosJ+Kp1sp3GjQWphBRy6tn++TL41TF8JQT4C+FHvQuHcXYNCdfYfkf3yb7nfnx9B8AH0jdoZQ6DcPb0m5MM4DcOlmhl48j7kxkcN/T4v+Ih0bccVUF6B+caevuEPnFsTTnUDjN8mUlNiUHICWIQy38B6+HQAzJaANBloD8I9o2OUbxpKVufTCM3s+a2i6hQKX2QKgCg8Li+Iw7Api4H/fA/HcjSPH22wqF65U/HmPZoff7yHM5CHevENXlWYyqJWbfV631nTz7ud7JDMDoA4eNB+e28YSZbN+Z+CkFpWXLdxILw34hsFfAezsIfZYURL3ZwatcfBzgzzt6KbbJwz9CFB3D+ElPOg43If3XDj8Hca9BVxe</t>
  </si>
  <si>
    <t>DzOvZ6G1/GsA5vegwFfvkSW9BOD/w9hZx1W5NHFcDBRsujmUWCiChN157a6rIiCiCErY3d3d3R2v3d2t2IXd1+732Ycz+/wWztnDP/fj/ZxzvszO7s7Ozs7OOsu6SJw9KbzRh2v32TBuDLta/BilfERQdyv27iE/pqCTmAdvBCN5DwW6S7/1lihMjKXdfiOsWzdRlGTCFbJikWm+YzD4HM51AhVRFXUVQVcIVMxKzaoxfPRieNd1SWzvBeSeJ24gm3WgK2NX7s+KsNM44U4RLNSKRUoNGRrwbk4QqbTa3GPYDUeJVM5KekQuTt7DomwHsaEHiFiZ9YShywIg2j4RtAdBuwlUw0r+CgEsyzv5kN28wnP25SGOypDdgdD/EfQfK/bcZhrHSxZN2CaKugWpm4naQKHa8UqIYhG9jXqAeSPlS9lqh3ULU3am67Ez1hGmqZXU3ONZ4hreYu3C4WqUbRVBW7KBp/WH0YG3QmzoMhx4SwnWlg083lAjZxaLqcXtraRnFgtRCQvoT4QrP8oXEhSkGCu/EqFUeHceMSPZYK4aGRMTmRgfFqvsAucgZTZROllBSbgM7S1mco3GblqU8izpk7K3mIEanU7sGBMDEy7ETuXQ5yPntP7fAGulm6YgdDJBu1nJi3Ph6dVE6qp4dWaPRw2MI2CSFcsi0q+fhiPhY0ipPa3ESPgoJI4kYh8rIXVYv8vQd6yuVoSamETIfgzJ60pamg1F5BBCDrSSv/8Oa/EgzXMoU6rpqkosuD4QVTmAoEOtoAy0YYe7H4eVDFwa5rvrUiVLs7444vsQbKQCs6UrceLM7kVtHa18J3uV+LiwxOgwS7Me2NIk4oyzYm/U6YWilTKBCBPYStqkei2lg+Bav6VZd2R1I9Zk5dvWfKxArCmWeFOZ9qt0CouPiUtMjLQ0i0FOF+LMsMpQgBH0Fs31dqNgZN5n722UTuiEnRBF7DkK2ytNCqTBqgiR4vIejpJ2INpCmWUUx0l7LmKl5SnfPzdgzn87FLEtQZdaSS9SiImubUTz2AqJLYm4ysrEDUFcTZuLxKZIbELE9QrRRVvpDTi+jQizUTUGDVB/9QmzxUpa8QJjnnW5/pbtuBzRsA/zeeugbP8Q9H+yySuWq6nFoW0Kdjo95B2rE1YToTUIuputMAbtIPgP1ajNe9U2V8E2VybSAeZhaiklkkJZFcWeKI+GoBzhjlqx0w3uKWXojnIZEVwKWxxK4FNWJkrD4KAJFoklkRhIxPPMyUnr1MmcnBIitThSixH1ikL1CFKwof5+pQKM3ropSjboWppFpTD2UiGiJstnNp4G+vJBFGT+vMXvMmxmF0BRfQh6RwYVk4a9ODTOueJ9T0eWCeKJUA+CPpDvWCD0607qTN3iuSLOhXBPrDJwqTLV2XPiMn691sD/9UZ2cOKIUAeCvpBt88TKNnaanVxfvHKFkuzCmS1CbQj6xkpyFiqGKq04tOzVzk4rfZik+RGaj6AfrDJ04gHxiDycnXXemWs2dt8UBy03snMR+zMzmum7HwyIJfXQV9WA5MChmZ0wP9S9gtEM3fSpP9m4hBNmbh1X7jJrfVaUMAuh/1gZfPxDQ5lxlFZTMhPapb+v9ajM1uDnGV61f78m2JeCbWZ6RbBsxl+vAfaTYObWsqAdRhe/vxbOir6+hmZ+IVxOa+lFGkz6/cRl3PZ2UvizLuwO4EeE/kfQvNYmHjOCzL73JGV+aybl29fQz28IaGMtr8MKG81XXMpMxV8/KL+XJXe9RClfENTBWuoKiJHvZ68F+/sEiSlEdLVm0RYeqCYf8pH42wfYxPv0W09rdhqk92KNbNvu6kHm3sqXHRX73iMsMdLQvu02/olb9Cd8rdVsBOxrI/cAk7kSL1c+f/tP9CVlIt/AJl8nZhHrdIcaaZK7r74WvMfLKNolwvhbS9OQ8cjgApdtb6DVzacTWHz7PMp2jqAlrTP2PA40/AyH+zcYmXuOC3sM8zTCTxE81FooGGrsAOuE2PfHcE4fJVY5a2ZpDb5BYcTSHuZyXrqQr2rRYu8VOQ+hnAeJXYmNK0OHJyDkflHIvQjaQ6Dq1tI0alwNd3HphoRVWmZdmaVR70ToDoLWllgz0T/d/lpYsbcibgvh6lvLgrKBqUC9odjEhRy6r3nHjheeKirciNQNRG0ss5Fi0GedBuWJumsRuoagza3VPG+CpjvOWKXZsUyZDp5LGqWsCCuRtIJIrWVzRwwcL+NQrdbAUoQuIWg7BWrHYzzirnoRmaEw5UvZK0fGREUndbU0W4Azez6BIqRrgXjLfC71cUd1LZiNwFkEjLaWH4UFaEZ7Bm9u9OlHE4qFsxOX6djcaQTtKltgxG3mFA7NP+HtwMbezIWYjNBJBO0ug4qSTuDQg56Hrm/bySL64xE6jqBJ1tLDUFHWMeLEHoXEkUTsYy2/ugjpIsO5mHdzfba9Mo7Z3mEIHUrQAdYmtkyYazVYFHMgEgcQcai1/KQNtNmPi1lw1JW1f/7H+r0vQvsQdKSsi8RDjl7aurPyic7lCuuingjtQdCxJnwqKHmdyKG+/xypuqBOfgWagNB4gk60loZCxKBmN1GhsUjsSsRp0pkpvknXhYAz1JkZjTOzEwFnK5/pyBClefBXM2wdeZNLBk49mDfTwUOWZpG4LEYQb761tIoIZjR34ND6KUeOJxVkNQHCsNXtCbpYPtPx1Lsth7rPGJN07BRzJf9FaBuCLrcWsuEMH0K1EjulBba5OZHWyFZZsXhbUy6e118Lv5Gb2St0TVC8xgTdIIOKR5UNObRlr++/vuVjN/saILQ+QbdYCzf7DLe5rtjmf7DNtYm0g7lSGsnYTeeaxNqljsHqKFU1Yu2VzT3Ro6jCmzo7qaZLzhgWV6iM0EoEPahAbTQBIZxbQWxfOZwXZennx0xNNNjzlybgCbWRoQgMIeBp2RIo5noF8UYWsrCceiKAxeRLYiMDCXreGqppZcgJLcHZH3+Zl/3b+pbiQfkjuzixL1vL7kRq7rcfJ25uEBcTMZzdiSyKY6YIEa+z0WfQ0wO/thApM1lVpi8qswCRbltLb0qLNWi9xf72xNZ6EPGBbLqVEmqZuPMGb5w3s0RFp/JK97gh1JWgKWySaIeExvYbzqKAjqg8B2K9UPcEBm51AMhOBNmgUNYEemutPgrDQ8HpOjQ/eLEHRz5Z9ljxYvMhKi+h/rMWam8ZPg7LLQqVEzvUkkhfrTN2XVYbyDm4lNp12ewopTmxf1pn7DxGY2fl7IvBG8u2LMcSvrMgOzOx/zJlgplIF6vORK03s2Gt//MKWv/7lZ6S1UYaAwXf4+crIT70/RXm+BDOwkZaakSMLX55JXTPJyR+JGIehZiXLDSFSD7of2meT/k0f+2w2MgYpcfju8WlltS2NHuHjX1LLGtJY8XiXa/Fxr5E0V4QzsFGftYJlY2evaJu7fmq/4qty1ni9FOEPiGoi02Gsp2hnx9zdsCsuTfi9rCnzx4h+yGxdaz9osBGAhv3OfNO11YHHQ4mK8x7yLxLTG8bo0X2tSJ4t0mdBdShePMVmJlkIhWyke9/YJm6zsVrfeXZgkNhzLm+huJdJaifAvUoqdjBkiWMnZozAS/TgCpuk+YKGQ6kC0QNsGEZd/rNhWSBOsflXGXx5mj5Or8Ve3YWG3+GiME2shw+zR0+xYmTVj4r+uJ0QWXJO4nEE0QsbSPPq8X8g2Ocqlsx8UHeKmzZP4r6PELU8jbs9FxfFF/c5x8iHVa00R6XPID620+UKjbyTXmI5qrv5aL5vjt0pVRp5lXvQdF2E7SGjXzHB9CdHOpo/iDn+0os2WYHQv9H0H9sWJy1VGBAqF+QsTjrNmp4XRt5nHULKmMz/YkGNuoBKT63kn6h3kgzqJE6g9YjaR2RmtpIi+Ri2b81XANWo+MmOw9moZ3VqIFVBG1poxavTp2WcJNjBbW6tU36mxzLUL6lhGor6yExFLGYy+c/d2D1oJtOinyLUL6FBO1gw45x04QOTJjM+eLKMxfBcwgcxbo+XRUkMTtmFikhmtmNgMDAYP8gP/9SlmYzUAHTCRmjfMvVUIWmVDUw4lQSTX+RDEWbRJzubJk1dms7rVs7gYgJ6tAZh5KNJWIPGxN1xVPDlqnmYrSovpEo4wgi9rUxFXmCHI9hInEIEgcTcRDrECF1Iv0OciCBhqiN7Y+N7Ueg4SbGISzcffg4rGLWo3UrK7Zw90bpehF0tE2aG0/6PV8PGiJjlS9kr5QYExabGGZploiSJRBkgo3hSlGwAnTnEmmVorrhChBHsCk20jspYh5CV7EHumAbOxNxpo16imEwKRe23p2INVvthI7IiiTWPBtptUWMQ4fzJmvVFjsgNIygi2xMPCmGtWTbiU3+F4ltiLjchl0ooGVUsjK34kJOjas76n7bQ0q/tMR+aUHI1TbqVabUTjZm8JtxXKOdCxpe6rJCwTVFXBPCrTe10EOpo0acemj3ocKRvcopmmyI7W5A1M028nIjsJrW0xxQq/z9fzZipxh1EVqHoNttMlASX9sM1aYO2qGOo5o4ZWoQc7ds0VMmcwltO16NC9q346BcN/OwRa8qClqFoPttMpbMoHV/Jc4+H/pv/EEnlsxQEdkViH1YplnR+pTj0MFtHU8+TWZX78oitAxBj9uwDCEjq6ChDKFS4uAPQWowUc/Y6DOEQkr5Bfob9Z5Lkok7l8Z7DsAeK0HUizLvT6wIW5wrIKn5/WE+5dgJQjEU1Y+gV+W+D97/LsKhcwdkWp97AisrWBihhQiarHrlekklfr4vJ0a83To0zxsbxSsvgJPVh4h3ZFZPPHH04lDnDz0WVinJXovxRDE9CPpAtp6Ju3h3DvUrceLvoeLMnXZDqCtBU9hSBFEfA2PIWRxDjthiB+K8kJonMW3CjktX7OS2afljWDkHW5TOhqhvbNQQYWp3S+48WXFiEbsGzetF5Fd6Jj/KmY+IH2wy9pA85C9R8z+q5ikXDvachP0iepEG77FYEOibCsqOLTYn0E+52cC8uqy80TFLx7vrLFgBiywIzUzQvzbS2yJivCaT2N1/XgLx90sKKNmqpzqp2wWjdxN+voRAX0Ly92fK6vbjJXTLd+LlsJU+FifWev76UpDwM0r4iYi5bU0/r57qd/xHuFRf/D3i3hHOylYaBcIUqze81X0OJH2b2p31y2uEviKona30XAcTXF5waImxdedNdWE3yJ8j9BlBnWwzcPEZOukJNd/FljX/8UsY348I6m4rr7MIVakfcEmHz128o0tp5kvfR0nvEdRLgdppuxGhOOUdkspHleqWHqAWp7xJgIK28lLe8Gb4DS7V9vpd5g2azQ7or6NU1whaVAYVa/xc4dA65/semRHPFu7LCL1EUH9bfFMhQ1lHF0gDAaoGzmG/nCVukK20FJN4WH1anDcnUdITRCxtqzpvxh6oTjt6jnEVhHyz7VPYkl2BPorgIwQur4BdMXcyfeXnQ2AvLr5qNjSrYsYPor04QLDKsukonvvv49At433zzPzAthV7UcI9BK0u7/nUbPtUD3sXh9rHNB6oO86m406E7iBobVv5BSG0HNupg+qoXb4Vu3wLAetLDJu42dskGrYNKN96wjWRyic+H7eWt7ro8qefHN9XUFq9BqmridrCxCQK1aRcyaEefW7trTiNqXIFQpcTtI2t6avFMDSXcvCoSwU6fHrCrhYvQfBiAre3VcN/6V1V2KktJGV2UPtmPvbNPAJF2kr8FRBtDhet3tv2c14+Y/U6Z+NAn0XEaFt5EjcmNnFoq2pD3lVtzsLl07G90wjaVYE6GwtQMfmmiCNnElImEiXeVl7HSts1jeeSuftfP5yyKosi2ThkjiVmD1t5LUiIbY7m0CvZJ31zSWb5PKMQOpKgfWRQMVgwnENPD7j/XfdZrXWE0KEEHSBbEcUMtsEcuvR956F1irHL84MQOpCgQ2QOgXg40p9Dw1a8LX6yP9sz9UNoX4KOkBoMTB7pTd2emk7ZE3E9CDdWajAC9IWqU13URAKOVydNPE6a7gScJBvi4iWnON5oi2SfI74rWaNjUcquBJ1mwrWC8oxdODTY+d2ilnWrKNDOCI0m6CyJJsUqslHUcPfMrOGRiIsg3Hw2DbmMldPXpOnAJdvh1nXbn4S7iv8chmaiPaEW20qfehMDu21FP6ANCteaiCuYTTQUVgSb2FIENUdQMwKtlU9prGvehLf3YJXgis+Ls6W6MUIbEXSjbQbeMtf2cA04uIpltqibmZmXUh/B9Qi81dZEPBvlrSO2vzYSaxFxp61QXi9DF9BqiOBqCK5K4H22JmoAYOi9skisiMQKRDwsndqi/SnHVdqi3fwLm9xqsqAVUssQ9bitifua6LOUEuUMQWIwEc/IvD9lrJfQbG9JLmbZbsubTWvGcgADERpA0Au2LHUtICTQP0ixQ0YOAf31OPNLyrdzaGd+xdCy+RHyqq36XoUW50+7MBbh0rWZeDipxpe2ygQvjBO8EKGSTcwisOK+HPq1Y7+IbIXYLCqATfYh6B1biH9maGB6cbbb25Mdvvn+V8HSzBPZHsR+YAs3+TNUcdidsxefbp93X3+W4eCGbFdip8h3PeKIchZHlCMSHYj4wlaofmHwFNCO+v6V8mULnm1gaWaDnW9NyLdsPEFpdIMHWflF4fJi3+ch0kcTK25qea/UxSwXAT+rK64limZBwG+y+SOeIGfnnVJoyug6Vyszh8gcVZiNoL/kS5CYMpdFbLcZEjMR0cxOTSTTCgKknT5/XpBw3cudbtSx8xFl+vx+ASr89UKPymZnojAPRKN/6KkW2e2YbN9egAq/EtDSTh4QgSjBZy6l+4ddZev5soDIpxeYBUXQPHbq9UIuZbop8oGjlN8dmbf6mNLg94h6RygrO/lrIpBd+oZD3xf/tfhcUWYvXiP0FUHt7FgxHJ4FZDTu9+KF0LvPsEueEszZTl6bEBzoFC5hy3bVrgdHMg0+RgkfEdTdzvCtShDuAYdptyrvo4T3COZlx7IrqTuMtvYOB+6uNe621cqFCvA2Am8R0FfWKeLbqckcejvy1aBB2Vge8g1s8nWCFrGTn4wFaLPuKoeOy60bML0MOxm7gtDLBC0unS/iweBFTt2/I/u6yrlZwboLSD1P1EA7+bEI3O8+y6Fdv07tGt+VQc8g9DRBQ+zkdaThjeOTHPr7xLaWo52YMTuB0OMELSNtvyjqURrt5VR7cRjtxSECVpRJKbosB7QB+n7IhTx1WbGO/SjlPoJWtWPVa/kSA+kIe8QZuAtl2kk/r2WXwVcBNEf6f1w27VWA7SjbNoLXlWpQvES8hVNvjF20ZNRUB6XFm5G6iagNFaqOU42dqm+g1jdWe2Qdtn4toZrZSevrgvlZTbjUzdxKlGwF4VrbmahHiWeTy8TuWYLExURsL5stYuhnIVdgDoudn52asbuVCxA6n6ARchMkXLzj0DCfiTUO77RToHMQOpugndR1ge9EjFrKmWKzp6ORnEawrjIJxYyRKdpymLj5S6A3OzudjBJOImh31tniftFI2H2CxnTvf7/PJjOFOR6Z44iZJF9iMfNyDIcev/twUtMBrATGaISOImhvWaeL76uP4FCP7FPzrOvCAqfDETqMoP0lQ10Mqg2hHkqNAA1C3EDCDWHrYrpk4HQP3/TXs8yHKd/PQdmklmZ9cTr2IehIE6MdFpxevOG+NT5FBc9iZrwnStqDoGPtpLlRaV6SE0dnPBK7E3GSnfTWFF4liuNi1tzXZElTmzIsWIXQrgSdZpehisrgCHbh7F/fPjZolsAqKndGdjSxZ9kJ1zoMhnujqOVzVHsZiaAIAs23M7WNB/++g6jL9khsR8QldqYej4Lr4/+KxNZIbEXElWygayNTEoFvIeKaoSlqSrh1shkuXpFrzDvkwoe/eRPWMn+tEcrYkKCbsLMztOjW5+zgzoNynXd7q3R2PWTXJfY2uU+NB6L/cKhL5WuBN31ZikhthNYi6E6Zgym6QjU49Ob7LD2iGzCvrTpCqxF0r2y6i9c4q3Boys3NDVp1YtO9MkIrEfSgnbHi6ZoyK+AWSl88vTz2fjmiHZW5bOJN2DKaY51y5KrNQJZrVBpFLEXQkwq0oDbmTST1hoijNEiPzMqQJQl5zs5EYRXIGQkg4AV1pvujKS5OwMt2ah0eUGPaPZQfKvFkVPENihKLohKLEOu6bESK</t>
  </si>
  <si>
    <t>KQ6FOFRLwi2ISvQl6C3Wz4bukIDqfKild9SWemFLPQl0X9jhGc1809FK9tBOzHxzQ6orUVNMmA04R3bmbe7ts9nu5QE2YZywzY4EfW6nvrat+ZfpTJq9OFhsEWNDmDfqYEmzIhrJn7cSgfkQmJeA/0n9fPGtsty8tfmv5x/8pyLzWHIhNSdRv8gXbrG6j4UoZ3YkmhPxp2zhFks9Z+Vi2jasOm55fX+WWIXQzAT9K4sCiZc6M3FowcTW3pfGs1q3f58D9M9zPTSLvTRzKUQT9NdzYWPyA3HfCZdDwVmRGYMt4lf9j80tlS/kahzeKTo2gtVnjYq2NPv8HMb1JyLlVr5Y2Oh7Pulz2P97LjiT71G8dwS1spffg0aP6g0BbewZ8BVK+ZKA9vby6zHgQT9/zuMB5j3OdzrCzPYzlPIpQZ3t5QUCIJyWwqGrb0y5+GocK8T4GKGPCOpuz5KCJEWNDQSvngtD/R5y7xLX214WLxZfwbpNwAKqSm+iSpMJWMjeRH1MvNNzXRTxKop4hYjFVBH1g9LEIniJgP6qiBdQxPMEDLQX3FyDAfyzNOKDlC/nKBUaEhrgF+hvaXYaiaeIGGpv4l4FNvqE2Ohj2OijRCwnG0Qhqa9n6jf0h/kgqvXTefCvNSyX4xBCDxK0kr30pro44PeLYu5F4h4iVreXh7bBzd/FxfSuuj2l5KlKLA0KoTsIWluBOnLbkW7t2k6CpSacbEXGFmLUt8ckugy5zpuI21AdOxuwp9cTt4k9y6pPsw+RZRatFdW4GqVdRdSWEjMuanGF2PhliFtKuLb2GaqMDW1fzDvH6V5Y+UqjWGXsRcheSOwO8h5HT3c+h+7Ot2TVqzhWm2YeQucStKO99JI4RXJSx/tsUaMzkTiDiF3s5QEXuAEzjYvZZGPm9U/vse3YVIROIWicfLWFFXySuJxNQNx4wiXam06fhCVyLJfzZbnZJZb0Z4kJYxA8msC97CF90nAhhJFk3/rYi27qcBz2w4jYX7pMiLWDhlDbB6rzaBACBxJwiIE5DpG1/qK30heb2YcYI+2lzz9jH/fiujuv+13h3HD2WGtPhPYg6FgZVDS8iRy6bGAjK4czLJKagNB4gk6UWXPxELUbh17+8efB5vcsbSkOobEEnWrP6kbDIWo6SxkjzpTOiIkmzCypUyVmBUcRcI7atZHYtREEnM9MpL5rM/TYfAexs9ujmO2IukQqplh36V8CLlPFbI1itiLgSnv5izaQpt6C98nZgTczP+7Acrebo5TNCLqWWQhx9BiJyjXhzHEefsOetmGBmsbIbETMjXInFdPTGmgjctvyywcCWJC7PkLrEXSrvVB8ieKyWsSPyViH9Lhd1WNt1GMtIu2Url1YqbUG4VJLaFRDwaoSbp/U0oieVGUCHlDlq4jyVSDgYXvhyWnDD6eVI3N41N7IQ5NlEF6a4CfspXdRRMMYKk7HYGx/EBHPmnD8IMwZyHv74H/PKp3tV0vp7QCEliDoRQVqo+kA7uwXF2Xyw1YWpZ9fs2dpaTyekKHsn8IiuCDK5UvgW+ocFDvbyFmLD2/sk6V5S39rcl+ZL94I9SLoPdnEFpPUPTj00vRqM9oUZBZch1B3gj6SdUugfpukf5RNc3R7fs/6rLr6KBtCnQn61NRYh0wTR9Lnc3Ws22NH2RHwFfN6026+5LtEG7GfrFDQ/MR9L9/fiMM8r0jMjcRcRPwsX2bxCqAl1+eCwc493t9nnWSB0BwE/W4vLUSJ6Q3mHPrDr+Ma6wcsbpMNoVkJ+ps5U2KZurQ6zCy2ONNziG7+fabnZHaQdzaGXn8/0wOzOjDgz2fQ2T8ImN3BSPED8Ou/EchCBX1B0GcC5XIw4QFA3fuPBMyjAj8g8D0B8zvIc1cgzeLtM+qHOR2ed3hRkjnfb55BP7wmqK2DqT0CnAO8fCb0yHMkPiOik0IsYjwxOP1cecKFHWY2cO6VGcw3S0H0Y0K7STtbjFQ9JFl1qkrvo0rvEdDLQbrKQqLxHcKl7hBvoXw3CVfQIQPPQaaq8gZv9KN6L+p+/83Oo68j9BpBizpI4vfi/ugKhwYkPS0zRk0VvIzQSwT1d2Cpkfy2rOHdzAWxu8+hCs8SKchBraSR6kcZ5pzWc8xDHMRd0UkkniBiabkWMUfrGG/w2o1Vst6wZA0+ig0+QtDyDup1WX15M2NFUA9xnvKfA22/hleyNDv4DOzOAeJVdjCemQbr6z4O1DLT9iJwDwGrOxit0gpzZRfnaVVadyJvB/FqO2SobiRGgDh77FLz8/mbs7qR21CZW4ldz0F6bCxWEd4sjqKNSNxAxMYO0qNt8fbEOpG4BomridjCQX3LKp2tgLDmSuK0Uk3EchyNy4jzr4N0n6DuXPXOxBKuwAv9vcPGj2PB7MUo3CKChilQlzRvPIlFvhaI9mYeyjaXMB0dpF4tzpTZXLa8K4tG7qjNEg9noWwzCdqZyaY0WJkpJQINPjw1neZzjPLV9WYN4uN6REdExuviOuo6xkdGR3VSPFj2xFy3uPhEtU6gLiw2Qhejn/c6xdr2iA6PTND1jE7spAvTdYwLT0rQKd+KiOsayb5RVBcWHa/+Ji48MiyWQ6NjEyNjI5SNlNLOhLiYHpGcmaDrFh/XISaya4JCi9eFq0HnaOVPhIXHxyUk6BI7ReqiYuI6RBazNJuKqpxCrY5zUAuXYrJ8+qy2SdQp3dUBMwFJ44mUqK5/BkuaGD6kGcu7Zqffmx23VrE8gDHYNaMJ3cvB9JUq/VgcyaF9TsZn/WvNqhCPQOhwgvZzkCdmY7nGoaSAAaoCBqMCBhFwMFOA8eIz6RUwgKhDVWo/pPYl6gjlM7sSASVCFKx/iDhZetOAHOXASj+xpYe9J9cTQT0INFZuasRlP1E0NfGowe5EnOTArkIZfCfC0J2yON41ey71yNL7JTtZiEVwVwJPcxDqVxuu+diFRJyhai8aV4NORJot7WSxuENHAs5VgRGoxXACLpA7o5gsFsbb26qVnUvnHazUantsbzuCLmFrICnS6Jr6L+d9a5xwNDnPE2VNbYOtbk28FQ4s1YPrz8QpV0uxr5s/g1SPZoRcq4pIrxEaW6abaP737M1x/118pIjYGEVsRLyNMmcnIDW1R7/sNeBQ/73dYm+NZvGy+qjHegTdKuscccdWh0MrOa6MfhHFPKh/EFqboDtUZRp7xi2tMmuKyqyOyqxGyL1Sfz4wNXNBPyqrEHC/Oior4aisSMBDDkbKuml7t/K8wVpZt3LYNWUJdsyBPQXCtZjOWSzNScrPit1qtFUhlULVhRLplOqLCYXITJyaBXP2lW6ZFwdfea34YkHILknsc8jO0KlUAGnygqpJf9RkccJeZl5AUFBIsFEvwI+M7lXlqwPRCZAs/gna6q/+IzZKVy0pPq4bW+b5z2jBL6rrFpaQEBkbFRlfVKXw/9WFxydFJ0TqOkbGK6IlFFOW9SLYjMLUjBsy7028eF6Qq7yA+ZFs2Vez2IUvqrwAQW/L3C4xo9WbQz0sBucb/L2pAvVCqCdB7zuYqHeOPrVOnF1uSHQlYorU5os3pJy5nNOaDG16N5FVzHFCqiNRn0vDGmJulT2J+VIdabbYRTYEfCPrIjEf3opLOaW39UfdKOYp5Ucp8xH0g343pTqxRrPK8tAQ/phmY5oLJc1J0C8OpqtfwDyz4NJ2K2Rn2bx+RUXaHChtdgL/YJMNA4HpFpRsYodnQUxmwvx1kF5HFod7JpH45ykQfz/VE7M6smxe7itJsnl/PhVw35+CRf1GOAtH2dihmZMq3xcC5nRkwE9PoUc+EjCP8lm+koGhQQFKi0vRk9cf9D81z6d8bFG1yT+6GvFxSd0szd4h5C1BrB0z4rBDW18/pY7ddNe+SXk3Ngxfof5eEtreUXpNVozwPhdV+BSJT4jo4ig/toKE6MdczKBK075M78qOrR4h9CFBdY6seDep0eh0uU969VS+n79mXEwEs99VaLNlaXYX9XuH6D6O8qQBSE+8xUXe5vzkjpM3q0t3E0VOJmghR+2BO8NRp+ukztQd9FWU7QphijmqRZdTV084wLlETfV3TF90+QKizhMq0DFjBaZgIJ0lEYPUMX4auaeIGypTn3jwcoKr77Jv6bUVglnY9ziq7xhBy8qGkbgFOsKhXa697HHwJXM7DyP0EEErOkprp6jFEPThiAMcOqqQw67/LNgeaD9C9xG0qqO8IgKeaezh1NnBZzLndGQVEXYjdRdRazrKzwNh+7KDQ9uurz/EPPc/CvR/CN1O0DqO8tx/OPLfyqHXLc45z+nJbvxuQehmgjZwVCsECO2Xl0vcqM37U6Nubd7CMlo2IHs9sZvIhxZeEFzLoeH/eU/ZcJTZvDUIXU3QFo4mTrXwGt5K0eYtR+IyIv7raOKMAoODS0TiIiQuJGIHZvD4XE2z09Q0OZ9YEer8nIvzcw6xokyMehifs7gSOy4JrHPuMSuYNBMFnEHQLtJRnybTiqTsqko5BaWcTMBuzDqlvRwpX+Ymipocj4KOI26So/C4d4bM3hgRPArBIwnchxl4LLSbzuUYLmKGImYIYQY6sgIgcB09bTRmEO+TG0u7/XtzebyyixuI3ssAQg11NFHhB9Pp+onC9UHhehNxlCO7PcyVB6nhPcWfJ2GfJtLPx6ttIyNm4AQ1nrdN+V1o8SKsOkN3bFs3Qk12lN79w0hyLIdGN2ww511Xtsh0xebFEHS6I4uV6GeG0TOXzpx3XNftyYGr2SpbmkWjkJ2IN9vUpIANTUdS4Fx1UkSgAsMJuMBRfVMlTcpymnSdMCItUkntkNSWSEtlRkDcFLXh7Z3U7PKLqOchiv5ao/5aEXSlzDyL+8wWHOr95EtyjUPM5jdHaDOCrjVh86GGcRMOPeW3be7aF8zmN0ZoI4JulA8fTO9rwKF9jprtfNeE5R3UR2g9gm4Ve8ewl1dHnCi1sXdqEWmno6yIsTYUa3DZfnw7FdinLitiXB2HYjUi7pUORfGOdBUScb86gCqhiBUJeMjRxMOcmK5cXmx0WVRfGSIelw1JMYWsFG/3na8jv0ZvZuXxQhEaQtDTjkJJHcNPSweReGfVBgdigwOIdMHRxEMYuFn1FxtcDGXzI+JVg6YezGERA6a+MHZvIUIlm7A0+PiqL8l2S22tD7bWm4B35S6MmL3hKbZWh611J+IjR3lxd8hfdOXtrnPfsVqmlew+jAtCnQn61FE9ujGWO53e13Tk6PVHv60fWDRQQTsg2p7QL9liQL1jNHBuy3lnz55NfphzjNJFNthF1sR7K2t/iL4iU6o+83NoubleC7/eZLvKfChkXoL+5ygNwonnJLnFbsqJREsiflWITpRhYmBM5iBI6i7VHNuajSC/5GKJoyeLKJYZipWJiGZO8LR5hiLSf56QEr3GrEgssoS9u/D7CbB/PdGzszmZiOqDDn/oqRbZndRKT09g8nwloKWTfF8FiVSfuZT3m9ca2KgZ21d9Qik/EjSPDComKn/g0Eudak1sbsU8nvcIfUdQKwXqpA3KdEp880RzyK7euXPaQVlgXiPpFZHsnIxOF3BeXzxJP12eP4Eh9Ix4Tk7sfDttebU0rs4T6g0XtTceY288IpK7k9xVhF3+Ay7eoIVP17TuzBR3H5t7j6BeMqi4wbvDoZG3ejqMOMTi9LcReougvk7yAjhITebUlLaTjm/fwKg3kHqdqEWc5DdOwSu7yqEVTuc7NWChvQK9gtDLBC3ulMGLVVrfX6TOKqF21nnsrHPELSkTVpw6ZzS9dogr9/kFS8M7jcKeImiok/xaPqTEnODQb+83Npiam0GPI/QYQcs6mQiV4i26I08EG3cIiQeJWEk2psQHa/ZzMR2T6506upn1/j6E7iVoNSfjGYNiJYbdJGPq/YudiNtBuNpO0jgc7mi2cxnLvK9+xc2JTaZtCN1K0HpO7KSWp8+bOKndLOpy4xM4qd1AyMYyayn2zTouZyfzWktOurCjpLUo5xqCNpdD0YVZxaE9UrZ+3FjURYGuROgKgrZ2kodLoYDqMg6dfKjfw4Lj2OuESxG6hKDtnFh5Je72GnVfFom6XICmeD7BIkyYJaECFBdxStzICskFWUWGOSjibKJ2krcbZ/pMbRXiRZtmIHQ6QWNMdDsUkZ/KoVs+X67yJIB1+xSETiZoNyfDFQJhnZzIYVqFwAmozPEES3SSHympO2+9OR5LvdNDtZij0WKOImBv+UqEkZARXErtubTh2ORhBO3vJL+pBtNnCIcONI/IN+sOs5iDETqIoIPlUJw+Azj0uuuxMr6D2OWJ/gjtR9DhJlZ3iGb24VBfh+B1mQPZTr43QnsRdLST8Ii04ctCPfQ487FORi4LJWKHJRB8ghM85JuhlbM7Fzypcv/dPjEXFFe2GwoeR+wpTuxROhpdkuePutLQmqYOrS4oaWeizXQyVFwUzEcncA8z1fxyiRUXjULBOhJqbsYaDewIA40OR3YHYi80sSZBIKI9hzatuGt9tzks47UdQtsSdCnTJN8USGIwbTiyeMkbvqdz3Fd00BqnfitCrmTq5G6IgdBuC23R2L+yU/7LNxVUc0Q1I9Ra5m1rA9TIk6FNqJPXq53cCDu5IaE2OWWs6rImZn0uplZ1uR4qsS6xt8ltE0ZM/uFQlxGRurUxLK+rNkJrEXSn6nqKBR1NFUfn8OC++XO8T3mpSFwd4dUIvteUV4dvC1QRV89KSKxIxEPS3aVYYas8lzO6ef+bS/Ozq3zlkFqWqMechOuMhg9ESovyheJQCiHSaSc171wrmZx+dQviYpUMXBrmu+uSMi5LIiyQYOed1MBlqvsueRevBCeOq/0yokL0UIXoj8TiRLzspJ2bG94E+lErUyMSRXCUFybMDdWicxfTcGZqQSLdVOdLARTIh0h3TFgbOOjy4q2sX+RU7ePL1If6sDs9CPpABhXHiDuHOtzItPT8Ueb6uyHUlaApEtdfPCx1poan1ilwRJwD4V44pb6YHhLo7xdi+OYMU6IdLYuvnMQcJRvsGGuivmVCaud8koyd/OJozou9k4dwH6WzLUAou5OLgJ/V7rZE+SwI+M1JerVXvCSVXRQxG+oxKxF/O0ni3GK0KTPv6z2nJjW2r8mWKzOEZiKombOJfGnITP2TopcyizOT8lcKtPtnih5o7mwivo8pF99ThHZ/TQERvxAxp0IsqJksE7u8TyLyvxTY5X0gZD7ndBea9eeR78Sfv8E2vqaf2zrLX0iAWgIvU6gnOszIdmVQc+Y6v8BmPieoozOzp/BES/pHy55y2KzY3SOy9E9RrN+TFBjOKQRzNQKDafHIAOwhwh4QzIONESNlJNOq/x7pz0sdI3dQf7cJWMBZ/hQwlBu+yaX0iv23bNXJLH8mGfV3g6CFFaiH3mpJVpBrJGBqtOIKtvgysYo7s3Q7enaB0u0u6n9qXkL5OFetqn5gpM5jQ88Rp6SzPPsIMl3P8Ia2nnc/vsF1tq08jQ09RdBQJhx7QzfU369UAAl3goQrrXzsqOYBRuqahcXEHFkdWZBnJReyNDuGkh4laDln+SkLvPtwmEuqnbIcQkkPErSSs/QqPbpx+zn05Vi3kBuxQSwwhdC9BK3mLH9RArbquzn0dvSUmh12Md9wF0J3ErSWbESK0P/RAPpHHeHbUJ1biVfP2fgSKj4BsVkcjxtRvA2Ea+zMkk+4Uc2Q77pOtGRrELyawC0UsB1/j1m8bLSSRlQr5Uvm1ePDYsMjLc2WY3uXEedfZ7UmGq12Bkv/LiGB2qmKW4QCLSRQB2f13JWWdcPnrvOJFKGS5qJIc4gU5WyiOgLUA51FwGgVOAOB0wkYI7f6eNlkqmb1x9WoXKAeuwk0Bds7maDdZBZCfL55Ioce9zi24Voym3cTEDqeoIkKNC8lhZOBGEvd2UP51L5KsZrFdI3iOihjNC5W1zwuPiaiZ3SE0r+jse2jiNjbWXvGz+AV0xGkwVRnehjKNZQoA2RGRvQsB/PG7v77IqTMOBbIGYTQgQQd4mwqWwku9vcXJ0VfJPYh4khnWahNjA31IuBodeT0QO0lEXCcs7TSOhY9S9Davep23PMfLCoWj1J2J+gkZ7X8l7Hbh2nvHsaRoFNUQbuioDHEnC5tuVhovjMBZ6rATgiMIuAc2QogFrOM5C0v+sK/2I/5LDcjAlseTtAFziZqRKKLGSb2eDsktiXiUmdTWQvQ</t>
  </si>
  <si>
    <t>5W1EYisktiTiKmd2rSjdUIcZ05wwa1T9NUX9NSHMemfpUw/i4G4kCtYABatPxC3OJmpNovLqisR/kFibiDucjZTChsWoJu/cTLwUdg10vaoTbY98JcalsyqHDjziO+vZOuYyVUERKxP0gLzRYnSmotjo8kgsR8Sjzhm6+6vFQsoQ9bja3aWwu0OJesrZ4CtucF2ON1l7xS0I9ViSUOec5WVkISsqgEM9TnYMnXmNLSwlsNX+BL0kg4pvuxfT/Nne7wp02MUOsvwQWpSg10xICtaxMIdmHt/mw51NLFGvEEILEvSms4nKWtjjBcQe90aiFxHvOat3bCl0amIf5CEi3VNgG+pGyMfyfRAaHRfe8j6nByYtHsn2Qc4opxNBnylQa76jh6seDuQAvFC+kb1qZGxXZZdkaWaHI9GWKK+doapGhvxNay7hf5Nuljz/7WYFSzMrlDA/sd/LFgXxkCgvhybVm74wZXtVpdl5EJqboJ+cWd53mtQhed53TrGPLJCbg7jfZV6fWLnLnAsb+sDj5DJvdoEkG0KzEvS3ZHsgJiFnJhlTI2yZEPf3sR6X2YV532mTFcWKxL8f63s/q/JlC+7yW5r9fAz9/4OQ2V2Mp+VoTsW3x+nTcr4+BnP0hXg5XaQbIkgb/vSY9ldqmb//HkOLPxAunwu7SMjDVgbyzd5x0d70q7DMZ8IkRbS3KNobYtmwpmqbKyNnIq9ILDsXJtYLFOs5oRxdjCaCg2hPuWhaIvgTFC2FeK4ubFCnCabJB/Wjx8KgfoBy3ieup8L1SF++Me2zOneJ5a22+TaOlFvE8mWDT+iK9ItfMm/xoz42uY6+maV0xg1s8XWiFXGRTzcIcl7l0J9WdSvNcWV5IlewuZcJWtzFROF32N5fpDaXUNt8Htt8joAlTQBxcTlDwGAVeAqBJwlYysVQPp0WtTr+WPOfrm5sNNNeGTLHsK1HiVTORZ4WAjkXhzk061cH9+JV2YO1hxB6kKCVXKRLNJ6U7ufQMluW5KvVlQU89yF0L0GrSUyCeB6yWzQJOxG3g3C1JTjRTm9/LNjUrYjbQrj6Ci6/5jKyXXTTxlXNNonTawP25nr6bRMXtcq38TtI6ap8i9TVKNEqorZ0yUC9Z23OreAd4Z44+8jKKeymxHIELyPwvy7y+/MYz17CqT0OVs0X5vZIWeUXI3URUcNcpPtycS4vEBUwD4lzidiRWS1NrYKh1t/AYg2fTaxO6oSbiawZxOriYvj0EjplGm+qdno5FY3WFILFyeacmNw2iUNtL9Sa3cSblcObiBJOIGiCizQlQ7MN46i9SWp7x+CQHE20XjK7Ki7AI7mINceE3ku5xNyYESjicIL2c8nYY2LaoBzK2UddP7uOavpTGT5DkD2Y2IMUtp3W2eqJa9WwRLWHB1KLh6gt7q8HmDFAPwIMdzF0cpsmktiHSCNVUi/UXU8ijXGRP5QHxRiTePuidTtv1bdnukvE9iUQdIKLiccU8NmZ7uL0iENiLBGnukhTEMT9RIxI7IzEaCLOMrHMYcWsKALOUTUZiZqMIOB8NoNLBgeXCFBsQoDRo+AO5KsudBGPgtsjtR1RlzAx06rSyJXMf8V2t8Z2tyLgShcTZf9wwWshEpshsSkR17mY2I7ipqexSGyIxAZE3OwiCRyL2dn1+KBcvOVskXYf2JJcF6F1CLrdRRpZEx2b2qKYNZFYg4i7ZaYxUP8WUuoaUI2L6WBx12HIISZmVYRWIeh+2YQUr/ZV4tDLA7qtzj6SHQFVRGgFgh5WoJ6w4Bvz3suJzS6DK0Jpgp1wkReRhgu0oVzCAS7jFn6wZNmFIShhMEHPyHtHxJYUxQxAYgkiXnQxWuQLjHZxLqFW5KsYNtuPeFddDL4qrqGKgB87qF/9byzxrzCKVohQyVLbIwY+famtt1Tb44NWwpuAd11MZHhANr8nAe+rQB0C3Qn4SHVHDD93Ce6IK7FSVJYzttaJWM9ks1k8fnXgKtSK9Nsj1I6gr0z4dXj1x4ZTy9W5cvz2TRZLtUaqFVHfyTwJ8YZWPg6tPKrKOZce7D5aXoTmIehHl4w9OaOFHnJxdtzoWglJa9iTMzmRbUnsr2yDShW+VDcgoFi12MToxN5qUq66081BK8535csODZI6xESH6wu+9O7XVu8yxFuameNIyEZ/4Zc0uIHuXxYaDKmnvWYocCbCmbmaqP4MtfL+PKKcHFc1J+cR5uQ8opwcKVC0G98fkV5vTD+/c7kVK+b07RGI+ZWolq6sbBwfs+nm+udH2lw/WvxwSj5lz/oJSR+JlMfVSCqh5uR+4DDNGX//CGzQO4JZmWosGI43nOo4/tu0Pt3dlMa+RhFfEdXO1UQIAfrkBfWJg9onz7BPnhLQ2VWaxiA888aljLG5fWjFQHYW+hilfERQd1d5Yg1cT3/AoYEF/3bcPIkFlO8j9B5BvVyFpHbDm6U7j4Tl5hZ2zU0iFXQVXHLDF91viKRrqL2rRPKTNVTczlwmXnG1Ny4i7wLxAlxNeeNQv+qcKOEZ1NppIoa4mqq+Csk/J0XicSQeI2JZV/npOeR6HuGdO2uzd/4K7diIOYzQQwStaGq2lNJmywFOtRqUXL90PLtGtB+p+4haVdY9YtP3cOjSu3nmzBrLHqvcjdBdBK0pa7+Yz7GDQ4eVfjjufTQ70fofQrcTtI50Xovt30q9VE8dSZtxJG0iYENmy2AkGYj2bBB7ex3OlbXEaebKYkhpxo8shrRapK7E5q4gamtXUy8NltLG+TKRuASJi4nY3hWfkTA8pRfqQeYdXMX93HxU4TxCRspMo3ibdQ7vaO93j8t/j2cGfDbKOYug0a6mdsfguMwQWz4NiVOJGOtq4MY7rH+TCZIatZyI3TyBIAmu0ivf6jKgt9jjeFvPHg+7drIJiy2MRcnGELSn3DriieooDn083vHW+Nvs3t1IhI4gaF9X6RZWHDrDRAUOQeJgIg5yNVLEVlv2B3LxtCK2A1CR/Qk2zDVDF/1hwvTlbO2ifx8UtDexR0mNpJiw2pNTq9q8qHNxFivN1gOpSUQdp87wNCNSNsMTRKV2R2o3ok52Ta1qn2YnAUfTsYSZqpqxGJyDXQgzQ1WnwVqRRl5YiuYNX+HjVsLNhqmzE4oYRew5rqyMuNE6lGnBkRwc9KV8sy/XAlhiEILDCbzAlVU74yFnYzuyMFLAIlUB7ZDVllhLXWWbJ7HuRhsu4S3P34+KLHBSJGyN1FZEXalQ8/IDQv2ZQgsyj6uVT7NUbdzM0qwZdkpT+vU65XNPGuOSq2WNuTy+WS3bFvCwVTzvRjhrGhJxk6s0SC/GDOuL468utrAOEbe7CkeLxl4YqC2yaqJ0NYi1W2F5i3bMyG6wGm9xkbBtpwYkXlIGX1WUrwox95tY8DEJsRIJeVAdKBWwU8oT8IgUGKJfrlI9iLIEPKYCSyOwFAFPurIHAHifCJHvEAKcVgFBjyDyXZIA52TmX1k/S2gCBXC9Nen4vsuGv6xGVwnUmz9BL7myS4iaDUw36IpxVKZMum0LNz1WTLUfoooS6ppsfRdTkwpz6PmRI2Z97stigoUQWpCgN13VaIxYCyD9uCsgjjtvHHdexLqnsPLxJxgogdaDpukD5WPHKmHxUXF+DcLiE2Mj43UF60CGvTt2qxtBH7tKcz7A+3AhGVNzaZ2wvY6Ee+4qv1oAz4HZcyV+nWXhtScnexLFDqG2BH3tKgmsiq95W3NoSul/CzRYybYYVgjNT9D3suEonszm5dB5w3aeH9SGGdI8CM1N0E+ustMxTPIhZX5RZ4wF9k0Oon13FV6JMnxf0JxIP1VSViRlIdIfNgz5NDFaz8YMJkumwS83HVQmSyYci38fUm6Pm+yUHGt7/H4oxJZ+PgS9/SBcdrd01yLTXGb89lAYfV8eglSfCZPLTeoMilGWjw+FOfcBBXtPxPxu8ueHYP/99iEpz29T5OVzL5lReIPQ1wS1dWOpPQadfrAJL0X5niPqGaGc3KQpwqKET0TiYyQ+IqK7m7wCATgYD3iL97mH2nXvo9YXQug9gnq5sctyfPEwkaV4R5Tz1kPIUrxJyIIwZAwHf26IQ+YaDpmrhPFzY8ta+rxEBrisB5gXd8PUxIsPMVZDoAA3EyELqHxyjivu0f8y/bybiUUzz6LizhA1WDb+xCeHTnFo7Kql7c1TWHThJEJPELS0mxrWFpxIQ2nCmmE4xtkdbdpuqVSO3Rw5iuwjxC7vZuptMkjkPiR29AEk7idiFTd59BAurO7lYh4pOvZ86eUNFTH3IHQ3QWu4yY8LwL/cyaGue14f3VqLVQ3egdD/EfQfN/m7LxAK2sahPV/1X7F1OdvgbkXoFoLWl0HFqzibOPTKswfBt3uzFXUjQjcQtLGb9DqsaDbWib20BomridjCjW0C9AqVVOpYyWXcYmdmXbrNb2WJWYEzczkR27hJg59iQe+looyLUcZFRAxzkz+1hedZCwgY7qam/uCcn0vAjjJbGZrqY+v7ZjZvd7bTR1y7hLLZOQulnEnQzrLxLj7SMJ1DCya29r40nkUppyF0KkFj3dQHOVJT5Ywmzk5+qK3/BxOSvz9TOmcSds5E4sWz9V+cP0b2QOM5s/yNuy7FH3xR9kDjUMaxxOzhJr1VIk710WKHj0TiCCL2dcvQ4zywZgwjbH+124dgtw8m7CB1/TYoKKxiA0UJ+6OE/Qg13E2+TcNK+H0IOFKVrRfK1pOAYySOmXjUkiQ6ZgkoXzzhJqrTWh8ZkGR7deO9HHn/4aDkfQWVvX0cjpxYIk6V2TOxwFOMNhx5oawuKGZngs5kq3hAYGCwf5CffylxFe9Eq/hs5Ut59G9J/BMdGxUR19XSrCNqMZJ485SvuhrQInRvuOhdhKFc7Ymz2A2Lu2ToBLktb3TDieva/Lf1jjJf/kV4G4IvV+B5g0uULFGKPdem3w62otauVD61qlVVx7eA9ApLC2xxc4KtcZMcY4gZMU25hBe+HQzJUpgtM01QwsYE3SAd3WJ6UUPS5yZ1dNdHKesRcKvaz/z4QQhC1CHAdhVQ+yEEIWoRYKfMuIqH4jV4M51eXnMN7sa82+rYzGoE3ZtqZlKNa4aCvFU4e0e3B/eHOmRW2JWRXYnYB9l81vYKki1lBdHelMPZV5Zwx+TumbiolhaJoShgCBFPu0lfPRKz0oJEYiASA4h4wcQyjYfQ/gS8pHZ6MRw1fgS8KnOixZKpRXjHlLLY8dOrONvEFUYpCxE0WTaSxBM6Xw5d+r7z0DrF2B3SAgj1Iegdtww8ZanZCi8Oju/99/by/CwG7YlgDwI/UMC2QaUCA0L9goJE++hOFuOR8p1stZTR29vSzBUV6UKUJ9I9jljtz4l65pnaMw4ItCfgSzdpKBUrU/OmXpqZXD8ogoVSbbCp1sR866aW3yS/0cReM784IvM+hL1mHkJ+VJBF0qa4yc5EcolUSxTUgqjf3DJw4KB5ztk1775seF3f3KzWtzmCsxH4l5skzU/0ILNw6MZ5M0tUdCqvQDMj1IygmdylZ7RirPDvA6H9vx8A8dcDPTGbu3QTIh6p/hCJ35D4lYiWCrGQ4XwtQ730+QE1ftzK8PELrZhP/gnBHwmcx13uk0ME8gOHfv8893m+ZOaTv0foO4JaubPyGcbqxBpeON6IaniF4JcEtlfABQXvRWZEnhMy9d7JU0Q+IaSLTAHiXYzHXAEDaravdmJwfkUBjxD6kKA6d+k1fP8QzTu4z6ELzvWfsqIIM6H3EHqXoN7u7Io73vtO2+DbnKX88GRU8Q2HLM1uPcDMIGIVdJem2ONrbzc4dMOHZXVzFGJRguso4DWCFnU38bgBBEiuUN8Uc2d9c+kBGNGLBCyhfOYldLeRs9DzREv1+M+ieGeIFuzOHsXhEUUoQnVKHHsnUJjj9PMyJvoUHKyjXGVrGo+qebY+yxw4gjIdJmgFd7ZMCHsGI8vEQc5c9z7SJduFZGWZOIDM/cSs4s5c8zRnjPJLjHtFBexG7i7i1lS4rtx7Mfh06w49x7y28t0ofLpVe6eVvbea5iFX/nRruOLxxrO3/xSJEyLDk9R/94hm5iMhqRs7HTD48vp27LBtJG9dd2n9GIxhbOHKbXhxu1+bhsw52oxK2ETQhu4yF050FDaQVhurY3wdSrmWgM3c2Ql1SHApf7+AUNrrrCY9tlA+zVUvLiwxqauugaKvBEuzlYhZQZjW7qbu38PjaMvE7l6CLV1MxPbM3NAmzGBvLyQpOyhfHWxWv1tkfFhinNrdYdDh4fp70dGxiZGxEcoWVZEsrmNHZVyofdpbF94pLDpW1zUsNiwqsmtkbGLRNOOjqE4ZupGd4pISlOGQ+mBvx6SYjtExMezbfPQoA2E+6mYetSTSnV3XNpAaCN7SHFEls1AlMwnUmakEzyTSrWLTRcxUxEwhTJy7NAlA3D1OEokTkDieiInuButYaAZyLB/gWh2LMbgyjCZUL3cTV21hHI0k2fqoA3w4an8YAfu7S/bf4sWZIVxKmypj8xRpxvbfg7HBgwg62F1a9VfzLQdw5OPgHGEf/mNVf/tjw/sRcri79MY8RFD7ULNTE816oYQ9CTdGPiHF3WOS2MkJSIwn4kR1/eI7XKg00U38eSz2Q1f6+TR3yUmpprAu6EPoT0o7o8KiCThL1rFieloUhw4bMd5n8cjiSsd2xEZGEnSeOzu1CipVslRJP/80+7lwsjcLlC9lrxKvmMXoMEuzMGxuewItZq5i2rwYo5ultqIG2zyAzVJrQq5gsvEqhaJsLUm2VcqXctaLVJan+BjFUikGuznK14xga93l98bhikATrr3ngc0/XdjEki4bo/YaEXSjzEcRsxsbcGjJeSXmFumsPpeG0HoE3SrvZ/SQ63Dot6CVidbrWM3bfxBam6A73OU15mG61eRQrcZ8DYRWJ+geuWEVx2RVscsrI7ESEQ9KXVpRoxW4nFtmZhrRNIqdfZZHajmiHnU3XjoTFpMyJGFqILYUzsJQYp1yN5FJjwY7WGxzSZQukIjn3SEVMUNPOJXgLXd7e7LDN9//FN/UH9nFiX3Z3UR9LYzS+YnSFkFiYSLecBfykIzlIBYk1k11qSqALB9i3XFnD3YbvF+Np8daw714wzdfyVP58GS1cDSiPQj9QDYzxaQcdw61qt3s8/UdrDSnG0JdCZrizq4T6mNfRm/3OpNpeqp8PU+t2I7xYcrnSeGJSfGRlmaOaJ0ciPzC3dALoOBQ2OEyoX8B1BYHqA2h3rhLE8HF1BUrscvzYbPzEvE/Zoe1IS/EynMT4JPazzkfQKzckgBf3eW5XBCGzcHbOSNzQtSjPayyc3aUypygP6U7A/GgIStJ+VuVMjP2gRkBM+lMlN1DD+LvfTEudR/jUvcpLqXDuwOGEyJ+ECi7Tg1H3QfRvhLIUqfeABf71MjG9bMo2UeU7D8C5lWAfkYeozbCfX+femZUyJDBt+s/UIzOO4S/Jbi1Tmp0xFvWr0VxXyLxBREddCac5FKazX1GQCdVoU9QoSkEdNXJD6ng+adHvN0e5TYdrDaCOckPUcoHBPXQZejRRS1+dI+jZ++fGxr3mUXd7yL6DqF9dCaSYTB/55ao0mQk3iBiYalKxZDpNQIWVVV6BVV6mYDF2WBPV3NJLNJ1UQ8yL6F82aJEUHBAqSC/oJKWZucReY6QJXWS1701NZ4h8YJV8U4h6ySxSulYjDRNfpuJIX9cVORRVOQRApfXyV+8g2zkQ7y/t9xpeaNNZXZZ/yBCDxC0MlMmVbg1cqd3Hymzqk56p3cP6mM3/YUaOiEl1HCcaqeogP/dhwVnO5Hq6GSJApgevpVwqRu5zdj0TYRryAQTK/OlT3PewDU58fDndcuOnFSWw/Uo3TrCNdVlqJClZpDXkJDN1dG0CrW3kqitdGo1PuN3W9Lrcrmoy6XY+CXEbacz5VHDPF8kEhcgcT4RI+REMSAwVyTORuIsIkYrRJ3h8xvooRkiahqiphIq1oQRwteXJxOwm9ovE7FfJhAwQad6p+SqGPNOxxErSWWNQeFGE6uXzsQr5YFa1GgkAfuowOEo3DAC9tfJ34vDevFD+AC3O5ZnbP1DDiw0g2IOIupgnXryiTs7I1H7AZx5pk7nlvPWZ1GY/ZHZj5jDddJ6aFiktg+HDip9IPeXNsym9UZoL4KO1klLNGF9ih4cat2rd83J7ViefBJCEwk6Xseq</t>
  </si>
  <si>
    <t>gdIIgjOGeLKOE5VvmDfuEtets+J9d8OOiSPIFJ30LrMYHegqDuwuKFZnIs404bDg6UUnAs5Wx05HFDGSgPN06l1CbYOQfnMUzpWm/LLSjyYXFZvYAW1iGMEWMZtoPDkgvU1sx9Hvl6w/UKAQq57RFhv+L6GXSSeNOMZbc+r901fvHFrCrhK2QmpLoq5Kbb3eszJoXptz2KTDn3Vtxp1XWt8MW9+UYOsUmJO2YKfLQGsMehxu8+hQMLtdhmI1JNIm+Y5BPMmuL46bukisQ8TtOvnVIYj91OZimg0LyPJmM6sVXAuhNQm6S5ehWrfgUVXnbK3WbTVkVyX2PpnA4tuFlTm00HPf43aVWRpUJYRWJOghmfkR6x+V59CRd3wXDSrKyjyUQ2hZgh5jLhUd/BhxqUqT0TihfNlR2eH3ULa5hnyqUJykIfQnTksHv7glDaLhcFad9YEIDCDgBZ00sUGsMegvDrBiqAU/Il6VqxaTjYpw1Y47Hf4obKMVy2BCaCGCJptYKXGD70tS3lLb7YPt9ibgXZ2RkuswTT3R3OlLrnvghNcR7aHO0NU+sB1uiHLPXI9d7XPFlroQ6onO4F0RmDpO1L7UJAgHlMieMC+ZC1UqNCQ0wC/Q32ggyZZG42v2V6vExaaGkdgJLjuTqxYbFR0bqZ7fWppZox6t6O+800mTq0EF+bgKim/5913tcSy5Oi+qIA8xP0o7W0wKykXK+Kx2tiUKaUHAbzpDdXa0js4OvZNSYfdQVmfHHEXLRqRfqVsxwcEykhybhUNfNenX423D+0p7MyPUjKCZPOQvmEAk8e89gnbaEl+wsQ173OLPPYD+vqeHZvWQlgjHeMZPDbroxMu+U1md0x8I/U7QHDJJxaPyrxyaWHZPwedZ2GnEF4R+JmguD9ljecI1uHtC+PwD4t4TLr+HvE4nnEO85TJqT0W/Qehrgtp6QNpshnKjX3L25LEFcpZ9z1zhF8h+TmxHDxP35CHn8ymnHl6/uv3sIcxtfYLUFKK6ekizoDBX4hGHhixc88/jfSwL6iFCHxDUw0O+bMLN73scOrNJ7x/5LrGDo7sIvUNQH9lIFV9MucWh4xe3tGoxgaXh3ERoMkELebDAKN9CGnxO6ToNpyIebDhdRdAVAhXzUCsu0T7ccBHUS0TyV0kX7oEVOk+kQA+WawDnOulWibP3hPX1NAp0ijChsjko7hlPcHW9vRPuVMuKhbqPI/QYQctKx2CAkN92hFP967S4EhnAYoqHkXqIqBU91Eoaaccg7OEPcJan87VTI2sxF3M/svYRqyqzEuIoMVIhdw9nHtrw+0WJcixhfTcydxGzpoc0sIZHgTs0VWYd2368Czuy/B9CtxO0joc0yVy8sLdV7PHNSNxExIYeaoDJkPEx7Lhs4MKeibzd4kwrFlBej+h1hG7qwWotaVFfA5mna0QRV90Dd2MlcVp5mHj2CHajywnYRp0sS3GyLCFgOw8oRpMhg7uIN/pg+Rk5D5u/U9bbhdjoBcQOl1kx8drwPA7dP6Fm5zFmTJNzETqHoFEeJo4kMAVolqjTGUicTsQYD3k2Br6WxsVsNrzVpEmHWbbbFIROJmg3DxZa0w95o/Huifc0hyj533pH8ysO0QTs+PHES5RZIzEKMZZDX6zd+GH+QCbkGBRyNEF7eRgsgqoN8JEg36BTW9UiqCMQNZxQ/eTyYZm7oRx6JGXvu3dbWUrLEIQOJuggD5a3wzdNEBMaKHZsfxzb/ejnw+UOD2yQ+hAu1dXvhdL0JNwYjwzdHITuTSLsOHUGJqCU8YSdKJFSrHzajXCpubqxKGVXwk3zMPjeCEjVhetfe2+kMw66aGLNMrEWaMwozsxZNfyE+04zlqaE8kUSc56HWujAUHYX3qQT+zcMUe0JtdjDxGYVqoe1JeBStSvaYFe0JuAKZqUDA0IC/YOUUWwwc7MlcVapnObIaUactcyX4e+eGolQNNGTzNd7yCMUjfBvNKS/sYnpMSjUv4TifhvPYKhPf2SL8nXbarGR8VGKCEKOqKVZXfwDdegPbDehXXRVapNWdqhaqYnAGgTc7ZGx7BiolcRHlZYdUxWHQhVi72c9x224waBqJQ4LDLzRclwrFhqoiMO+AsEOy9wVcViV49Axt6+e/puVXRcpixKWIehx+SqDVXBKcWgnV7f4tnbMpQ9FaAhBT3sIzykZdP2CxKkUiKAAAl1g+oOzJQP+ib/IKYaq8yPOVal/UkqIchUh4HV10BTCQVOQgDeVzzy15d5orfMConTeKJ0Xwe6ZCADAC+IevA9uvs/SI7oB80N1qDp3gj7ykJQ6AwldOTGm1o5/E2bYKGu9C4rpTMSnzOyK48+I2XXkzOyNvh2r0PCjMkEcUEp7Yr5Ul1K+vYIUWFtRc9bYDVb083eyKVEq1RboAxL5uEw1HYK/HTnG3I+8KFMegn70UAuHGj7IN3iFThTVEqkWRP3mIak6AbDsmm+zdOm1w09+KfbAHPsjGxF/eahhLfJj05mpLOAlFXzxfB8La2VG2cyIlMlTmruJFTb+3uXQulEzHp1gavxzFyNQdykC5Sk3V3B36CeHXmuwZ9Nrf2aufiD0O0FzeErTVERZv94V+uUzEj8RMbcnczY105DO2fyPKHk9GeX9XRiI74hi5Sl/kQ/84De8sadOrXry+0MZpbGvUbRXBLXzZH6OYJuNHLy+4MzEqieiuzq9VSbcc2Q+I6aTp/QkUnw15YmowMdIfEREd9ngCRUOaB5wMY8OHTMkuzp47iP0HkG9ZINHfMT0DodG9vVK+s+cDZ7bCL1FUF9PyQP32rxJplanet3X78Lku0asovIOx2F4hQtYObrikJyB7DbsZRTwEkH9PeXbaMzNuEBSBqjD8hwOy7MEDFI+K2wkC8/Qxd3TXNTmyTMDapVuoIh6CkU9SeRS8okoHhwdF8fRUSQeIWJ5TxNFdDAUfEgkHkDifiJWkaqzlP60LHV52EvAaqo6d6M6dxGwpqfUWcJQ5Q6uyUkTr1zOX4tFav+HUm4naB1PFqo0XHOVQpVbSbp6qnSbEbSJQA09TRRYw6zIDaIC1yFxLRGbeRqq6pcm+LmaSC1U2Vai5lYQqbWnbM+LldeXES51N7kEBVtMuPae7LU/PvvS5a8v1FapTC9vdS5aXFn6FiBpPpEiJIKJxyRzRbMwG3GzCBfNNEaunLHcshlE6qJqbBpqbCqRYj3lJajhxHMyb+3nkc0qrB1prYy1SSjeRILGewoX5wymUI7X08wTlS9bhAQFKXr2KxFqaTYW5RxDyJ6eavgBW2xi+zSKi5tUuf9un5gLymI1EsUdQey+niZ20pCtMIyU2l9V6hAUdjABB3myuqQUhaDywQOpxUPYsKrXpIauXlx8RHS4tiOlgjT9kdqPqMNNuE+wMevD237c+m722e9YwLs3tr0XQUd7mnhJChfqHuJsTkRiAhEnyNZUsepfdy7m7WcWwSUOMzG7ITSOoFNMQCGa1ZVD/ea0bNnkBkvkikFoF4LO8JSXsoRX06I59PCW058K52SrfyeERhF0jnQwiRdVIkmf89TBFI7d3oGACz2lkX7R3rYXe6gtivgvEZfJnbM0yU0isSUSWxBxtXyZFk8jmonEJkhsTMQNssEuJlQ21Dzd1fPHVv3DUmcaILQ+QbfI3T3s8Loc6j79b9kfPixTrA5C/yHo/zzV/RFZ0HQ7rVqwSGT69qPtKGWnVRNJNYi029No1Bx41YBHUfOq6DxWId5+yaIjFl+sJK6GFVC88oQ7IlsqxGP5slzGWW0W/uk+3l7RXhmEliboCU/1rVAaOcYSXUNJwFPqTAlGVhCxzprya8GdDyTgeRVYAqeePwEvKZ8VM1qk1XA9kmLi6C6KkhYh8HWZKsX8qkJcleXKxoSXz8Ee/y2IUF+C3vJksW+8pZN2/+ZDst1RG+2FjfYkzH0TkwTSW3Vctp4Jf737nmJW0R1lcyPoY1NWMVSbzy4k5RNVSieU0pGAz1Wfkbvxht8zsRf7whZJNkR6I/O2RUtjxdv79VvJCn0/M6OQH9ubj6AfPE3kv+MBeh5RzFxIzEnEL7IhI8ajLbiYvg0WBGdbypbVHAjNTtAfbPbxkL/ROHo2EvCX2iNZUI+ZifXXM4OV/TT/ORMX9E3TkQ13u9xVXLS/d0DQP3f08Cxexh4v1xy+X3eIpj1e/vMOGMYfRMvuJa91C6kw3zh02xyLXytqsKfxvqKIXwia04ttFjg0XYDn0x3Nbrf/07pVFsVuf0TSf0TK6wW+boYU+Z6zK3XI/+798D/sThuy3xLb2ktWlVZT5mtOvB1zf2yNRFaV9hUq8yUR7b0yEE3QuyfP9VQLRy+1stIdGEhPCOjiZeLiJ17penxHmDsPsdEPiOjhJZniIcJb6/d4u6sneT/reYV5j3cReoegPjKomE93i0PnTFid3Ps6u+57E6HJBC1kQpl4IHqdml5EVeZVVOYVAhaTAsU0hEsE9FeBFxB4noCBymc22oYBQulnxa44jT8/RT8PVX7urvdJjCYGnCBS6h74GI67o0Qq5wXZ4JJZos3Aw7wbFtc9n61C2VvKLDmE3XCQ2JVkBkJcn/dz6N5xSwbvjGbZ4PsQupeg1bzkCSGQY7+bQ0fZdfGyG8YSQnYhdCdBa8lGoViQ638cem65S97Avmy13o7QbQSt6yUtB4GL9RYOjcpfz9erOXO+NyN0E0EbejFPL93bDbE9IhMS4+ITdLUi1IPhDXqgeWPl+znoOVBLs3U4nNYStJnyJWfxmQQxzLCahlJqMudKpKwgSmtZz4hKXMbb23Oy9yz7DuxkbCm2dwlB23nJEy7xQuEiTs0zcWrDLvPYir0QqQuIGu4ldQPQqZ/HoYPbOp58mszSGOcidA5Bo+Ttx2OFWRwa2sW3/xJ/1v6ZCJ1B0C5erE4r72/JWdQ00XBMwek+mXDdvCSbdTGsMJHLOLDZwaqeN1lC4gSUcTxBE73U++hiOoaRzPKxopSjETiKgL1NzBzY/I/gUi6MfbhtyWc2c4YjdBhB+3uZcCbxkGuIKOYgJA4k4hAvU4XFS2ld3l8k9kViHyKO9DJx4IPlRHqJxB5ITCLiOC9pISTxwmeCSOyOxG5EnCxdC8XTlFgCTlXXwhi0G10IOMOLpUwaXIIMZ2FEa96kndP+hiEsXb0TyhpF6DleBqIK+NgaeJOZHOyjWFQhAknhRFogd6fEngkT9dgOiW2JuFQ2FcUndttwMatua5jF1ZfZoNYIbUXQlWw5T9M58vzTFiTrarWLmmEXNSXsOnnrxbnTWGx9QxS0ARE3e0njceIBUj2RWAeJ/xDxf16GC3RqTa2Fva0v0FkTzWQNYu32kj+OAcdl1TjUN2L5iDBvNhirooBVCLrfy8ST7BAjrkQtPqj2SgXslfIEPKJ8ZkVSQmJjWVr8jylfMG8UGZvIMrRKI6MUMU56CYcMBg+0QkiY06owQQgqSaBzXobu7WjeaAAov2Kut+dYgkMJ1JM/kS55GXx7TZv/xQB1sMFWnxT29hqiihLqmonlDgLehTn0cqULK6Y9ZS+nFEJoQYLe9FJz0Iye06a/jVqAs3dUyFmi5xd2qOyDbG9i35UNPPEpYU8OXfKrmMviqswoeCBUR9CHMi2EpqYs6YMebhyaMH9qQuGTbI/lilAXgj6RrdFi6WInDg2uWWDlhS/lFKgjQh0I+kK2YxC3rHYcamG5afXaUiyKZItQG4K+yVh/gaGw4uwiIyoVuFqDXbLKj+x8xP4gdU9FK5aHUxN71a9U2Y2dMudGai6ifjYUBIHxZIkTwNzNlwVBLJCUg0jfTckHV9nNOXXVh8ihS9uwB6+zITUrUX+z7We64i5qJSiWmqpjY8ksM1mhv8xM1Y2Mj4qML64eRidEp+aMZkJD8ve2Hp7ZW4FzkY0kvv6+rYdn9ZZWO/l5G/7ED/oT2b0NphFpFuabHm9h4c0s3hekfCZKLm/1uRZDxzVwfvzxtrB2fbgNCn1PqPzexs8YxI3yW8KlFk15jbhXhLPzlr8kqjX0xW3q85SSFSxqRlxkuUjIfEZMJ2/pzS/MPX3CoaHVHv8zZBQrqp2C0McEdfOWpiNhjsZDDnW+eLxonmlsdD5A6H2CeqqSivPdyG7kLodeSpg7vMPpe0rz7yD0NkELeMvjVJD2eZNDtRJRyQi9QdDC3urrSamG2ejridc4r2Tg1IN5Mx1U3Jart8FtuUK8Yt7SNARMkLjEod7WBQ8uXMPM50UU8gJBA7xZWm96fx/G+DkalCXV6XIGp8tp4oR4S/df4nnpSXHWHEfJjhGxrLf8vggcVB3hzZ07INP63BPYZvYwQg8RtKK3ice84Jz4AElZWW33Pmz3XgJWY0Aj9RbSGovdXMxSOxr6Por7qYzHXXqqWg11J1FreZt42BeqIvyP2wxVzG0o5lYC1pONHfE9uM2aMqfYlW1fiblKm1CZGwnaSIHm4+8nUX3t9WS8mzDjXTe8Q1J8bGTv9Akca1HQNcRsLhNU3HOv4oI2Luft2aUCE3QlCrqCoK29pZXgwY9dxpln7L5XtdjJKsEvReYSYrZjEwe23gaSkReJw3wBzur5xImQdrXoas0lYEe1q2ejBmcRMFo2b0SfZQZvbflOE/tmf800OB1bO42gXSVLmNgrU0jG1GDiJMRNJFy8t7R8PBZfHM9lrHDu5f4ZddgjkuMQOpagPbzxcC1D+U+jOTy4b/4c71NeKt09CuEjCd5HvobD/BkuruFDETeEcAOldkjcuwziQk6JG1khuSDrpYFIHUDUoaoxMvykVFpj1I/EHK6OpT44lnoTcJRsBRfr3fXkUv7u/3W+xS1WQaQHSplE0HHeJsIN2P0J4hzqjsRuRJwsG05i1kUsF/OOU73FJweyo4iuCI0h6HTvtNWm9Gc4ncnAzVS+kbeeYtI66eqGhUdGxMWyktmdUJNRRJvjrZaTTfUwjBYIj+TSfWuccDQ5zxMWsUKzEU68BVKzIRZXCCMdLlK7uh0K2JaASyUDXNybtRFneCvUXkvCrfKWP/Wotbk5b3PFml/nml9m1UiaIbMpMdd5G66LBSa3MYdl4nWxGqECGxJskze7NsRD70ZTieqLA7AuwuoQbLvc08WNfW0u4dEzu+PfHGYb+1rY3JoE3SUb1aLNqc6hfQ/ppmy+zfy9agitStB9svVV7OfKHHrCfNffTA5qDSeEViToIW92bMXTnY0dW5WniXPEm1UEJetnaVYWR2QZoh5nE5B7+jABSxHnpPKN3Pq3GRsnhiVGJliahSArmFhn2FTlvrg+2bQkcc6xyVStV7fIiOhUeWMTI+Nj1buPigmN66hrHpbQKTo2So20BeAfKEF/4KJ0gcRsieLi+uCHGi1KuGvexl9e1aZOYRjt9PJqIRygBYl301utiEqBwAxlaRUQR743CupF4HveaikNzZinw3iIGHfEuBHmsXxYYla6C290I+97Sy63ZwuNM0KdCPpMgRYyXq0hre1w4ODXL4tsbfU6RAHbI9iOwK+81cQq8v0MR0hsaHS98TYSIbHCkZSf4O9VOI+dG87ayisqNTeSchHps7csJC3mNVgS8Ku6RuRAYHYC/jCx6KSeE6SGCbIR8JcKzILAzAT86y29JyE+KpBJbPOfW9A1v2/piVl9pGlL6Kn+vMXDA51qTWxuxezbD4R+J2gOH4l5Fw8MvnLooskzijS/wa6UfUHoZ4Lm8jHh+MPR3cdb1HQfNcx0C5T5noD5lc/yw4qmt3Jvbwlqe42/fUW/tVN/y1MF6bcvxN8+w98+pd86+0jT48WWpIjER6iah0TU+ZjwjuEg+z5X+JAWS4982ckiR/eQepeo3j4mnnHCI5rbopw3kZhMxEI+xkt4aBGe67c0K03JyNdugZW+Sjw/2TgTE8Qvc+iWYlMPfApnJ+OXUMiLBC3hI71WAweb528Jjt1ZxJ0hXLCPaaMKjT/F5WxZ9Mn7q/VYtPAkgk8QuLSPPLwFgh7j0IFHfGc9W8fcnaMIPULQ8tKRJGbqHqLmV1Qn2QEc7PsJWMXH1JMgEEHaKw6i3SjiLiLW9MlYeX7Ytu7g7f/zdvPNMvNYef7/IXw7wev4SEt24n2YrRxae/ma/7XqwgKbWxC6maANJCNK3G1tvCX4OusRt45wTU30ESZHriFgc7WPVmEfrSRgKx9JdraYVLScN/pombxfPO+zVMZl</t>
  </si>
  <si>
    <t>KOVSgrb1kYZVsODaYg7N1vJVcoF8bG4uQuhCgnZQzS5f/8jszhfHzVxs5Rz6bZSPUP7a2A23WSJrBhqe6cSK8WGvLwUHlwgo6RcYIL6+NFUPMI/1Sfv60mQUbBLBuksXNtEZnkDSJaj9OQ6BYwnYw8fETXMs6DRabO9I1PsIIvaV2xq85DKMd+bmS2+H9HnA3M2hCB1C0IE+6vNa+ncORCUOIiUOVr6UrXZYtzDF/xuAre1PmGE+6vEODjQjO+e+XDRLjyV2F1b/UsxAHxStNzFH+Ri4pAmub09YolKmjctRTFmieiApiUjjfNj5HY/zG/ZOE8Q+6I7t7EakyT4msqGwV2NFYgzK1oWIM3xM1KOBuFI0AWepAy8KRexIwLk+xjLqtQUugqtOy6gPx0nWgWgLmbdg2NmF+dpebGlbbOm/hFrmY+KVQ0zTai0SWyKxBRFX+8jvU0MWQTPe4uZTX7TOO5pV52qK0CYEXW/CEqirr96haURSblQ7pAF2SH0CbmH2Ums32cu6Ygv/wd/Wpt/u8EmTT6OPJtSkqbnLJ300oTqiqhFqr2yTIR5NVeHKcuq/YYzTPvawc2VUViWCHpR7FmIWVgWxxeWQWJaIx2R9Ku7WSnMxdfEuh7pUZ31aCqGhBD3lY+pqO76JJopZEomBRDwv98vFTVsJkVgcicWIeEXioIiXLYqKDkrh/zd2LvA11/8f33dsX+a+zRqGGb7nzGVsY3PJ75wzJrmMsRKTNTZt7raGJJZ7tYoWMWGSkIQkl8hE7uS+TS4tEv5DLkMu+X8/Z+f9eb8/9j2fo8cjXnU+n+f3/bnfPx+KCwZcgaw/IR5TMvF4rFddvX3uJXYxk0ahjQF6VtafEHe6N+TQjorf0C8vsbs6gii0AUD/kKW4uLW2Pocm3myTsKQL60PXo9C6AL3UWLqZT5zerCOmTy1K9Afi1cYubmik1ZefSPSlRB8g3pAnEbWwBg940NGsk37T2e7s6hRaDaC35XUiLeZVOHRau6Ksf1LZuYHKFFoJoPcay3dWkXuSKnLoil+P+/fwYZmpAoWqAH0oH4KLhdJDjNBylOgOxKeuaiOa691E4n+FdGamEGZmNH3gKFaasgfmHxXyvSvpLZ8UVGe76h5S8L8ArqDZdxQ6wAYTe/c5akyHA72HDGXv6d0rJE10CaAqa9JznfQA4R0OrbF5yY6ml17U7btN7bsF0Oqa0GUyvrrjpgNX0VtjUXi9kLQ7xUCqqcmfICVntK5x81aaY1Mz17CBzVVq3hWA1tLYI9mOawJhEf+yw7tnHf1X77jEkcOS09KHJQb2Gs6eHR+U6KVcohZeBFg9zWCfKEmKIm6Wm9vJtIEpbJ/oH9SsC0AK0uQ3OZCB+zkO7eH+8oej77IF0rMU+jtANU26A5GujRdy6BvHLhRU8GTQAgrNB2gTjd1kAc/qQgyeghhsxmLQ9pY+ZHpLjMETNAaPA62FZr/90qjgkV7i0UKhxB2hhh0GVCvNxe39ZN7yIAAj7PlvP7VtHwDb2rOK401MCOgeCGh7/dfytj5xPbyU3dT7LvD+PxexT9a8d/LY75cQfToimcV+Hg3kDoBGyYpsG0feKy2y2zn0yIGU8bGtWH26jUJ/AmhneUGjyxFbOPTout8LJmWzF0U3U+gmgHbV5INO0h3byKF4jcwPFLoBoDGa/DAkbfnWQxr3sqfxWppI3wGwjyadLiR9p28BV3oC8Rtq3yrAvaa5uFKf9HNW8FDvfPzQN+Y220L7NaUuB+oAjawEG49Bl0G2HKi7rdh91Jup6W+lDta79EtpsHOBmKi5eE4Ch92LuZnRttpXftzFnpNYRM38AqDJ2vOcfSHVYw5Hm8vXLzoQxo4bLKDo+YBO1dFBEAOSc2PzOHFe8bhhp2566RXuXNr2fQbEEZq0Gy7u4PtUrH9mUxs/AWKa5uTKVWzlP+Lm4ZWrWdS8DwE2VlYkxXz0PocOXTywhWUIm3+bRS2cCdAJ0tIjBnk6BHmivfRMpdloCgAny8q42MBkcitn9smKWtiCzYxPplZOAuhUTTr/JWIniikzgRLfBuIszdXN+CQ6x4nEDEp8C4gfac9zMz7JmGk8+K39lhUfu8D2bI6h6NGAnlPaIsISc5lDLJ1sjDcSrMy2J89wihoGqHmse4I9+jL7wVJJ96TZB0MPvqCXlhRKehNIOZp0GCwuCiaLMTiYEgcBcYkmH7uRA8VvcDMjjq4ZcXUSG7slUOhAgC6TdgHEY/0DOHVs/3vNPp7JetzxlNofqCtkfTMxO77GoS3GNYkaGcumT/tS6KsAXa0938MuWBHHcXbirviPeyeX19l9KLs3sNfK4jbMMZYpnWDoxaGzdvhca6CxwXZPCo0B6AbNxZZnOtzuLmaBrpT4MhA3y/oy4jb0l7iZI+5nj0gbwUaxnSk0GqDb7GYaPuFZdlq0o2imjRKtQNypCfcROd3uAy3wLtYC88vOvZQXadXZHqh75CVKtLOtaGcktTMCiAflLZq4oNpKJIZRYigQj7KhHE5cGG/8aAHhPq452fjRnEZAM4CfYlWo2MLJn5RuwvPA3NWbP5h9jD1BFUztNgO6UDN+U5HMY2schm8qNqYtcSOAndNhDYUeopPzF0EQpaXryYHUtPpA+1NjS0/hbVqH6U1RW3HVpC7E5CXdkdopeaTezxvmpdSh0VcbQH/L87lYI/uLqe1HTasJxGJZrSHeM+LDYy+k77K2j2+xrqs3hdYA6D+yQZA4OVmNQ7dP23ii5KKvDq1KoVUAelfW7RChlSDk9+ztZEUalxWA9y/L5xByZyuLnkB6ZCeVp6RyQPpPk84jRTr2cpQ2FoqYKk8LSFj/K3AQy5n04TarTSLbNg9vCaPQxwWOrOKh/1yjS2pa+uAUPHOgd/sfFhDz/gVYBd11sFjjynYz3C+AFLkRWyXR+yU2zXePWlkC4MomycK7uKv/Doce/iMgZYYH2xF6m0JvAbS6ydU1h2Sa72aBEJnXKbEYiDVN8jvHhCklbqd3ZkHPdmlsp81VSr0C1Fom+9I09NicZaDLooWXCkhtcxFY9UzsnAUuExrM7xWJnAuUcx44DeVxJy6vnBWJZ2goC4FoNjnd0k2My+exhlu6T1MLTwGvmUk2VBanhk+AgSEmZuAxmrmPAjCUlZTwVmEREZHNQ9tASTkCJSVc/9m7T3J6cqAt461Rw3GEfIjSDgItwuRyUcWR8/YXCPX+Xhp7ewDX3iTfU9caC8huHoUxqyqlPTzJ9tTtotBfAGphhd9hI1niyxMN+pmGbzv47aT7rUPbyDKvmXEz7pkDor46d0hPya00JbcAqos0JcVzE5s49bPL5SduSWAvH/5IA7cRqN1N0u6MOCW/QczB6ylxHRBjTfJ1THpJNdZ8de5MCMxgDdwaCv0WoK+Y7O9IgJnk5oJvRJtW0mRYAd77m9hO5WcaDKOBACljy0XwMmrXlwBOMLk4U0cm9XIBmGgvXouppYsAmMTKD8QeyW0LoYAN0R14dkwcmZiU6KUsoIz5wEg1yTd7YGdvHk+AoRVX9vOZyjZ7zKUB/QyYI2QlS0zVTzm0uFXh9Umd2ChiDoXOBugYaeyJtefHEHvp9tjLoiH/EIBjXbQ89CTC+wAcbwfOpMAZAHzHJF1QpXsNpmGF0udRjUHX2UTwVBrsKQCdbHqOW/tJTszk5OSryXWvWmPYpA4lTwLyVJN0yU6cuZ0oZvAJlPg2EGeZjN/1whpsHLcO3/UaS2uwDGBlmaRb6Gi3IJ1DcQtdGjVwDEBnS1oQcUVnFIS3dFl+BMUNB9xcaS0bWXrPl2P4PZQb2SZut+nSSVZ9pVJqClAXsL4LT3Gn1+8N4UDd93vX1uXpUZlMozIJgIukGV08xzMIwr3EntHfoBk9AYBfmozfpcZ0fl2MvnhqV3/ArDDJj/y3xOR4jQd2cc76WSWBbK2zL429VwG6mgX22U1dTmrtODFT96bAWACuk/WjxUzTk1v5Z9C+ln0asQviYii0B0B/kHdlyLp+N7CxdI3jZYrrArgtLgoL2b7SmdtYlN31HWUl6+tHU2gngG6XZhvdylCsxqPAyh32bGOl2cYCwF9M8jEiecSyA/B223ntKa8d8PbKU4YeQGzDQx18xbTHL4qdtIikoY4A6MHnqW/JgKwVJ3/Qb/qQyG2svg2n5DAg/+YiPks3/5cuv7WE8B+zhz+Ehr85AE+a7DPeRo89Gs94NwXqaTs1mFLNQC2Uxao456DxsDee3yR23oO6etgb07A3Aug5F/1RWlMGcWpe6/Nn1y9i1AaUGgjUItbRw/lP0gOqJ5bsABrSOuD9sqybIp7xqMVt6pbR7tSD2JW6Tf7UphcAek2WyUNLN/Y6oDU51PNApmfw3mAd6kuhPgC9wQZ6eLDGyZJ8DTHQ1SiqKqDuuOpGkQ35lQFYYs8vXjQWKwLwgawWFzfjqzzA5nfCT/aNY70eT2qlB0Afsz74s30TF33wcmLwFQp2A7BillgrTnD/lw/Wfj9mo5Y0n60PPckn0Mf5DqiHmT2Gx/OhZDH0Yb5g44N80i7eB5yXWXrVAcmWJflCM3uHWncbcNXM8nfxWmGQ/+FBPp0RfuTDBaw3fpNCbwDUx+zigSbaey4WQ32NEq8C0d8sv6uH7P/9m5uZODL45/1xrJ29TKF/ATTALH88hDycc5FDL0+akNJwFCuNf1JoEUADXUBJCbrAoY1y1qzxmMOm685T6DmANjLLt8rSk2Ec+tXqzGNVy7NzMmcotBCgZrOLN0ToQlm+mEqnKPEkEJub5WekyNDuODcz7/CcuJ3N2GzdMQo9CtBQWQ4Vl4KPcGjziFqtQ+exhvwwhR4CaGuzfaUE1oiM92gcEMO8L5/UcHuB1M7M7mGAxotMJ/zq8O35ou6iQpexqUmjxqYleym7KOYXwFhkKdymtMA4UjiPhzJ91a4WFX5gFeUOGsqfAdrRLF1zEGe3t4mh3UqJW4DYRYw3WFvDNW8W8k1A6mpmpI00wD8AqYc8wHTC7nse4Osh/b5+GsbKyXpq3jqAxsoDLFY834kB/pYSVwPxVbP07g46Ub6Km7lhzYygSyY20lxJoSsA2t+epcVm1sm8ynIwcoA9LpfRuPwSeAmyOkecmc3lRi79/lDThFts/XgJNXIxQAfr0ObPbuuQdyG/EGM0h3IXADdFVkmIp74/58buXnTm3cXfskpiHoXOBehwWTKJJ6ayOfR2vSpVv+jN2odPKXQOQEdLmlqxNvsEAl46g/sRxWUBLkPHNXHyuobRZM0H3NCeE6/Epcaz2ux9Sp4F5LfN0rVpsZzPEBNpGiVOBeIkM9sNLZRO2WuQ73FTC8/vL/7zdJhuaiYFTwbwFLN0XumZa6tFU9+hxAlAnGlmY/pndus76QWOF4FjKTADgFlmF5tSSGSm84Bvjwtp9t5iFvA0Sh0D1Nlm9hARr5qe64qLUaK5Iyh4OIDn6uAgaB8lz4EM5abuae4fEzAgLMpLSaVdzBQgLjDbt7qUltDnuqhqCGefGO2+NOJEscVLSabWJgF7EWMbr2g6efJhEGd/rvw7t/qSuzo7kbLfAPZSedc4EpNtIERsfXcWsQMoLh5wX0vzgTgs7QfAlfZqui+tpl8F4OrSnCrWqM5mn8Sk700tjAXgOnmvmF6L2ZPHYh3fqKI5a1kbGkOhPQD6g1k+pUXOvnTDZK897vRJP1aVdqXQlwG62Wy/MKY0Szm9iuAlztP/2DHw/mCbl9KZZtFo4G1zYSSp7zty6MxX8jJ/srJhSxQ10gbQPFl0iufmLBwaNbJd1R5JbAP4/yi0A0B3m41vhSKlpz2HufFbodrRYLcF2D6zkxOfJOdEchqe+IwgNDVB/8O9dOBb+q+7/cNuR72zbR7JuqgfPX5w8vBOIxND2E1Db6bZbxoKsf/P6LS0UWnMjzo2cXhGckKCm5qk/1cTNyVX/yvZLtXvjD+Qezpkv03ZxN0px1DeQhmmcBmJ0oZyDsoclBu5VE8pZb8/Y6b74korsmzKRfRyBWV5dy4boWyPsgvKHijjuVTfcTeO1dTAz23KPPSyEGUuyuUotyFzpwFzdXCPhMedW1qVE+iuyPjbeZ5Fc2zKNXTnXa6suzULv/xuwyhvq2Ipx02YiXIRysrluayBsgXKrih7onwNZSLKySgXodzJpXqyvHF8ui3/y6o+NPgx6sfly6e4+1kV1YPzfFE24FIN8TBEz568ZZ9NiUQvMSjfQDkSZSbKvSiv45f8Pct+qW3S+Hsd6/WxKg08uZcQlFaU0Sh7ooxDORTl2yiXoPwK5SqU33GpHjIw0LbPx/x5fR+rcgq9PETprXLfjVTjNAp0u2xVwtFdBwN3ATe/snQ/WcuqdFYxEOjFWqGslyBr9BMWc+oYgx+LTvk9bjZliE2ZW4FDjhq4s+cht38syp/cnfI3ymL0fcvA97rKOUHxT6rooavI3fWo6Kw+7WNThqO7MQbuBnzyyyt9CwfZlA+4O+UTlMdRXkTQf04+yIKlVvIySNG+3+5J7V/Vqvh6cchQA3f2tLv/l1VJR3fTnbhzi79sVbc6+TGvoZ4BznthBKO8i9K/EhYAlOEoh6JM51J9r5IkVVegl/Uod6Hch6BzBqDw8PA7Gzu+aVOVymV/fP3H1p2m1V9mUypVxoYJZTeUvVC+zqWaZcC8O2NawNZ+ZqsyF72cRS83DLzkP/3e6+/+WTb1gcGPrUY/3PpoitmqNqtS9sc9h1/wXeV/w6KEVuEf641yH8orKO+hZL1RqAZQBqMMQdkbZV+UOSh3oTyMMqAaNi0oJ6Fcy6V6uJqk9jqOXi6g9KqOjQOXamR1SZayorvFTtwFhuiFYYXBjwPW7yhe/OIli6LWwJYIpRVlNMpxKDej3I7yNMoSlA9R+ntzk5t6l7XK/8TvSwN/1dv8dtydkoZyLcptKO+jrOHD5RCU87hUt/iU/ei16wfrfzHssEXZi14KUCq+3LfmaxzLhT2zbUpv7k5JRzkFfS8w8L20ZcrVDrkFFmUTermDXh4YeNm04erlrFN1rEpATe6ucU1jw3LD9eoujLtTuqMchPIjlCUoVT8uO6Dsw6Wa41f2oxsm/XQ+5sBTi/IbejmL0vcFLjWULVHGopyMMgflV1yqG18o+/1ZJe9vbfS63rncgV6uoCzvjzUGyqooA1H2RzkG5SSUU7lU5/kbdAqyZ88eV/tTm7IQvfyM8jeU11BWqsVla5RJKEegXMilmlvLMP0zZ/w+36b8jO4OGbsrrU7OIFqtzb0E1DZGW5P0oIVyd8pYlJ+hXIOgQgPQmuCetUbFd7cpJeilXB0uG6LsxqWaUKcsqCBi3Sc/mf7doSYZ/MhDmIq891F+ivJzlN+g3IPf9gsoi1/+/ebVl2P1ir1RAPcSijKCSzXFwHevz5rG22b7WpUMdDfFwB0Lwh919dp8ppMf9X6dRcnB755BeQHRlwx8xxfEzvp1wx2LUq4uVtQoW6CMQZldF3Nf3bJMD4vH5AVd/s+i5KGXX9HLAQMvLAjWPL2Tdw/dPTJwdyhg7U9N5+balMH1OPpdlDNRruNS3VjPyQd76zXkMfTyN8qQ+ljroZzApVpYvyxz2aZ2LzXtdNSi3jX40f5Bb/2DT5CnBnJZG2UzlBEo+6IczaWaEVj2S+kR279eUeW6RZmAXhagPITyDMoSZDZtUJb5y2S/ByVvala1pcGPhw+xf/T+xIAGnJeFchnKlSg3oTyNsloQl2Eoo7lUY4LKfv9paOa47dVaWdXXDH7kFcAw5L2L8gtE7zfwHXTr0JIaYVcsyhH0chblXygfo2SPUDtkU5QtUWajXIUyD+UBlOy9JYdshTIKZTeUQ1BOR5mL8j7KxyjZBbkOaUXZF2U6yvko13KpsgtYnEY8ux3D4aUXyolcqtkGvn9c2CHVfdsTi3IPvTxCyY5wOGQiynSU41EuQbkD5W6Ux1CeRlnCpcqWjI2ClxTRy6awNVDI3lxW+n+v1CuxfQsDAA==</t>
  </si>
  <si>
    <t>How to Use:</t>
  </si>
  <si>
    <t xml:space="preserve"> - install PB Plug in and Log In</t>
  </si>
  <si>
    <t xml:space="preserve"> - Research Comparable Transactions and Deals in PB safe search </t>
  </si>
  <si>
    <t xml:space="preserve"> - Insert safed Search PB Ids in O13/AK13 or Download search and insert PB Ids (max = 100)</t>
  </si>
  <si>
    <t>Industry Multiples</t>
  </si>
  <si>
    <t>Public Multiples (Evolution of Multiples at the End)</t>
  </si>
  <si>
    <t>Private Multiples</t>
  </si>
  <si>
    <t>Source</t>
  </si>
  <si>
    <t>FINANCE Magazin</t>
  </si>
  <si>
    <t>NYU Stern Europe/ Damodaran</t>
  </si>
  <si>
    <t>KROLL</t>
  </si>
  <si>
    <t>Manuelle Quelle</t>
  </si>
  <si>
    <t>Date</t>
  </si>
  <si>
    <t>Current</t>
  </si>
  <si>
    <t>Actual</t>
  </si>
  <si>
    <t>Forward</t>
  </si>
  <si>
    <t>Industry</t>
  </si>
  <si>
    <t>Transport / Logistik</t>
  </si>
  <si>
    <t>Trucking</t>
  </si>
  <si>
    <t>Transportation</t>
  </si>
  <si>
    <t>Transport, Logistik und Touristik</t>
  </si>
  <si>
    <t>EV (MEUR)</t>
  </si>
  <si>
    <t>Net Debt (MEUR)</t>
  </si>
  <si>
    <t>Marketcap (MEUR)</t>
  </si>
  <si>
    <t>Debt/Equity</t>
  </si>
  <si>
    <t>Revenue (MEUR)</t>
  </si>
  <si>
    <t xml:space="preserve"> EBITDA (MEUR)</t>
  </si>
  <si>
    <t>EBIT (MEUR)</t>
  </si>
  <si>
    <t>Debt/EBITDA</t>
  </si>
  <si>
    <t>EV/Revenue</t>
  </si>
  <si>
    <t>EV/EBITDA</t>
  </si>
  <si>
    <t>EV/EBIT</t>
  </si>
  <si>
    <t>Deal Size</t>
  </si>
  <si>
    <t>Implied EV</t>
  </si>
  <si>
    <t>% Acquired</t>
  </si>
  <si>
    <t>Company Size</t>
  </si>
  <si>
    <t>Small-Cap</t>
  </si>
  <si>
    <t>MEUR</t>
  </si>
  <si>
    <t>Region</t>
  </si>
  <si>
    <t>Germany</t>
  </si>
  <si>
    <t>Europe</t>
  </si>
  <si>
    <t>Type</t>
  </si>
  <si>
    <t>Transaction</t>
  </si>
  <si>
    <t>Trading</t>
  </si>
  <si>
    <t>PB ID</t>
  </si>
  <si>
    <t>Company</t>
  </si>
  <si>
    <t>Country</t>
  </si>
  <si>
    <t>City</t>
  </si>
  <si>
    <t>PB  DealID</t>
  </si>
  <si>
    <t>Completation Date</t>
  </si>
  <si>
    <t>Deal Type</t>
  </si>
  <si>
    <t>Target ID</t>
  </si>
  <si>
    <t>Target</t>
  </si>
  <si>
    <t>Industry Target</t>
  </si>
  <si>
    <t>Target Country</t>
  </si>
  <si>
    <t>Buyer ID</t>
  </si>
  <si>
    <t>Buyer</t>
  </si>
  <si>
    <t>Buyer Industry</t>
  </si>
  <si>
    <t>Buyer Type</t>
  </si>
  <si>
    <t>Buyer Country</t>
  </si>
  <si>
    <t>Description Target</t>
  </si>
  <si>
    <t>Insert verticaly!</t>
  </si>
  <si>
    <t>111959-20</t>
  </si>
  <si>
    <t>288468-64T</t>
  </si>
  <si>
    <t>53309-53</t>
  </si>
  <si>
    <t>286402-69T</t>
  </si>
  <si>
    <t>50560-03</t>
  </si>
  <si>
    <t>184834-36T</t>
  </si>
  <si>
    <t>59583-25</t>
  </si>
  <si>
    <t>172044-37T</t>
  </si>
  <si>
    <t>41069-44</t>
  </si>
  <si>
    <t>223566-76T</t>
  </si>
  <si>
    <t>509476-87</t>
  </si>
  <si>
    <t>242393-14T</t>
  </si>
  <si>
    <t>41511-61</t>
  </si>
  <si>
    <t>220703-05T</t>
  </si>
  <si>
    <t>42014-53</t>
  </si>
  <si>
    <t>243303-22T</t>
  </si>
  <si>
    <t>159785-65</t>
  </si>
  <si>
    <t>244726-03T</t>
  </si>
  <si>
    <t>11613-97</t>
  </si>
  <si>
    <t>316698-49T</t>
  </si>
  <si>
    <t>41491-99</t>
  </si>
  <si>
    <t>211713-76T</t>
  </si>
  <si>
    <t>Evolution of Public Multiples</t>
  </si>
  <si>
    <t>Shift in Days</t>
  </si>
  <si>
    <t>EV to EBITDA</t>
  </si>
  <si>
    <t>TTM</t>
  </si>
  <si>
    <t>Branche</t>
  </si>
  <si>
    <t>Daten-Update</t>
  </si>
  <si>
    <t>Unternehmensgröße</t>
  </si>
  <si>
    <t>Ebit min</t>
  </si>
  <si>
    <t>Ebit max</t>
  </si>
  <si>
    <t>Ebitda min</t>
  </si>
  <si>
    <t>Ebitda max</t>
  </si>
  <si>
    <t>Umsatz min</t>
  </si>
  <si>
    <t>Umsatz max</t>
  </si>
  <si>
    <t>Nov 2025</t>
  </si>
  <si>
    <t>Micro-Cap</t>
  </si>
  <si>
    <t>Mid-Cap</t>
  </si>
  <si>
    <t>Large-Cap</t>
  </si>
  <si>
    <t>Sep 2025</t>
  </si>
  <si>
    <t>Jul 2025</t>
  </si>
  <si>
    <t>Hinweis zur Nutzung und Weitergabe der Daten</t>
  </si>
  <si>
    <t>Die in diesem Dokument enthaltenen Daten sind urheberrechtlich geschützt.
Ohne vorherige schriftliche Genehmigung des Verlags dürfen sie nicht, auch nicht auszugsweise, auf externen Websites eingebunden, veröffentlicht oder zum Download bereitgestellt werden, sofern sich aus dem Urheberrechtsgesetz nichts anderes ergibt.
Die Daten sind ausschließlich für die interne geschäftliche Nutzung durch den Käufer und seine direkten Klienten bestimmt.</t>
  </si>
  <si>
    <t>Multiplikator</t>
  </si>
  <si>
    <t>Multiples</t>
  </si>
  <si>
    <t>Enterprise Value</t>
  </si>
  <si>
    <t>+/- Net Debt/ Cash</t>
  </si>
  <si>
    <t>Equity Value</t>
  </si>
  <si>
    <t>adjusted</t>
  </si>
  <si>
    <t>Public</t>
  </si>
  <si>
    <t>EV (Umsatz)</t>
  </si>
  <si>
    <t>EQV (Umsatz)</t>
  </si>
  <si>
    <t>EV (EBITDA)</t>
  </si>
  <si>
    <t>EQV (EBITDA)</t>
  </si>
  <si>
    <t>EV (EBIT)</t>
  </si>
  <si>
    <t>EQV (EBIT)</t>
  </si>
  <si>
    <t>Private</t>
  </si>
  <si>
    <t>Aggregation</t>
  </si>
  <si>
    <t>Equally Weighted</t>
  </si>
  <si>
    <t>Weighting</t>
  </si>
  <si>
    <t>Control:</t>
  </si>
  <si>
    <t>Gewichteter Ø-Umsatz</t>
  </si>
  <si>
    <t>Gewichtetes Ø-EBITDA</t>
  </si>
  <si>
    <t>Gewichtetes Ø-EBIT</t>
  </si>
  <si>
    <t>Discount Years</t>
  </si>
  <si>
    <t>DCF-Bewertung</t>
  </si>
  <si>
    <t>Perpetuity</t>
  </si>
  <si>
    <t>WACC Calculation</t>
  </si>
  <si>
    <t>Sensitivity Analysis</t>
  </si>
  <si>
    <t>Forecast:</t>
  </si>
  <si>
    <t>EQUITY</t>
  </si>
  <si>
    <t>DEBT</t>
  </si>
  <si>
    <t>Equity Value based on Terminal Growth Rate &amp; WACC</t>
  </si>
  <si>
    <t>Terminal Growth Rate</t>
  </si>
  <si>
    <t>Risk-free rate</t>
  </si>
  <si>
    <t>Interest rate</t>
  </si>
  <si>
    <t>Beta (Industry)</t>
  </si>
  <si>
    <t>abglegt auf</t>
  </si>
  <si>
    <t>Risk Free Rate</t>
  </si>
  <si>
    <t xml:space="preserve">   WACC</t>
  </si>
  <si>
    <t>Beta Risk-factor</t>
  </si>
  <si>
    <t>Tax rate</t>
  </si>
  <si>
    <t>Adjusted Beta</t>
  </si>
  <si>
    <t>After Tax Interest</t>
  </si>
  <si>
    <t>(1-Tax rate)</t>
  </si>
  <si>
    <t>Cost of equity</t>
  </si>
  <si>
    <t>Cost of debt</t>
  </si>
  <si>
    <t>Adjustments Provisions</t>
  </si>
  <si>
    <t>Book value of debt (intr. bear.)</t>
  </si>
  <si>
    <t>Adjustments Accruals</t>
  </si>
  <si>
    <t>Risk factor</t>
  </si>
  <si>
    <t>Market value of equity (in EUR)</t>
  </si>
  <si>
    <t>Market value of debt</t>
  </si>
  <si>
    <t>-/+ Erhöhung/Minderung des Working Capital</t>
  </si>
  <si>
    <t>MV Debt+Equity</t>
  </si>
  <si>
    <t>-/+ Investitionen (CapEx)/ Desinvestitionen</t>
  </si>
  <si>
    <t>Equity Value based on EBITDA Multiple &amp; WACC</t>
  </si>
  <si>
    <t>EBITDA Multiple</t>
  </si>
  <si>
    <t xml:space="preserve">Unlevered Free Cash Flow </t>
  </si>
  <si>
    <t>WACC</t>
  </si>
  <si>
    <r>
      <t xml:space="preserve">Terminal Value Perpetuity </t>
    </r>
    <r>
      <rPr>
        <i/>
        <sz val="10"/>
        <rFont val="Calibri"/>
        <family val="2"/>
        <scheme val="minor"/>
      </rPr>
      <t>(Growth Rate)</t>
    </r>
  </si>
  <si>
    <t>Discount Faktor</t>
  </si>
  <si>
    <t>Discounted Cash Flow</t>
  </si>
  <si>
    <t>Standard = Median Transactions</t>
  </si>
  <si>
    <t>TV EBITDA (adjusted) Multiple Basis</t>
  </si>
  <si>
    <t>Bei Bedarf individuell zu änderbar</t>
  </si>
  <si>
    <t>EBITDA (TY)</t>
  </si>
  <si>
    <t>TV (EBITDA Basis)</t>
  </si>
  <si>
    <t>PV (EBITDA Basis)</t>
  </si>
  <si>
    <t>Equity Value based on EBIT Multiple &amp; WACC</t>
  </si>
  <si>
    <t>TV EBIT (adjusted) Multiple Basis</t>
  </si>
  <si>
    <t>EBIT Multiple</t>
  </si>
  <si>
    <t>EBIT (TY)</t>
  </si>
  <si>
    <t>TV (EBIT Basis)</t>
  </si>
  <si>
    <t>PV (EBIT Basis)</t>
  </si>
  <si>
    <t>Terminal Value Basis</t>
  </si>
  <si>
    <t>Terminal Value as % of EV</t>
  </si>
  <si>
    <t>+/- Net Debt / Cash</t>
  </si>
  <si>
    <t>Ertragswert</t>
  </si>
  <si>
    <t>Total Turnover</t>
  </si>
  <si>
    <t>EBITDA Marge</t>
  </si>
  <si>
    <t>EBIT Marge</t>
  </si>
  <si>
    <t>Finanzergebnis</t>
  </si>
  <si>
    <t>Ertrag vor Steuern</t>
  </si>
  <si>
    <t>Ertragsteuern (EBT)</t>
  </si>
  <si>
    <t>Ertrag nach Steuern</t>
  </si>
  <si>
    <t>Cost of Equity</t>
  </si>
  <si>
    <t>Entity Value</t>
  </si>
  <si>
    <t>Present Values</t>
  </si>
  <si>
    <t>PV(TV)</t>
  </si>
  <si>
    <t>Risk Adjustment</t>
  </si>
  <si>
    <t>CoE</t>
  </si>
  <si>
    <t>calculated in DCF sheet</t>
  </si>
  <si>
    <t>+20%</t>
  </si>
  <si>
    <t>+10%</t>
  </si>
  <si>
    <t>-10%</t>
  </si>
  <si>
    <t>-20%</t>
  </si>
  <si>
    <t>LBO Transaction Assumptions</t>
  </si>
  <si>
    <t>Purchase Value Basis</t>
  </si>
  <si>
    <t>Median All</t>
  </si>
  <si>
    <t>Entity Value EUR</t>
  </si>
  <si>
    <t>Equity Value EUR</t>
  </si>
  <si>
    <t>Holding Period</t>
  </si>
  <si>
    <t>EBITDA Exit Multiple (Equally weighted Median)</t>
  </si>
  <si>
    <t>Financing</t>
  </si>
  <si>
    <t>% Debt</t>
  </si>
  <si>
    <t>% Equity/Cash</t>
  </si>
  <si>
    <t>Required Debt (without fees)</t>
  </si>
  <si>
    <t>Equity Used</t>
  </si>
  <si>
    <t>% Advisory Fee (in % of EQ Value)</t>
  </si>
  <si>
    <t>% Financing Fee (arranging, underwriting debt)</t>
  </si>
  <si>
    <t>% other Fees (in % of EQ Value)</t>
  </si>
  <si>
    <t>Debt Assumptions (assumes fixed repayment for each Debt)</t>
  </si>
  <si>
    <t xml:space="preserve">Debt </t>
  </si>
  <si>
    <t>Share in %</t>
  </si>
  <si>
    <t>Share EUR</t>
  </si>
  <si>
    <t>Maturity</t>
  </si>
  <si>
    <t>Repayment-free years</t>
  </si>
  <si>
    <t>Interes Rate p.a.</t>
  </si>
  <si>
    <t>Ammortisierungsrate</t>
  </si>
  <si>
    <t>Optional Repayment</t>
  </si>
  <si>
    <t>I</t>
  </si>
  <si>
    <t>Senior Secured Debt/Bank loan</t>
  </si>
  <si>
    <t>N</t>
  </si>
  <si>
    <t>II</t>
  </si>
  <si>
    <t>Senior Unsecured I</t>
  </si>
  <si>
    <t>High-Yield Bond</t>
  </si>
  <si>
    <t>IV</t>
  </si>
  <si>
    <t>Mezzanine Debt</t>
  </si>
  <si>
    <t>Capital Uses/Sources</t>
  </si>
  <si>
    <t>Uses:</t>
  </si>
  <si>
    <t>Sources:</t>
  </si>
  <si>
    <t>Total Debt:</t>
  </si>
  <si>
    <t>Advisory Fees</t>
  </si>
  <si>
    <t>Total Use</t>
  </si>
  <si>
    <t>Financing Fees</t>
  </si>
  <si>
    <t>other Fees</t>
  </si>
  <si>
    <t>Total Equity required</t>
  </si>
  <si>
    <t>Financial Statements</t>
  </si>
  <si>
    <t>Assumptions:</t>
  </si>
  <si>
    <t>Minimum Cash Balance:</t>
  </si>
  <si>
    <t>Insert!</t>
  </si>
  <si>
    <t>Levered Free Cash Flow</t>
  </si>
  <si>
    <t>Cash Balance (BOY)</t>
  </si>
  <si>
    <t>+ Levered Free Cash Flow</t>
  </si>
  <si>
    <t>Cash Available for Debt Repayment (BOY)</t>
  </si>
  <si>
    <t>Cash Used for Debt Repayment</t>
  </si>
  <si>
    <t>Net Change in Cash</t>
  </si>
  <si>
    <t>Ending Cash Balance</t>
  </si>
  <si>
    <t>Debt Schedule  (assumes fixed repayment for each Debt)</t>
  </si>
  <si>
    <t>Debt (BOY)</t>
  </si>
  <si>
    <t>Mandatory Repayment</t>
  </si>
  <si>
    <t>Optional Repayment (excess Cash)</t>
  </si>
  <si>
    <t>Debt (EOY)</t>
  </si>
  <si>
    <t>Interest (Average)</t>
  </si>
  <si>
    <t>Total Interest Paid on Debt</t>
  </si>
  <si>
    <t>Total Interest Earned on Cash</t>
  </si>
  <si>
    <t>Total Interest Earned on other Securities</t>
  </si>
  <si>
    <t>Total Remaining Debt (EOY)</t>
  </si>
  <si>
    <t>Investor Returns</t>
  </si>
  <si>
    <t>Investor Equity</t>
  </si>
  <si>
    <t>Ending Cash</t>
  </si>
  <si>
    <t>Balance Debt</t>
  </si>
  <si>
    <t>Financing Debt</t>
  </si>
  <si>
    <t>IRR:</t>
  </si>
  <si>
    <t>STERN NYU Multiples Europe (Input separate Sheet)</t>
  </si>
  <si>
    <t>Useful Data Sets (nyu.edu)</t>
  </si>
  <si>
    <t>KROLL Multiples Europe (Input Here)</t>
  </si>
  <si>
    <t>Datum</t>
  </si>
  <si>
    <t>Year</t>
  </si>
  <si>
    <t>Only Positive EBITDA Firms</t>
  </si>
  <si>
    <t>30/6/2023</t>
  </si>
  <si>
    <t>Q1/2024</t>
  </si>
  <si>
    <t>EBIT-Multiple</t>
  </si>
  <si>
    <t>EBITDA-Multiple</t>
  </si>
  <si>
    <t>Umsatz-Multiple</t>
  </si>
  <si>
    <t>EV/Sales</t>
  </si>
  <si>
    <t>MIN</t>
  </si>
  <si>
    <t>Average</t>
  </si>
  <si>
    <t>MAX</t>
  </si>
  <si>
    <t>von</t>
  </si>
  <si>
    <t>bis</t>
  </si>
  <si>
    <t>Advertising</t>
  </si>
  <si>
    <t>Bau / Handwerk</t>
  </si>
  <si>
    <t>Aerospace/Defense</t>
  </si>
  <si>
    <t>Beratende Dienstleistungen</t>
  </si>
  <si>
    <t>Air Transport</t>
  </si>
  <si>
    <t>Chemie</t>
  </si>
  <si>
    <t>Apparel</t>
  </si>
  <si>
    <t>E-Commerce</t>
  </si>
  <si>
    <t>Auto &amp; Truck</t>
  </si>
  <si>
    <t>Elektrotechnik / Digitalindustrie</t>
  </si>
  <si>
    <t>Auto Parts</t>
  </si>
  <si>
    <t>Erneuerbare Energien</t>
  </si>
  <si>
    <t>Bank (Money Center)</t>
  </si>
  <si>
    <t>Fahrzeugbau und -zubehör</t>
  </si>
  <si>
    <t>Banks (Regional)</t>
  </si>
  <si>
    <t>Kosmetik</t>
  </si>
  <si>
    <t>Beverage (Alcoholic)</t>
  </si>
  <si>
    <t>Maschinen- und Anlagenbau</t>
  </si>
  <si>
    <t>Beverage (Soft)</t>
  </si>
  <si>
    <t>Medien</t>
  </si>
  <si>
    <t>Broadcasting</t>
  </si>
  <si>
    <t>Medtech / Gesundheitsindustrie</t>
  </si>
  <si>
    <t>Brokerage &amp; Investment Banking</t>
  </si>
  <si>
    <t>Nahrungs- und Genussmittel</t>
  </si>
  <si>
    <t>Building Materials</t>
  </si>
  <si>
    <t>Pharma</t>
  </si>
  <si>
    <t>Business &amp; Consumer Services</t>
  </si>
  <si>
    <t>Software / IT-Services</t>
  </si>
  <si>
    <t>Cable TV</t>
  </si>
  <si>
    <t>Stationärer Handel</t>
  </si>
  <si>
    <t>Chemical (Basic)</t>
  </si>
  <si>
    <t>Telekommunikation</t>
  </si>
  <si>
    <t>Chemical (Diversified)</t>
  </si>
  <si>
    <t>Textil / Bekleidung</t>
  </si>
  <si>
    <t>Chemical (Specialty)</t>
  </si>
  <si>
    <t>Touristik</t>
  </si>
  <si>
    <t>Coal &amp; Related Energy</t>
  </si>
  <si>
    <t>Computer Services</t>
  </si>
  <si>
    <t>Versorgungsbetriebe</t>
  </si>
  <si>
    <t>Computers/Peripherals</t>
  </si>
  <si>
    <t>__Nothing__</t>
  </si>
  <si>
    <t>Construction Supplies</t>
  </si>
  <si>
    <t>Unternehmen bis 20 Millionen Euro Umsatz</t>
  </si>
  <si>
    <t>Diversified</t>
  </si>
  <si>
    <t>Unternehmen unter 50 Millionen Euro Umsatz</t>
  </si>
  <si>
    <t>Drugs (Biotechnology)</t>
  </si>
  <si>
    <t>Unternehmen von 50 bis 250 Millionen Euro Umsatz</t>
  </si>
  <si>
    <t>Drugs (Pharmaceutical)</t>
  </si>
  <si>
    <t>Unternehmen ab 250 Millionen Euro Umsatz</t>
  </si>
  <si>
    <t>Education</t>
  </si>
  <si>
    <t>Electrical Equipment</t>
  </si>
  <si>
    <t>Electronics (Consumer &amp; Office)</t>
  </si>
  <si>
    <t>Electronics (General)</t>
  </si>
  <si>
    <t>Engineering/Construction</t>
  </si>
  <si>
    <t>Entertainment</t>
  </si>
  <si>
    <t>Environmental &amp; Waste Services</t>
  </si>
  <si>
    <t>Farming/Agriculture</t>
  </si>
  <si>
    <t>Financial Svcs. (Non-bank &amp; Insurance)</t>
  </si>
  <si>
    <t>Food Processing</t>
  </si>
  <si>
    <t>Food Wholesalers</t>
  </si>
  <si>
    <t>Furn/Home Furnishings</t>
  </si>
  <si>
    <t>Green &amp; Renewable Energy</t>
  </si>
  <si>
    <t>Healthcare Products</t>
  </si>
  <si>
    <t>Healthcare Support Services</t>
  </si>
  <si>
    <t>Heathcare Information and Technology</t>
  </si>
  <si>
    <t>Homebuilding</t>
  </si>
  <si>
    <t>Hospitals/Healthcare Facilities</t>
  </si>
  <si>
    <t>Hotel/Gaming</t>
  </si>
  <si>
    <t>Household Products</t>
  </si>
  <si>
    <t>Information Services</t>
  </si>
  <si>
    <t>Insurance (General)</t>
  </si>
  <si>
    <t>Insurance (Life)</t>
  </si>
  <si>
    <t>Insurance (Prop/Cas.)</t>
  </si>
  <si>
    <t>Investments &amp; Asset Management</t>
  </si>
  <si>
    <t>Machinery</t>
  </si>
  <si>
    <t>Metals &amp; Mining</t>
  </si>
  <si>
    <t>Office Equipment &amp; Services</t>
  </si>
  <si>
    <t>Oil/Gas (Integrated)</t>
  </si>
  <si>
    <t>Oil/Gas (Production and Exploration)</t>
  </si>
  <si>
    <t>Oil/Gas Distribution</t>
  </si>
  <si>
    <t>Oilfield Svcs/Equip.</t>
  </si>
  <si>
    <t>Packaging &amp; Container</t>
  </si>
  <si>
    <t>Paper/Forest Products</t>
  </si>
  <si>
    <t>Power</t>
  </si>
  <si>
    <t>Precious Metals</t>
  </si>
  <si>
    <t>Publishing &amp; Newspapers</t>
  </si>
  <si>
    <t>R.E.I.T.</t>
  </si>
  <si>
    <t>Real Estate (Development)</t>
  </si>
  <si>
    <t>Real Estate (General/Diversified)</t>
  </si>
  <si>
    <t>Real Estate (Operations &amp; Services)</t>
  </si>
  <si>
    <t>Recreation</t>
  </si>
  <si>
    <t>Reinsurance</t>
  </si>
  <si>
    <t>Restaurant/Dining</t>
  </si>
  <si>
    <t>Retail (Automotive)</t>
  </si>
  <si>
    <t>Retail (Building Supply)</t>
  </si>
  <si>
    <t>Retail (Distributors)</t>
  </si>
  <si>
    <t>Retail (General)</t>
  </si>
  <si>
    <t>Retail (Grocery and Food)</t>
  </si>
  <si>
    <t>Retail (REITs)</t>
  </si>
  <si>
    <t>Retail (Special Lines)</t>
  </si>
  <si>
    <t>Rubber&amp; Tires</t>
  </si>
  <si>
    <t>Semiconductor</t>
  </si>
  <si>
    <t>Semiconductor Equip</t>
  </si>
  <si>
    <t>Shipbuilding &amp; Marine</t>
  </si>
  <si>
    <t>Shoe</t>
  </si>
  <si>
    <t>Software (Entertainment)</t>
  </si>
  <si>
    <t>Software (Internet)</t>
  </si>
  <si>
    <t>Software (System &amp; Application)</t>
  </si>
  <si>
    <t>Steel</t>
  </si>
  <si>
    <t>Telecom (Wireless)</t>
  </si>
  <si>
    <t>Telecom. Equipment</t>
  </si>
  <si>
    <t>Telecom. Services</t>
  </si>
  <si>
    <t>Tobacco</t>
  </si>
  <si>
    <t>Transportation (Railroads)</t>
  </si>
  <si>
    <t>Utility (General)</t>
  </si>
  <si>
    <t>Utility (Water)</t>
  </si>
  <si>
    <t>Total Market</t>
  </si>
  <si>
    <t>Total Market (without financials)</t>
  </si>
  <si>
    <t>Ausgabe 04/2025</t>
  </si>
  <si>
    <t>EBIT Min</t>
  </si>
  <si>
    <t>EBIT Max</t>
  </si>
  <si>
    <t>EBITDA Min</t>
  </si>
  <si>
    <t>EBITDA Max</t>
  </si>
  <si>
    <t>Umsatz Min</t>
  </si>
  <si>
    <t>Umsatz Max</t>
  </si>
  <si>
    <t>NYU Stern Trading Multiples Western Europe</t>
  </si>
  <si>
    <t>Date updated:</t>
  </si>
  <si>
    <t>05. Jan 25</t>
  </si>
  <si>
    <t>YouTube Video explaining estimation choices and process.</t>
  </si>
  <si>
    <t>Created by:</t>
  </si>
  <si>
    <t>Aswath Damodaran, adamodar@stern.nyu.edu</t>
  </si>
  <si>
    <t>Pricing ratios (or multiples) can be used to price companies, with the end game of determining whether they are under or over priced.</t>
  </si>
  <si>
    <t>What is this data?</t>
  </si>
  <si>
    <t xml:space="preserve">Revenue multiples </t>
  </si>
  <si>
    <t>Enterprise value multiples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</si>
  <si>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</si>
  <si>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</si>
  <si>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</si>
  <si>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</si>
  <si>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</si>
  <si>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</si>
  <si>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</si>
  <si>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</si>
  <si>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Industry Name</t>
  </si>
  <si>
    <t>Number of firms</t>
  </si>
  <si>
    <t>Price/Sales</t>
  </si>
  <si>
    <t>Net Margin</t>
  </si>
  <si>
    <t>Pre-tax Operating Margin</t>
  </si>
  <si>
    <t>Only positive EBITDA firms</t>
  </si>
  <si>
    <t>All firms</t>
  </si>
  <si>
    <t>EV/EBITDAR&amp;D</t>
  </si>
  <si>
    <t>EV/EBIT (1-t)</t>
  </si>
  <si>
    <t>https://www.kroll.com/en/insights/publications/valuation</t>
  </si>
  <si>
    <t>Communication Services</t>
  </si>
  <si>
    <t>Media and Entertainment</t>
  </si>
  <si>
    <t>Telecommunication Services</t>
  </si>
  <si>
    <t>Consumer Discretionary</t>
  </si>
  <si>
    <t>Automobiles and Components</t>
  </si>
  <si>
    <t>Consumer Durables and Apparel</t>
  </si>
  <si>
    <t>Consumer Services</t>
  </si>
  <si>
    <t>Consumer Discretionary Distribution and Retail</t>
  </si>
  <si>
    <t>Consumer Staples</t>
  </si>
  <si>
    <t>Consumer Staples Distribution and Retail</t>
  </si>
  <si>
    <t>Food, Beverage and Tobacco</t>
  </si>
  <si>
    <t>Household and Personal Products</t>
  </si>
  <si>
    <t>Energy</t>
  </si>
  <si>
    <t>Health Care</t>
  </si>
  <si>
    <t>Health Care Equipment and Services</t>
  </si>
  <si>
    <t>Pharmaceuticals, Biotechnology and Life Sciences</t>
  </si>
  <si>
    <t>Industrials</t>
  </si>
  <si>
    <t>Capital Goods</t>
  </si>
  <si>
    <t>Commercial and Professional Services</t>
  </si>
  <si>
    <t>Information Technology</t>
  </si>
  <si>
    <t>Semiconductors and Semiconductor Equipment</t>
  </si>
  <si>
    <t>Software and Services</t>
  </si>
  <si>
    <t>Technology Hardware and Equipment</t>
  </si>
  <si>
    <t>Materials</t>
  </si>
  <si>
    <t>Real Estate</t>
  </si>
  <si>
    <t>Utilities</t>
  </si>
  <si>
    <t>Electric, Gas and Water Utilities</t>
  </si>
  <si>
    <t>Independent Power and Renewable Electricity Producers</t>
  </si>
  <si>
    <t>DUB KMU Multiples 2024 - aktuelle Werte für Unternehmensbewertung</t>
  </si>
  <si>
    <t>Q1/2025</t>
  </si>
  <si>
    <t>Bau und Handwerk</t>
  </si>
  <si>
    <t>Beratende Dienstleistung</t>
  </si>
  <si>
    <t>Chemie, Kunststoffe, Papier</t>
  </si>
  <si>
    <t>Elektrotechnik</t>
  </si>
  <si>
    <t>Handel und E-Commerce</t>
  </si>
  <si>
    <t>Pharma, Bio- und Medizintechnik</t>
  </si>
  <si>
    <t>Software</t>
  </si>
  <si>
    <t>Textilien und Bekleidung</t>
  </si>
  <si>
    <t>Umwelttechnik</t>
  </si>
  <si>
    <t>Versorgungswirtschaft</t>
  </si>
  <si>
    <t>Take</t>
  </si>
  <si>
    <t>Deutsch</t>
  </si>
  <si>
    <t>G&amp;V (Gesamtkostenverfahren)</t>
  </si>
  <si>
    <t>Income Statement/ P&amp;L (Total cost)</t>
  </si>
  <si>
    <t>G&amp;V (Umsatzkostenverfahren)</t>
  </si>
  <si>
    <t>Income Statement/ P&amp;L (Cost of sales)</t>
  </si>
  <si>
    <t>Revenue</t>
  </si>
  <si>
    <t>Sonstige Erlöse</t>
  </si>
  <si>
    <t>Other Income (loss)</t>
  </si>
  <si>
    <t>Bestandsveränderungen</t>
  </si>
  <si>
    <t>Change in Inventory</t>
  </si>
  <si>
    <t>Bereinigungen (Gesamtleistung)</t>
  </si>
  <si>
    <t>Adjustments (Total Turnover)</t>
  </si>
  <si>
    <t>Gesamtleistung (bereinigt)</t>
  </si>
  <si>
    <t>Total Turnover (adjusted)</t>
  </si>
  <si>
    <t>Gesamtleistung (reported)</t>
  </si>
  <si>
    <t>Total Turnover (reported)</t>
  </si>
  <si>
    <t>Total Turnover Growth</t>
  </si>
  <si>
    <t>Materialaufwand</t>
  </si>
  <si>
    <t>Cost of Material</t>
  </si>
  <si>
    <t>Umsatzkosten</t>
  </si>
  <si>
    <t>Cost of sales</t>
  </si>
  <si>
    <t>a) Aufwendungen für Roh-, Hilfs- &amp; Betriebsstoffe &amp; bezogene Waren</t>
  </si>
  <si>
    <t>a) Cost of raw materials, consumables &amp; supplies &amp; purchased goods</t>
  </si>
  <si>
    <t>a) Herstellungskosten der zur Erzielung der Umsatzerlöse erbrachten Leistungen</t>
  </si>
  <si>
    <t>a) Cost of sales</t>
  </si>
  <si>
    <t>b) Aufwendungen für bezogene Leistungen</t>
  </si>
  <si>
    <t>b) Expenses for purchased services</t>
  </si>
  <si>
    <t>b) sonst. Umsatzkosten</t>
  </si>
  <si>
    <t>b) Other Cost of sales</t>
  </si>
  <si>
    <t>Bereinigungen (Materialaufwand)</t>
  </si>
  <si>
    <t>Adjustments (Cost of Material)</t>
  </si>
  <si>
    <t>Bereinigungen (Herstellungskosten)</t>
  </si>
  <si>
    <t>Adjustments (Cost of Sales)</t>
  </si>
  <si>
    <t>Rohergebnis (bereinigt)</t>
  </si>
  <si>
    <t>Gross Profit (adjusted)</t>
  </si>
  <si>
    <t>Bruttoergebnis vom Umsatz (bereinigt)</t>
  </si>
  <si>
    <t>Gross profit on sales (adjusted)</t>
  </si>
  <si>
    <t>Gross Profit Margin</t>
  </si>
  <si>
    <t>Gross profit margin</t>
  </si>
  <si>
    <t>Rohergebnis (reported)</t>
  </si>
  <si>
    <t>Gross Profit (reported)</t>
  </si>
  <si>
    <t>Bruttoergebnis vom Umsatz (reported)</t>
  </si>
  <si>
    <t>Gross profit on sales (reported)</t>
  </si>
  <si>
    <t>Personalaufwand</t>
  </si>
  <si>
    <t>Personnel Expenses</t>
  </si>
  <si>
    <t>Vertriebskosten &amp; allgemeine Verwaltungskosten</t>
  </si>
  <si>
    <t>Sales Costs and General administrative costs</t>
  </si>
  <si>
    <t>a) Löhne und Gehälter</t>
  </si>
  <si>
    <t>a) Wages and Salaries</t>
  </si>
  <si>
    <t>a) Vertriebskosten</t>
  </si>
  <si>
    <t>a) Sales Costs</t>
  </si>
  <si>
    <t>b) Soziale Abgaben und Aufwendungen für Altersvor.</t>
  </si>
  <si>
    <t>b) Social security contributions and pension costs</t>
  </si>
  <si>
    <t>b) allgemeine Verwaltungskosten</t>
  </si>
  <si>
    <t>b) General administration costs</t>
  </si>
  <si>
    <t>Bereinigungen (Personalaufwand)</t>
  </si>
  <si>
    <t>Adjustments (Personnel Expenses)</t>
  </si>
  <si>
    <t>Bereinigungen (Vertriebskosten &amp; allgemeine Verwaltungskosten)</t>
  </si>
  <si>
    <t>Adjustments (Sales Costs and General administrative costs)</t>
  </si>
  <si>
    <t>Sonstige betriebliche Erträge</t>
  </si>
  <si>
    <t>Other Operating Income</t>
  </si>
  <si>
    <t>Bereinigungen (sonst. betr. Erträge)</t>
  </si>
  <si>
    <t>Adjustments (Other Operating Income)</t>
  </si>
  <si>
    <t>Sonstige betriebliche Aufwendungen</t>
  </si>
  <si>
    <t>Other Operating Expenses</t>
  </si>
  <si>
    <t>Bereinigungen (sonst. betr. Aufw.)</t>
  </si>
  <si>
    <t>Adjustments (Other Operating Expenses)</t>
  </si>
  <si>
    <t>EBITDA (bereinigt)</t>
  </si>
  <si>
    <t>EBITDA (adjusted)</t>
  </si>
  <si>
    <t>EBITDA (bereinigt)-Marge</t>
  </si>
  <si>
    <t>EBITDA (adjusted) Margin</t>
  </si>
  <si>
    <t>Depreciation and Amortization</t>
  </si>
  <si>
    <t>a) Immaterielle Vermögensgegenstände</t>
  </si>
  <si>
    <t>a) Intangibles</t>
  </si>
  <si>
    <t>b) Sachanlagevermögen/ Umlaufvermögen</t>
  </si>
  <si>
    <t>b) PP&amp;E/Current Assets</t>
  </si>
  <si>
    <t>Bereinigungen (AfA)</t>
  </si>
  <si>
    <t>Adjustments (Depreciation and Amortization)</t>
  </si>
  <si>
    <t>EBIT (bereinigt)</t>
  </si>
  <si>
    <t>EBIT (adjusted)</t>
  </si>
  <si>
    <t>EBIT (bereinigt)-Marge</t>
  </si>
  <si>
    <t>EBIT (adjusted) Margin</t>
  </si>
  <si>
    <t>Financial Result</t>
  </si>
  <si>
    <t>Sonstige Zinsen und ähnliche Erträge</t>
  </si>
  <si>
    <t>Other Interest and similar Income</t>
  </si>
  <si>
    <t>Zinsen und ähnliche Aufwendungen</t>
  </si>
  <si>
    <t>Interest and similar Expenses</t>
  </si>
  <si>
    <t>Bereinigungen (Finanzergebnis)</t>
  </si>
  <si>
    <t>Adjustments (Financial Result)</t>
  </si>
  <si>
    <t>Abschreibungen auf Finanzanlagen und WP des Umlaufvermögens</t>
  </si>
  <si>
    <t>Depreciation of current assets and amortisation of financial assets</t>
  </si>
  <si>
    <t>Bereinigungen (Abschreibungen auf Finanzanlagen)</t>
  </si>
  <si>
    <t>Adjustments (Depreciation of current assets and amortisation of financial assets)</t>
  </si>
  <si>
    <t>Außerordentliches Ergebnis</t>
  </si>
  <si>
    <t>Extraordinary Items</t>
  </si>
  <si>
    <t>Bereinigungen (Außerordentliches Ergebnis)</t>
  </si>
  <si>
    <t>Adjustments (Extraordinary Items)</t>
  </si>
  <si>
    <t>EBT (bereinigt)</t>
  </si>
  <si>
    <t>EBT (adjusted)</t>
  </si>
  <si>
    <t>Steuern vom Einkommen und Ertrag + sonstige Steuern</t>
  </si>
  <si>
    <t>Taxes on income and earnings + other taxes</t>
  </si>
  <si>
    <t>Steuern vom Einkommen und Ertrag</t>
  </si>
  <si>
    <t xml:space="preserve">Taxes on Income and Earnings  </t>
  </si>
  <si>
    <t>Sonstige Steuern</t>
  </si>
  <si>
    <t>other taxes</t>
  </si>
  <si>
    <t>Bereinigungen (Steuern)</t>
  </si>
  <si>
    <t>Adjustments (Taxes)</t>
  </si>
  <si>
    <t>Bereinigungen (Steuern Vorjahre)</t>
  </si>
  <si>
    <t>Adjustments (Taxes Previous Years)</t>
  </si>
  <si>
    <t>Jahresüberschuss / -fehlbetrag (bereinigt)</t>
  </si>
  <si>
    <t>Net Profit (loss) (adjusted)</t>
  </si>
  <si>
    <t>Umsatzrendite  (bereinigt)</t>
  </si>
  <si>
    <t>Return on Sales (adjusted)</t>
  </si>
  <si>
    <t>Assets</t>
  </si>
  <si>
    <t>A. Anlagevermögen</t>
  </si>
  <si>
    <t>A. Fixed Assets</t>
  </si>
  <si>
    <t>I. Immaterielle Vermögensgegenstände</t>
  </si>
  <si>
    <t>I. Intangibles</t>
  </si>
  <si>
    <t>1. Selbst geschaffene und erworbene Rechte und Lizensen</t>
  </si>
  <si>
    <t>1. Self-created and acquired rights and licences</t>
  </si>
  <si>
    <t>2. Geschäfts- oder Firmenwert</t>
  </si>
  <si>
    <t>2. Goodwill</t>
  </si>
  <si>
    <t>3. geleistete Anzahlungen</t>
  </si>
  <si>
    <t>3. Prepaid Expenses</t>
  </si>
  <si>
    <t>II. Sachanlagen</t>
  </si>
  <si>
    <t>II. PP&amp;E</t>
  </si>
  <si>
    <t>1. Bauten auf fremden Grundstücken</t>
  </si>
  <si>
    <t>1. Buildings on Third-Party Property</t>
  </si>
  <si>
    <t>2. Technische Anlagen und Maschinen</t>
  </si>
  <si>
    <t>2. Technical Equipment and Machinery</t>
  </si>
  <si>
    <t>3. andere Anlagen, Betriebs- und Geschäftsausstattung</t>
  </si>
  <si>
    <t>3. Other equipment, operating and office equipment</t>
  </si>
  <si>
    <t>4. geleistete Anzahlungen und Anlagen im Bau</t>
  </si>
  <si>
    <t>4. Advance payments made and assets under construction</t>
  </si>
  <si>
    <t>III. Finanzanlagen</t>
  </si>
  <si>
    <t>III. Financial Assets</t>
  </si>
  <si>
    <t>1. Anteile an Verbundenen Unternehmen</t>
  </si>
  <si>
    <t>1. Shares in Affiliated Businesses</t>
  </si>
  <si>
    <t>2. Ausleihungen</t>
  </si>
  <si>
    <t>2. Loans</t>
  </si>
  <si>
    <t>3. Beteiligungen</t>
  </si>
  <si>
    <t>3. Participations</t>
  </si>
  <si>
    <t>4. sonstige Finanzanlagen des Anlagevermögen</t>
  </si>
  <si>
    <t>4. Other Financial Assets (Fixed Assets)</t>
  </si>
  <si>
    <t>B. Umlaufvermögen</t>
  </si>
  <si>
    <t>B. Current Assets</t>
  </si>
  <si>
    <t>I. Vorräte</t>
  </si>
  <si>
    <t>I. Inventories</t>
  </si>
  <si>
    <t>1. Roh-, Hilfs- und Betriebsstoffe</t>
  </si>
  <si>
    <t>1. Raw Materials and Supplies</t>
  </si>
  <si>
    <t>2. unfertige Erzeugnisse und Leistungen</t>
  </si>
  <si>
    <t>2. Unfinished Goods and Services</t>
  </si>
  <si>
    <t>3. fertige Erzeugnisse und Waren</t>
  </si>
  <si>
    <t>3. Finished products and Goods</t>
  </si>
  <si>
    <t xml:space="preserve">4. geleistete Anzahlungen </t>
  </si>
  <si>
    <t>4. Advance Payments Made</t>
  </si>
  <si>
    <t>II. Forderungen und sonstige Vermögensgegenstände</t>
  </si>
  <si>
    <t>II. Receivables and other assets</t>
  </si>
  <si>
    <t>1. Forderungen aus LuL</t>
  </si>
  <si>
    <t>1. Trade Receivables</t>
  </si>
  <si>
    <t>2. Forderungen gegenüber verb. Unternehmen</t>
  </si>
  <si>
    <t>2. Receivables from Affiliated Businesses</t>
  </si>
  <si>
    <t>3. Sonstige Vermögensgegenstände</t>
  </si>
  <si>
    <t>3. Other Assets</t>
  </si>
  <si>
    <t>III. Wertpapiere</t>
  </si>
  <si>
    <t>III. Securities</t>
  </si>
  <si>
    <t>IV. Kassenbestand, Bankguthaben</t>
  </si>
  <si>
    <t>IV. Cash in Hand, Bank Balances</t>
  </si>
  <si>
    <t>C. Aktive Rechnungsabgrenzungsposten</t>
  </si>
  <si>
    <t>C. Prepaid expenses / Accrued income</t>
  </si>
  <si>
    <t>D. Aktive Latente Steuern</t>
  </si>
  <si>
    <t>D. Deferred tax assets</t>
  </si>
  <si>
    <t>Summe Aktiva</t>
  </si>
  <si>
    <t>Liabilities and Shareholders' Equity</t>
  </si>
  <si>
    <t>A. Eigenkapital</t>
  </si>
  <si>
    <t>A. Equity</t>
  </si>
  <si>
    <t>I. Gezeichnetes Kapital</t>
  </si>
  <si>
    <t>I. Common Stock</t>
  </si>
  <si>
    <t>II. Kapitalrücklagen</t>
  </si>
  <si>
    <t>II. Additional Paid-In Capital</t>
  </si>
  <si>
    <t>III. Gewinnvortrag/Verlustvortrag</t>
  </si>
  <si>
    <t>III. Retained earnings/loss carried forward</t>
  </si>
  <si>
    <t>IV. Jahresüberschuss</t>
  </si>
  <si>
    <t>IV. Net Profit</t>
  </si>
  <si>
    <t>B. Rückstellungen</t>
  </si>
  <si>
    <t>B. Provisions</t>
  </si>
  <si>
    <t>1. Rückstellungen für Pensionen u. ähnliche Verpf.</t>
  </si>
  <si>
    <t>1. Provisions for pensions and similar obligations</t>
  </si>
  <si>
    <t>2. Steuerrückstellungen</t>
  </si>
  <si>
    <t>2. Tax Provisions</t>
  </si>
  <si>
    <t>3. Sonstige Rückstellungen</t>
  </si>
  <si>
    <t>3. Other Provisions</t>
  </si>
  <si>
    <t>C. Verbindlichkeiten</t>
  </si>
  <si>
    <t>C. Liabilities</t>
  </si>
  <si>
    <t>1. Anleihen</t>
  </si>
  <si>
    <t>1. Bonds</t>
  </si>
  <si>
    <t>2. Verbindlichkeiten gegenüber Kreditinstituten</t>
  </si>
  <si>
    <t>2. Liabilities to Credit Institutions</t>
  </si>
  <si>
    <t>3. Erhaltene Anzahlungen auf Bestellungen</t>
  </si>
  <si>
    <t>3. Unearned Revenue</t>
  </si>
  <si>
    <t>4. Verbindlichkeiten aus LuL</t>
  </si>
  <si>
    <t>4. Liabilities from trade payables</t>
  </si>
  <si>
    <t>5. Verbindlichkeiten ggü. verb. Unternehmen/ Gesellschaftern</t>
  </si>
  <si>
    <t>5. Liabilities to affiliated companies/shareholders Companies/ shareholders</t>
  </si>
  <si>
    <t>6. Sonstige Verbindlichkeiten</t>
  </si>
  <si>
    <t>6. Other Liabilities</t>
  </si>
  <si>
    <t>D. Passive Rechnungsabgrenzung</t>
  </si>
  <si>
    <t>D. Accrued expenses / Deferred income</t>
  </si>
  <si>
    <t>E. Passive Latente Steuern</t>
  </si>
  <si>
    <t>E. Deferred Tax Liabilities</t>
  </si>
  <si>
    <t>Summe Passiva</t>
  </si>
  <si>
    <t>Total Liabilities and Shareholders's Equity</t>
  </si>
  <si>
    <t>Cashflow Rechnung</t>
  </si>
  <si>
    <t>Statement of Cash Flows</t>
  </si>
  <si>
    <t>Jahresüberschuss / Jahresfehlbetrag</t>
  </si>
  <si>
    <t>Net profit / loss for the year</t>
  </si>
  <si>
    <t>Liabilities and Stockholders' Equity</t>
  </si>
  <si>
    <t>Zunahme (+) / Abnahme (-) Rückstellungen für Pensionen u. ähnliche Verpf.</t>
  </si>
  <si>
    <t>Increase (+) / decrease (-) in provisions for pensions and similar obligations</t>
  </si>
  <si>
    <t>Zunahme (+) / Abnahme (-) Steuerrückstellungen</t>
  </si>
  <si>
    <t>Increase (+) / decrease (-) in tax provisions</t>
  </si>
  <si>
    <t>Zunahme (+) / Abnahme (-) Sonstige Rückstellungen</t>
  </si>
  <si>
    <t>Increase (+) / decrease (-) in other provisions</t>
  </si>
  <si>
    <t>Zunahme (+) / Abnahme (-) Sonstige Verbindlichkeiten</t>
  </si>
  <si>
    <t>Increase (+) / decrease (-) in other liabilities</t>
  </si>
  <si>
    <t>Zunahme (+) / Abnahme (-) Passive Rechnungsabgrenzung</t>
  </si>
  <si>
    <t>Increase (+) / decrease (-) in accrued expenses and deferred income</t>
  </si>
  <si>
    <t>Zunahme (+) / Abnahme (-) Passive Latente Steuern</t>
  </si>
  <si>
    <t>Increase (+) / decrease (-) in deferred tax liabilities</t>
  </si>
  <si>
    <t>WC</t>
  </si>
  <si>
    <t>Working Capital</t>
  </si>
  <si>
    <t>Zunahme (-) / Abnahme (+) des Working Capitals</t>
  </si>
  <si>
    <t>Increase (-) / decrease (+) in working capital</t>
  </si>
  <si>
    <t>Abschreibungen (+) / Zuschreibungen (-) auf Gegenstände des AV</t>
  </si>
  <si>
    <t>Depreciation (+) / write-ups (-) on non-financial assets</t>
  </si>
  <si>
    <t>Zunahme (-) / Abnahme (+)  Sonstige Vermögensgegenstände</t>
  </si>
  <si>
    <t>Increase (-) / decrease (+) in other assets</t>
  </si>
  <si>
    <t>Zunahme (-) / Abnahme (+)  Aktive Rechnungsabgrenzungsposten</t>
  </si>
  <si>
    <t>Increase (-) / decrease (+) in prepaid expenses and deferred charges</t>
  </si>
  <si>
    <t>Zunahme (-) / Abnahme (+)  Aktive Latente Steuern</t>
  </si>
  <si>
    <t>Increase (-) / decrease (+) in deferred tax assets</t>
  </si>
  <si>
    <t>Cashflow I aus laufender Geschäftstätigkeit</t>
  </si>
  <si>
    <t>Cash Flow I from operating activities</t>
  </si>
  <si>
    <t>Auzahlungen für Investitionen/Abgang/Umbuchung in Immaterielle Vermögensgegenstände</t>
  </si>
  <si>
    <t xml:space="preserve">Cash outflows for investments/disposals/transfers to intangible assets </t>
  </si>
  <si>
    <t>Auzahlungen für Investitionen/Abgang/ Umbuchung in Sachanlagen</t>
  </si>
  <si>
    <t>Cash outflows for investments/disposals/transfers to property, plant and equipment</t>
  </si>
  <si>
    <t>Auzahlungen für Investitionen/Abgang in Finanzanlagen</t>
  </si>
  <si>
    <t>Cash outflows for investments/disposals in financial assets</t>
  </si>
  <si>
    <t>Cashflow II aus Investitionstätigkeit</t>
  </si>
  <si>
    <t>Cash Flow II from investing activities</t>
  </si>
  <si>
    <t>Zunahme (+) / Abnahme (-) Verbindlichkeiten ggü. verb. Unternehmen</t>
  </si>
  <si>
    <t>Increase (+) / decrease (-) in liabilities to affiliated companies</t>
  </si>
  <si>
    <t>Zunahme (+) / Abnahme (-) Verbindlichkeiten ggü. Kreditinstituten</t>
  </si>
  <si>
    <t>Increase (+) / decrease (-) in liabilities to credit institutions</t>
  </si>
  <si>
    <t>Zunahme (+) / Abnahme (-) Kapitalrücklagen</t>
  </si>
  <si>
    <t>Increase (+) / decrease (-) in capital reserves</t>
  </si>
  <si>
    <t>Zunahme (+) / Abnahme (-) Stammkapital</t>
  </si>
  <si>
    <t>Increase (+) / decrease (-) in common stock</t>
  </si>
  <si>
    <t>Zunahme (+) / Abnahme (-) Anleihen</t>
  </si>
  <si>
    <t>Increase (+) / decrease (-) in bonds</t>
  </si>
  <si>
    <t>Zunahme (-) / Abnahme (+) Forderungen gegenüber verb. Unternehmen</t>
  </si>
  <si>
    <t>Increase (-) / decrease (+) in receivables from affiliated companies</t>
  </si>
  <si>
    <t>Zunahme (-) / Abnahme (+) Wertpapiere</t>
  </si>
  <si>
    <t>Increase (-) / decrease (+) in securities</t>
  </si>
  <si>
    <t>Cashflow III aus Finanzierungstätigkeit</t>
  </si>
  <si>
    <t>Cash Flow III from financing activities</t>
  </si>
  <si>
    <t>Cashflow Total (levered) (Veränderung der liquiden Mittel/ Kassenstand)</t>
  </si>
  <si>
    <t>Total Cash Flow (levered) (Change in liquid funds/ Cash balance)</t>
  </si>
  <si>
    <t>Working Capital (WC)</t>
  </si>
  <si>
    <t>( + )  Vorräte</t>
  </si>
  <si>
    <t>( + ) Inventories</t>
  </si>
  <si>
    <t>( + )  Forderungen aus LuL</t>
  </si>
  <si>
    <t>( + ) Trade receivables</t>
  </si>
  <si>
    <t>( - )  Verbindlichkeiten aus LuL</t>
  </si>
  <si>
    <t>( - ) Trade Payables</t>
  </si>
  <si>
    <t>( - )  NWC Anpassungen</t>
  </si>
  <si>
    <t>( - )  NWC adjustments</t>
  </si>
  <si>
    <t>Net Working Capital</t>
  </si>
  <si>
    <t>∆ Working Capital (Zunahme (-)/ Abnahme (+))</t>
  </si>
  <si>
    <t>∆ Working Capital (Increase (-)/ Decrease (+))</t>
  </si>
  <si>
    <t>durchschnittliches Working Capital (financial year: FC, A0, A-1)</t>
  </si>
  <si>
    <t>Average working capital (financial year: FC, A0, A-1)</t>
  </si>
  <si>
    <t>WC (Max)</t>
  </si>
  <si>
    <t>WC (Min)</t>
  </si>
  <si>
    <t>WC (Mittelwert)</t>
  </si>
  <si>
    <t>WC (Mean)</t>
  </si>
  <si>
    <t>WC (Standard Deviation)</t>
  </si>
  <si>
    <t>TWC in % GL</t>
  </si>
  <si>
    <t>TWC in % of total turnover</t>
  </si>
  <si>
    <t>Analyse des Nettoumlaufvermögens</t>
  </si>
  <si>
    <t>Analysis of net working capital</t>
  </si>
  <si>
    <t>Cost of Materials</t>
  </si>
  <si>
    <t>Lagerumschlagsdauer, in Tagen (DIH)</t>
  </si>
  <si>
    <t>Stockholding, in days (Days Inventory Held)</t>
  </si>
  <si>
    <t>Kreditorenziel, in Tagen (DPO)</t>
  </si>
  <si>
    <t>Accounts payable target, in days (Days Payables Outstanding)</t>
  </si>
  <si>
    <t>Debitorenziel, in Tagen (DSO)</t>
  </si>
  <si>
    <t>Debtor target, in days (Days Sales Outstanding)</t>
  </si>
  <si>
    <t>Notwendige Zwischenfinanzierung, in Tagen (CCC)</t>
  </si>
  <si>
    <t>Interim financing required, in days (Cash Conversion Cycle)</t>
  </si>
  <si>
    <t>Weitere Begriffe</t>
  </si>
  <si>
    <t>Other</t>
  </si>
  <si>
    <t>(in % of total turnover)</t>
  </si>
  <si>
    <t>Notizen</t>
  </si>
  <si>
    <t>Comments</t>
  </si>
  <si>
    <t>Kontrolle</t>
  </si>
  <si>
    <t>Gewinn &amp; Verlustrechnung</t>
  </si>
  <si>
    <t>Income Statement</t>
  </si>
  <si>
    <t>Bilanz</t>
  </si>
  <si>
    <t>Balance Sheet</t>
  </si>
  <si>
    <t>Planungs-Annahmen (G&amp;V)</t>
  </si>
  <si>
    <t>Planning assumptions (P&amp;L)</t>
  </si>
  <si>
    <t>Total turnover</t>
  </si>
  <si>
    <t>Planung Gewinn &amp; Verlustrechnung</t>
  </si>
  <si>
    <t>Profit &amp; Loss Planning</t>
  </si>
  <si>
    <t>Umsatzplanung</t>
  </si>
  <si>
    <t>Revenue Planning</t>
  </si>
  <si>
    <t>Zinsberechnung</t>
  </si>
  <si>
    <t>Interest calculation</t>
  </si>
  <si>
    <t>Zinstragenden Verbindlichkeiten</t>
  </si>
  <si>
    <t>Interest bearing liabilities</t>
  </si>
  <si>
    <t>(in % der zinstr. Verbindl.)</t>
  </si>
  <si>
    <t>(in % int. bearing liab.)</t>
  </si>
  <si>
    <t>(in % des Gesamt Verbindl.)</t>
  </si>
  <si>
    <t>(in % of total Debt)</t>
  </si>
  <si>
    <t>Finanzertragsberechnung</t>
  </si>
  <si>
    <t>Financial income calculation</t>
  </si>
  <si>
    <t>Finanzvermögen</t>
  </si>
  <si>
    <t>Financial assets</t>
  </si>
  <si>
    <t>(in % des EBT)</t>
  </si>
  <si>
    <t>(in % des Finanzvermögen)</t>
  </si>
  <si>
    <t>(in % of financial assets)</t>
  </si>
  <si>
    <t>Planung Vermögensgegenstände</t>
  </si>
  <si>
    <t>Planning  of Assets</t>
  </si>
  <si>
    <t>Abschreibungen Gesamt</t>
  </si>
  <si>
    <t>Total Depreciation</t>
  </si>
  <si>
    <t>Kontrolle (Vergleich mit GuV)</t>
  </si>
  <si>
    <t>Control (comparison with P&amp;L)</t>
  </si>
  <si>
    <t>Brutto-Investitionen (ohne Umbuchung/ Abgang)</t>
  </si>
  <si>
    <t>Gross investments (without transfer/disposal)</t>
  </si>
  <si>
    <t>CapEx/ Netto-Investitionen</t>
  </si>
  <si>
    <t>CapEx/ net investments</t>
  </si>
  <si>
    <t>Planung Bilanz - Aktivseite</t>
  </si>
  <si>
    <t>Planning balance sheet - asset side</t>
  </si>
  <si>
    <t>Planung Bilanz - Passivseite</t>
  </si>
  <si>
    <t>Planning balance sheet - liabilities side</t>
  </si>
  <si>
    <t>in % der</t>
  </si>
  <si>
    <t>in % of</t>
  </si>
  <si>
    <t>Bereinigungen</t>
  </si>
  <si>
    <t>Adjustments</t>
  </si>
  <si>
    <t>Aufwandsplanung</t>
  </si>
  <si>
    <t>Cost Planning</t>
  </si>
  <si>
    <t>(+/-) Betriebsnotwendiges Vermögen (Verrechnung WC zum Stichtag)</t>
  </si>
  <si>
    <t>(+/-) Operating Capital (offsetting WC as at the reporting date)</t>
  </si>
  <si>
    <t>Jahresüberschuss / -fehlbetrag (reported)</t>
  </si>
  <si>
    <t>Net Profit (loss) (reported)</t>
  </si>
  <si>
    <t>Struktur Aktivseite</t>
  </si>
  <si>
    <t>Structure of Assets</t>
  </si>
  <si>
    <t>Struktur Passivseite</t>
  </si>
  <si>
    <t>Structure of Liabilities</t>
  </si>
  <si>
    <t>Capex Übersicht</t>
  </si>
  <si>
    <t>Capex Overview</t>
  </si>
  <si>
    <t>Nettoumlaufvermögen (NUV) Übersicht</t>
  </si>
  <si>
    <t>Net Working Capital Overview</t>
  </si>
  <si>
    <t>(in % des EBIT (bereinigt))</t>
  </si>
  <si>
    <t>(in % of EBIT (adjusted))</t>
  </si>
  <si>
    <t>G&amp;V Planungsart</t>
  </si>
  <si>
    <t>P&amp;L Planning Type</t>
  </si>
  <si>
    <t>Vorhandene Planung</t>
  </si>
  <si>
    <t>% YOY Wachstum</t>
  </si>
  <si>
    <t>%YOY Growth</t>
  </si>
  <si>
    <t>Verschuldungsgrad &amp; Zinsdeckung</t>
  </si>
  <si>
    <t>Debt-equity ratio &amp; interest cover</t>
  </si>
  <si>
    <t>Liquide Mittel</t>
  </si>
  <si>
    <t>Cash and cash equivalents</t>
  </si>
  <si>
    <t>Bank Debt</t>
  </si>
  <si>
    <t>Bank debt</t>
  </si>
  <si>
    <t>Net Bank Debt</t>
  </si>
  <si>
    <t>Net bank debt</t>
  </si>
  <si>
    <t>Sonstige zinstragende Verbindlichkeiten</t>
  </si>
  <si>
    <t>Other interest-bearing liabilities</t>
  </si>
  <si>
    <t>Total Debt</t>
  </si>
  <si>
    <t>Total debt</t>
  </si>
  <si>
    <t>Net debt</t>
  </si>
  <si>
    <t>Interest expense</t>
  </si>
  <si>
    <t>Financial result</t>
  </si>
  <si>
    <t>Eigenkapitalquote</t>
  </si>
  <si>
    <t>Equity ratio</t>
  </si>
  <si>
    <t>Leverage</t>
  </si>
  <si>
    <t>Bank Debt / EBITDA</t>
  </si>
  <si>
    <t>Bank debt / EBITDA</t>
  </si>
  <si>
    <t>Net Bank Debt / EBITDA</t>
  </si>
  <si>
    <t>Net bank debt / EBITDA</t>
  </si>
  <si>
    <t>Sonstige zinstragende Verbindlichkeiten / EBITDA</t>
  </si>
  <si>
    <t>Other interest-bearing liabilities / EBITDA</t>
  </si>
  <si>
    <t>Net Debt / EBITDA</t>
  </si>
  <si>
    <t>Total Debt / EBITDA</t>
  </si>
  <si>
    <t>Total debt / EBITDA</t>
  </si>
  <si>
    <t>EBITDA / Zinsaufwand</t>
  </si>
  <si>
    <t>EBITDA / Interest expense</t>
  </si>
  <si>
    <t>EBITDA / Finanzergebnis</t>
  </si>
  <si>
    <t>EBITDA / Financial Result</t>
  </si>
  <si>
    <t>Gezahlte Dividende an den Gesellschafter</t>
  </si>
  <si>
    <t>Dividend paid to the shareholder</t>
  </si>
  <si>
    <t>Dropdown Menu (static)</t>
  </si>
  <si>
    <t>Reference (dynamic)</t>
  </si>
  <si>
    <t>LBO EV Inputs</t>
  </si>
  <si>
    <t>Multiples Public Revenue</t>
  </si>
  <si>
    <t>Multiples Private Revenue</t>
  </si>
  <si>
    <t>Multiples Industry Revenue</t>
  </si>
  <si>
    <t>(in % der EBITDA (bereinigt))</t>
  </si>
  <si>
    <t>Multiples Public EBITDA</t>
  </si>
  <si>
    <t>(in % der Abschreibungen)</t>
  </si>
  <si>
    <t>Multiples Private EBITDA</t>
  </si>
  <si>
    <t>Multiples Industry EBITDA</t>
  </si>
  <si>
    <t>Multiples Public EBIT</t>
  </si>
  <si>
    <t>Multiples Private EBIT</t>
  </si>
  <si>
    <t>Multiples Industry EBIT</t>
  </si>
  <si>
    <t>EV to Revenue</t>
  </si>
  <si>
    <t>DCF Perpetuity</t>
  </si>
  <si>
    <t>DCF EBITDA Multiple</t>
  </si>
  <si>
    <t>EV to EBIT</t>
  </si>
  <si>
    <t>DCF EBIT Multiple</t>
  </si>
  <si>
    <t>Football Field Data - Excel</t>
  </si>
  <si>
    <t>Equity Bridge (Multiple Valuation)</t>
  </si>
  <si>
    <t>From 1.Quart</t>
  </si>
  <si>
    <t>To 3.Quart</t>
  </si>
  <si>
    <t>- Debt</t>
  </si>
  <si>
    <t>- Debt like Items</t>
  </si>
  <si>
    <t>+ Cash</t>
  </si>
  <si>
    <t>+ Cash like Items</t>
  </si>
  <si>
    <t>+/- Target WC</t>
  </si>
  <si>
    <t>Football Field Data - TC</t>
  </si>
  <si>
    <t>Entity Values</t>
  </si>
  <si>
    <t>Series</t>
  </si>
  <si>
    <t>e</t>
  </si>
  <si>
    <t>Financials</t>
  </si>
  <si>
    <t>Aktivierte Eigenleistungen</t>
  </si>
  <si>
    <t>Sonstiger neutraler Aufwand</t>
  </si>
  <si>
    <t>Sonstiger neutraler Ertrag</t>
  </si>
  <si>
    <t>Verrechnete kalk. Kosten</t>
  </si>
  <si>
    <t>{"Multiple":{"F|^11933-92EV to RevenueFY05/27/2024EUR":{"r":[[1.5591552905549875]],"c":null,"a":["Multiple!AC48"]},"F|^11933-92Total Debt to EquityTTM05/27/2024EUR":{"r":[[0.14460723036151807]],"c":null,"a":["Multiple!V48"]},"F|^11933-92EV to Forward EBITFY05/27/2024EUR":{"r":[[11.299135489991789]],"c":null,"a":["Multiple!AI48"]},"F|^11933-92EVTTM05/27/2024EUR":{"r":[[33543666921]],"c":null,"a":["Multiple!S48"]},"F|^11933-92NET DebtTTM05/27/2024EUR":{"r":[[641000000]],"c":null,"a":["Multiple!T48"]},"F|^11933-92EV to Forward EBITDAFY05/27/2024EUR":{"r":[[8.940209733742003]],"c":null,"a":["Multiple!AH48"]},"F|^11933-92EBITDAFY05/27/2024EUR":{"r":[[2526000000]],"c":null,"a":["Multiple!Y48"]},"F|^11933-92Market CapTTM05/27/2024EUR":{"r":[[32647666921]],"c":null,"a":["Multiple!U48"]},"F|^11933-92EBITFY05/27/2024EUR":{"r":[[1927000000]],"c":null,"a":["Multiple!Z48"]},"F|^11933-92EV to Forward RevenueFY05/27/2024EUR":{"r":[[1.5384885988625419]],"c":null,"a":["Multiple!AG48"]},"F|^53969-59EV to RevenueFY05/27/2024EUR":{"r":[[2.044372045334678]],"c":null,"a":["Multiple!AC44"]},"F|^53969-59Total Debt to EquityTTM05/27/2024EUR":{"r":[[1.0531427900698398]],"c":null,"a":["Multiple!V44"]},"F|^53969-59EV to Forward EBITFY05/27/2024EUR":{"r":[[15.788013645103325]],"c":null,"a":["Multiple!AI44"]},"F|^53969-59EVTTM05/27/2024EUR":{"r":[[52716177561]],"c":null,"a":["Multiple!S44"]},"F|^53969-59NET DebtTTM05/27/2024EUR":{"r":[[25384000000]],"c":null,"a":["Multiple!T44"]},"F|^53969-59EV to Forward EBITDAFY05/27/2024EUR":{"r":[[10.062509197785019]],"c":null,"a":["Multiple!AH44"]},"F|^53969-59EBITDAFY05/27/2024EUR":{"r":[[8766000000]],"c":null,"a":["Multiple!Y44"]},"F|^53969-59Market CapTTM05/27/2024EUR":{"r":[[25402177561]],"c":null,"a":["Multiple!U44"]},"F|^53969-59EBITFY05/27/2024EUR":{"r":[[4793000000]],"c":null,"a":["Multiple!Z44"]},"F|^53969-59EV to Forward RevenueFY05/27/2024EUR":{"r":[[2.0946548083204197]],"c":null,"a":["Multiple!AG44"]},"F|^10961-02EV to RevenueFY05/27/2024EUR":{"r":[[3.8656094556676273]],"c":null,"a":["Multiple!AC51"]},"F|^10961-02Total Debt to EquityTTM05/27/2024EUR":{"r":[[0.3545629407993161]],"c":null,"a":["Multiple!V51"]},"F|^10961-02EV to Forward EBITFY05/27/2024EUR":{"r":[[20.503625136807937]],"c":null,"a":["Multiple!AI51"]},"F|^10961-02EVTTM05/27/2024EUR":{"r":[[80481988867]],"c":null,"a":["Multiple!S51"]},"F|^10961-02NET DebtTTM05/27/2024EUR":{"r":[[7470000000]],"c":null,"a":["Multiple!T51"]},"F|^10961-02EV to Forward EBITDAFY05/27/2024EUR":{"r":[[13.48411191110356]],"c":null,"a":["Multiple!AH51"]},"F|^10961-02EBITDAFY05/27/2024EUR":{"r":[[5415000000]],"c":null,"a":["Multiple!Y51"]},"F|^10961-02Market CapTTM05/27/2024EUR":{"r":[[72933988867]],"c":null,"a":["Multiple!U51"]},"F|^10961-02EBITFY05/27/2024EUR":{"r":[[3633000000]],"c":null,"a":["Multiple!Z51"]},"F|^10961-02EV to Forward RevenueFY05/27/2024EUR":{"r":[[3.7832014524599216]],"c":null,"a":["Multiple!AG51"]},"F|^443229-13Total Debt to EquityTTM05/27/2024EUR":{"r":[[1.022002249718785]],"c":null,"a":["Multiple!V34"]},"F|^443229-13EV to Forward EBITFY05/27/2024EUR":{"r":[[8.884391793037123]],"c":null,"a":["Multiple!AI34"]},"F|^443229-13EVTTM05/27/2024EUR":{"r":[[46189952932]],"c":null,"a":["Multiple!S34"]},"F|^443229-13NET DebtTTM05/27/2024EUR":{"r":[[13874000000]],"c":null,"a":["Multiple!T34"]},"F|^443229-13EV to Forward EBITDAFY05/27/2024EUR":{"r":[[7.2400510460515095]],"c":null,"a":["Multiple!AH34"]},"F|^443229-13EBITDAFY05/27/2024EUR":{"r":[[6445000000]],"c":null,"a":["Multiple!Y34"]},"F|^443229-13Market CapTTM05/27/2024EUR":{"r":[[31695952932]],"c":null,"a":["Multiple!U34"]},"F|^443229-13EBITFY05/27/2024EUR":{"r":[[5312000000]],"c":null,"a":["Multiple!Z34"]},"F|^443229-13EV to Forward RevenueFY05/27/2024EUR":{"r":[[0.839725719594226]],"c":null,"a":["Multiple!AG34"]},"F|^64231-30Total Debt to EquityTTM05/27/2024EUR":{"r":[[0.937616976977292]],"c":null,"a":["Multiple!V62"]},"F|^64231-30EV to Forward EBITFY05/27/2024EUR":{"r":[[13.98415539224403]],"c":null,"a":["Multiple!AI62"]},"F|^64231-30EV to Forward EBITDAFY05/27/2024EUR":{"r":[[10.18353179001276]],"c":null,"a":["Multiple!AH62"]},"F|^64231-30EV to Forward RevenueFY05/27/2024EUR":{"r":[[1.677861357305647]],"c":null,"a":["Multiple!AG62"]},"F|^11822-68EV to RevenueFY05/27/2024EUR":{"r":[[2.436885127839252]],"c":null,"a":["Multiple!AC26"]},"F|^11822-68Total Debt to EquityTTM05/27/2024EUR":{"r":[[1.5572184137405727]],"c":null,"a":["Multiple!V26"]},"F|^11822-68EV to Forward EBITFY05/27/2024EUR":{"r":[[10.83789861503656]],"c":null,"a":["Multiple!AI26"]},"F|^11822-68EVTTM05/27/2024EUR":{"r":[[271539672910]],"c":null,"a":["Multiple!S26"]},"F|^11822-68NET DebtTTM05/27/2024EUR":{"r":[[129127000000]],"c":null,"a":["Multiple!T26"]},"F|^11822-68EV to Forward EBITDAFY05/27/2024EUR":{"r":[[6.315757382658045]],"c":null,"a":["Multiple!AH26"]},"F|^11822-68EBITDAFY05/27/2024EUR":{"r":[[41310000000]],"c":null,"a":["Multiple!Y26"]},"F|^11822-68Market CapTTM05/27/2024EUR":{"r":[[108334672910]],"c":null,"a":["Multiple!U26"]},"F|^11822-68EBITFY05/27/2024EUR":{"r":[[17560000000]],"c":null,"a":["Multiple!Z26"]},"F|^11822-68EV to Forward RevenueFY05/27/2024EUR":{"r":[[2.384189350668186]],"c":null,"a":["Multiple!AG26"]},"F|^11727-91EV to RevenueFY05/27/2024EUR":{"r":[[0.7968561164412046]],"c":null,"a":["Multiple!AC30"]},"F|^11727-91Total Debt to EquityTTM05/27/2024EUR":{"r":[[0.9099606815203145]],"c":null,"a":["Multiple!V30"]},"F|^11727-91EV to Forward EBITFY05/27/2024EUR":{"r":[[10.740086114078471]],"c":null,"a":["Multiple!AI30"]},"F|^11727-91EVTTM05/27/2024EUR":{"r":[[65149362368]],"c":null,"a":["Multiple!S30"]},"F|^11727-91NET DebtTTM05/27/2024EUR":{"r":[[18749000000]],"c":null,"a":["Multiple!T30"]},"F|^11727-91EV to Forward EBITDAFY05/27/2024EUR":{"r":[[6.23101647132225]],"c":null,"a":["Multiple!AH30"]},"F|^11727-91EBITDAFY05/27/2024EUR":{"r":[[10308000000]],"c":null,"a":["Multiple!Y30"]},"F|^11727-91Market CapTTM05/27/2024EUR":{"r":[[45987362368]],"c":null,"a":["Multiple!U30"]},"F|^11727-91EBITFY05/27/2024EUR":{"r":[[6116000000]],"c":null,"a":["Multiple!Z30"]},"F|^11727-91EV to Forward RevenueFY05/27/2024EUR":{"r":[[0.7785595945819466]],"c":null,"a":["Multiple!AG30"]},"F|^12762-82EV to RevenueFY05/27/2024EUR":{"r":[[0.43885954978081915]],"c":null,"a":["Multiple!AC39"]},"F|^12762-82Total Debt to EquityTTM05/27/2024EUR":{"r":[[0.5439809962970726]],"c":null,"a":["Multiple!V39"]},"F|^12762-82EV to Forward EBITFY05/27/2024EUR":{"r":[[6.745721519353626]],"c":null,"a":["Multiple!AI39"]},"F|^12762-82EVTTM05/27/2024EUR":{"r":[[17950364963]],"c":null,"a":["Multiple!S39"]},"F|^12762-82NET DebtTTM05/27/2024EUR":{"r":[[5314000000]],"c":null,"a":["Multiple!T39"]},"F|^12762-82EV to Forward EBITDAFY05/27/2024EUR":{"r":[[3.6314717707869715]],"c":null,"a":["Multiple!AH39"]},"F|^12762-82EBITDAFY05/27/2024EUR":{"r":[[4159200000]],"c":null,"a":["Multiple!Y39"]},"F|^12762-82Market CapTTM05/27/2024EUR":{"r":[[12200364963]],"c":null,"a":["Multiple!U39"]},"F|^12762-82EBITFY05/27/2024EUR":{"r":[[1934000000]],"c":null,"a":["Multiple!Z39"]},"F|^12762-82EV to Forward RevenueFY05/27/2024EUR":{"r":[[0.42769836723402865]],"c":null,"a":["Multiple!AG39"]},"F|^436051-81EV to RevenueFY05/27/2024EUR":{"r":[[0.556623351067159]],"c":null,"a":["Multiple!AC42"]},"F|^436051-81Total Debt to EquityTTM05/27/2024EUR":{"r":[[0.3886107020127639]],"c":null,"a":["Multiple!V42"]},"F|^436051-81EV to Forward EBITFY05/27/2024EUR":{"r":[[215.56420365128622]],"c":null,"a":["Multiple!AI42"]},"F|^436051-81EVTTM05/27/2024EUR":{"r":[[17786342560]],"c":null,"a":["Multiple!S42"]},"F|^436051-81NET DebtTTM05/27/2024EUR":{"r":[[-2727000000]],"c":null,"a":["Multiple!T42"]},"F|^436051-81EV to Forward EBITDAFY05/27/2024EUR":{"r":[[12.882087216999418]],"c":null,"a":["Multiple!AH42"]},"F|^436051-81EBITDAFY05/27/2024EUR":{"r":[[-1732000000]],"c":null,"a":["Multiple!Y42"]},"F|^436051-81Market CapTTM05/27/2024EUR":{"r":[[20219342560]],"c":null,"a":["Multiple!U42"]},"F|^436051-81EBITFY05/27/2024EUR":{"r":[[-3247000000]],"c":null,"a":["Multiple!Z42"]},"F|^436051-81EV to Forward RevenueFY05/27/2024EUR":{"r":[[0.5170428234846036]],"c":null,"a":["Multiple!AG42"]},"F|^10235-53Total Debt to EquityTTM05/27/2024EUR":{"r":[[0.4336856460961473]],"c":null,"a":["Multiple!V64"]},"F|^10235-53EV to Forward EBITFY05/27/2024EUR":{"r":[[13.693675350663076]],"c":null,"a":["Multiple!AI64"]},"F|^10235-53EV to Forward EBITDAFY05/27/2024EUR":{"r":[[9.978833289199324]],"c":null,"a":["Multiple!AH64"]},"F|^10235-53EV to Forward RevenueFY05/27/2024EUR":{"r":[[1.6801656278947958]],"c":null,"a":["Multiple!AG64"]},"F|^56879-02EV to RevenueFY05/27/2024EUR":{"r":[[0.7444043626816593]],"c":null,"a":["Multiple!AC38"]},"F|^56879-02Total Debt to EquityTTM05/27/2024EUR":{"r":[[1.0205765470257995]],"c":null,"a":["Multiple!V38"]},"F|^56879-02EV to Forward EBITFY05/27/2024EUR":{"id":1459303,"headerValues":[],"financialValues":[],"error":null,"description":null,"customValues":[]},"F|^56879-02NET DebtTTM05/27/2024EUR":{"r":[[7299400000]],"c":null,"a":["Multiple!T38"]},"F|^56879-02EV to Forward EBITDAFY05/27/2024EUR":{"id":1459280,"headerValues":[],"financialValues":[],"error":null,"description":null,"customValues":[]},"F|^56879-02EBITDAFY05/27/2024EUR":{"r":[[5554400000]],"c":null,"a":["Multiple!Y38"]},"F|^56879-02Market CapTTM05/27/2024EUR":{"r":[[19230706917]],"c":null,"a":["Multiple!U38"]},"F|^56879-02EV to Forward RevenueFY05/27/2024EUR":{"id":1459252,"headerValues":[],"financialValues":[],"error":null,"description":null,"customValues":[]},"F|^167166-55EV to RevenueFY05/27/2024EUR":{"r":[[0.3805978129485418]],"c":null,"a":["Multiple!AC29"]},"F|^167166-55Total Debt to EquityTTM05/27/2024EUR":{"r":[[1.8916129032258064]],"c":null,"a":["Multiple!V29"]},"F|^167166-55EV to Forward EBITFY05/27/2024EUR":{"r":[[27.326148064212997]],"c":null,"a":["Multiple!AI29"]},"F|^167166-55EVTTM05/27/2024EUR":{"r":[[34895491078]],"c":null,"a":["Multiple!S29"]},"F|^167166-55NET DebtTTM05/27/2024EUR":{"r":[[13217000000]],"c":null,"a":["Multiple!T29"]},"F|^167166-55EV to Forward EBITDAFY05/27/2024EUR":{"r":[[17.722443411884207]],"c":null,"a":["Multiple!AH29"]},"F|^167166-55EBITDAFY05/27/2024EUR":{"r":[[9352000000]],"c":null,"a":["Multiple!Y29"]},"F|^167166-55EBITFY05/27/2024EUR":{"r":[[6920000000]],"c":null,"a":["Multiple!Z29"]},"F|^167166-55EV to Forward RevenueFY05/27/2024EUR":{"r":[[0.31716870700059063]],"c":null,"a":["Multiple!AG29"]},"F|^40607-47EV to RevenueFY05/27/2024EUR":{"r":[[0.8623004383052199]],"c":null,"a":["Multiple!AC56"]},"F|^40607-47Total Debt to EquityTTM05/27/2024EUR":{"r":[[0.5044487847222222]],"c":null,"a":["Multiple!V56"]},"F|^40607-47EV to Forward EBITFY05/27/2024EUR":{"r":[[15.02837962962963]],"c":null,"a":["Multiple!AI56"]},"F|^40607-47EVTTM05/27/2024EUR":{"r":[[12984520000]],"c":null,"a":["Multiple!S56"]},"F|^40607-47NET DebtTTM05/27/2024EUR":{"r":[[3484000000]],"c":null,"a":["Multiple!T56"]},"F|^40607-47EV to Forward EBITDAFY05/27/2024EUR":{"r":[[6.54791729702471]],"c":null,"a":["Multiple!AH56"]},"F|^40607-47EBITDAFY05/27/2024EUR":{"r":[[874000000]],"c":null,"a":["Multiple!Y56"]},"F|^40607-47Market CapTTM05/27/2024EUR":{"r":[[9422520000]],"c":null,"a":["Multiple!U56"]},"F|^40607-47EBITFY05/27/2024EUR":{"r":[[-224000000]],"c":null,"a":["Multiple!Z56"]},"F|^40607-47EV to Forward RevenueFY05/27/2024EUR":{"r":[[0.8439178473937345]],"c":null,"a":["Multiple!AG56"]},"F|^60401-89EV to RevenueFY05/27/2024EUR":{"r":[[1.3672117325440603]],"c":null,"a":["Multiple!AC46"]},"F|^60401-89Total Debt to EquityTTM05/27/2024EUR":{"r":[[0.8055569691109867]],"c":null,"a":["Multiple!V46"]},"F|^60401-89EV to Forward EBITFY05/27/2024EUR":{"r":[[12.348098187120291]],"c":null,"a":["Multiple!AI46"]},"F|^60401-89NET DebtTTM05/27/2024EUR":{"r":[[13541000000]],"c":null,"a":["Multiple!T46"]},"F|^60401-89EV to Forward EBITDAFY05/27/2024EUR":{"r":[[8.306076671843073]],"c":null,"a":["Multiple!AH46"]},"F|^60401-89EBITDAFY05/27/2024EUR":{"r":[[2609000000]],"c":null,"a":["Multiple!Y46"]},"F|^60401-89EBITFY05/27/2024EUR":{"r":[[1131000000]],"c":null,"a":["Multiple!Z46"]},"F|^60401-89EV to Forward RevenueFY05/27/2024EUR":{"r":[[1.3374411205910772]],"c":null,"a":["Multiple!AG46"]},"F|^43042-87Total Debt to EquityTTM05/27/2024EUR":{"r":[[0]],"c":null,"a":["Multiple!V27"]},"F|^43042-87EV to Forward EBITFY05/27/2024EUR":{"r":[[5.081960014580645]],"c":null,"a":["Multiple!AI27"]},"F|^43042-87EVTTM05/27/2024EUR":{"r":[[78770380226]],"c":null,"a":["Multiple!S27"]},"F|^43042-87NET DebtTTM05/27/2024EUR":{"r":[[-28368000000]],"c":null,"a":["Multiple!T27"]},"F|^43042-87EV to Forward EBITDAFY05/27/2024EUR":{"id":1459284,"headerValues":[],"financialValues":[],"error":null,"description":null,"customValues":[]},"F|^43042-87EBITDAFY05/27/2024EUR":{"r":[[13854000000]],"c":null,"a":["Multiple!Y27"]},"F|^43042-87Market CapTTM05/27/2024EUR":{"r":[[103697380226]],"c":null,"a":["Multiple!U27"]},"F|^43042-87EBITFY05/27/2024EUR":{"r":[[11582000000]],"c":null,"a":["Multiple!Z27"]},"F|^43042-87EV to Forward RevenueFY05/27/2024EUR":{"r":[[0.4936260706626978]],"c":null,"a":["Multiple!AG27"]},"F|^40420-00Total Debt to EquityTTM05/27/2024EUR":{"r":[[1.4524789110557497]],"c":null,"a":["Multiple!V65"]},"F|^40420-00EV to Forward EBITFY05/27/2024EUR":{"r":[[28.59036499625847]],"c":null,"a":["Multiple!AI65"]},"F|^40420-00EV to Forward EBITDAFY05/27/2024EUR":{"r":[[26.64437556158511]],"c":null,"a":["Multiple!AH65"]},"F|^40420-00EV to Forward RevenueFY05/27/2024EUR":{"r":[[21.180967014098684]],"c":null,"a":["Multiple!AG65"]},"F|^59881-06EV to RevenueFY05/27/2024EUR":{"r":[[3.25615914692495]],"c":null,"a":["Multiple!AC60"]},"F|^59881-06Total Debt to EquityTTM05/27/2024EUR":{"r":[[0.012231682455929968]],"c":null,"a":["Multiple!V60"]},"F|^59881-06EV to Forward EBITFY05/27/2024EUR":{"r":[[22.00353037267525]],"c":null,"a":["Multiple!AI60"]},"F|^59881-06EVTTM05/27/2024EUR":{"r":[[30760935461]],"c":null,"a":["Multiple!S60"]},"F|^59881-06NET DebtTTM05/27/2024EUR":{"r":[[-2417000000]],"c":null,"a":["Multiple!T60"]},"F|^59881-06EV to Forward EBITDAFY05/27/2024EUR":{"r":[[17.89466868004654]],"c":null,"a":["Multiple!AH60"]},"F|^59881-06EBITDAFY05/27/2024EUR":{"r":[[1537000000]],"c":null,"a":["Multiple!Y60"]},"F|^59881-06Market CapTTM05/27/2024EUR":{"r":[[33160935461]],"c":null,"a":["Multiple!U60"]},"F|^59881-06EBITFY05/27/2024EUR":{"r":[[1088000000]],"c":null,"a":["Multiple!Z60"]},"F|^59881-06EV to Forward RevenueFY05/27/2024EUR":{"r":[[3.0668928674975073]],"c":null,"a":["Multiple!AG60"]},"F|^59880-97EV to RevenueFY05/27/2024EUR":{"r":[[0.8796113453841645]],"c":null,"a":["Multiple!AC24"]},"F|^59880-97Total Debt to EquityTTM05/27/2024EUR":{"r":[[0.9947719525711537]],"c":null,"a":["Multiple!V24"]},"F|^59880-97EV to Forward EBITFY05/27/2024EUR":{"r":[[8.453027656882767]],"c":null,"a":["Multiple!AI24"]},"F|^59880-97EVTTM05/27/2024EUR":{"r":[[136567577873]],"c":null,"a":["Multiple!S24"]},"F|^59880-97NET DebtTTM05/27/2024EUR":{"r":[[74042000000]],"c":null,"a":["Multiple!T24"]},"F|^59880-97EV to Forward EBITDAFY05/27/2024EUR":{"r":[[5.346470755159305]],"c":null,"a":["Multiple!AH24"]},"F|^59880-97EBITDAFY05/27/2024EUR":{"r":[[31616000000]],"c":null,"a":["Multiple!Y24"]},"F|^59880-97Market CapTTM05/27/2024EUR":{"r":[[59048577873]],"c":null,"a":["Multiple!U24"]},"F|^59880-97EBITFY05/27/2024EUR":{"r":[[17051000000]],"c":null,"a":["Multiple!Z24"]},"F|^59880-97EV to Forward RevenueFY05/27/2024EUR":{"r":[[0.8666252788042047]],"c":null,"a":["Multiple!AG24"]},"F|^55272-97Total Debt to EquityTTM05/27/2024EUR":{"id":1459080,"headerValues":[],"financialValues":[],"error":null,"description":null,"customValues":[]},"F|^55272-97EBITDAFY05/27/2024EUR":{"id":1458877,"headerValues":[],"financialValues":[],"error":null,"description":null,"customValues":[]},"F|^55272-97EBITFY05/27/2024EUR":{"id":1458919,"headerValues":[],"financialValues":[],"error":null,"description":null,"customValues":[]},"F|^41694-94Total Debt to EquityTTM05/27/2024EUR":{"r":[[0.11827691874185481]],"c":null,"a":["Multiple!V66"]},"F|^41694-94EV to Forward EBITFY05/27/2024EUR":{"id":1459162,"headerValues":[],"financialValues":[],"error":null,"description":null,"customValues":[]},"F|^41694-94EV to Forward EBITDAFY05/27/2024EUR":{"id":1459235,"headerValues":[],"financialValues":[],"error":null,"description":null,"customValues":[]},"F|^41694-94EV to Forward RevenueFY05/27/2024EUR":{"id":1459102,"headerValues":[],"financialValues":[],"error":null,"description":null,"customValues":[]},"F|^11572-48Total Debt to EquityTTM05/27/2024EUR":{"r":[[0.4424338672353555]],"c":null,"a":["Multiple!V73"]},"F|^11572-48EV to Forward EBITFY05/27/2024EUR":{"r":[[10.091246742283541]],"c":null,"a":["Multiple!AI73"]},"F|^11572-48EVTTM05/27/2024EUR":{"r":[[32088849418]],"c":null,"a":["Multiple!S73"]},"F|^11572-48EV to Forward EBITDAFY05/27/2024EUR":{"id":1459164,"headerValues":[],"financialValues":[],"error":null,"description":null,"customValues":[]},"F|^11572-48EV to Forward RevenueFY05/27/2024EUR":{"r":[[1.2550737560460894]],"c":null,"a":["Multiple!AG73"]},"F|^61841-17Total Debt to EquityTTM05/27/2024EUR":{"r":[[1.3833240216032139]],"c":null,"a":["Multiple!V69"]},"F|^61841-17EV to Forward EBITFY05/27/2024EUR":{"r":[[29.894995777601316]],"c":null,"a":["Multiple!AI69"]},"F|^61841-17EV to Forward EBITDAFY05/27/2024EUR":{"r":[[19.78506807504547]],"c":null,"a":["Multiple!AH69"]},"F|^61841-17EV to Forward RevenueFY05/27/2024EUR":{"r":[[5.871173301660931]],"c":null,"a":["Multiple!AG69"]},"F|^88409-08EV to RevenueFY05/27/2024EUR":{"r":[[1.4396653398575159]],"c":null,"a":["Multiple!AC40"]},"F|^88409-08Total Debt to EquityTTM05/27/2024EUR":{"r":[[0.4668205424120023]],"c":null,"a":["Multiple!V40"]},"F|^88409-08EV to Forward EBITFY05/27/2024EUR":{"r":[[8.79833651286475]],"c":null,"a":["Multiple!AI40"]},"F|^88409-08NET DebtTTM05/27/2024EUR":{"r":[[-1497000000]],"c":null,"a":["Multiple!T40"]},"F|^88409-08EV to Forward EBITDAFY05/27/2024EUR":{"r":[[6.040927659574468]],"c":null,"a":["Multiple!AH40"]},"F|^88409-08Market CapTTM05/27/2024EUR":{"r":[[68798720000]],"c":null,"a":["Multiple!U40"]},"F|^88409-08EBITFY05/27/2024EUR":{"r":[[7295000000]],"c":null,"a":["Multiple!Z40"]},"F|^88409-08EV to Forward RevenueFY05/27/2024EUR":{"r":[[1.3942290883020203]],"c":null,"a":["Multiple!AG40"]},"F|^43120-54EV to RevenueFY05/27/2024EUR":{"r":[[0.9418996561747713]],"c":null,"a":["Multiple!AC32"]},"F|^43120-54Total Debt to EquityTTM05/27/2024EUR":{"r":[[0.5451291627762216]],"c":null,"a":["Multiple!V32"]},"F|^43120-54EV to Forward EBITFY05/27/2024EUR":{"r":[[14.234292575716236]],"c":null,"a":["Multiple!AI32"]},"F|^43120-54EVTTM05/27/2024EUR":{"r":[[62602418748]],"c":null,"a":["Multiple!S32"]},"F|^43120-54EV to Forward EBITDAFY05/27/2024EUR":{"r":[[7.6831638129602355]],"c":null,"a":["Multiple!AH32"]},"F|^43120-54EBITDAFY05/27/2024EUR":{"r":[[6854000000]],"c":null,"a":["Multiple!Y32"]},"F|^43120-54EBITFY05/27/2024EUR":{"r":[[1913000000]],"c":null,"a":["Multiple!Z32"]},"F|^43120-54EV to Forward RevenueFY05/27/2024EUR":{"r":[[0.9171250612955788]],"c":null,"a":["Multiple!AG32"]},"F|^11345-77EV to RevenueFY05/27/2024EUR":{"r":[[2.037855971811266]],"c":null,"a":["Multiple!AC49"]},"F|^11345-77Total Debt to EquityTTM05/27/2024EUR":{"r":[[1.1295431472081219]],"c":null,"a":["Multiple!V49"]},"F|^11345-77EV to Forward EBITFY05/27/2024EUR":{"r":[[41.92171963796517]],"c":null,"a":["Multiple!AI49"]},"F|^11345-77EVTTM05/27/2024EUR":{"r":[[43665139908]],"c":null,"a":["Multiple!S49"]},"F|^11345-77EV to Forward EBITDAFY05/27/2024EUR":{"r":[[19.941151713933415]],"c":null,"a":["Multiple!AH49"]},"F|^11345-77EBITDAFY05/27/2024EUR":{"r":[[1281000000]],"c":null,"a":["Multiple!Y49"]},"F|^11345-77EBITFY05/27/2024EUR":{"r":[[186000000]],"c":null,"a":["Multiple!Z49"]},"F|^11345-77EV to Forward RevenueFY05/27/2024EUR":{"r":[[1.9210483090737511]],"c":null,"a":["Multiple!AG49"]},"F|^41707-81EV to RevenueFY05/27/2024EUR":{"r":[[1.1507502868597008]],"c":null,"a":["Multiple!AC50"]},"F|^41707-81Total Debt to EquityTTM05/27/2024EUR":{"r":[[0.44845658184034654]],"c":null,"a":["Multiple!V50"]},"F|^41707-81EV to Forward EBITFY05/27/2024EUR":{"r":[[7.764897012904254]],"c":null,"a":["Multiple!AI50"]},"F|^41707-81EVTTM05/27/2024EUR":{"r":[[24370129275]],"c":null,"a":["Multiple!S50"]},"F|^41707-81NET DebtTTM05/27/2024EUR":{"r":[[5037100000]],"c":null,"a":["Multiple!T50"]},"F|^41707-81EV to Forward EBITDAFY05/27/2024EUR":{"r":[[5.549948648649466]],"c":null,"a":["Multiple!AH50"]},"F|^41707-81EBITDAFY05/27/2024EUR":{"r":[[4227000000]],"c":null,"a":["Multiple!Y50"]},"F|^41707-81Market CapTTM05/27/2024EUR":{"r":[[18199529275]],"c":null,"a":["Multiple!U50"]},"F|^41707-81EBITFY05/27/2024EUR":{"r":[[2991000000]],"c":null,"a":["Multiple!Z50"]},"F|^41707-81EV to Forward RevenueFY05/27/2024EUR":{"r":[[1.1243034527073412]],"c":null,"a":["Multiple!AG50"]},"F|^107326-09EV to RevenueFY05/27/2024EUR":{"r":[[0.8376152971402098]],"c":null,"a":["Multiple!AC36"]},"F|^107326-09Total Debt to EquityTTM05/27/2024EUR":{"r":[[1.6047069843685966]],"c":null,"a":["Multiple!V36"]},"F|^107326-09EV to Forward EBITFY05/27/2024EUR":{"id":1459298,"headerValues":[],"financialValues":[],"error":null,"description":null,"customValues":[]},"F|^107326-09EV to Forward EBITDAFY05/27/2024EUR":{"id":1459290,"headerValues":[],"financialValues":[],"error":null,"description":null,"customValues":[]},"F|^107326-09EBITDAFY05/27/2024EUR":{"r":[[6662000000]],"c":null,"a":["Multiple!Y36"]},"F|^107326-09Market CapTTM05/27/2024EUR":{"r":[[16200000000]],"c":null,"a":["Multiple!U36"]},"F|^107326-09EBITFY05/27/2024EUR":{"r":[[3799000000]],"c":null,"a":["Multiple!Z36"]},"F|^107326-09EV to Forward RevenueFY05/27/2024EUR":{"id":1459231,"headerValues":[],"financialValues":[],"error":null,"description":null,"customValues":[]},"F|^57805-66Total Debt to EquityTTM05/27/2024EUR":{"r":[[0.48573757131214346]],"c":null,"a":["Multiple!V63"]},"F|^57805-66EV to Forward EBITFY05/27/2024EUR":{"r":[[17.12489409141273]],"c":null,"a":["Multiple!AI63"]},"F|^57805-66EV to Forward EBITDAFY05/27/2024EUR":{"r":[[14.948457134627047]],"c":null,"a":["Multiple!AH63"]},"F|^57805-66EV to Forward RevenueFY05/27/2024EUR":{"r":[[2.499776554508415]],"c":null,"a":["Multiple!AG63"]},"F|^60425-74Total Debt to EquityTTM05/27/2024EUR":{"r":[[2.013832384052075]],"c":null,"a":["Multiple!V68"]},"F|^60425-74EV to Forward EBITFY05/27/2024EUR":{"id":1459247,"headerValues":[],"financialValues":[],"error":null,"description":null,"customValues":[]},"F|^60425-74EV to Forward EBITDAFY05/27/2024EUR":{"id":1459184,"headerValues":[],"financialValues":[],"error":null,"description":null,"customValues":[]},"F|^60425-74EV to Forward RevenueFY05/27/2024EUR":{"id":1459105,"headerValues":[],"financialValues":[],"error":null,"description":null,"customValues":[]},"F|^59504-41EV to RevenueFY05/27/2024EUR":{"r":[[0.36835745252254515]],"c":null,"a":["Multiple!AC41"]},"F|^59504-41Total Debt to EquityTTM05/27/2024EUR":{"r":[[1.4415082515145186]],"c":null,"a":["Multiple!V41"]},"F|^59504-41EV to Forward EBITFY05/27/2024EUR":{"r":[[6.095243732767909]],"c":null,"a":["Multiple!AI41"]},"F|^59504-41EVTTM05/27/2024EUR":{"r":[[13193458877]],"c":null,"a":["Multiple!S41"]},"F|^59504-41NET DebtTTM05/27/2024EUR":{"r":[[5527000000]],"c":null,"a":["Multiple!T41"]},"F|^59504-41EV to Forward EBITDAFY05/27/2024EUR":{"r":[[2.9634903137915543]],"c":null,"a":["Multiple!AH41"]},"F|^59504-41EBITDAFY05/27/2024EUR":{"r":[[4900000000]],"c":null,"a":["Multiple!Y41"]},"F|^59504-41Market CapTTM05/27/2024EUR":{"r":[[7622458877]],"c":null,"a":["Multiple!U41"]},"F|^59504-41EBITFY05/27/2024EUR":{"r":[[2672000000]],"c":null,"a":["Multiple!Z41"]},"F|^59504-41EV to Forward RevenueFY05/27/2024EUR":{"r":[[0.3447485713800438]],"c":null,"a":["Multiple!AG41"]},"F|^63856-09EV to RevenueFY05/27/2024EUR":{"r":[[0.835451731237393]],"c":null,"a":["Multiple!AC57"]},"F|^63856-09Total Debt to EquityTTM05/27/2024EUR":{"r":[[0.5122393472348141]],"c":null,"a":["Multiple!V57"]},"F|^63856-09EV to Forward EBITFY05/27/2024EUR":{"r":[[25.298868916753634]],"c":null,"a":["Multiple!AI57"]},"F|^63856-09EVTTM05/27/2024EUR":{"r":[[12011289540]],"c":null,"a":["Multiple!S57"]},"F|^63856-09NET DebtTTM05/27/2024EUR":{"r":[[2752000000]],"c":null,"a":["Multiple!T57"]},"F|^63856-09EV to Forward EBITDAFY05/27/2024EUR":{"r":[[9.204053287356322]],"c":null,"a":["Multiple!AH57"]},"F|^63856-09EBITDAFY05/27/2024EUR":{"r":[[1066000000]],"c":null,"a":["Multiple!Y57"]},"F|^63856-09Market CapTTM05/27/2024EUR":{"r":[[9231289540]],"c":null,"a":["Multiple!U57"]},"F|^63856-09EBITFY05/27/2024EUR":{"r":[[172000000]],"c":null,"a":["Multiple!Z57"]},"F|^63856-09EV to Forward RevenueFY05/27/2024EUR":{"r":[[0.81927984628326]],"c":null,"a":["Multiple!AG57"]},"F|^114802-84EV to RevenueFY05/27/2024EUR":{"r":[[1.1964500938385827]],"c":null,"a":["Multiple!AC52"]},"F|^114802-84Total Debt to EquityTTM05/27/2024EUR":{"r":[[0.7950307973122707]],"c":null,"a":["Multiple!V52"]},"F|^114802-84EV to Forward EBITFY05/27/2024EUR":{"r":[[13.444977790536642]],"c":null,"a":["Multiple!AI52"]},"F|^114802-84EVTTM05/27/2024EUR":{"r":[[23300146511]],"c":null,"a":["Multiple!S52"]},"F|^114802-84NET DebtTTM05/27/2024EUR":{"r":[[10632051000]],"c":null,"a":["Multiple!T52"]},"F|^114802-84EV to Forward EBITDAFY05/27/2024EUR":{"r":[[6.900680145416851]],"c":null,"a":["Multiple!AH52"]},"F|^114802-84EBITDAFY05/27/2024EUR":{"r":[[2982174000]],"c":null,"a":["Multiple!Y52"]},"F|^114802-84Market CapTTM05/27/2024EUR":{"r":[[11443124511]],"c":null,"a":["Multiple!U52"]},"F|^114802-84EBITFY05/27/2024EUR":{"r":[[1369438000]],"c":null,"a":["Multiple!Z52"]},"F|^114802-84EV to Forward RevenueFY05/27/2024EUR":{"r":[[1.1869738297814543]],"c":null,"a":["Multiple!AG52"]},"F|^12603-61EV to RevenueFY05/27/2024EUR":{"r":[[0.8435623496573661]],"c":null,"a":["Multiple!AC28"]},"F|^12603-61Total Debt to EquityTTM05/27/2024EUR":{"r":[[2.3975963945918877]],"c":null,"a":["Multiple!V28"]},"F|^12603-61EV to Forward EBITFY05/27/2024EUR":{"r":[[13.705494650402425]],"c":null,"a":["Multiple!AI28"]},"F|^12603-61EVTTM05/27/2024EUR":{"r":[[79029982290]],"c":null,"a":["Multiple!S28"]},"F|^12603-61EV to Forward EBITDAFY05/27/2024EUR":{"r":[[8.853907941967286]],"c":null,"a":["Multiple!AH28"]},"F|^12603-61EBITDAFY05/27/2024EUR":{"r":[[5428000000]],"c":null,"a":["Multiple!Y28"]},"F|^12603-61Market CapTTM05/27/2024EUR":{"r":[[32253982290]],"c":null,"a":["Multiple!U28"]},"F|^12603-61EBITFY05/27/2024EUR":{"r":[[2092000000]],"c":null,"a":["Multiple!Z28"]},"F|^12603-61EV to Forward RevenueFY05/27/2024EUR":{"r":[[0.8391156361400606]],"c":null,"a":["Multiple!AG28"]},"F|^10761-22EV to RevenueFY05/27/2024EUR":{"r":[[0.8901386704946229]],"c":null,"a":["Multiple!AC58"]},"F|^10761-22Total Debt to EquityTTM05/27/2024EUR":{"r":[[0.7748793245538793]],"c":null,"a":["Multiple!V58"]},"F|^10761-22EV to Forward EBITFY05/27/2024EUR":{"r":[[11.832677075057736]],"c":null,"a":["Multiple!AI58"]},"F|^10761-22EVTTM05/27/2024EUR":{"r":[[10247098347]],"c":null,"a":["Multiple!S58"]},"F|^10761-22NET DebtTTM05/27/2024EUR":{"r":[[4282000000]],"c":null,"a":["Multiple!T58"]},"F|^10761-22EV to Forward EBITDAFY05/27/2024EUR":{"r":[[5.510674023662275]],"c":null,"a":["Multiple!AH58"]},"F|^10761-22EBITDAFY05/27/2024EUR":{"r":[[1692600000]],"c":null,"a":["Multiple!Y58"]},"F|^10761-22Market CapTTM05/27/2024EUR":{"r":[[5956998347]],"c":null,"a":["Multiple!U58"]},"F|^10761-22EBITFY05/27/2024EUR":{"r":[[646000000]],"c":null,"a":["Multiple!Z58"]},"F|^10761-22EV to Forward RevenueFY05/27/2024EUR":{"r":[[0.8865038798338957]],"c":null,"a":["Multiple!AG58"]},"F|^11550-88EV to RevenueFY05/27/2024EUR":{"r":[[1.3750957689575223]],"c":null,"a":["Multiple!AC37"]},"F|^11550-88Total Debt to EquityTTM05/27/2024EUR":{"r":[[1.2937755159107434]],"c":null,"a":["Multiple!V37"]},"F|^11550-88EV to Forward EBITFY05/27/2024EUR":{"r":[[9.433124238959307]],"c":null,"a":["Multiple!AI37"]},"F|^11550-88EVTTM05/27/2024EUR":{"r":[[64647377386]],"c":null,"a":["Multiple!S37"]},"F|^11550-88NET DebtTTM05/27/2024EUR":{"r":[[37346000000]],"c":null,"a":["Multiple!T37"]},"F|^11550-88EV to Forward EBITDAFY05/27/2024EUR":{"r":[[6.151671804894921]],"c":null,"a":["Multiple!AH37"]},"F|^11550-88EBITDAFY05/27/2024EUR":{"r":[[4252000000]],"c":null,"a":["Multiple!Y37"]},"F|^11550-88EV to Forward RevenueFY05/27/2024EUR":{"r":[[1.3754761145957446]],"c":null,"a":["Multiple!AG37"]},"F|^10464-31EV to RevenueFY05/27/2024EUR":{"r":[[2.2689815883040483]],"c":null,"a":["Multiple!AC31"]},"F|^10464-31Total Debt to EquityTTM05/27/2024EUR":{"r":[[0.9848901903367496]],"c":null,"a":["Multiple!V31"]},"F|^10464-31EV to Forward EBITFY05/27/2024EUR":{"r":[[15.917678466082677]],"c":null,"a":["Multiple!AI31"]},"F|^10464-31EVTTM05/27/2024EUR":{"r":[[176653830539]],"c":null,"a":["Multiple!S31"]},"F|^10464-31NET DebtTTM05/27/2024EUR":{"r":[[31575000000]],"c":null,"a":["Multiple!T31"]},"F|^10464-31EV to Forward EBITDAFY05/27/2024EUR":{"r":[[12.758473966416293]],"c":null,"a":["Multiple!AH31"]},"F|^10464-31EBITDAFY05/27/2024EUR":{"r":[[13776000000]],"c":null,"a":["Multiple!Y31"]},"F|^10464-31Market CapTTM05/27/2024EUR":{"r":[[140052830539]],"c":null,"a":["Multiple!U31"]},"F|^10464-31EBITFY05/27/2024EUR":{"r":[[10168000000]],"c":null,"a":["Multiple!Z31"]},"F|^10464-31EV to Forward RevenueFY05/27/2024EUR":{"r":[[2.2175768719126987]],"c":null,"a":["Multiple!AG31"]},"F|^42199-93Total Debt to EquityTTM05/27/2024EUR":{"r":[[0.6109928419368205]],"c":null,"a":["Multiple!V74"]},"F|^42199-93EV to Forward EBITFY05/27/2024EUR":{"r":[[28.13720835050907]],"c":null,"a":["Multiple!AI74"]},"F|^42199-93EV to Forward EBITDAFY05/27/2024EUR":{"r":[[26.238812471854306]],"c":null,"a":["Multiple!AH74"]},"F|^42199-93EV to Forward RevenueFY05/27/2024EUR":{"r":[[14.137593874219448]],"c":null,"a":["Multiple!AG74"]},"F|^59881-51EV to RevenueFY05/27/2024EUR":{"r":[[0.9729496382865417]],"c":null,"a":["Multiple!AC33"]},"F|^59881-51Total Debt to EquityTTM05/27/2024EUR":{"r":[[0.15830842094655873]],"c":null,"a":["Multiple!V33"]},"F|^59881-51EV to Forward EBITFY05/27/2024EUR":{"r":[[7.302857837379639]],"c":null,"a":["Multiple!AI33"]},"F|^59881-51EVTTM05/27/2024EUR":{"r":[[58463570815]],"c":null,"a":["Multiple!S33"]},"F|^59881-51EV to Forward EBITDAFY05/27/2024EUR":{"id":1459329,"headerValues":[],"financialValues":[],"error":null,"description":null,"customValues":[]},"F|^59881-51EBITDAFY05/27/2024EUR":{"r":[[6147000000]],"c":null,"a":["Multiple!Y33"]},"F|^59881-51Market CapTTM05/27/2024EUR":{"r":[[62198570815]],"c":null,"a":["Multiple!U33"]},"F|^59881-51EBITFY05/27/2024EUR":{"r":[[5830000000]],"c":null,"a":["Multiple!Z33"]},"F|^59881-51EV to Forward RevenueFY05/27/2024EUR":{"r":[[0.8447731302751302]],"c":null,"a":["Multiple!AG33"]},"F|^55082-71EV to RevenueFY05/27/2024EUR":{"r":[[1.2245743605785673]],"c":null,"a":["Multiple!AC59"]},"F|^55082-71Total Debt to EquityTTM05/27/2024EUR":{"r":[[3.4210622044379773]],"c":null,"a":["Multiple!V59"]},"F|^55082-71EV to Forward EBITFY05/27/2024EUR":{"r":[[55.26275890389077]],"c":null,"a":["Multiple!AI59"]},"F|^55082-71EVTTM05/27/2024EUR":{"r":[[12174473378]],"c":null,"a":["Multiple!S59"]},"F|^55082-71NET DebtTTM05/27/2024EUR":{"r":[[3973800000]],"c":null,"a":["Multiple!T59"]},"F|^55082-71EV to Forward EBITDAFY05/27/2024EUR":{"r":[[16.25406189120523]],"c":null,"a":["Multiple!AH59"]},"F|^55082-71EBITDAFY05/27/2024EUR":{"r":[[-1376300000]],"c":null,"a":["Multiple!Y59"]},"F|^55082-71Market CapTTM05/27/2024EUR":{"r":[[8204773378]],"c":null,"a":["Multiple!U59"]},"F|^55082-71EBITFY05/27/2024EUR":{"r":[[-1930300000]],"c":null,"a":["Multiple!Z59"]},"F|^55082-71EV to Forward RevenueFY05/27/2024EUR":{"r":[[1.0443916426181694]],"c":null,"a":["Multiple!AG59"]},"F|^41003-56EV to RevenueFY05/27/2024EUR":{"r":[[3.4063681807089647]],"c":null,"a":["Multiple!AC55"]},"F|^41003-56Total Debt to EquityTTM05/27/2024EUR":{"r":[[0.3671666085338914]],"c":null,"a":["Multiple!V55"]},"F|^41003-56EV to Forward EBITFY05/27/2024EUR":{"r":[[17.513195097068145]],"c":null,"a":["Multiple!AI55"]},"F|^41003-56EVTTM05/27/2024EUR":{"r":[[53043965310]],"c":null,"a":["Multiple!S55"]},"F|^41003-56NET DebtTTM05/27/2024EUR":{"r":[[3733000000]],"c":null,"a":["Multiple!T55"]},"F|^41003-56EV to Forward EBITDAFY05/27/2024EUR":{"r":[[10.680052080424938]],"c":null,"a":["Multiple!AH55"]},"F|^41003-56EBITDAFY05/27/2024EUR":{"r":[[5773000000]],"c":null,"a":["Multiple!Y55"]},"F|^41003-56Market CapTTM05/27/2024EUR":{"r":[[49310965310]],"c":null,"a":["Multiple!U55"]},"F|^41003-56EBITFY05/27/2024EUR":{"r":[[4019000000]],"c":null,"a":["Multiple!Z55"]},"F|^41003-56EV to Forward RevenueFY05/27/2024EUR":{"r":[[3.5076037239714295]],"c":null,"a":["Multiple!AG55"]},"F|^59343-85Total Debt to EquityTTM05/27/2024EUR":{"r":[[1.24088789997</t>
  </si>
  <si>
    <t>8809]],"c":null,"a":["Multiple!V71"]},"F|^59343-85EV to Forward EBITFY05/27/2024EUR":{"r":[[25.840699915550267]],"c":null,"a":["Multiple!AI71"]},"F|^59343-85EV to Forward EBITDAFY05/27/2024EUR":{"r":[[25.319607771491754]],"c":null,"a":["Multiple!AH71"]},"F|^59343-85EBITFY05/27/2024EUR":{"r":[[-1833700000]],"c":null,"a":["Multiple!Z71"]},"F|^59343-85EV to Forward RevenueFY05/27/2024EUR":{"r":[[17.470235360465118]],"c":null,"a":["Multiple!AG71"]},"F|^10789-66EV to RevenueFY05/27/2024EUR":{"r":[[0.5764244417025769]],"c":null,"a":["Multiple!AC54"]},"F|^10789-66Total Debt to EquityTTM05/27/2024EUR":{"r":[[0.10302469951129309]],"c":null,"a":["Multiple!V54"]},"F|^10789-66EV to Forward EBITFY05/27/2024EUR":{"r":[[7.7992525]],"c":null,"a":["Multiple!AI54"]},"F|^10789-66EVTTM05/27/2024EUR":{"r":[[9390300010]],"c":null,"a":["Multiple!S54"]},"F|^10789-66NET DebtTTM05/27/2024EUR":{"r":[[-61000000]],"c":null,"a":["Multiple!T54"]},"F|^10789-66EV to Forward EBITDAFY05/27/2024EUR":{"r":[[6.000191699680511]],"c":null,"a":["Multiple!AH54"]},"F|^10789-66EBITDAFY05/27/2024EUR":{"r":[[1487200000]],"c":null,"a":["Multiple!Y54"]},"F|^10789-66Market CapTTM05/27/2024EUR":{"r":[[9396600010]],"c":null,"a":["Multiple!U54"]},"F|^10789-66EBITFY05/27/2024EUR":{"r":[[1099200000]],"c":null,"a":["Multiple!Z54"]},"F|^10789-66EV to Forward RevenueFY05/27/2024EUR":{"r":[[0.5421651275981524]],"c":null,"a":["Multiple!AG54"]},"F|^61059-25Total Debt to EquityTTM05/27/2024EUR":{"r":[[0.08699739632548459]],"c":null,"a":["Multiple!V75"]},"F|^61059-25EV to Forward EBITFY05/27/2024EUR":{"r":[[43.28671010506192]],"c":null,"a":["Multiple!AI75"]},"F|^61059-25EV to Forward EBITDAFY05/27/2024EUR":{"r":[[35.514818493150685]],"c":null,"a":["Multiple!AH75"]},"F|^61059-25EV to Forward RevenueFY05/27/2024EUR":{"r":[[10.997165429480381]],"c":null,"a":["Multiple!AG75"]},"F|^13360-69EV to RevenueFY05/27/2024EUR":{"r":[[2.6923415198126635]],"c":null,"a":["Multiple!AC47"]},"F|^13360-69Total Debt to EquityTTM05/27/2024EUR":{"r":[[0.03747203579418344]],"c":null,"a":["Multiple!V47"]},"F|^13360-69EV to Forward EBITFY05/27/2024EUR":{"r":[[16.589759784976657]],"c":null,"a":["Multiple!AI47"]},"F|^13360-69EVTTM05/27/2024EUR":{"r":[[58636505960]],"c":null,"a":["Multiple!S47"]},"F|^13360-69NET DebtTTM05/27/2024EUR":{"r":[[-1307000000]],"c":null,"a":["Multiple!T47"]},"F|^13360-69EV to Forward EBITDAFY05/27/2024EUR":{"r":[[13.072095404121272]],"c":null,"a":["Multiple!AH47"]},"F|^13360-69EBITDAFY05/27/2024EUR":{"r":[[3696000000]],"c":null,"a":["Multiple!Y47"]},"F|^13360-69EBITFY05/27/2024EUR":{"r":[[2139000000]],"c":null,"a":["Multiple!Z47"]},"F|^13360-69EV to Forward RevenueFY05/27/2024EUR":{"r":[[2.5882078475196306]],"c":null,"a":["Multiple!AG47"]},"F|^11092-60Total Debt to EquityTTM05/27/2024EUR":{"r":[[0.6941218599099344]],"c":null,"a":["Multiple!V67"]},"F|^11092-60EV to Forward EBITFY05/27/2024EUR":{"r":[[24.06128098343926]],"c":null,"a":["Multiple!AI67"]},"F|^11092-60EV to Forward EBITDAFY05/27/2024EUR":{"r":[[16.961501379137413]],"c":null,"a":["Multiple!AH67"]},"F|^11092-60EV to Forward RevenueFY05/27/2024EUR":{"r":[[3.3870415876719027]],"c":null,"a":["Multiple!AG67"]},"F|^11660-50EV to RevenueFY05/27/2024EUR":{"r":[[6.489570668479628]],"c":null,"a":["Multiple!AC43"]},"F|^11660-50Total Debt to EquityTTM05/27/2024EUR":{"r":[[0.2215017537382315]],"c":null,"a":["Multiple!V43"]},"F|^11660-50EV to Forward EBITFY05/27/2024EUR":{"r":[[26.64254353154079]],"c":null,"a":["Multiple!AI43"]},"F|^11660-50EVTTM05/27/2024EUR":{"r":[[206420263823]],"c":null,"a":["Multiple!S43"]},"F|^11660-50NET DebtTTM05/27/2024EUR":{"r":[[-4008000000]],"c":null,"a":["Multiple!T43"]},"F|^11660-50EV to Forward EBITDAFY05/27/2024EUR":{"r":[[23.072868436418915]],"c":null,"a":["Multiple!AH43"]},"F|^11660-50EBITDAFY05/27/2024EUR":{"r":[[7025000000]],"c":null,"a":["Multiple!Y43"]},"F|^11660-50Market CapTTM05/27/2024EUR":{"r":[[210171263823]],"c":null,"a":["Multiple!U43"]},"F|^11660-50EBITFY05/27/2024EUR":{"r":[[5652000000]],"c":null,"a":["Multiple!Z43"]},"F|^11660-50EV to Forward RevenueFY05/27/2024EUR":{"r":[[6.0969583144120465]],"c":null,"a":["Multiple!AG43"]},"F|^60751-36EV to RevenueFY05/27/2024EUR":{"r":[[1.2817743480380774]],"c":null,"a":["Multiple!AC61"]},"F|^60751-36Total Debt to EquityTTM05/27/2024EUR":{"r":[[0.8373983739837398]],"c":null,"a":["Multiple!V61"]},"F|^60751-36EV to Forward EBITFY05/27/2024EUR":{"id":1459315,"headerValues":[],"financialValues":[],"error":null,"description":null,"customValues":[]},"F|^60751-36EVTTM05/27/2024EUR":{"r":[[11041204234]],"c":null,"a":["Multiple!S61"]},"F|^60751-36NET DebtTTM05/27/2024EUR":{"r":[[4051000000]],"c":null,"a":["Multiple!T61"]},"F|^60751-36EV to Forward EBITDAFY05/27/2024EUR":{"id":1459246,"headerValues":[],"financialValues":[],"error":null,"description":null,"customValues":[]},"F|^60751-36EBITDAFY05/27/2024EUR":{"r":[[2593000000]],"c":null,"a":["Multiple!Y61"]},"F|^60751-36Market CapTTM05/27/2024EUR":{"r":[[6990204234]],"c":null,"a":["Multiple!U61"]},"F|^60751-36EBITFY05/27/2024EUR":{"r":[[283000000]],"c":null,"a":["Multiple!Z61"]},"F|^60751-36EV to Forward RevenueFY05/27/2024EUR":{"id":1459258,"headerValues":[],"financialValues":[],"error":null,"description":null,"customValues":[]},"F|^54263-35EV to Forward EBITFY05/27/2024EUR":{"r":[[8.653404249406924]],"c":null,"a":["Multiple!AI23"]},"F|^54263-35EV to Forward EBITDAFY05/27/2024EUR":{"r":[[3.8697931509636336]],"c":null,"a":["Multiple!AH23"]},"F|^54263-35EV to Forward RevenueFY05/27/2024EUR":{"r":[[0.602188389373703]],"c":null,"a":["Multiple!AG23"]},"F|^13200-67EV to RevenueFY05/27/2024EUR":{"r":[[1.4690169893750522]],"c":null,"a":["Multiple!AC53"]},"F|^13200-67Total Debt to EquityTTM05/27/2024EUR":{"r":[[0.26805562956253]],"c":null,"a":["Multiple!V53"]},"F|^13200-67EV to Forward EBITFY05/27/2024EUR":{"r":[[33.78264529588196]],"c":null,"a":["Multiple!AI53"]},"F|^13200-67EVTTM05/27/2024EUR":{"r":[[26338740111]],"c":null,"a":["Multiple!S53"]},"F|^13200-67NET DebtTTM05/27/2024EUR":{"r":[[-2597500000]],"c":null,"a":["Multiple!T53"]},"F|^13200-67EV to Forward EBITDAFY05/27/2024EUR":{"r":[[9.9352519218466]],"c":null,"a":["Multiple!AH53"]},"F|^13200-67EBITDAFY05/27/2024EUR":{"r":[[4765700000]],"c":null,"a":["Multiple!Y53"]},"F|^13200-67Market CapTTM05/27/2024EUR":{"r":[[28859840111]],"c":null,"a":["Multiple!U53"]},"F|^13200-67EBITFY05/27/2024EUR":{"r":[[2836500000]],"c":null,"a":["Multiple!Z53"]},"F|^13200-67EV to Forward RevenueFY05/27/2024EUR":{"r":[[1.5869015307311625]],"c":null,"a":["Multiple!AG53"]},"F|^57540-79Total Debt to EquityTTM05/27/2024EUR":{"r":[[0.0673894649625369]],"c":null,"a":["Multiple!V70"]},"F|^57540-79EV to Forward EBITFY05/27/2024EUR":{"r":[[23.608863774647887]],"c":null,"a":["Multiple!AI70"]},"F|^57540-79EV to Forward EBITDAFY05/27/2024EUR":{"r":[[19.004867664399093]],"c":null,"a":["Multiple!AH70"]},"F|^57540-79EV to Forward RevenueFY05/27/2024EUR":{"r":[[3.766767415482747]],"c":null,"a":["Multiple!AG70"]},"F|^99526-69EV to RevenueFY05/27/2024EUR":{"r":[[1.2872049269923995]],"c":null,"a":["Multiple!AC45"]},"F|^99526-69Total Debt to EquityTTM05/27/2024EUR":{"r":[[0.5697272835536501]],"c":null,"a":["Multiple!V45"]},"F|^99526-69EV to Forward EBITFY05/27/2024EUR":{"r":[[6.52027135496645]],"c":null,"a":["Multiple!AI45"]},"F|^99526-69EVTTM05/27/2024EUR":{"r":[[29637893444]],"c":null,"a":["Multiple!S45"]},"F|^99526-69NET DebtTTM05/27/2024EUR":{"r":[[4466000000]],"c":null,"a":["Multiple!T45"]},"F|^99526-69EV to Forward EBITDAFY05/27/2024EUR":{"id":1459281,"headerValues":[],"financialValues":[],"error":null,"description":null,"customValues":[]},"F|^99526-69EBITDAFY05/27/2024EUR":{"r":[[2985000000]],"c":null,"a":["Multiple!Y45"]},"F|^99526-69Market CapTTM05/27/2024EUR":{"r":[[18824893444]],"c":null,"a":["Multiple!U45"]},"F|^99526-69EBITFY05/27/2024EUR":{"r":[[2864000000]],"c":null,"a":["Multiple!Z45"]},"F|^99526-69EV to Forward RevenueFY05/27/2024EUR":{"r":[[0.623679919277793]],"c":null,"a":["Multiple!AG45"]},"F|^10685-53EV to RevenueFY05/27/2024EUR":{"r":[[0.8628887786574303]],"c":null,"a":["Multiple!AC25"]},"F|^10685-53Total Debt to EquityTTM05/27/2024EUR":{"r":[[0.8979633990168133]],"c":null,"a":["Multiple!V25"]},"F|^10685-53EV to Forward EBITFY05/27/2024EUR":{"r":[[7.940808733633861]],"c":null,"a":["Multiple!AI25"]},"F|^10685-53EVTTM05/27/2024EUR":{"r":[[130792366625]],"c":null,"a":["Multiple!S25"]},"F|^10685-53NET DebtTTM05/27/2024EUR":{"r":[[59094000000]],"c":null,"a":["Multiple!T25"]},"F|^10685-53EV to Forward EBITDAFY05/27/2024EUR":{"r":[[5.607330269255813]],"c":null,"a":["Multiple!AH25"]},"F|^10685-53EBITDAFY05/27/2024EUR":{"r":[[30255000000]],"c":null,"a":["Multiple!Y25"]},"F|^10685-53EBITFY05/27/2024EUR":{"r":[[20097000000]],"c":null,"a":["Multiple!Z25"]},"F|^10685-53EV to Forward RevenueFY05/27/2024EUR":{"r":[[0.8620865010020748]],"c":null,"a":["Multiple!AG25"]},"F|^107326-09Total RevenueFY2023YEUR":{"r":[[46874000000]],"c":null,"a":["Multiple!X36"]},"F|^107326-09Total Debt to EBITDAFY2023YEUR":{"r":[[3.771540078054638]],"c":null,"a":["Multiple!AA36"]},"F|^107326-09EV to EBITFY2023YEUR":{"r":[[9.546774643954203]],"c":null,"a":["Multiple!AE36"]},"F|^107326-09EV to EBITDAFY2023YEUR":{"r":[[5.270078618776013]],"c":null,"a":["Multiple!AD36"]},"F|^114802-84Total RevenueFY2023YEUR":{"r":[[19453617000]],"c":null,"a":["Multiple!X52"]},"F|^114802-84Total Debt to EBITDAFY2023YEUR":{"r":[[4.328979730894307]],"c":null,"a":["Multiple!AA52"]},"F|^114802-84EV to EBITFY2023YEUR":{"r":[[18.541207739505893]],"c":null,"a":["Multiple!AE52"]},"F|^114802-84EV to EBITDAFY2023YEUR":{"r":[[7.70195390882972]],"c":null,"a":["Multiple!AD52"]},"F|^54263-35Total RevenueFY2023YEUR":{"r":[[322284000000]],"c":null,"a":["Multiple!X23"]},"F|^54263-35EV to EBITFY2023YEUR":{"r":[[9.465525431832718]],"c":null,"a":["Multiple!AE23"]},"F|^60401-89Total RevenueFY2023YEUR":{"r":[[22299000000]],"c":null,"a":["Multiple!X46"]},"F|^60401-89Total Debt to EBITDAFY2023YEUR":{"r":[[8.789344576466078]],"c":null,"a":["Multiple!AA46"]},"F|^60401-89EV to EBITFY2023YEUR":{"r":[[22.96794863323782]],"c":null,"a":["Multiple!AE46"]},"F|^60401-89EV to EBITDAFY2023YEUR":{"r":[[11.664455868742724]],"c":null,"a":["Multiple!AD46"]},"F|^43120-54Total RevenueFY2023YEUR":{"r":[[68902000000]],"c":null,"a":["Multiple!X32"]},"F|^43120-54Total Debt to EBITDAFY2023YEUR":{"r":[[3.129150860811205]],"c":null,"a":["Multiple!AA32"]},"F|^43120-54EV to EBITFY2023YEUR":{"id":1459196,"headerValues":[],"financialValues":[],"error":null,"description":null,"customValues":[]},"F|^43120-54EV to EBITDAFY2023YEUR":{"r":[[23.03762857761733]],"c":null,"a":["Multiple!AD32"]},"F|^11550-88Total RevenueFY2023YEUR":{"r":[[47637000000]],"c":null,"a":["Multiple!X37"]},"F|^11550-88Total Debt to EBITDAFY2023YEUR":{"r":[[10.41552210724365]],"c":null,"a":["Multiple!AA37"]},"F|^11550-88EV to EBITFY2023YEUR":{"id":1459173,"headerValues":[],"financialValues":[],"error":null,"description":null,"customValues":[]},"F|^11550-88EV to EBITDAFY2023YEUR":{"r":[[6.871945455053473]],"c":null,"a":["Multiple!AD37"]},"F|^167166-55Total RevenueFY2023YEUR":{"r":[[107915000000]],"c":null,"a":["Multiple!X29"]},"F|^167166-55Total Debt to EBITDAFY2023YEUR":{"r":[[4.9201668092386655]],"c":null,"a":["Multiple!AA29"]},"F|^167166-55EV to EBITFY2023YEUR":{"r":[[1.0629650063189364]],"c":null,"a":["Multiple!AE29"]},"F|^167166-55EV to EBITDAFY2023YEUR":{"r":[[1.0449546672307075]],"c":null,"a":["Multiple!AD29"]},"F|^59881-06Total RevenueFY2023YEUR":{"r":[[9447000000]],"c":null,"a":["Multiple!X60"]},"F|^59881-06Total Debt to EBITDAFY2023YEUR":{"r":[[0.16916070266753416]],"c":null,"a":["Multiple!AA60"]},"F|^59881-06EV to EBITFY2023YEUR":{"r":[[23.574241009700888]],"c":null,"a":["Multiple!AE60"]},"F|^59881-06EV to EBITDAFY2023YEUR":{"r":[[19.210366356389986]],"c":null,"a":["Multiple!AD60"]},"F|^57805-66Total RevenueFY2023YEUR":{"r":[[7175000000]],"c":null,"a":["Multiple!X63"]},"F|^57805-66Total Debt to EBITDAFY2023YEUR":{"r":[[1.6015012510425355]],"c":null,"a":["Multiple!AA63"]},"F|^57805-66EV to EBITFY2023YEUR":{"r":[[18.52466937121212]],"c":null,"a":["Multiple!AE63"]},"F|^57805-66EV to EBITDAFY2023YEUR":{"r":[[13.828028409048068]],"c":null,"a":["Multiple!AD63"]},"F|^53969-59Total RevenueFY2023YEUR":{"r":[[28566000000]],"c":null,"a":["Multiple!X44"]},"F|^53969-59Total Debt to EBITDAFY2023YEUR":{"r":[[3.9829568788501026]],"c":null,"a":["Multiple!AA44"]},"F|^53969-59EV to EBITFY2023YEUR":{"r":[[26.027871943085817]],"c":null,"a":["Multiple!AE44"]},"F|^53969-59EV to EBITDAFY2023YEUR":{"r":[[9.238744318181817]],"c":null,"a":["Multiple!AD44"]},"F|^436051-81Total RevenueFY2023YEUR":{"r":[[31119000000]],"c":null,"a":["Multiple!X42"]},"F|^436051-81Total Debt to EBITDAFY2023YEUR":{"id":1459056,"headerValues":[],"financialValues":[],"error":null,"description":null,"customValues":[]},"F|^436051-81EV to EBITFY2023YEUR":{"id":1459228,"headerValues":[],"financialValues":[],"error":null,"description":null,"customValues":[]},"F|^436051-81EV to EBITDAFY2023YEUR":{"id":1459336,"headerValues":[],"financialValues":[],"error":null,"description":null,"customValues":[]},"F|^11572-48Total RevenueFY2023YEUR":{"r":[[1129600000]],"c":null,"a":["Multiple!X72"]},"F|^11572-48Total Debt to EBITDAFY2023YEUR":{"id":1459040,"headerValues":[],"financialValues":[],"error":null,"description":null,"customValues":[]},"F|^11572-48EV to EBITFY2023YEUR":{"r":[[10.174813680207986]],"c":null,"a":["Multiple!AE73"]},"F|^11572-48EV to EBITDAFY2023YEUR":{"r":[[12.71267806873311]],"c":null,"a":["Multiple!AD73"]},"F|^40420-00Total RevenueFY2023YEUR":{"r":[[5228500000]],"c":null,"a":["Multiple!X65"]},"F|^40420-00Total Debt to EBITDAFY2023YEUR":{"id":1459021,"headerValues":[],"financialValues":[],"error":null,"description":null,"customValues":[]},"F|^40420-00EV to EBITFY2023YEUR":{"id":1459161,"headerValues":[],"financialValues":[],"error":null,"description":null,"customValues":[]},"F|^40420-00EV to EBITDAFY2023YEUR":{"id":1459148,"headerValues":[],"financialValues":[],"error":null,"description":null,"customValues":[]},"F|^12603-61Total RevenueFY2023YEUR":{"r":[[93686000000]],"c":null,"a":["Multiple!X28"]},"F|^12603-61Total Debt to EBITDAFY2023YEUR":{"r":[[7.992336035372144]],"c":null,"a":["Multiple!AA28"]},"F|^12603-61EV to EBITFY2023YEUR":{"id":1459289,"headerValues":[],"financialValues":[],"error":null,"description":null,"customValues":[]},"F|^12603-61EV to EBITDAFY2023YEUR":{"r":[[22.624082984016677]],"c":null,"a":["Multiple!AD28"]},"F|^10961-02Total RevenueFY2023YEUR":{"r":[[20993000000]],"c":null,"a":["Multiple!X51"]},"F|^10961-02Total Debt to EBITDAFY2023YEUR":{"r":[[1.9592613111726684]],"c":null,"a":["Multiple!AA51"]},"F|^10961-02EV to EBITFY2023YEUR":{"r":[[18.447714601971978]],"c":null,"a":["Multiple!AE51"]},"F|^10961-02EV to EBITDAFY2023YEUR":{"r":[[12.205578038798283]],"c":null,"a":["Multiple!AD51"]},"F|^63856-09Total RevenueFY2023YEUR":{"r":[[14377000000]],"c":null,"a":["Multiple!X57"]},"F|^63856-09Total Debt to EBITDAFY2023YEUR":{"r":[[3.449155722326454]],"c":null,"a":["Multiple!AA57"]},"F|^63856-09EV to EBITFY2023YEUR":{"id":1459242,"headerValues":[],"financialValues":[],"error":null,"description":null,"customValues":[]},"F|^63856-09EV to EBITDAFY2023YEUR":{"r":[[13.576569685185186]],"c":null,"a":["Multiple!AD57"]},"F|^11345-77Total RevenueFY2023YEUR":{"r":[[21427000000]],"c":null,"a":["Multiple!X49"]},"F|^11345-77Total Debt to EBITDAFY2023YEUR":{"r":[[4.889929742388759]],"c":null,"a":["Multiple!AA49"]},"F|^11345-77EV to EBITFY2023YEUR":{"id":1459152,"headerValues":[],"financialValues":[],"error":null,"description":null,"customValues":[]},"F|^11345-77EV to EBITDAFY2023YEUR":{"r":[[37.16127675548902]],"c":null,"a":["Multiple!AD49"]},"F|^10235-53Total RevenueFY2023YEUR":{"r":[[5363000000]],"c":null,"a":["Multiple!X64"]},"F|^10235-53Total Debt to EBITDAFY2023YEUR":{"r":[[3.354636591478697]],"c":null,"a":["Multiple!AA64"]},"F|^10235-53EV to EBITFY2023YEUR":{"r":[[15.27898657183908]],"c":null,"a":["Multiple!AE64"]},"F|^10235-53EV to EBITDAFY2023YEUR":{"r":[[11.146933599580713]],"c":null,"a":["Multiple!AD64"]},"F|^42199-93Total RevenueFY2023YEUR":{"r":[[1064200000]],"c":null,"a":["Multiple!X74"]},"F|^42199-93Total Debt to EBITDAFY2023YEUR":{"id":1459006,"headerValues":[],"financialValues":[],"error":null,"description":null,"customValues":[]},"F|^42199-93EV to EBITFY2023YEUR":{"id":1459149,"headerValues":[],"financialValues":[],"error":null,"description":null,"customValues":[]},"F|^42199-93EV to EBITDAFY2023YEUR":{"id":1459132,"headerValues":[],"financialValues":[],"error":null,"description":null,"customValues":[]},"F|^59881-51Total RevenueFY2023YEUR":{"r":[[60089000000]],"c":null,"a":["Multiple!X33"]},"F|^59881-51Total Debt to EBITDAFY2023YEUR":{"r":[[0.7703269887750122]],"c":null,"a":["Multiple!AA33"]},"F|^59881-51EV to EBITFY2023YEUR":{"r":[[7.315917298042059]],"c":null,"a":["Multiple!AE33"]},"F|^59881-51EV to EBITDAFY2023YEUR":{"r":[[10.566244191453707]],"c":null,"a":["Multiple!AD33"]},"F|^43042-87Total RevenueFY2023YEUR":{"r":[[103012000000]],"c":null,"a":["Multiple!X27"]},"F|^43042-87Total Debt to EBITDAFY2023YEUR":{"id":1459048,"headerValues":[],"financialValues":[],"error":null,"description":null,"customValues":[]},"F|^43042-87EV to EBITFY2023YEUR":{"r":[[4.484972157198212]],"c":null,"a":["Multiple!AE27"]},"F|^43042-87EV to EBITDAFY2023YEUR":{"r":[[4.3576836337677385]],"c":null,"a":["Multiple!AD27"]},"F|^59880-97Total RevenueFY2023YEUR":{"r":[[155498000000]],"c":null,"a":["Multiple!X24"]},"F|^59880-97Total Debt to EBITDAFY2023YEUR":{"r":[[2.6969509109311742]],"c":null,"a":["Multiple!AA24"]},"F|^59880-97EV to EBITFY2023YEUR":{"r":[[8.63744451750949]],"c":null,"a":["Multiple!AE24"]},"F|^59880-97EV to EBITDAFY2023YEUR":{"r":[[5.531188252205277]],"c":null,"a":["Multiple!AD24"]},"F|^10789-66Total RevenueFY2023YEUR":{"r":[[16815100000]],"c":null,"a":["Multiple!X54"]},"F|^10789-66Total Debt to EBITDAFY2023YEUR":{"r":[[0.9028913394298009]],"c":null,"a":["Multiple!AA54"]},"F|^10789-66EV to EBITFY2023YEUR":{"r":[[11.796959887141892]],"c":null,"a":["Multiple!AE54"]},"F|^10789-66EV to EBITDAFY2023YEUR":{"r":[[8.381816403947639]],"c":null,"a":["Multiple!AD54"]},"F|^60425-74Total RevenueFY2023YEUR":{"r":[[3590000000]],"c":null,"a":["Multiple!X68"]},"F|^60425-74Total Debt to EBITDAFY2023YEUR":{"r":[[6.454545454545454]],"c":null,"a":["Multiple!AA68"]},"F|^60425-74EV to EBITFY2023YEUR":{"id":1459111,"headerValues":[],"financialValues":[],"error":null,"description":null,"customValues":[]},"F|^60425-74EV to EBITDAFY2023YEUR":{"r":[[30.26917436489152]],"c":null,"a":["Multiple!AD68"]},"F|^56879-02Total RevenueFY2023YEUR":{"r":[[44430700000]],"c":null,"a":["Multiple!X38"]},"F|^56879-02Total Debt to EBITDAFY2023YEUR":{"r":[[2.611072303039032]],"c":null,"a":["Multiple!AA38"]},"F|^56879-02EV to EBITFY2023YEUR":{"r":[[5.766903788323207]],"c":null,"a":["Multiple!AE38"]},"F|^56879-02EV to EBITDAFY2023YEUR":{"r":[[3.929304339416145]],"c":null,"a":["Multiple!AD38"]},"F|^11933-92Total RevenueFY2023YEUR":{"r":[[21514000000]],"c":null,"a":["Multiple!X48"]},"F|^11933-92Total Debt to EBITDAFY2023YEUR":{"r":[[1.247426761678543]],"c":null,"a":["Multiple!AA48"]},"F|^11933-92EV to EBITFY2023YEUR":{"r":[[15.444710256673511]],"c":null,"a":["Multiple!AE48"]},"F|^11933-92EV to EBITDAFY2023YEUR":{"r":[[11.549441681381957]],"c":null,"a":["Multiple!AD48"]},"F|^59504-41Total RevenueFY2023YEUR":{"r":[[35442000000]],"c":null,"a":["Multiple!X41"]},"F|^59504-41Total Debt to EBITDAFY2023YEUR":{"r":[[2.9861632653061223]],"c":null,"a":["Multiple!AA41"]},"F|^59504-41EV to EBITFY2023YEUR":{"r":[[5.591440857195984]],"c":null,"a":["Multiple!AE41"]},"F|^59504-41EV to EBITDAFY2023YEUR":{"r":[[2.924603085975491]],"c":null,"a":["Multiple!AD41"]},"F|^11727-91Total RevenueFY2023YEUR":{"r":[[81758000000]],"c":null,"a":["Multiple!X30"]},"F|^11727-91Total Debt to EBITDAFY2023YEUR":{"r":[[2.069596429957315]],"c":null,"a":["Multiple!AA30"]},"F|^11727-91EV to EBITFY2023YEUR":{"r":[[11.172191135875487]],"c":null,"a":["Multiple!AE30"]},"F|^11727-91EV to EBITDAFY2023YEUR":{"r":[[6.639656650448617]],"c":null,"a":["Multiple!AD30"]},"F|^88409-08Total RevenueFY2023YEUR":{"r":[[40529000000]],"c":null,"a":["Multiple!X40"]},"F|^88409-08Total Debt to EBITDAFY2023YEUR":{"r":[[0.9065262250146294]],"c":null,"a":["Multiple!AA40"]},"F|^88409-08EV to EBITFY2023YEUR":{"r":[[8.505133510415211]],"c":null,"a":["Multiple!AE40"]},"F|^88409-08EV to EBITDAFY2023YEUR":{"r":[[5.765468157695223]],"c":null,"a":["Multiple!AD40"]},"F|^11822-68Total RevenueFY2023YEUR":{"r":[[111308000000]],"c":null,"a":["Multiple!X26"]},"F|^11822-68Total Debt to EBITDAFY2023YEUR":{"r":[[3.531348341805858]],"c":null,"a":["Multiple!AA26"]},"F|^11822-68EV to EBITFY2023YEUR":{"r":[[15.73360912260667]],"c":null,"a":["Multiple!AE26"]},"F|^11822-68EV to EBITDAFY2023YEUR":{"r":[[6.613188159211941]],"c":null,"a":["Multiple!AD26"]},"F|^13360-69Total RevenueFY2023YEUR":{"r":[[21680000000]],"c":null,"a":["Multiple!X47"]},"F|^13360-69Total Debt to EBITDAFY2023YEUR":{"r":[[0.17456709956709957]],"c":null,"a":["Multiple!AA47"]},"F|^13360-69EV to EBITFY2023YEUR":{"r":[[24.049793292761642]],"c":null,"a":["Multiple!AE47"]},"F|^13360-69EV to EBITDAFY2023YEUR":{"r":[[13.981238716697936]],"c":null,"a":["Multiple!AD47"]},"F|^61059-25Total RevenueFY2023YEUR":{"r":[[851563000]],"c":null,"a":["Multiple!X75"]},"F|^61059-25Total Debt to EBITDAFY2023YEUR":{"r":[[0.4291317294584447]],"c":null,"a":["Multiple!AA75"]},"F|^61059-25EV to EBITFY2023YEUR":{"r":[[49.08395075269407]],"c":null,"a":["Multiple!AE75"]},"F|^61059-25EV to EBITDAFY2023YEUR":{"r":[[36.97365638038584]],"c":null,"a":["Multiple!AD75"]},"F|^443229-13Total RevenueFY2023YEUR":{"r":[[55890000000]],"c":null,"a":["Multiple!X34"]},"F|^443229-13Total Debt to EBITDAFY2023YEUR":{"r":[[3.3885492629945695]],"c":null,"a":["Multiple!AA34"]},"F|^443229-13EV to EBITFY2023YEUR":{"r":[[9.161570449029668]],"c":null,"a":["Multiple!AE34"]},"F|^443229-13EV to EBITDAFY2023YEUR":{"r":[[7.349914159448819]],"c":null,"a":["Multiple!AD34"]},"F|^11660-50Total RevenueFY2023YEUR":{"r":[[31207000000]],"c":null,"a":["Multiple!X43"]},"F|^11660-50Total Debt to EBITDAFY2023YEUR":{"r":[[1.6486548042704627]],"c":null,"a":["Multiple!AA43"]},"F|^11660-50EV to EBITFY2023YEUR":{"r":[[36.839043240782885]],"c":null,"a":["Multiple!AE43"]},"F|^11660-50EV to EBITDAFY2023YEUR":{"r":[[27.403209073980022]],"c":null,"a":["Multiple!AD43"]},"F|^40607-47Total RevenueFY2023YEUR":{"r":[[15267000000]],"c":null,"a":["Multiple!X56"]},"F|^40607-47Total Debt to EBITDAFY2023YEUR":{"r":[[5.221281464530892]],"c":null,"a":["Multiple!AA56"]},"F|^40607-47EV to EBITFY2023YEUR":{"id":1459210,"headerValues":[],"financialValues":[],"error":null,"description":null,"customValues":[]},"F|^40607-47EV to EBITDAFY2023YEUR":{"r":[[7.145927601809955]],"c":null,"a":["Multiple!AD56"]},"F|^61841-17Total RevenueFY2023YEUR":{"r":[[3395700000]],"c":null,"a":["Multiple!X69"]},"F|^61841-17Total Debt to EBITDAFY2023YEUR":{"r":[[4.282003454231433]],"c":null,"a":["Multiple!AA69"]},"F|^61841-17EV to EBITFY2023YEUR":{"r":[[33.876199074553455]],"c":null,"a":["Multiple!AE69"]},"F|^61841-17EV to EBITDAFY2023YEUR":{"r":[[23.47331964573991]],"c":null,"a":["Multiple!AD69"]},"F|^41707-81Total RevenueFY2023YEUR":{"r":[[21177600000]],"c":null,"a":["Multiple!X50"]},"F|^41707-81Total Debt to EBITDAFY2023YEUR":{"r":[[1.8146676129642774]],"c":null,"a":["Multiple!AA50"]},"F|^41707-81EV to EBITFY2023YEUR":{"r":[[9.070387168931733]],"c":null,"a":["Multiple!AE50"]},"F|^41707-81EV to EBITDAFY2023YEUR":{"r":[[6.080073091814306]],"c":null,"a":["Multiple!AD50"]},"F|^13200-67Total RevenueFY2023YEUR":{"r":[[17929500000]],"c":null,"a":["Multiple!X53"]},"F|^13200-67Total Debt to EBITDAFY2023YEUR":{"r":[[1.09597330927251]],"c":null,"a":["Multiple!AA53"]},"F|^13200-67EV to EBITFY2023YEUR":{"r":[[3.2962042452965905]],"c":null,"a":["Multiple!AE53"]},"F|^13200-67EV to EBITDAFY2023YEUR":{"r":[[2.5279667756488053]],"c":null,"a":["Multiple!AD53"]},"F|^59343-85Total RevenueFY2023YEUR":{"r":[[1240900000]],"c":null,"a":["Multiple!X71"]},"F|^59343-85Total Debt to EBITDAFY2023YEUR":{"id":1459033,"headerValues":[],"financialValues":[],"error":null,"description":null,"customValues":[]},"F|^59343-85EV to EBITFY2023YEUR":{"id":1459155,"headerValues":[],"financialValues":[],"error":null,"description":null,"customValues":[]},"F|^59343-85EV to EBITDAFY2023YEUR":{"id":1459194,"headerValues":[],"financialValues":[],"error":null,"description":null,"customValues":[]},"F|^60751-36Total RevenueFY2023YEUR":{"r":[[8614000000]],"c":null,"a":["Multiple!X61"]},"F|^60751-36Total Debt to EBITDAFY2023YEUR":{"r":[[1.8502378197711788]],"c":null,"a":["Multiple!AA61"]},"F|^60751-36EV to EBITFY2023YEUR":{"r":[[48.941078059574465]],"c":null,"a":["Multiple!AE61"]},"F|^60751-36EV to EBITDAFY2023YEUR":{"r":[[4.526231146792601]],"c":null,"a":["Multiple!AD61"]},"F|^55082-71Total RevenueFY2023YEUR":{"r":[[9941800000]],"c":null,"a":["Multiple!X59"]},"F|^55082-71Total Debt to EBITDAFY2023YEUR":{"id":1459015,"headerValues":[],"financialValues":[],"error":null,"description":null,"customValues":[]},"F|^55082-71EV to EBITFY2023YEUR":{"id":1459213,"headerValues":[],"financialValues":[],"error":null,"description":null,"customValues":[]},"F|^55082-71EV to EBITDAFY2023YEUR":{"id":1459419,"headerValues":[],"financialValues":[],"error":null,"description":null,"customValues":[]},"F|^10761-22Total RevenueFY2023YEUR":{"r":[[11433700000]],"c":null,"a":["Multiple!X58"]},"F|^10761-22Total Debt to EBITDAFY2023YEUR":{"r":[[2.9025286541415576]],"c":null,"a":["Multiple!AA58"]},"F|^10761-22EV to EBITFY2023YEUR":{"r":[[15.596083940513903]],"c":null,"a":["Multiple!AE58"]},"F|^10761-22EV to EBITDAFY2023YEUR":{"r":[[5.464447736942715]],"c":null,"a":["Multiple!AD58"]},"F|^10464-31Total RevenueFY2023YEUR":{"r":[[77769000000]],"c":null,"a":["Multiple!X31"]},"F|^10464-31Total Debt to EBITDAFY2023YEUR":{"r":[[3.5626451800232286]],"c":null,"a":["Multiple!AA31"]},"F|^10464-31EV to EBITFY2023YEUR":{"r":[[12.656823928686327]],"c":null,"a":["Multiple!AE31"]},"F|^10464-31EV to EBITDAFY2023YEUR":{"r":[[9.55925079387149]],"c":null,"a":["Multiple!AD31"]},"F|^12762-82Total RevenueFY2023YEUR":{"r":[[41420500000]],"c":null,"a":["Multiple!X39"]},"F|^12762-82Total Debt to EBITDAFY2023YEUR":{"r":[[1.9019090209655702]],"c":null,"a":["Multiple!AA39"]},"F|^12762-82EV to EBITFY2023YEUR":{"r":[[10.782977342252396]],"c":null,"a":["Multiple!AE39"]},"F|^12762-82EV to EBITDAFY2023YEUR":{"r":[[5.143946516479329]],"c":null,"a":["Multiple!AD39"]},"F|^41694-94Total RevenueFY2023YEUR":{"r":[[5447000000]],"c":null,"a":["Multiple!X66"]},"F|^41694-94Total Debt to EBITDAFY2023YEUR":{"r":[[1.1129970544919]],"c":null,"a":["Multiple!AA66"]},"F|^41694-94EV to EBITFY2023YEUR":{"r":[[4.08340206185567]],"c":null,"a":["Multiple!AE66"]},"F|^41694-94EV to EBITDAFY2023YEUR":{"r":[[4.082560296846011]],"c":null,"a":["Multiple!AD66"]},"F|^99526-69Total RevenueFY2023YEUR":{"r":[[23025000000]],"c":null,"a":["Multiple!X45"]},"F|^99526-69Total Debt to EBITDAFY2023YEUR":{"r":[[2.976214405360134]],"c":null,"a":["Multiple!AA45"]},"F|^99526-69EV to EBITFY2023YEUR":{"r":[[6.541657448360858]],"c":null,"a":["Multiple!AE45"]},"F|^99526-69EV to EBITDAFY2023YEUR":{"r":[[7.357777728860549]],"c":null,"a":["Multiple!AD45"]},"F|^41003-56Total RevenueFY2023YEUR":{"r":[[16309000000]],"c":null,"a":["Multiple!X55"]},"F|^41003-56Total Debt to EBITDAFY2023YEUR":{"r":[[0.9648363069461285]],"c":null,"a":["Multiple!AA55"]},"F|^41003-56EV to EBITFY2023YEUR":{"r":[[10.843783217336366]],"c":null,"a":["Multiple!AE55"]},"F|^41003-56EV to EBITDAFY2023YEUR":{"r":[[7.523908502717868]],"c":null,"a":["Multiple!AD55"]},"F|^10685-53Total RevenueFY2023YEUR":{"r":[[153218000000]],"c":null,"a":["Multiple!X25"]},"F|^10685-53Total Debt to EBITDAFY2023YEUR":{"r":[[2.8033118492811107]],"c":null,"a":["Multiple!AA25"]},"F|^10685-53EV to EBITFY2023YEUR":{"r":[[6.180709307173808]],"c":null,"a":["Multiple!AE25"]},"F|^10685-53EV to EBITDAFY2023YEUR":{"r":[[4.70163098117492]],"c":null,"a":["Multiple!AD25"]},"F|^57540-79Total RevenueFY2023YEUR":{"r":[[2089300000]],"c":null,"a":["Multiple!X70"]},"F|^57540-79Total Debt to EBITDAFY2023YEUR":{"r":[[0.3488942466989545]],"c":null,"a":["Multiple!AA70"]},"F|^57540-79EV to EBITFY2023YEUR":{"r":[[17.682635514127558]],"c":null,"a":["Multiple!AE70"]},"F|^57540-79EV to EBITDAFY2023YEUR":{"r":[[16.330838164479886]],"c":null,"a":["Multiple!AD70"]},"F|^11092-60Total RevenueFY2023YEUR":{"r":[[4730187000]],"c":null,"a":["Multiple!X67"]},"F|^11092-60Total Debt to EBITDAFY2023YEUR":{"r":[[3.1567200620828606]],"c":null,"a":["Multiple!AA67"]},"F|^11092-60EV to EBITFY2023YEUR":{"r":[[37.2629898727338]],"c":null,"a":["Multiple!AE67"]},"F|^11092-60EV to EBITDAFY2023YEUR":{"r":[[22.35784467993816]],"c":null,"a":["Multiple!AD67"]},"F|^64231-30Total RevenueFY2023YEUR":{"r":[[7925613000]],"c":null,"a":["Multiple!X62"]},"F|^64231-30Total Debt to EBITDAFY2023YEUR":{"r":[[2.290203302792523]],"c":null,"a":["Multiple!AA62"]},"F|^64231-30EV to EBITFY2023YEUR":{"r":[[14.469824065550815]],"c":null,"a":["Multiple!AE62"]},"F|^64231-30EV to EBITDAFY2023YEUR":{"r":[[9.883871996174232]],"c":null,"a":["Multiple!AD62"]},"F|^55272-97EV to EBITFY2023YEUR":{"id":1459208,"headerValues":[],"financialValues":[],"error":null,"description":null,"customValues":[]},"F|^55272-97EV to Forward RevenueFY05/27/2024EUR":{"id":1459237,"headerValues":[],"financialValues":[],"error":null,"description":null,"customValues":[]},"F|^55272-97EV to Forward EBITDAFY05/27/2024EUR":{"id":1459267,"headerValues":[],"financialValues":[],"error":null,"description":null,"customValues":[]},"F|^55272-97EV to Forward EBITFY05/27/2024EUR":{"id":1459316,"headerValues":[],"financialValues":[],"error":null,"description":null,"customValues":[]},"F|^55272-97EV to EBITDAFY2023YEUR":{"id":1459386,"headerValues":[],"financialValues":[],"error":null,"description":null,"customValues":[]},"F|^55272-97Total RevenueFY2023YEUR":{"id":1459362,"headerValues":[],"financialValues":[],"error":null,"description":null,"customValues":[]},"F|^55272-97Market CapTTM05/27/2024EUR":{"id":1458815,"headerValues":[],"financialValues":[],"error":null,"description":null,"customValues":[]},"F|^55272-97EV to RevenueFY05/27/2024EUR":{"id":1458794,"headerValues":[],"financialValues":[],"error":null,"description":null,"customValues":[]},"F|^55272-97EVTTM05/27/2024EUR":{"id":1458832,"headerValues":[],"financialValues":[],"error":null,"description":null,"customValues":[]},"F|^55272-97Total Debt to EBITDAFY2023YEUR":{"id":1459029,"headerValues":[],"financialValues":[],"error":null,"description":null,"customValues":[]},"D|^160231-87TDeal DateEUR":{"r":[[44593]],"a":["Multiple!AL23"],"c":[["dd-mmm-yy"]]},"F|^11933-92EV to EBITDATTM12/20/2019EURr":{"r":[[10.683885387027027]],"c":null,"a":["Multiple!W155"]},"F|^53969-59EV to EBITDATTM12/20/2019EURr":{"r":[[11.007542338709678]],"c":null,"a":["Multiple!W151"]},"F|^10961-02EV to EBITDATTM12/20/2019EURr":{"r":[[13.60579980926501]],"c":null,"a":["Multiple!W158"]},"F|^443229-13EV to EBITDATTM12/20/2019EURr":{"id":1457825,"headerValues":[],"financialValues":[],"error":null,"description":null,"customValues":[]},"F|^64231-30EV to EBITDATTM12/20/2019EURr":{"r":[[13.970833007597347]],"c":null,"a":["Multiple!W169"]},"F|^11822-68EV to EBITDATTM12/20/2019EURr":{"r":[[6.386592906980405]],"c":null,"a":["Multiple!W133"]},"F|^11727-91EV to EBITDATTM12/20/2019EURr":{"r":[[7.584389721608833]],"c":null,"a":["Multiple!W137"]},"F|^12762-82EV to EBITDATTM12/20/2019EURr":{"r":[[5.263173208500387]],"c":null,"a":["Multiple!W146"]},"F|^436051-81EV to EBITDATTM12/20/2019EURr":{"id":1457834,"headerValues":[],"financialValues":[],"error":null,"description":null,"customValues":[]},"F|^10235-53EV to EBITDATTM12/20/2019EURr":{"r":[[16.729792846374732]],"c":null,"a":["Multiple!W171"]},"F|^56879-02EV to EBITDATTM12/20/2019EURr":{"r":[[11.349895584981226]],"c":null,"a":["Multiple!W145"]},"F|^167166-55EV to EBITDATTM12/20/2019EURr":{"r":[[4.460649818061528]],"c":null,"a":["Multiple!W136"]},"F|^40607-47EV to EBITDATTM12/20/2019EURr":{"r":[[8.32683094555874]],"c":null,"a":["Multiple!W163"]},"F|^60401-89EV to EBITDATTM12/20/2019EURr":{"r":[[9.388350397152603]],"c":null,"a":["Multiple!W153"]},"F|^43042-87EV to EBITDATTM12/20/2019EURr":{"r":[[8.92414725462691]],"c":null,"a":["Multiple!W134"]},"F|^40420-00EV to EBITDATTM12/20/2019EURr":{"r":[[4.2831856538862505]],"c":null,"a":["Multiple!W172"]},"F|^59881-06EV to EBITDATTM12/20/2019EURr":{"r":[[18.06589408118971]],"c":null,"a":["Multiple!W167"]},"F|^59880-97EV to EBITDATTM12/20/2019EURr":{"r":[[11.3972448716925]],"c":null,"a":["Multiple!W1</t>
  </si>
  <si>
    <t>31"]},"F|^55272-97EV to EBITDATTM12/20/2019EURr":{"r":[[2.4221935483870967]],"c":null,"a":["Multiple!W142"]},"F|^41694-94EV to EBITDATTM12/20/2019EURr":{"r":[[4.747030369826108]],"c":null,"a":["Multiple!W173"]},"F|^11572-48EV to EBITDATTM12/20/2019EURr":{"r":[[14.396757927964547]],"c":null,"a":["Multiple!W180"]},"F|^61841-17EV to EBITDATTM12/20/2019EURr":{"r":[[29.50063314767295]],"c":null,"a":["Multiple!W176"]},"F|^88409-08EV to EBITDATTM12/20/2019EURr":{"id":1457793,"headerValues":[],"financialValues":[],"error":null,"description":null,"customValues":[]},"F|^43120-54EV to EBITDATTM12/20/2019EURr":{"r":[[10.315792198193614]],"c":null,"a":["Multiple!W139"]},"F|^11345-77EV to EBITDATTM12/20/2019EURr":{"r":[[15.72166787392391]],"c":null,"a":["Multiple!W156"]},"F|^41707-81EV to EBITDATTM12/20/2019EURr":{"r":[[7.200334370880767]],"c":null,"a":["Multiple!W157"]},"F|^107326-09EV to EBITDATTM12/20/2019EURr":{"r":[[9.460564751703993]],"c":null,"a":["Multiple!W143"]},"F|^57805-66EV to EBITDATTM12/20/2019EURr":{"r":[[6.438263831280788]],"c":null,"a":["Multiple!W170"]},"F|^60425-74EV to EBITDATTM12/20/2019EURr":{"r":[[31.350237602649006]],"c":null,"a":["Multiple!W175"]},"F|^59504-41EV to EBITDATTM12/20/2019EURr":{"r":[[2.668534320868744]],"c":null,"a":["Multiple!W148"]},"F|^63856-09EV to EBITDATTM12/20/2019EURr":{"r":[[5.669800840399002]],"c":null,"a":["Multiple!W164"]},"F|^114802-84EV to EBITDATTM12/20/2019EURr":{"r":[[9.283207103679752]],"c":null,"a":["Multiple!W159"]},"F|^12603-61EV to EBITDATTM12/20/2019EURr":{"r":[[14.372299701960785]],"c":null,"a":["Multiple!W135"]},"F|^10761-22EV to EBITDATTM12/20/2019EURr":{"r":[[5.876168181434345]],"c":null,"a":["Multiple!W165"]},"F|^11550-88EV to EBITDATTM12/20/2019EURr":{"r":[[14.123164282488913]],"c":null,"a":["Multiple!W144"]},"F|^10464-31EV to EBITDATTM12/20/2019EURr":{"r":[[11.50998437698677]],"c":null,"a":["Multiple!W138"]},"F|^42199-93EV to EBITDATTM12/20/2019EURr":{"r":[[6.238298645436366]],"c":null,"a":["Multiple!W181"]},"F|^59881-51EV to EBITDATTM12/20/2019EURr":{"id":1457830,"headerValues":[],"financialValues":[],"error":null,"description":null,"customValues":[]},"F|^55082-71EV to EBITDATTM12/20/2019EURr":{"id":1457814,"headerValues":[],"financialValues":[],"error":null,"description":null,"customValues":[]},"F|^41003-56EV to EBITDATTM12/20/2019EURr":{"r":[[11.243166458817829]],"c":null,"a":["Multiple!W162"]},"F|^59343-85EV to EBITDATTM12/20/2019EURr":{"r":[[8.463838217865566]],"c":null,"a":["Multiple!W178"]},"F|^10789-66EV to EBITDATTM12/20/2019EURr":{"r":[[7.575170819935692]],"c":null,"a":["Multiple!W161"]},"F|^61059-25EV to EBITDATTM12/20/2019EURr":{"r":[[37.486337115072935]],"c":null,"a":["Multiple!W182"]},"F|^13360-69EV to EBITDATTM12/20/2019EURr":{"r":[[14.385203337819185]],"c":null,"a":["Multiple!W154"]},"F|^11092-60EV to EBITDATTM12/20/2019EURr":{"r":[[20.416961762911832]],"c":null,"a":["Multiple!W174"]},"F|^11660-50EV to EBITDATTM12/20/2019EURr":{"r":[[22.478245939675173]],"c":null,"a":["Multiple!W150"]},"F|^60751-36EV to EBITDATTM12/20/2019EURr":{"r":[[5.681267474370923]],"c":null,"a":["Multiple!W168"]},"F|^54263-35EV to EBITDATTM12/20/2019EURr":{"r":[[4.800618661662977]],"c":null,"a":["Multiple!W130"]},"F|^13200-67EV to EBITDATTM12/20/2019EURr":{"r":[[10.421738483396842]],"c":null,"a":["Multiple!W160"]},"F|^57540-79EV to EBITDATTM12/20/2019EURr":{"r":[[36.197881238208666]],"c":null,"a":["Multiple!W177"]},"F|^99526-69EV to EBITDATTM12/20/2019EURr":{"r":[[9.802898462284029]],"c":null,"a":["Multiple!W152"]},"F|^10685-53EV to EBITDATTM12/20/2019EURr":{"r":[[11.474246020885849]],"c":null,"a":["Multiple!W132"]},"F|^11933-92EV to EBITDATTM12/30/2017EURr":{"r":[[13.197932019607844]],"c":null,"a":["Multiple!AA155"]},"F|^53969-59EV to EBITDATTM12/30/2017EURr":{"r":[[4.9420940405079925]],"c":null,"a":["Multiple!AA151"]},"F|^10961-02EV to EBITDATTM12/30/2017EURr":{"r":[[11.065709879660638]],"c":null,"a":["Multiple!AA158"]},"F|^443229-13EV to EBITDATTM12/30/2017EURr":{"id":1458043,"headerValues":[],"financialValues":[],"error":null,"description":null,"customValues":[]},"F|^64231-30EV to EBITDATTM12/30/2017EURr":{"id":1458022,"headerValues":[],"financialValues":[],"error":null,"description":null,"customValues":[]},"F|^11822-68EV to EBITDATTM12/30/2017EURr":{"r":[[6.507697934233055]],"c":null,"a":["Multiple!AA133"]},"F|^11727-91EV to EBITDATTM12/30/2017EURr":{"r":[[10.271656979389615]],"c":null,"a":["Multiple!AA137"]},"F|^12762-82EV to EBITDATTM12/30/2017EURr":{"r":[[7.187950225876965]],"c":null,"a":["Multiple!AA146"]},"F|^436051-81EV to EBITDATTM12/30/2017EURr":{"id":1457997,"headerValues":[],"financialValues":[],"error":null,"description":null,"customValues":[]},"F|^10235-53EV to EBITDATTM12/30/2017EURr":{"r":[[11.63550972496474]],"c":null,"a":["Multiple!AA171"]},"F|^56879-02EV to EBITDATTM12/30/2017EURr":{"r":[[4.979262184286147]],"c":null,"a":["Multiple!AA145"]},"F|^167166-55EV to EBITDATTM12/30/2017EURr":{"r":[[6.7212903225806455]],"c":null,"a":["Multiple!AA136"]},"F|^40607-47EV to EBITDATTM12/30/2017EURr":{"r":[[8.548806544754571]],"c":null,"a":["Multiple!AA163"]},"F|^60401-89EV to EBITDATTM12/30/2017EURr":{"r":[[10.164406696805896]],"c":null,"a":["Multiple!AA153"]},"F|^43042-87EV to EBITDATTM12/30/2017EURr":{"r":[[7.784619782757866]],"c":null,"a":["Multiple!AA134"]},"F|^40420-00EV to EBITDATTM12/30/2017EURr":{"r":[[3.6074563679676164]],"c":null,"a":["Multiple!AA172"]},"F|^59881-06EV to EBITDATTM12/30/2017EURr":{"r":[[17.109088165413535]],"c":null,"a":["Multiple!AA167"]},"F|^59880-97EV to EBITDATTM12/30/2017EURr":{"r":[[8.67943054465612]],"c":null,"a":["Multiple!AA131"]},"F|^55272-97EV to EBITDATTM12/30/2017EURr":{"r":[[2.033526052819415]],"c":null,"a":["Multiple!AA142"]},"F|^41694-94EV to EBITDATTM12/30/2017EURr":{"r":[[8.592788461538461]],"c":null,"a":["Multiple!AA173"]},"F|^11572-48EV to EBITDATTM12/30/2017EURr":{"r":[[14.247253667415816]],"c":null,"a":["Multiple!AA180"]},"F|^61841-17EV to EBITDATTM12/30/2017EURr":{"r":[[20.9485455160086]],"c":null,"a":["Multiple!AA176"]},"F|^88409-08EV to EBITDATTM12/30/2017EURr":{"id":1458018,"headerValues":[],"financialValues":[],"error":null,"description":null,"customValues":[]},"F|^43120-54EV to EBITDATTM12/30/2017EURr":{"r":[[8.123883175243973]],"c":null,"a":["Multiple!AA139"]},"F|^11345-77EV to EBITDATTM12/30/2017EURr":{"r":[[14.033774178423236]],"c":null,"a":["Multiple!AA156"]},"F|^41707-81EV to EBITDATTM12/30/2017EURr":{"r":[[9.578474910714286]],"c":null,"a":["Multiple!AA157"]},"F|^107326-09EV to EBITDATTM12/30/2017EURr":{"id":1458034,"headerValues":[],"financialValues":[],"error":null,"description":null,"customValues":[]},"F|^57805-66EV to EBITDATTM12/30/2017EURr":{"r":[[7.839888395121951]],"c":null,"a":["Multiple!AA170"]},"F|^60425-74EV to EBITDATTM12/30/2017EURr":{"r":[[11.029433692556633]],"c":null,"a":["Multiple!AA175"]},"F|^59504-41EV to EBITDATTM12/30/2017EURr":{"r":[[3.41718026827054]],"c":null,"a":["Multiple!AA148"]},"F|^63856-09EV to EBITDATTM12/30/2017EURr":{"r":[[6.145567133583874]],"c":null,"a":["Multiple!AA164"]},"F|^114802-84EV to EBITDATTM12/30/2017EURr":{"r":[[10.536821370598732]],"c":null,"a":["Multiple!AA159"]},"F|^12603-61EV to EBITDATTM12/30/2017EURr":{"r":[[7.351715249941982]],"c":null,"a":["Multiple!AA135"]},"F|^10761-22EV to EBITDATTM12/30/2017EURr":{"r":[[8.221906952736319]],"c":null,"a":["Multiple!AA165"]},"F|^11550-88EV to EBITDATTM12/30/2017EURr":{"r":[[10.408801377471264]],"c":null,"a":["Multiple!AA144"]},"F|^10464-31EV to EBITDATTM12/30/2017EURr":{"r":[[10.614431722046747]],"c":null,"a":["Multiple!AA138"]},"F|^42199-93EV to EBITDATTM12/30/2017EURr":{"r":[[4.614421929352177]],"c":null,"a":["Multiple!AA181"]},"F|^59881-51EV to EBITDATTM12/30/2017EURr":{"id":1458038,"headerValues":[],"financialValues":[],"error":null,"description":null,"customValues":[]},"F|^55082-71EV to EBITDATTM12/30/2017EURr":{"id":1458005,"headerValues":[],"financialValues":[],"error":null,"description":null,"customValues":[]},"F|^41003-56EV to EBITDATTM12/30/2017EURr":{"r":[[14.010087994438265]],"c":null,"a":["Multiple!AA162"]},"F|^59343-85EV to EBITDATTM12/30/2017EURr":{"r":[[7.0714993883495145]],"c":null,"a":["Multiple!AA178"]},"F|^10789-66EV to EBITDATTM12/30/2017EURr":{"r":[[11.74531363088058]],"c":null,"a":["Multiple!AA161"]},"F|^61059-25EV to EBITDATTM12/30/2017EURr":{"r":[[29.15631042273014]],"c":null,"a":["Multiple!AA182"]},"F|^13360-69EV to EBITDATTM12/30/2017EURr":{"id":1458006,"headerValues":[],"financialValues":[],"error":null,"description":null,"customValues":[]},"F|^11092-60EV to EBITDATTM12/30/2017EURr":{"r":[[17.382584967009443]],"c":null,"a":["Multiple!AA174"]},"F|^11660-50EV to EBITDATTM12/30/2017EURr":{"r":[[18.182883288360213]],"c":null,"a":["Multiple!AA150"]},"F|^60751-36EV to EBITDATTM12/30/2017EURr":{"r":[[8.11113554342857]],"c":null,"a":["Multiple!AA168"]},"F|^54263-35EV to EBITDATTM12/30/2017EURr":{"r":[[5.41772967734474]],"c":null,"a":["Multiple!AA130"]},"F|^13200-67EV to EBITDATTM12/30/2017EURr":{"r":[[12.568325177643882]],"c":null,"a":["Multiple!AA160"]},"F|^57540-79EV to EBITDATTM12/30/2017EURr":{"r":[[21.68865487298998]],"c":null,"a":["Multiple!AA177"]},"F|^99526-69EV to EBITDATTM12/30/2017EURr":{"r":[[11.146376485528647]],"c":null,"a":["Multiple!AA152"]},"F|^10685-53EV to EBITDATTM12/30/2017EURr":{"r":[[7.272372747078629]],"c":null,"a":["Multiple!AA132"]},"F|^11933-92EV to EBITDATTM06/28/2018EURr":{"r":[[12.526319926385442]],"c":null,"a":["Multiple!Z155"]},"F|^53969-59EV to EBITDATTM06/28/2018EURr":{"r":[[3.7856860127761913]],"c":null,"a":["Multiple!Z151"]},"F|^10961-02EV to EBITDATTM06/28/2018EURr":{"r":[[11.36359339624506]],"c":null,"a":["Multiple!Z158"]},"F|^443229-13EV to EBITDATTM06/28/2018EURr":{"id":1457984,"headerValues":[],"financialValues":[],"error":null,"description":null,"customValues":[]},"F|^64231-30EV to EBITDATTM06/28/2018EURr":{"id":1457975,"headerValues":[],"financialValues":[],"error":null,"description":null,"customValues":[]},"F|^11822-68EV to EBITDATTM06/28/2018EURr":{"r":[[3.3862430507652275]],"c":null,"a":["Multiple!Z133"]},"F|^11727-91EV to EBITDATTM06/28/2018EURr":{"r":[[8.52289721297989]],"c":null,"a":["Multiple!Z137"]},"F|^12762-82EV to EBITDATTM06/28/2018EURr":{"r":[[6.429527877611388]],"c":null,"a":["Multiple!Z146"]},"F|^436051-81EV to EBITDATTM06/28/2018EURr":{"id":1457950,"headerValues":[],"financialValues":[],"error":null,"description":null,"customValues":[]},"F|^10235-53EV to EBITDATTM06/28/2018EURr":{"r":[[11.822117068434444]],"c":null,"a":["Multiple!Z171"]},"F|^56879-02EV to EBITDATTM06/28/2018EURr":{"r":[[3.5338610541459587]],"c":null,"a":["Multiple!Z145"]},"F|^167166-55EV to EBITDATTM06/28/2018EURr":{"r":[[23.050694386694385]],"c":null,"a":["Multiple!Z136"]},"F|^40607-47EV to EBITDATTM06/28/2018EURr":{"r":[[7.807286455875413]],"c":null,"a":["Multiple!Z163"]},"F|^60401-89EV to EBITDATTM06/28/2018EURr":{"r":[[10.865204600068365]],"c":null,"a":["Multiple!Z153"]},"F|^43042-87EV to EBITDATTM06/28/2018EURr":{"r":[[8.350683280581844]],"c":null,"a":["Multiple!Z134"]},"F|^40420-00EV to EBITDATTM06/28/2018EURr":{"r":[[4.460590905848178]],"c":null,"a":["Multiple!Z172"]},"F|^59881-06EV to EBITDATTM06/28/2018EURr":{"r":[[17.42823705414847]],"c":null,"a":["Multiple!Z167"]},"F|^59880-97EV to EBITDATTM06/28/2018EURr":{"r":[[8.072351992022112]],"c":null,"a":["Multiple!Z131"]},"F|^55272-97EV to EBITDATTM06/28/2018EURr":{"r":[[1.8613260326151648]],"c":null,"a":["Multiple!Z142"]},"F|^41694-94EV to EBITDATTM06/28/2018EURr":{"r":[[4.7216988130563795]],"c":null,"a":["Multiple!Z173"]},"F|^11572-48EV to EBITDATTM06/28/2018EURr":{"r":[[12.510646009411285]],"c":null,"a":["Multiple!Z180"]},"F|^61841-17EV to EBITDATTM06/28/2018EURr":{"r":[[28.89858530799651]],"c":null,"a":["Multiple!Z176"]},"F|^88409-08EV to EBITDATTM06/28/2018EURr":{"id":1457948,"headerValues":[],"financialValues":[],"error":null,"description":null,"customValues":[]},"F|^43120-54EV to EBITDATTM06/28/2018EURr":{"r":[[6.923442214170432]],"c":null,"a":["Multiple!Z139"]},"F|^11345-77EV to EBITDATTM06/28/2018EURr":{"r":[[13.839134094951017]],"c":null,"a":["Multiple!Z156"]},"F|^41707-81EV to EBITDATTM06/28/2018EURr":{"r":[[7.892652019533906]],"c":null,"a":["Multiple!Z157"]},"F|^107326-09EV to EBITDATTM06/28/2018EURr":{"id":1457973,"headerValues":[],"financialValues":[],"error":null,"description":null,"customValues":[]},"F|^57805-66EV to EBITDATTM06/28/2018EURr":{"r":[[6.580831885714286]],"c":null,"a":["Multiple!Z170"]},"F|^60425-74EV to EBITDATTM06/28/2018EURr":{"r":[[5.686763298181818]],"c":null,"a":["Multiple!Z175"]},"F|^59504-41EV to EBITDATTM06/28/2018EURr":{"r":[[2.170247352704678]],"c":null,"a":["Multiple!Z148"]},"F|^63856-09EV to EBITDATTM06/28/2018EURr":{"r":[[4.134163178964758]],"c":null,"a":["Multiple!Z164"]},"F|^114802-84EV to EBITDATTM06/28/2018EURr":{"r":[[11.658025932518633]],"c":null,"a":["Multiple!Z159"]},"F|^12603-61EV to EBITDATTM06/28/2018EURr":{"r":[[4.094105006933744]],"c":null,"a":["Multiple!Z135"]},"F|^10761-22EV to EBITDATTM06/28/2018EURr":{"r":[[6.600608198733786]],"c":null,"a":["Multiple!Z165"]},"F|^11550-88EV to EBITDATTM06/28/2018EURr":{"r":[[10.420370104489797]],"c":null,"a":["Multiple!Z144"]},"F|^10464-31EV to EBITDATTM06/28/2018EURr":{"r":[[9.108470720970239]],"c":null,"a":["Multiple!Z138"]},"F|^42199-93EV to EBITDATTM06/28/2018EURr":{"r":[[6.203073105249792]],"c":null,"a":["Multiple!Z181"]},"F|^59881-51EV to EBITDATTM06/28/2018EURr":{"id":1457990,"headerValues":[],"financialValues":[],"error":null,"description":null,"customValues":[]},"F|^55082-71EV to EBITDATTM06/28/2018EURr":{"id":1457965,"headerValues":[],"financialValues":[],"error":null,"description":null,"customValues":[]},"F|^41003-56EV to EBITDATTM06/28/2018EURr":{"r":[[10.761561393284268]],"c":null,"a":["Multiple!Z162"]},"F|^59343-85EV to EBITDATTM06/28/2018EURr":{"r":[[7.534201054564934]],"c":null,"a":["Multiple!Z178"]},"F|^10789-66EV to EBITDATTM06/28/2018EURr":{"r":[[11.409885882805488]],"c":null,"a":["Multiple!Z161"]},"F|^61059-25EV to EBITDATTM06/28/2018EURr":{"r":[[32.212017689985544]],"c":null,"a":["Multiple!Z182"]},"F|^13360-69EV to EBITDATTM06/28/2018EURr":{"r":[[13.412806026365349]],"c":null,"a":["Multiple!Z154"]},"F|^11092-60EV to EBITDATTM06/28/2018EURr":{"r":[[17.829653588945526]],"c":null,"a":["Multiple!Z174"]},"F|^11660-50EV to EBITDATTM06/28/2018EURr":{"r":[[16.92126637997076]],"c":null,"a":["Multiple!Z150"]},"F|^60751-36EV to EBITDATTM06/28/2018EURr":{"r":[[6.293382340413639]],"c":null,"a":["Multiple!Z168"]},"F|^54263-35EV to EBITDATTM06/28/2018EURr":{"r":[[4.4515617554207365]],"c":null,"a":["Multiple!Z130"]},"F|^13200-67EV to EBITDATTM06/28/2018EURr":{"r":[[10.301413022054962]],"c":null,"a":["Multiple!Z160"]},"F|^57540-79EV to EBITDATTM06/28/2018EURr":{"r":[[24.97773451582944]],"c":null,"a":["Multiple!Z177"]},"F|^99526-69EV to EBITDATTM06/28/2018EURr":{"r":[[10.312811733825198]],"c":null,"a":["Multiple!Z152"]},"F|^10685-53EV to EBITDATTM06/28/2018EURr":{"r":[[7.084516902834008]],"c":null,"a":["Multiple!Z132"]},"F|^11933-92EV to EBITDATTM06/23/2019EURr":{"r":[[10.005585227199571]],"c":null,"a":["Multiple!X155"]},"F|^53969-59EV to EBITDATTM06/23/2019EURr":{"r":[[14.706219784722222]],"c":null,"a":["Multiple!X151"]},"F|^10961-02EV to EBITDATTM06/23/2019EURr":{"r":[[13.507908772126436]],"c":null,"a":["Multiple!X158"]},"F|^443229-13EV to EBITDATTM06/23/2019EURr":{"id":1457865,"headerValues":[],"financialValues":[],"error":null,"description":null,"customValues":[]},"F|^64231-30EV to EBITDATTM06/23/2019EURr":{"r":[[14.611677674940768]],"c":null,"a":["Multiple!X169"]},"F|^11822-68EV to EBITDATTM06/23/2019EURr":{"r":[[7.1259981815791855]],"c":null,"a":["Multiple!X133"]},"F|^11727-91EV to EBITDATTM06/23/2019EURr":{"r":[[7.052034868007635]],"c":null,"a":["Multiple!X137"]},"F|^12762-82EV to EBITDATTM06/23/2019EURr":{"r":[[5.068687772206888]],"c":null,"a":["Multiple!X146"]},"F|^436051-81EV to EBITDATTM06/23/2019EURr":{"id":1457873,"headerValues":[],"financialValues":[],"error":null,"description":null,"customValues":[]},"F|^10235-53EV to EBITDATTM06/23/2019EURr":{"r":[[14.350815559796438]],"c":null,"a":["Multiple!X171"]},"F|^56879-02EV to EBITDATTM06/23/2019EURr":{"r":[[6.9406678171506355]],"c":null,"a":["Multiple!X145"]},"F|^167166-55EV to EBITDATTM06/23/2019EURr":{"r":[[6.224992383025027]],"c":null,"a":["Multiple!X136"]},"F|^40607-47EV to EBITDATTM06/23/2019EURr":{"r":[[7.317058261700096]],"c":null,"a":["Multiple!X163"]},"F|^60401-89EV to EBITDATTM06/23/2019EURr":{"r":[[8.804382022772845]],"c":null,"a":["Multiple!X153"]},"F|^43042-87EV to EBITDATTM06/23/2019EURr":{"r":[[9.630669519555893]],"c":null,"a":["Multiple!X134"]},"F|^40420-00EV to EBITDATTM06/23/2019EURr":{"r":[[4.448097136636139]],"c":null,"a":["Multiple!X172"]},"F|^59881-06EV to EBITDATTM06/23/2019EURr":{"r":[[18.7749820505476]],"c":null,"a":["Multiple!X167"]},"F|^59880-97EV to EBITDATTM06/23/2019EURr":{"r":[[10.602318232499607]],"c":null,"a":["Multiple!X131"]},"F|^55272-97EV to EBITDATTM06/23/2019EURr":{"r":[[2.4723536737235365]],"c":null,"a":["Multiple!X142"]},"F|^41694-94EV to EBITDATTM06/23/2019EURr":{"r":[[4.712670946134524]],"c":null,"a":["Multiple!X173"]},"F|^11572-48EV to EBITDATTM06/23/2019EURr":{"r":[[13.91671111331218]],"c":null,"a":["Multiple!X180"]},"F|^61841-17EV to EBITDATTM06/23/2019EURr":{"r":[[31.32863969510132]],"c":null,"a":["Multiple!X176"]},"F|^88409-08EV to EBITDATTM06/23/2019EURr":{"id":1457886,"headerValues":[],"financialValues":[],"error":null,"description":null,"customValues":[]},"F|^43120-54EV to EBITDATTM06/23/2019EURr":{"r":[[8.216741596782672]],"c":null,"a":["Multiple!X139"]},"F|^11345-77EV to EBITDATTM06/23/2019EURr":{"r":[[16.325049415307404]],"c":null,"a":["Multiple!X156"]},"F|^41707-81EV to EBITDATTM06/23/2019EURr":{"r":[[7.3621868297498905]],"c":null,"a":["Multiple!X157"]},"F|^107326-09EV to EBITDATTM06/23/2019EURr":{"id":1457869,"headerValues":[],"financialValues":[],"error":null,"description":null,"customValues":[]},"F|^57805-66EV to EBITDATTM06/23/2019EURr":{"r":[[5.78913090295858]],"c":null,"a":["Multiple!X170"]},"F|^60425-74EV to EBITDATTM06/23/2019EURr":{"r":[[13.651611729257642]],"c":null,"a":["Multiple!X175"]},"F|^59504-41EV to EBITDATTM06/23/2019EURr":{"r":[[2.6209769156041287]],"c":null,"a":["Multiple!X148"]},"F|^63856-09EV to EBITDATTM06/23/2019EURr":{"r":[[3.5701327860774343]],"c":null,"a":["Multiple!X164"]},"F|^114802-84EV to EBITDATTM06/23/2019EURr":{"r":[[8.767016313503193]],"c":null,"a":["Multiple!X159"]},"F|^12603-61EV to EBITDATTM06/23/2019EURr":{"r":[[6.5366053436671425]],"c":null,"a":["Multiple!X135"]},"F|^10761-22EV to EBITDATTM06/23/2019EURr":{"r":[[5.400081338512481]],"c":null,"a":["Multiple!X165"]},"F|^11550-88EV to EBITDATTM06/23/2019EURr":{"r":[[8.683195866784382]],"c":null,"a":["Multiple!X144"]},"F|^10464-31EV to EBITDATTM06/23/2019EURr":{"r":[[10.843951413310162]],"c":null,"a":["Multiple!X138"]},"F|^42199-93EV to EBITDATTM06/23/2019EURr":{"r":[[5.397182198198198]],"c":null,"a":["Multiple!X181"]},"F|^59881-51EV to EBITDATTM06/23/2019EURr":{"id":1457879,"headerValues":[],"financialValues":[],"error":null,"description":null,"customValues":[]},"F|^55082-71EV to EBITDATTM06/23/2019EURr":{"id":1457844,"headerValues":[],"financialValues":[],"error":null,"description":null,"customValues":[]},"F|^41003-56EV to EBITDATTM06/23/2019EURr":{"r":[[6.882862932068311]],"c":null,"a":["Multiple!X162"]},"F|^59343-85EV to EBITDATTM06/23/2019EURr":{"r":[[10.016868594355286]],"c":null,"a":["Multiple!X178"]},"F|^10789-66EV to EBITDATTM06/23/2019EURr":{"r":[[7.337976361427152]],"c":null,"a":["Multiple!X161"]},"F|^61059-25EV to EBITDATTM06/23/2019EURr":{"r":[[41.195157242657864]],"c":null,"a":["Multiple!X182"]},"F|^13360-69EV to EBITDATTM06/23/2019EURr":{"r":[[13.74702380952381]],"c":null,"a":["Multiple!X154"]},"F|^11092-60EV to EBITDATTM06/23/2019EURr":{"r":[[20.313454263252343]],"c":null,"a":["Multiple!X174"]},"F|^11660-50EV to EBITDATTM06/23/2019EURr":{"r":[[24.10426214517685]],"c":null,"a":["Multiple!X150"]},"F|^60751-36EV to EBITDATTM06/23/2019EURr":{"r":[[5.803753910323254]],"c":null,"a":["Multiple!X168"]},"F|^54263-35EV to EBITDATTM06/23/2019EURr":{"r":[[5.043626913072603]],"c":null,"a":["Multiple!X130"]},"F|^13200-67EV to EBITDATTM06/23/2019EURr":{"r":[[9.235477206362733]],"c":null,"a":["Multiple!X160"]},"F|^57540-79EV to EBITDATTM06/23/2019EURr":{"r":[[34.305289868840404]],"c":null,"a":["Multiple!X177"]},"F|^99526-69EV to EBITDATTM06/23/2019EURr":{"r":[[10.660803628428928]],"c":null,"a":["Multiple!X152"]},"F|^10685-53EV to EBITDATTM06/23/2019EURr":{"r":[[9.067556356030677]],"c":null,"a":["Multiple!X132"]},"F|^11933-92EV to EBITDATTM07/19/2014EURr":{"r":[[12.194644464575646]],"c":null,"a":["Multiple!AH155"]},"F|^53969-59EV to EBITDATTM07/19/2014EURr":{"r":[[4.406552479064203]],"c":null,"a":["Multiple!AH151"]},"F|^10961-02EV to EBITDATTM07/19/2014EURr":{"r":[[9.051950331018368]],"c":null,"a":["Multiple!AH158"]},"F|^443229-13EV to EBITDATTM07/19/2014EURr":{"id":1458415,"headerValues":[],"financialValues":[],"error":null,"description":null,"customValues":[]},"F|^64231-30EV to EBITDATTM07/19/2014EURr":{"id":1458404,"headerValues":[],"financialValues":[],"error":null,"description":null,"customValues":[]},"F|^11822-68EV to EBITDATTM07/19/2014EURr":{"r":[[5.731902221701155]],"c":null,"a":["Multiple!AH133"]},"F|^11727-91EV to EBITDATTM07/19/2014EURr":{"r":[[7.203301821988184]],"c":null,"a":["Multiple!AH137"]},"F|^12762-82EV to EBITDATTM07/19/2014EURr":{"r":[[7.550234573877963]],"c":null,"a":["Multiple!AH146"]},"F|^436051-81EV to EBITDATTM07/19/2014EURr":{"id":1458390,"headerValues":[],"financialValues":[],"error":null,"description":null,"customValues":[]},"F|^10235-53EV to EBITDATTM07/19/2014EURr":{"r":[[7.003163861723447]],"c":null,"a":["Multiple!AH171"]},"F|^56879-02EV to EBITDATTM07/19/2014EURr":{"r":[[6.121358855111677]],"c":null,"a":["Multiple!AH145"]},"F|^167166-55EV to EBITDATTM07/19/2014EURr":{"id":1458408,"headerValues":[],"financialValues":[],"error":null,"description":null,"customValues":[]},"F|^40607-47EV to EBITDATTM07/19/2014EURr":{"r":[[8.032606335031847]],"c":null,"a":["Multiple!AH163"]},"F|^60401-89EV to EBITDATTM07/19/2014EURr":{"r":[[10.0606820018272]],"c":null,"a":["Multiple!AH153"]},"F|^43042-87EV to EBITDATTM07/19/2014EURr":{"r":[[7.712240088006686]],"c":null,"a":["Multiple!AH134"]},"F|^40420-00EV to EBITDATTM07/19/2014EURr":{"r":[[21.612066290594687]],"c":null,"a":["Multiple!AH172"]},"F|^59881-06EV to EBITDATTM07/19/2014EURr":{"r":[[14.599375487752928]],"c":null,"a":["Multiple!AH167"]},"F|^59880-97EV to EBITDATTM07/19/2014EURr":{"r":[[9.6139623747851]],"c":null,"a":["Multiple!AH131"]},"F|^55272-97EV to EBITDATTM07/19/2014EURr":{"r":[[2.999837977965003]],"c":null,"a":["Multiple!AH142"]},"F|^41694-94EV to EBITDATTM07/19/2014EURr":{"r":[[7.628275926619244]],"c":null,"a":["Multiple!AH173"]},"F|^11572-48EV to EBITDATTM07/19/2014EURr":{"r":[[11.944489235223646]],"c":null,"a":["Multiple!AH180"]},"F|^61841-17EV to EBITDATTM07/19/2014EURr":{"r":[[12.3175175326607]],"c":null,"a":["Multiple!AH176"]},"F|^88409-08EV to EBITDATTM07/19/2014EURr":{"id":1458387,"headerValues":[],"financialValues":[],"error":null,"description":null,"customValues":[]},"F|^43120-54EV to EBITDATTM07/19/2014EURr":{"r":[[8.40897681706742]],"c":null,"a":["Multiple!AH139"]},"F|^11345-77EV to EBITDATTM07/19/2014EURr":{"r":[[11.120551351506457]],"c":null,"a":["Multiple!AH156"]},"F|^41707-81EV to EBITDATTM07/19/2014EURr":{"r":[[7.501652433611675]],"c":null,"a":["Multiple!AH157"]},"F|^107326-09EV to EBITDATTM07/19/2014EURr":{"id":1458384,"headerValues":[],"financialValues":[],"error":null,"description":null,"customValues":[]},"F|^57805-66EV to EBITDATTM07/19/2014EURr":{"r":[[7.317249483965014]],"c":null,"a":["Multiple!AH170"]},"F|^60425-74EV to EBITDATTM07/19/2014EURr":{"r":[[6.152004361423221]],"c":null,"a":["Multiple!AH175"]},"F|^59504-41EV to EBITDATTM07/19/2014EURr":{"r":[[2.9997219365765764]],"c":null,"a":["Multiple!AH148"]},"F|^63856-09EV to EBITDATTM07/19/2014EURr":{"id":1458372,"headerValues":[],"financialValues":[],"error":null,"description":null,"customValues":[]},"F|^114802-84EV to EBITDATTM07/19/2014EURr":{"r":[[10.104013370021564]],"c":null,"a":["Multiple!AH159"]},"F|^12603-61EV to EBITDATTM07/19/2014EURr":{"r":[[5.645583574768692]],"c":null,"a":["Multiple!AH135"]},"F|^10761-22EV to EBITDATTM07/19/2014EURr":{"r":[[4.90072226687651]],"c":null,"a":["Multiple!AH165"]},"F|^11550-88EV to EBITDATTM07/19/2014EURr":{"r":[[11.431168593188854]],"c":null,"a":["Multiple!AH144"]},"F|^10464-31EV to EBITDATTM07/19/2014EURr":{"r":[[9.926856175265808]],"c":null,"a":["Multiple!AH138"]},"F|^42199-93EV to EBITDATTM07/19/2014EURr":{"r":[[23.88460626939898]],"c":null,"a":["Multiple!AH181"]},"F|^59881-51EV to EBITDATTM07/19/2014EURr":{"r":[[9.19802005150334]],"c":null,"a":["Multiple!AH140"]},"F|^55082-71EV to EBITDATTM07/19/2014EURr":{"id":1458379,"headerValues":[],"financialValues":[],"error":null,"description":null,"customValues":[]},"F|^41003-56EV to EBITDATTM07/19/2014EURr":{"r":[[8.551923059067358]],"c":null,"a":["Multiple!AH162"]},"F|^59343-85EV to EBITDATTM07/19/2014EURr":{"r":[[17.283296822731675]],"c":null,"a":["Multiple!AH178"]},"F|^10789-66EV to EBITDATTM07/19/2014EURr":{"r":[[11.193799268018019]],"c":null,"a":["Multiple!AH161"]},"F|^61059-25EV to EBITDATTM07/19/2014EURr":{"r":[[12.584388769341121]],"c":null,"a":["Multiple!AH182"]},"F|^13360-69EV to EBITDATTM07/19/2014EURr":{"id":1458368,"headerValues":[],"financialValues":[],"error":null,"description":null,"customValues":[]},"F|^11092-60EV to EBITDATTM07/19/2014EURr":{"r":[[13.672419933530222]],"c":null,"a":["Multiple!AH174"]},"F|^11660-50EV to EBITDATTM07/19/2014EURr":{"r":[[12.913437627653783]],"c":null,"a":["Multiple!AH150"]},"F|^60751-36EV to EBITDATTM07/19/2014EURr":{"r":[[6.166113575040953]],"c":null,"a":["Multiple!AH168"]},"F|^54263-35EV to EBITDATTM07/19/2014EURr":{"r":[[5.386688606177193]],"c":null,"a":["Multiple!AH130"]},"F|^13200-67EV to EBITDATTM07/19/2014EURr":{"id":1458405,"headerValues":[],"financialValues":[],"error":null,"description":null,"customValues":[]},"F|^57540-79EV to EBITDATTM07/19/2014EURr":{"r":[[11.227472898896439]],"c":null,"a":["Multiple!AH177"]},"F|^99526-69EV to EBITDATTM07/19/2014EURr":{"r":[[10.35669488034188]],"c":null,"a":["Multiple!AH152"]},"F|^10685-53EV to EBITDATTM07/19/2014EURr":{"r":[[6.95167962483031]],"c":null,"a":["Multiple!AH132"]},"F|^40420-00EV to EBITDATTM06/17/2020EURr":{"r":[[5.374733879266474]],"c":null,"a":["Multiple!V172"]},"F|^10789-66EV to EBITDATTM06/17/2020EURr":{"r":[[6.861363856354661]],"c":null,"a":["Multiple!V161"]},"F|^12762-82EV to EBITDATTM06/17/2020EURr":{"r":[[4.841482376404988]],"c":null,"a":["Multiple!V146"]},"F|^59880-97EV to EBITDATTM06/17/2020EURr":{"r":[[10.060439906018077]],"c":null,"a":["Multiple!V131"]},"F|^107326-09EV to EBITDATTM06/17/2020EURr":{"r":[[4.5545023696682465]],"c":null,"a":["Multiple!V143"]},"F|^53969-59EV to EBITDATTM06/17/2020EURr":{"r":[[7.741522334293948]],"c":null,"a":["Multiple!V151"]},"F|^11660-50EV to EBITDATTM06/17/2020EURr":{"r":[[18.697014942103333]],"c":null,"a":["Multiple!V150"]},"F|^57805-66EV to EBITDATTM06/17/2020EURr":{"r":[[4.645151024296675]],"c":null,"a":["Multiple!V170"]},"F|^11550-88EV to EBITDATTM06/17/2020EURr":{"r":[[9.526208418617562]],"c":null,"a":["Multiple!V144"]},"F|^59881-51EV to EBITDATTM06/17/2020EURr":{"id":1457773,"headerValues":[],"financialValues":[],"error":null,"description":null,"customValues":[]},"F|^10685-53EV to EBITDATTM06/17/2020EURr":{"r":[[14.270987677630925]],"c":null,"a":["Multiple!V132"]},"F|^11572-48EV to EBITDATTM06/17/2020EURr":{"r":[[13.635296812813795]],"c":null,"a":["Multiple!V179"]},"F|^11933-92EV to EBITDATTM01/04/2017EURr":{"r":[[14.132670311583357]],"c":null,"a":["Multiple!AC155"]},"F|^53969-59EV to EBITDATTM01/04/2017EURr":{"r":[[2.9348715703715884]],"c":null,"a":["Multiple!AC151"]},"F|^10961-02EV to EBITDATTM01/04/2017EURr":{"r":[[13.216441948488507]],"c":null,"a":["Multiple!AC158"]},"F|^443229-13EV to EBITDATTM01/04/2017EURr":{"id":1458142,"headerValues":[],"financialValues":[],"error":null,"description":null,"customValues":[]},"F|^64231-30EV to EBITDATTM01/04/2017EURr":{"id":1458143,"headerValues":[],"financialValues":[],"error":null,"description":null,"customValues":[]},"F|^11822-68EV to EBITDATTM01/04/2017EURr":{"r":[[5.656935327575311]],"c":null,"a":["Multiple!AC133"]},"F|^11727-91EV to EBITDATTM01/04/2017EURr":{"r":[[9.063249317916577]],"c":null,"a":["Multiple!AC137"]},"F|^12762-82EV to EBITDATTM01/04/2017EURr":{"r":[[7.074482589930556]],"c":null,"a":["Multiple!AC146"]},"F|^436051-81EV to EBITDATTM01/04/2017EURr":{"id":1458141,"headerValues":[],"financialValues":[],"error":null,"description":null,"customValues":[]},"F|^10235-53EV to EBITDATTM01/04/2017EURr":{"r":[[10.069136707053941]],"c":null,"a":["Multiple!AC171"]},"F|^56879-02EV to EBITDATTM01/04/2017EURr":{"r":[[5.650198656357021]],"c":null,"a":["Multiple!AC145"]},"F|^167166-55EV to EBITDATTM01/04/2017EURr":{"id":1458124,"headerValues":[],"financialValues":[],"error":null,"description":null,"customValues":[]},"F|^40607-47EV to EBITDATTM01/04/2017EURr":{"r":[[6.058830151737641]],"c":null,"a":["Multiple!AC163"]},"F|^60401-89EV to EBITDATTM01/04/2017EURr":{"r":[[11.821041698280748]],"c":null,"a":["Multiple!AC153"]},"F|^43042-87EV to EBITDATTM01/04/2017EURr":{"r":[[9.405937950170358]],"c":null,"a":["Multiple!AC134"]},"F|^40420-00EV to EBITDATTM01/04/2017EURr":{"r":[[11.42181674334609]],"c":null,"a":["Multiple!AC172"]},"F|^59881-06EV to EBITDATTM01/04/2017EURr":{"r":[[15.085732817438693]],"c":null,"a":["Multiple!AC167"]},"F|^59880-97EV to EBITDATTM01/04/2017EURr":{"r":[[9.133589442629455]],"c":null,"a":["Multiple!AC131"]},"F|^55272-97EV to EBITDATTM01/04/2017EURr":{"r":[[2.1171020937557903]],"c":null,"a":["Multiple!AC142"]},"F|^41694-94EV to EBITDATTM01/04/2017EURr":{"id":1458114,"headerValues":[],"financialValues":[],"error":null,"description":null,"customValues":[]},"F|^11572-48EV to EBITDATTM01/04/2017EURr":{"r":[[10.299292067213507]],"c":null,"a":["Multiple!AC180"]},"F|^61841-17EV to EBITDATTM01/04/2017EURr":{"r":[[20.110650574812624]],"c":null,"a":["Multiple!AC176"]},"F|^88409-08EV to EBITDATTM01/04/2017EURr":{"id":1458110,"headerValues":[],"financialValues":[],"error":null,"description":null,"customValues":[]},"F|^43120-54EV to EBITDATTM01/04/2017EURr":{"r":[[9.737371424603586]],"c":null,"a":["Multiple!AC139"]},"F|^11345-77EV to EBITDATTM01/04/2017EURr":{"r":[[15.776681556503199]],"c":null,"a":["Multiple!AC156"]},"F|^41707-81EV to EBITDATTM01/04/2017EURr":{"r":[[10.25284329074074]],"c":null,"a":["Multiple!AC157"]},"F|^107326-09EV to EBITDATTM01/04/2017EURr":{"id":1458107,"headerValues":[],"financialValues":[],"error":null,"description":null,"customValues":[]},"F|^57805-66EV to EBITDATTM01/04/2017EURr":{"r":[[5.893585611009175]],"c":null,"a":["Multiple!AC170"]},"F|^60425-74EV to EBITDATTM01/04/2017EURr":{"r":[[4.874637494600432]],"c":null,"a":["Multiple!AC175"]},"F|^59504-41EV to EBITDATTM01/04/2017EURr":{"r":[[1.8873386757568755]],"c":null,"a":["Multiple!AC148"]},"F|^63856-09EV to EBITDATTM01/04/2017EURr":{"r":[[8.50721007893139]],"c":null,"a":["Multiple!AC164"]},"F|^114802-84EV to EBITDATTM01/04/2017EURr":{"r":[[11.484000035481543]],"c":null,"a":["Multiple!AC159"]},"F|^12603-61EV to EBITDATTM01/04/2017EURr":{"r":[[4.901964998972462]],"c":null,"a":["Multiple!AC135"]},"F|^10761-22EV to EBITDATTM01/04/2017EURr":{"r":[[7.256110071109072]],"c":null,"a":["Multiple!AC165"]},"F|^11550-88EV to EBITDATTM01/04/2017EURr":{"r":[[9.714725024760995]],"c":null,"a":["Multiple!AC144"]},"F|^10464-31EV to EBITDATTM01/04/2017EURr":{"r":[[11.3848218422229]],"c":null,"a":["Multiple!AC138"]},"F|^42199-93EV to EBITDATTM01/04/2017EURr":{"r":[[5.642889253901556]],"c":null,"a":["Multiple!AC181"]},"F|^59881-51EV to EBITDATTM01/04/2017EURr":{"id":1458150,"headerValues":[],"financialValues":[],"error":null,"description":null,"customValues":[]},"F|^55082-71EV to EBITDATTM01/04/2017EURr":{"id":1458122,"headerValues":[],"financialValues":[],"error":null,"description":null,"customValues":[]},"F|^41003-56EV to EBITDATTM01/04/2017EURr":{"r":[[11.239924198874297]],"c":null,"a":["Multiple!AC162"]},"F|^59343-85EV to EBITDATTM01/04/2017EURr":{"r":[[14.175605518802229]],"c":null,"a":["Multiple!AC178"]},"F|^10789-66EV to EBITDATTM01/04/2017EURr":{"r":[[13.053345376689416]],"c":null,"a":["Multiple!AC161"]},"F|^61059-25EV to EBITDATTM01/04/2017EURr":{"r":[[23.026867123690582]],"c":null,"a":["Multiple!AC182"]},"F|^13360-69EV to EBITDATTM01/04/2017EURr":{"id":1458116,"headerValues":[],"financialValues":[],"error":null,"descripti</t>
  </si>
  <si>
    <t>on":null,"customValues":[]},"F|^11092-60EV to EBITDATTM01/04/2017EURr":{"r":[[15.36717693411451]],"c":null,"a":["Multiple!AC174"]},"F|^11660-50EV to EBITDATTM01/04/2017EURr":{"r":[[16.81021869373056]],"c":null,"a":["Multiple!AC150"]},"F|^60751-36EV to EBITDATTM01/04/2017EURr":{"r":[[6.453403563996317]],"c":null,"a":["Multiple!AC168"]},"F|^54263-35EV to EBITDATTM01/04/2017EURr":{"r":[[6.4776915871234495]],"c":null,"a":["Multiple!AC130"]},"F|^13200-67EV to EBITDATTM01/04/2017EURr":{"r":[[11.720457705577918]],"c":null,"a":["Multiple!AC160"]},"F|^57540-79EV to EBITDATTM01/04/2017EURr":{"r":[[17.69801747408941]],"c":null,"a":["Multiple!AC177"]},"F|^99526-69EV to EBITDATTM01/04/2017EURr":{"r":[[8.156083440087146]],"c":null,"a":["Multiple!AC152"]},"F|^10685-53EV to EBITDATTM01/04/2017EURr":{"r":[[8.06079638972979]],"c":null,"a":["Multiple!AC132"]},"F|^11933-92EV to EBITDATTM12/25/2018EURr":{"r":[[11.388505964773348]],"c":null,"a":["Multiple!Y155"]},"F|^53969-59EV to EBITDATTM12/25/2018EURr":{"r":[[5.623735555933852]],"c":null,"a":["Multiple!Y151"]},"F|^10961-02EV to EBITDATTM12/25/2018EURr":{"r":[[14.671438420900692]],"c":null,"a":["Multiple!Y158"]},"F|^443229-13EV to EBITDATTM12/25/2018EURr":{"id":1457939,"headerValues":[],"financialValues":[],"error":null,"description":null,"customValues":[]},"F|^64231-30EV to EBITDATTM12/25/2018EURr":{"r":[[11.79221050800309]],"c":null,"a":["Multiple!Y169"]},"F|^11822-68EV to EBITDATTM12/25/2018EURr":{"r":[[6.700073543631383]],"c":null,"a":["Multiple!Y133"]},"F|^11727-91EV to EBITDATTM12/25/2018EURr":{"r":[[7.497516714971703]],"c":null,"a":["Multiple!Y137"]},"F|^12762-82EV to EBITDATTM12/25/2018EURr":{"r":[[4.393661384842192]],"c":null,"a":["Multiple!Y146"]},"F|^436051-81EV to EBITDATTM12/25/2018EURr":{"id":1457934,"headerValues":[],"financialValues":[],"error":null,"description":null,"customValues":[]},"F|^10235-53EV to EBITDATTM12/25/2018EURr":{"r":[[12.063070852575489]],"c":null,"a":["Multiple!Y171"]},"F|^56879-02EV to EBITDATTM12/25/2018EURr":{"r":[[5.51981277596684]],"c":null,"a":["Multiple!Y145"]},"F|^167166-55EV to EBITDATTM12/25/2018EURr":{"id":1457900,"headerValues":[],"financialValues":[],"error":null,"description":null,"customValues":[]},"F|^40607-47EV to EBITDATTM12/25/2018EURr":{"r":[[5.427740384615385]],"c":null,"a":["Multiple!Y163"]},"F|^60401-89EV to EBITDATTM12/25/2018EURr":{"r":[[7.554351963392312]],"c":null,"a":["Multiple!Y153"]},"F|^43042-87EV to EBITDATTM12/25/2018EURr":{"r":[[7.715509972794]],"c":null,"a":["Multiple!Y134"]},"F|^40420-00EV to EBITDATTM12/25/2018EURr":{"r":[[4.417703533849513]],"c":null,"a":["Multiple!Y172"]},"F|^59881-06EV to EBITDATTM12/25/2018EURr":{"r":[[16.769197730103805]],"c":null,"a":["Multiple!Y167"]},"F|^59880-97EV to EBITDATTM12/25/2018EURr":{"r":[[8.449849885542562]],"c":null,"a":["Multiple!Y131"]},"F|^55272-97EV to EBITDATTM12/25/2018EURr":{"r":[[1.7066545948392937]],"c":null,"a":["Multiple!Y142"]},"F|^41694-94EV to EBITDATTM12/25/2018EURr":{"r":[[4.606763826606876]],"c":null,"a":["Multiple!Y173"]},"F|^11572-48EV to EBITDATTM12/25/2018EURr":{"r":[[11.473560802368317]],"c":null,"a":["Multiple!Y180"]},"F|^61841-17EV to EBITDATTM12/25/2018EURr":{"r":[[23.50038632497236]],"c":null,"a":["Multiple!Y176"]},"F|^88409-08EV to EBITDATTM12/25/2018EURr":{"id":1457928,"headerValues":[],"financialValues":[],"error":null,"description":null,"customValues":[]},"F|^43120-54EV to EBITDATTM12/25/2018EURr":{"r":[[6.673542787002321]],"c":null,"a":["Multiple!Y139"]},"F|^11345-77EV to EBITDATTM12/25/2018EURr":{"r":[[12.034291037373384]],"c":null,"a":["Multiple!Y156"]},"F|^41707-81EV to EBITDATTM12/25/2018EURr":{"r":[[6.694339306736429]],"c":null,"a":["Multiple!Y157"]},"F|^107326-09EV to EBITDATTM12/25/2018EURr":{"id":1457910,"headerValues":[],"financialValues":[],"error":null,"description":null,"customValues":[]},"F|^57805-66EV to EBITDATTM12/25/2018EURr":{"r":[[5.313121939597315]],"c":null,"a":["Multiple!Y170"]},"F|^60425-74EV to EBITDATTM12/25/2018EURr":{"r":[[7.4718522012711865]],"c":null,"a":["Multiple!Y175"]},"F|^59504-41EV to EBITDATTM12/25/2018EURr":{"r":[[2.2784681023502653]],"c":null,"a":["Multiple!Y148"]},"F|^63856-09EV to EBITDATTM12/25/2018EURr":{"r":[[2.1957574504648076]],"c":null,"a":["Multiple!Y164"]},"F|^114802-84EV to EBITDATTM12/25/2018EURr":{"r":[[6.637358448094342]],"c":null,"a":["Multiple!Y159"]},"F|^12603-61EV to EBITDATTM12/25/2018EURr":{"r":[[4.183059327070064]],"c":null,"a":["Multiple!Y135"]},"F|^10761-22EV to EBITDATTM12/25/2018EURr":{"r":[[4.802735197653304]],"c":null,"a":["Multiple!Y165"]},"F|^11550-88EV to EBITDATTM12/25/2018EURr":{"r":[[8.617864679632827]],"c":null,"a":["Multiple!Y144"]},"F|^10464-31EV to EBITDATTM12/25/2018EURr":{"r":[[9.092846914326984]],"c":null,"a":["Multiple!Y138"]},"F|^42199-93EV to EBITDATTM12/25/2018EURr":{"r":[[6.440176791423736]],"c":null,"a":["Multiple!Y181"]},"F|^59881-51EV to EBITDATTM12/25/2018EURr":{"id":1457929,"headerValues":[],"financialValues":[],"error":null,"description":null,"customValues":[]},"F|^55082-71EV to EBITDATTM12/25/2018EURr":{"id":1457940,"headerValues":[],"financialValues":[],"error":null,"description":null,"customValues":[]},"F|^41003-56EV to EBITDATTM12/25/2018EURr":{"r":[[7.8494017432258065]],"c":null,"a":["Multiple!Y162"]},"F|^59343-85EV to EBITDATTM12/25/2018EURr":{"r":[[8.640479426571096]],"c":null,"a":["Multiple!Y178"]},"F|^10789-66EV to EBITDATTM12/25/2018EURr":{"r":[[9.701659569138277]],"c":null,"a":["Multiple!Y161"]},"F|^61059-25EV to EBITDATTM12/25/2018EURr":{"r":[[27.68662578591943]],"c":null,"a":["Multiple!Y182"]},"F|^13360-69EV to EBITDATTM12/25/2018EURr":{"r":[[14.415162454873647]],"c":null,"a":["Multiple!Y154"]},"F|^11092-60EV to EBITDATTM12/25/2018EURr":{"r":[[16.322414021567152]],"c":null,"a":["Multiple!Y174"]},"F|^11660-50EV to EBITDATTM12/25/2018EURr":{"r":[[15.47054110787172]],"c":null,"a":["Multiple!Y150"]},"F|^60751-36EV to EBITDATTM12/25/2018EURr":{"r":[[6.580785146153846]],"c":null,"a":["Multiple!Y168"]},"F|^54263-35EV to EBITDATTM12/25/2018EURr":{"r":[[4.5845840295555975]],"c":null,"a":["Multiple!Y130"]},"F|^13200-67EV to EBITDATTM12/25/2018EURr":{"r":[[8.459944761406264]],"c":null,"a":["Multiple!Y160"]},"F|^57540-79EV to EBITDATTM12/25/2018EURr":{"r":[[29.183361860991305]],"c":null,"a":["Multiple!Y177"]},"F|^99526-69EV to EBITDATTM12/25/2018EURr":{"r":[[9.10933922243256]],"c":null,"a":["Multiple!Y152"]},"F|^10685-53EV to EBITDATTM12/25/2018EURr":{"r":[[7.831215622050741]],"c":null,"a":["Multiple!Y132"]},"F|^11933-92EV to EBITDATTM07/03/2017EURr":{"r":[[14.340185645235362]],"c":null,"a":["Multiple!AB155"]},"F|^53969-59EV to EBITDATTM07/03/2017EURr":{"r":[[8.998558927114967]],"c":null,"a":["Multiple!AB151"]},"F|^10961-02EV to EBITDATTM07/03/2017EURr":{"r":[[13.121375476795198]],"c":null,"a":["Multiple!AB158"]},"F|^443229-13EV to EBITDATTM07/03/2017EURr":{"id":1458062,"headerValues":[],"financialValues":[],"error":null,"description":null,"customValues":[]},"F|^64231-30EV to EBITDATTM07/03/2017EURr":{"id":1458091,"headerValues":[],"financialValues":[],"error":null,"description":null,"customValues":[]},"F|^11822-68EV to EBITDATTM07/03/2017EURr":{"r":[[7.611090228355168]],"c":null,"a":["Multiple!AB133"]},"F|^11727-91EV to EBITDATTM07/03/2017EURr":{"r":[[9.098136268247037]],"c":null,"a":["Multiple!AB137"]},"F|^12762-82EV to EBITDATTM07/03/2017EURr":{"r":[[6.498302249713412]],"c":null,"a":["Multiple!AB146"]},"F|^436051-81EV to EBITDATTM07/03/2017EURr":{"id":1458051,"headerValues":[],"financialValues":[],"error":null,"description":null,"customValues":[]},"F|^10235-53EV to EBITDATTM07/03/2017EURr":{"r":[[10.851550049035115]],"c":null,"a":["Multiple!AB171"]},"F|^56879-02EV to EBITDATTM07/03/2017EURr":{"r":[[8.925396535425302]],"c":null,"a":["Multiple!AB145"]},"F|^167166-55EV to EBITDATTM07/03/2017EURr":{"r":[[28.862120284697507]],"c":null,"a":["Multiple!AB136"]},"F|^40607-47EV to EBITDATTM07/03/2017EURr":{"r":[[7.965234454638124]],"c":null,"a":["Multiple!AB163"]},"F|^60401-89EV to EBITDATTM07/03/2017EURr":{"r":[[11.829270697922034]],"c":null,"a":["Multiple!AB153"]},"F|^43042-87EV to EBITDATTM07/03/2017EURr":{"r":[[8.8742264873052]],"c":null,"a":["Multiple!AB134"]},"F|^40420-00EV to EBITDATTM07/03/2017EURr":{"r":[[3.6046918258349434]],"c":null,"a":["Multiple!AB172"]},"F|^59881-06EV to EBITDATTM07/03/2017EURr":{"r":[[16.249324045611015]],"c":null,"a":["Multiple!AB167"]},"F|^59880-97EV to EBITDATTM07/03/2017EURr":{"r":[[8.88001888418061]],"c":null,"a":["Multiple!AB131"]},"F|^55272-97EV to EBITDATTM07/03/2017EURr":{"r":[[2.270820288040075]],"c":null,"a":["Multiple!AB142"]},"F|^41694-94EV to EBITDATTM07/03/2017EURr":{"r":[[10.145536984352773]],"c":null,"a":["Multiple!AB173"]},"F|^11572-48EV to EBITDATTM07/03/2017EURr":{"r":[[11.162119328253471]],"c":null,"a":["Multiple!AB180"]},"F|^61841-17EV to EBITDATTM07/03/2017EURr":{"r":[[22.160128141453256]],"c":null,"a":["Multiple!AB176"]},"F|^88409-08EV to EBITDATTM07/03/2017EURr":{"id":1458048,"headerValues":[],"financialValues":[],"error":null,"description":null,"customValues":[]},"F|^43120-54EV to EBITDATTM07/03/2017EURr":{"r":[[8.29282029184394]],"c":null,"a":["Multiple!AB139"]},"F|^11345-77EV to EBITDATTM07/03/2017EURr":{"r":[[16.67263499610895]],"c":null,"a":["Multiple!AB156"]},"F|^41707-81EV to EBITDATTM07/03/2017EURr":{"r":[[10.458497041465556]],"c":null,"a":["Multiple!AB157"]},"F|^107326-09EV to EBITDATTM07/03/2017EURr":{"id":1458059,"headerValues":[],"financialValues":[],"error":null,"description":null,"customValues":[]},"F|^57805-66EV to EBITDATTM07/03/2017EURr":{"r":[[6.321252490033222]],"c":null,"a":["Multiple!AB170"]},"F|^60425-74EV to EBITDATTM07/03/2017EURr":{"r":[[10.502094071186441]],"c":null,"a":["Multiple!AB175"]},"F|^59504-41EV to EBITDATTM07/03/2017EURr":{"r":[[2.7036188382006596]],"c":null,"a":["Multiple!AB148"]},"F|^63856-09EV to EBITDATTM07/03/2017EURr":{"r":[[6.2099586417065735]],"c":null,"a":["Multiple!AB164"]},"F|^114802-84EV to EBITDATTM07/03/2017EURr":{"r":[[10.599071649590687]],"c":null,"a":["Multiple!AB159"]},"F|^12603-61EV to EBITDATTM07/03/2017EURr":{"r":[[13.28651476744186]],"c":null,"a":["Multiple!AB135"]},"F|^10761-22EV to EBITDATTM07/03/2017EURr":{"r":[[8.421122933122696]],"c":null,"a":["Multiple!AB165"]},"F|^11550-88EV to EBITDATTM07/03/2017EURr":{"r":[[9.691039394885845]],"c":null,"a":["Multiple!AB144"]},"F|^10464-31EV to EBITDATTM07/03/2017EURr":{"r":[[10.99584090198982]],"c":null,"a":["Multiple!AB138"]},"F|^42199-93EV to EBITDATTM07/03/2017EURr":{"r":[[4.39446947644544]],"c":null,"a":["Multiple!AB181"]},"F|^59881-51EV to EBITDATTM07/03/2017EURr":{"id":1458099,"headerValues":[],"financialValues":[],"error":null,"description":null,"customValues":[]},"F|^55082-71EV to EBITDATTM07/03/2017EURr":{"id":1458097,"headerValues":[],"financialValues":[],"error":null,"description":null,"customValues":[]},"F|^41003-56EV to EBITDATTM07/03/2017EURr":{"r":[[12.696969011494254]],"c":null,"a":["Multiple!AB162"]},"F|^59343-85EV to EBITDATTM07/03/2017EURr":{"r":[[8.518470209557384]],"c":null,"a":["Multiple!AB178"]},"F|^10789-66EV to EBITDATTM07/03/2017EURr":{"r":[[11.71658157062971]],"c":null,"a":["Multiple!AB161"]},"F|^61059-25EV to EBITDATTM07/03/2017EURr":{"r":[[26.977710644021478]],"c":null,"a":["Multiple!AB182"]},"F|^13360-69EV to EBITDATTM07/03/2017EURr":{"id":1458074,"headerValues":[],"financialValues":[],"error":null,"description":null,"customValues":[]},"F|^11092-60EV to EBITDATTM07/03/2017EURr":{"r":[[15.723980230836943]],"c":null,"a":["Multiple!AB174"]},"F|^11660-50EV to EBITDATTM07/03/2017EURr":{"r":[[17.69305930139849]],"c":null,"a":["Multiple!AB150"]},"F|^60751-36EV to EBITDATTM07/03/2017EURr":{"r":[[6.905193335257335]],"c":null,"a":["Multiple!AB168"]},"F|^54263-35EV to EBITDATTM07/03/2017EURr":{"r":[[5.137496532258602]],"c":null,"a":["Multiple!AB130"]},"F|^13200-67EV to EBITDATTM07/03/2017EURr":{"r":[[10.629694249880934]],"c":null,"a":["Multiple!AB160"]},"F|^57540-79EV to EBITDATTM07/03/2017EURr":{"r":[[22.086928686633485]],"c":null,"a":["Multiple!AB177"]},"F|^99526-69EV to EBITDATTM07/03/2017EURr":{"r":[[8.662380031236056]],"c":null,"a":["Multiple!AB152"]},"F|^10685-53EV to EBITDATTM07/03/2017EURr":{"r":[[7.009406567399664]],"c":null,"a":["Multiple!AB132"]},"F|^43120-54NET DebtTTM05/27/2024EUR":{"r":[[18176000000]],"c":null,"a":["Multiple!T32"]},"F|^43120-54Market CapTTM05/27/2024EUR":{"r":[[43037418748]],"c":null,"a":["Multiple!U32"]},"F|^11345-77NET DebtTTM05/27/2024EUR":{"r":[[3343000000]],"c":null,"a":["Multiple!T49"]},"F|^11345-77Market CapTTM05/27/2024EUR":{"r":[[39977139908]],"c":null,"a":["Multiple!U49"]},"F|^107326-09EVTTM05/27/2024EUR":{"r":[[39775000000]],"c":null,"a":["Multiple!S36"]},"F|^107326-09NET DebtTTM05/27/2024EUR":{"r":[[23569000000]],"c":null,"a":["Multiple!T36"]},"F|^443229-13EV to RevenueFY05/27/2024EUR":{"r":[[0.8264439601359814]],"c":null,"a":["Multiple!AC34"]},"F|^57805-66EV to RevenueFY05/27/2024EUR":{"r":[[3.3337849357587235]],"c":null,"a":["Multiple!AC63"]},"F|^57805-66EVTTM05/27/2024EUR":{"r":[[24650005815]],"c":null,"a":["Multiple!S63"]},"F|^57805-66NET DebtTTM05/27/2024EUR":{"r":[[1273000000]],"c":null,"a":["Multiple!T63"]},"F|^57805-66EBITDAFY05/27/2024EUR":{"r":[[1199000000]],"c":null,"a":["Multiple!Y63"]},"F|^57805-66Market CapTTM05/27/2024EUR":{"r":[[23046005815]],"c":null,"a":["Multiple!U63"]},"F|^57805-66EBITFY05/27/2024EUR":{"r":[[897000000]],"c":null,"a":["Multiple!Z63"]},"F|^64231-30EV to RevenueFY05/27/2024EUR":{"r":[[1.6580748850448872]],"c":null,"a":["Multiple!AC62"]},"F|^64231-30EVTTM05/27/2024EUR":{"r":[[13251749000]],"c":null,"a":["Multiple!S62"]},"F|^64231-30NET DebtTTM05/27/2024EUR":{"r":[[1420855000]],"c":null,"a":["Multiple!T62"]},"F|^64231-30EBITDAFY05/27/2024EUR":{"r":[[1167618000]],"c":null,"a":["Multiple!Y62"]},"F|^64231-30Market CapTTM05/27/2024EUR":{"r":[[11759540000]],"c":null,"a":["Multiple!U62"]},"F|^64231-30EBITFY05/27/2024EUR":{"r":[[835186000]],"c":null,"a":["Multiple!Z62"]},"F|^60425-74EV to RevenueFY05/27/2024EUR":{"r":[[14.465979772079772]],"c":null,"a":["Multiple!AC68"]},"F|^60425-74EVTTM05/27/2024EUR":{"r":[[50775589000]],"c":null,"a":["Multiple!S68"]},"F|^60425-74NET DebtTTM05/27/2024EUR":{"r":[[1394000000]],"c":null,"a":["Multiple!T68"]},"F|^60425-74EBITDAFY05/27/2024EUR":{"r":[[462000000]],"c":null,"a":["Multiple!Y68"]},"F|^60425-74Market CapTTM05/27/2024EUR":{"r":[[49375589000]],"c":null,"a":["Multiple!U68"]},"F|^60425-74EBITFY05/27/2024EUR":{"r":[[-1430000000]],"c":null,"a":["Multiple!Z68"]},"F|^10235-53EV to RevenueFY05/27/2024EUR":{"r":[[2.312423112064143]],"c":null,"a":["Multiple!AC64"]},"F|^10235-53EVTTM05/27/2024EUR":{"r":[[12401525150]],"c":null,"a":["Multiple!S64"]},"F|^10235-53NET DebtTTM05/27/2024EUR":{"r":[[-267000000]],"c":null,"a":["Multiple!T64"]},"F|^10235-53EBITDAFY05/27/2024EUR":{"r":[[266000000]],"c":null,"a":["Multiple!Y64"]},"F|^10235-53Market CapTTM05/27/2024EUR":{"r":[[12598525150]],"c":null,"a":["Multiple!U64"]},"F|^10235-53EBITFY05/27/2024EUR":{"r":[[-167000000]],"c":null,"a":["Multiple!Z64"]},"F|^12603-61NET DebtTTM05/27/2024EUR":{"r":[[40920000000]],"c":null,"a":["Multiple!T28"]},"F|^56879-02EVTTM05/27/2024EUR":{"r":[[33074406917]],"c":null,"a":["Multiple!S38"]},"F|^56879-02EBITFY05/27/2024EUR":{"r":[[3157400000]],"c":null,"a":["Multiple!Z38"]},"F|^167166-55Market CapTTM05/27/2024EUR":{"r":[[21423491078]],"c":null,"a":["Multiple!U29"]},"F|^11550-88Market CapTTM05/27/2024EUR":{"r":[[27144377386]],"c":null,"a":["Multiple!U37"]},"F|^11550-88EBITFY05/27/2024EUR":{"r":[[-58000000]],"c":null,"a":["Multiple!Z37"]},"F|^42199-93EV to RevenueFY05/27/2024EUR":{"r":[[14.892165695358015]],"c":null,"a":["Multiple!AC74"]},"F|^42199-93EVTTM05/27/2024EUR":{"r":[[15848242733]],"c":null,"a":["Multiple!S74"]},"F|^42199-93NET DebtTTM05/27/2024EUR":{"r":[[8395700000]],"c":null,"a":["Multiple!T74"]},"F|^42199-93EBITDAFY05/27/2024EUR":{"r":[[-2972400000]],"c":null,"a":["Multiple!Y74"]},"F|^42199-93Market CapTTM05/27/2024EUR":{"r":[[7065442733]],"c":null,"a":["Multiple!U74"]},"F|^42199-93EBITFY05/27/2024EUR":{"r":[[-3277400000]],"c":null,"a":["Multiple!Z74"]},"F|^59881-51NET DebtTTM05/27/2024EUR":{"r":[[-3857000000]],"c":null,"a":["Multiple!T33"]},"F|^60401-89EVTTM05/27/2024EUR":{"r":[[30487454424]],"c":null,"a":["Multiple!S46"]},"F|^60401-89Market CapTTM05/27/2024EUR":{"r":[[16294454424]],"c":null,"a":["Multiple!U46"]},"F|^43042-87EV to RevenueFY05/27/2024EUR":{"r":[[0.7231085183185995]],"c":null,"a":["Multiple!AC27"]},"F|^40420-00EV to RevenueFY05/27/2024EUR":{"r":[[13.288832971980492]],"c":null,"a":["Multiple!AC65"]},"F|^40420-00EVTTM05/27/2024EUR":{"r":[[69480663194]],"c":null,"a":["Multiple!S65"]},"F|^40420-00NET DebtTTM05/27/2024EUR":{"r":[[42530800000]],"c":null,"a":["Multiple!T65"]},"F|^40420-00EBITDAFY05/27/2024EUR":{"r":[[-8072100000]],"c":null,"a":["Multiple!Y65"]},"F|^40420-00Market CapTTM05/27/2024EUR":{"r":[[22687863194]],"c":null,"a":["Multiple!U65"]},"F|^40420-00EBITFY05/27/2024EUR":{"r":[[-8536800000]],"c":null,"a":["Multiple!Z65"]},"F|^59343-85EV to RevenueFY05/27/2024EUR":{"r":[[11.987873940796298]],"c":null,"a":["Multiple!AC71"]},"F|^59343-85EVTTM05/27/2024EUR":{"r":[[15024402410]],"c":null,"a":["Multiple!S71"]},"F|^59343-85NET DebtTTM05/27/2024EUR":{"r":[[9084000000]],"c":null,"a":["Multiple!T71"]},"F|^59343-85EBITDAFY05/27/2024EUR":{"r":[[-1816500000]],"c":null,"a":["Multiple!Y71"]},"F|^59343-85Market CapTTM05/27/2024EUR":{"r":[[5915402410]],"c":null,"a":["Multiple!U71"]},"F|^13360-69Market CapTTM05/27/2024EUR":{"r":[[59895505960]],"c":null,"a":["Multiple!U47"]},"F|^61059-25EV to RevenueFY05/27/2024EUR":{"r":[[11.907802982024034]],"c":null,"a":["Multiple!AC75"]},"F|^61059-25EVTTM05/27/2024EUR":{"r":[[10370327000]],"c":null,"a":["Multiple!S75"]},"F|^61059-25NET DebtTTM05/27/2024EUR":{"r":[[-268633000]],"c":null,"a":["Multiple!T75"]},"F|^61059-25EBITDAFY05/27/2024EUR":{"r":[[262614000]],"c":null,"a":["Multiple!Y75"]},"F|^61059-25Market CapTTM05/27/2024EUR":{"r":[[10602900000]],"c":null,"a":["Multiple!U75"]},"F|^61059-25EBITFY05/27/2024EUR":{"r":[[204398000]],"c":null,"a":["Multiple!Z75"]},"F|^11092-60EV to RevenueFY05/27/2024EUR":{"r":[[3.5750419328030794]],"c":null,"a":["Multiple!AC67"]},"F|^11092-60EVTTM05/27/2024EUR":{"r":[[16910616875]],"c":null,"a":["Multiple!S67"]},"F|^11092-60NET DebtTTM05/27/2024EUR":{"r":[[2165646000]],"c":null,"a":["Multiple!T67"]},"F|^11092-60EBITDAFY05/27/2024EUR":{"r":[[834154000]],"c":null,"a":["Multiple!Y67"]},"F|^11092-60Market CapTTM05/27/2024EUR":{"r":[[14690042875]],"c":null,"a":["Multiple!U67"]},"F|^11092-60EBITFY05/27/2024EUR":{"r":[[545055000]],"c":null,"a":["Multiple!Z67"]},"F|^55272-97NET DebtTTM05/27/2024EUR":{"id":1458789,"headerValues":[],"financialValues":[],"error":null,"description":null,"customValues":[]},"F|^41694-94EV to RevenueFY05/27/2024EUR":{"r":[[3.9657969139352116]],"c":null,"a":["Multiple!AC66"]},"F|^41694-94EVTTM05/27/2024EUR":{"r":[[20689562500]],"c":null,"a":["Multiple!S66"]},"F|^41694-94NET DebtTTM05/27/2024EUR":{"r":[[5815000000]],"c":null,"a":["Multiple!T66"]},"F|^41694-94EBITDAFY05/27/2024EUR":{"r":[[5432000000]],"c":null,"a":["Multiple!Y66"]},"F|^41694-94Market CapTTM05/27/2024EUR":{"r":[[14874562500]],"c":null,"a":["Multiple!U66"]},"F|^41694-94EBITFY05/27/2024EUR":{"r":[[5431000000]],"c":null,"a":["Multiple!Z66"]},"F|^11572-48EV to RevenueFY05/27/2024EUR":{"r":[[28.407267544263455]],"c":null,"a":["Multiple!AC73"]},"F|^11572-48NET DebtTTM05/27/2024EUR":{"r":[[3820600000]],"c":null,"a":["Multiple!T72"]},"F|^11572-48EBITDAFY05/27/2024EUR":{"id":1458721,"headerValues":[],"financialValues":[],"error":null,"description":null,"customValues":[]},"F|^11572-48Market CapTTM05/27/2024EUR":{"r":[[27375549418]],"c":null,"a":["Multiple!U72"]},"F|^11572-48EBITFY05/27/2024EUR":{"r":[[1973000000]],"c":null,"a":["Multiple!Z73"]},"F|^54263-35EV to RevenueFY05/27/2024EUR":{"r":[[0.6116585592557231]],"c":null,"a":["Multiple!AC23"]},"F|^54263-35Total Debt to EquityTTM05/27/2024EUR":{"r":[[1.0039233229465543]],"c":null,"a":["Multiple!V23"]},"F|^54263-35EVTTM05/27/2024EUR":{"r":[[196676974753]],"c":null,"a":["Multiple!S23"]},"F|^54263-35NET DebtTTM05/27/2024EUR":{"r":[[116873000000]],"c":null,"a":["Multiple!T23"]},"F|^54263-35EBITDAFY05/27/2024EUR":{"r":[[51694000000]],"c":null,"a":["Multiple!Y23"]},"F|^54263-35Market CapTTM05/27/2024EUR":{"r":[[65294974753]],"c":null,"a":["Multiple!U23"]},"F|^54263-35EBITFY05/27/2024EUR":{"r":[[24128000000]],"c":null,"a":["Multiple!Z23"]},"F|^88409-08EVTTM05/27/2024EUR":{"r":[[56784720000]],"c":null,"a":["Multiple!S40"]},"F|^88409-08EBITDAFY05/27/2024EUR":{"r":[[10823000000]],"c":null,"a":["Multiple!Y40"]},"F|^61841-17EV to RevenueFY05/27/2024EUR":{"r":[[6.240590748467739]],"c":null,"a":["Multiple!AC69"]},"F|^61841-17EVTTM05/27/2024EUR":{"r":[[20669460618]],"c":null,"a":["Multiple!S69"]},"F|^61841-17NET DebtTTM05/27/2024EUR":{"r":[[4052800000]],"c":null,"a":["Multiple!T69"]},"F|^61841-17EBITDAFY05/27/2024EUR":{"r":[[868500000]],"c":null,"a":["Multiple!Y69"]},"F|^61841-17Market CapTTM05/27/2024EUR":{"r":[[15529460618]],"c":null,"a":["Multiple!U69"]},"F|^61841-17EBITFY05/27/2024EUR":{"r":[[526200000]],"c":null,"a":["Multiple!Z69"]},"F|^57540-79EV to RevenueFY05/27/2024EUR":{"r":[[4.064605110711388]],"c":null,"a":["Multiple!AC70"]},"F|^57540-79EVTTM05/27/2024EUR":{"r":[[8381146640]],"c":null,"a":["Multiple!S70"]},"F|^57540-79NET DebtTTM05/27/2024EUR":{"r":[[108254000]],"c":null,"a":["Multiple!T70"]},"F|^57540-79EBITDAFY05/27/2024EUR":{"r":[[472830000]],"c":null,"a":["Multiple!Y70"]},"F|^57540-79Market CapTTM05/27/2024EUR":{"r":[[8259836640]],"c":null,"a":["Multiple!U70"]},"F|^57540-79EBITFY05/27/2024EUR":{"r":[[398767000]],"c":null,"a":["Multiple!Z70"]},"F|^10685-53Market CapTTM05/27/2024EUR":{"r":[[70641366625]],"c":null,"a":["Multiple!U25"]},"F|^11933-92EV to EBITDATTM01/10/2016EURr":{"r":[[13.026182021553199]],"c":null,"a":["Multiple!AE155"]},"F|^53969-59EV to EBITDATTM01/10/2016EURr":{"r":[[2.613194877165127]],"c":null,"a":["Multiple!AE151"]},"F|^10961-02EV to EBITDATTM01/10/2016EURr":{"r":[[10.446349542516906]],"c":null,"a":["Multiple!AE158"]},"F|^443229-13EV to EBITDATTM01/10/2016EURr":{"id":1458259,"headerValues":[],"financialValues":[],"error":null,"description":null,"customValues":[]},"F|^64231-30EV to EBITDATTM01/10/2016EURr":{"id":1458250,"headerValues":[],"financialValues":[],"error":null,"description":null,"customValues":[]},"F|^11822-68EV to EBITDATTM01/10/2016EURr":{"r":[[7.578240004942049]],"c":null,"a":["Multiple!AE133"]},"F|^11727-91EV to EBITDATTM01/10/2016EURr":{"r":[[9.021462110214305]],"c":null,"a":["Multiple!AE137"]},"F|^12762-82EV to EBITDATTM01/10/2016EURr":{"r":[[7.695119241325297]],"c":null,"a":["Multiple!AE146"]},"F|^436051-81EV to EBITDATTM01/10/2016EURr":{"id":1458221,"headerValues":[],"financialValues":[],"error":null,"description":null,"customValues":[]},"F|^10235-53EV to EBITDATTM01/10/2016EURr":{"r":[[9.227828365117203]],"c":null,"a":["Multiple!AE171"]},"F|^56879-02EV to EBITDATTM01/10/2016EURr":{"r":[[4.345299604073354]],"c":null,"a":["Multiple!AE145"]},"F|^167166-55EV to EBITDATTM01/10/2016EURr":{"id":1458222,"headerValues":[],"financialValues":[],"error":null,"description":null,"customValues":[]},"F|^40607-47EV to EBITDATTM01/10/2016EURr":{"r":[[5.104029535864979]],"c":null,"a":["Multiple!AE163"]},"F|^60401-89EV to EBITDATTM01/10/2016EURr":{"r":[[11.588710973280033]],"c":null,"a":["Multiple!AE153"]},"F|^43042-87EV to EBITDATTM01/10/2016EURr":{"r":[[9.06835609321453]],"c":null,"a":["Multiple!AE134"]},"F|^40420-00EV to EBITDATTM01/10/2016EURr":{"r":[[21.67198282138387]],"c":null,"a":["Multiple!AE172"]},"F|^59881-06EV to EBITDATTM01/10/2016EURr":{"r":[[15.873264585271318]],"c":null,"a":["Multiple!AE167"]},"F|^59880-97EV to EBITDATTM01/10/2016EURr":{"r":[[9.191568305123448]],"c":null,"a":["Multiple!AE131"]},"F|^55272-97EV to EBITDATTM01/10/2016EURr":{"r":[[2.2417614370638406]],"c":null,"a":["Multiple!AE142"]},"F|^41694-94EV to EBITDATTM01/10/2016EURr":{"r":[[3.4512929070473874]],"c":null,"a":["Multiple!AE173"]},"F|^11572-48EV to EBITDATTM01/10/2016EURr":{"r":[[11.95650921675549]],"c":null,"a":["Multiple!AE180"]},"F|^61841-17EV to EBITDATTM01/10/2016EURr":{"r":[[22.804040204554315]],"c":null,"a":["Multiple!AE176"]},"F|^88409-08EV to EBITDATTM01/10/2016EURr":{"id":1458243,"headerValues":[],"financialValues":[],"error":null,"description":null,"customValues":[]},"F|^43120-54EV to EBITDATTM01/10/2016EURr":{"r":[[6.168252306402439]],"c":null,"a":["Multiple!AE139"]},"F|^11345-77EV to EBITDATTM01/10/2016EURr":{"r":[[11.622107205006765]],"c":null,"a":["Multiple!AE156"]},"F|^41707-81EV to EBITDATTM01/10/2016EURr":{"r":[[8.68888269179004]],"c":null,"a":["Multiple!AE157"]},"F|^107326-09EV to EBITDATTM01/10/2016EURr":{"id":1458212,"headerValues":[],"financialValues":[],"error":null,"description":null,"customValues":[]},"F|^57805-66EV to EBITDATTM01/10/2016EURr":{"r":[[6.752758237089202]],"c":null,"a":["Multiple!AE170"]},"F|^60425-74EV to EBITDATTM01/10/2016EURr":{"r":[[5.646382390837509]],"c":null,"a":["Multiple!AE175"]},"F|^59504-41EV to EBITDATTM01/10/2016EURr":{"r":[[2.6890776561230414]],"c":null,"a":["Multiple!AE148"]},"F|^63856-09EV to EBITDATTM01/10/2016EURr":{"r":[[9.019596299224807]],"c":null,"a":["Multiple!AE164"]},"F|^114802-84EV to EBITDATTM01/10/2016EURr":{"r":[[12.28744874243345]],"c":null,"a":["Multiple!AE159"]},"F|^12603-61EV to EBITDATTM01/10/2016EURr":{"r":[[3.742592075991757]],"c":null,"a":["Multiple!AE135"]},"F|^10761-22EV to EBITDATTM01/10/2016EURr":{"r":[[6.001725381500696]],"c":null,"a":["Multiple!AE165"]},"F|^11550-88EV to EBITDATTM01/10/2016EURr":{"r":[[11.828186937732657]],"c":null,"a":["Multiple!AE144"]},"F|^10464-31EV to EBITDATTM01/10/2016EURr":{"r":[[9.162372853190348]],"c":null,"a":["Multiple!AE138"]},"F|^42199-93EV to EBITDATTM01/10/2016EURr":{"r":[[5.084232298860419]],"c":null,"a":["Multiple!AE181"]},"F|^59881-51EV to EBITDATTM01/10/2016EURr":{"r":[[10.031708121566151]],"c":null,"a":["Multiple!AE140"]},"F|^55082-71EV to EBITDATTM01/10/2016EURr":{"id":1458225,"headerValues":[],"financialValues":[],"error":null,"description":null,"customValues":[]},"F|^41003-56EV to EBITDATTM01/10/2016EURr":{"r":[[9.970974862329804]],"c":null,"a":["Multiple!AE162"]},"F|^59343-85EV to EBITDATTM01/10/2016EURr":{"r":[[24.090880898345155]],"c":null,"a":["Multiple!AE178"]},"F|^10789-66EV to EBITDATTM01/10/2016EURr":{"r":[[10.860198157263662]],"c":null,"a":["Multiple!AE161"]},"F|^61059-25EV to EBITDATTM01/10/2016EURr":{"r":[[23.615236856881115]],"c":null,"a":["Multiple!AE182"]},"F|^13360-69EV to EBITDATTM01/10/2016EURr":{"id":1458211,"headerValues":[],"financialValues":[],"error":null,"description":null,"customValues":[]},"F|^11092-60EV to EBITDATTM01/10/2016EURr":{"r":[[15.662884066049035]],"c":null,"a":["Multiple!AE174"]},"F|^11660-50EV to EBITDATTM01/10/2016EURr":{"r":[[17.019167439706987]],"c":null,"a":["Multiple!AE150"]},"F|^60751-36EV to EBITDATTM01/10/2016EURr":{"r":[[13.554871569983137]],"c":null,"a":["Multiple!AE168"]},"F|^54263-35EV to EBITDATTM01/10/2016EURr":{"r":[[4.801208145170073]],"c":null,"a":["Multiple!AE130"]},"F|^13200-67EV to EBITDATTM01/10/2016EURr":{"r":[[11.723841702171665]],"c":null,"a":["Multiple!AE160"]},"F|^57540-79EV to EBITDATTM01/10/2016EURr":{"r":[[18.035847839945077]],"c":null,"a":["Multiple!AE177"]},"F|^99526-69EV to EBITDATTM01/10/2016EURr":{"r":[[9.139080696969698]],"c":null,"a":["Multiple!AE152"]},"F|^10685-53EV to EBITDATTM01/10/2016EURr":{"r":[[7.372264295794524]],"c":null,"a":["Multiple!AE132"]},"F|^11933-92EV to EBITDATTM07/14/2015EURr":{"r":[[15.61796373394834]],"c":null,"a":["Multiple!AF155"]},"F|^53969-59EV to EBITDATTM07/14/2015EURr":{"r":[[3.3054967325053015]],"c":null,"a":["Multiple!AF151"]},"F|^10961-02EV to EBITDATTM07/14/2015EURr":{"r":[[13.253819848663085]],"c":null,"a":["Multiple!AF158"]},"F|^443229-13EV to EBITDATTM07/14/2015EURr":{"id":1458298,"headerValues":[],"financialValues":[],"error":null,"description":null,"customValues":[]},"F|^64231-30EV to EBITDATTM07/14/2015EURr":{"id":1458273,"headerValues":[],"financialValues":[],"error":null,"description":null,"customValues":[]},"F|^11822-68EV to EBITDATTM07/14/2015EURr":{"r":[[7.957354104545731]],"c":null,"a":["Multiple!AF133"]},"F|^11727-91EV to EBITDATTM07/14/2015EURr":{"r":[[9.303568416393443]],"c":null,"a":["Multiple!AF137"]},"F|^12762-82EV to EBITDATTM07/14/2015EURr":{"r":[[8.967628994811562]],"c":null,"a":["Multiple!AF146"]},"F|^436051-81EV to EBITDATTM07/14/2015EURr":{"id":1458282,"headerValues":[],"financialValues":[],"error":null,"description":null,"customValues":[]},"F|^10235-53EV to EBITDATTM07/14/2015EURr":{"r":[[11.025212008536874]],"c":null,"a":["Multiple!AF171"]},"F|^56879-02EV to EBITDATTM07/14/2015EURr":{"r":[[5.450068125201085]],"c":null,"a":["Multiple!AF145"]},"F|^167166-55EV to EBITDATTM07/14/2015EURr":{"id":1458281,"headerValues":[],"financialValues":[],"error":null,"description":null,"customValues":[]},"F|^40607-47EV to EBITDATTM07/14/2015EURr":{"r":[[8.234768191731266]],"c":null,"a":["Multiple!AF163"]},"F|^60401-89EV to EBITDATTM07/14/2015EURr":{"r":[[13.127868261860465]],"c":null,"a":["Multiple!AF153"]},"F|^43042-87EV to EBITDATTM07/14/2015EURr":{"r":[[9.198302077896196]],"c":null,"a":["Multiple!AF134"]},"F|^40420-00EV to EBITDATTM07/14/2015EURr":{"r":[[26.307544084011436]],"c":null,"a":["Multiple!AF172"]},"F|^59881-06EV to EBITDATTM07/14/2015EURr":{"r":[[16.1179888125]],"c":null,"a":["Multiple!AF167"]},"F|^59880-97EV to EBITDATTM07/14/2015EURr":{"r":[[10.131498175538935]],"c":null,"a":["Multiple!AF131"]},"F|^55272-97EV to EBITDATTM07/14/2015EURr":{"r":[[3.358523725834798]],"c":null,"a":["Multiple!AF142"]},"F|^41694-94EV to EBITDATTM07/14/2015EURr":{"r":[[6.084839952578542]],"c":null,"a":["Multiple!AF173"]},"F|^11572-48EV to EBITDATTM07/14/2015EURr":{"r":[[12.757324838801111]],"c":null,"a":["Multiple!AF180"]},"F|^61841-17EV to EBITDATTM07/14/2015EURr":{"r":[[18.485826597066865]],"c":null,"a":["Multiple!AF176"]},"F|^88409-08EV to EBITDATTM07/14/2015EURr":{"id":1458283,"headerValues":[],"financialValues":[],"error":null,"description":null,"customValues":[]},"F|^43120-54EV to EBITDATTM07/14/2015EURr":{"r":[[8.048335803069053]],"c":null,"a":["Multiple!AF139"]},"F|^11345-77EV to EBITDATTM07/14/2015EURr":{"r":[[10.392394842105263]],"c":null,"a":["Multiple!AF156"]},"F|^41707-81EV to EBITDATTM07/14/2015EURr":{"r":[[9.38622972629521]],"c":null,"a":["Multiple!AF157"]},"F|^107326-09EV to EBITDATTM07/14/2015EURr":{"id":1458270,"headerValues":[],"financialValues":[],"error":null,"description":null,"customValues":[]},"F|^57805-66EV to EBITDATTM07/14/2015EURr":{"r":[[7.098615922155688]],"c":null,"a":["Multiple!AF170"]},"F|^60425-74EV to EBITDATTM07/14/2015EURr":{"r":[[9.538941283798637]],"c":null,"a":["Multiple!AF175"]},"F|^59504-41EV to EBITDATTM07/14/2015EURr":{"r":[[3.3329052226066898]],"c":null,"a":["Multiple!AF148"]},"F|^63856-09EV to EBITDATTM07/14/2015EURr":{"id":1458291,"headerValues":[],"financialValues":[],"error":null,"description":null,"customValues":[]},"F|^114802-84EV to EBITDATTM07/14/2015EURr":{"r":[[13.82972623714009]],"c":null,"a":["Multiple!AF159"]},"F|^12603-61EV to EBITDATTM07/14/2015EURr":{"r":[[5.322218554433531]],"c":null,"a":["Multiple!AF135"]},"F|^10761-22EV to EBITDATTM07/14/2015EURr":{"r":[[6.128636459507768]],"c":null,"a":["Multiple!AF165"]},"F|^11550-88EV to EBITDATTM07/14/2015EURr":{"r":[[16.44935043539326]],"c":null,"a":["Multiple!AF144"]},"F|^10464-31EV to EBITDATTM07/14/2015EURr":{"r":[[8.945584480695757]],"c":null,"a":["Multiple!AF138"]},"F|^42199-93EV to EBITDATTM07/14/2015EURr":{"r":[[7.148315951435025]],"c":null,"a":["Multiple!AF181"]},"F|^59881-51EV to EBITDATTM07/14/2015EURr":{"r":[[10.983093751080093]],"c":null,"a":["Multiple!AF140"]},"F|^55082-71EV to EBITDATTM07/14/2015EURr":{"id":1458262,"headerValues":[],"financialValues":[],"error":null,"description":null,"customValues":[]},"F|^41003-56EV to EBITDATTM07/14/2015EURr":{"r":[[11.240767749116607]],"c":null,"a":["Multiple!AF162"]},"F|^59343-85EV to EBITDATTM07/14/2015EURr":{"r":[[21.083449021495028]],"c":null,"a":["Multiple!AF178"]},"F|^10789-66EV to EBITDATTM07/14/2015EURr":{"r":[[13.134554868208715]],"c":null,"a":["Multiple!AF161"]},"F|^61059-25EV to EBITDATTM07/14/2015EURr":{"r":[[21.128310569344496]],"c":null,"a":["Multiple!AF182"]},"F|^13360-69EV to EBITDATTM07/14/2015EURr":{"id":1458276,"headerValues":[],"financialValues":[],"error":null,"description":null,"customValues":[]},"F|^11092-60EV to EBITDATTM07/14/2015EURr":{"r":[[18.054661716891108]],"c":null,"a":["Multiple!AF174"]},"F|^11660-50EV to EBITDATTM07/14/2015EURr":{"r":[[16.243296816485817]],"c":null,"a":["Multiple!AF150"]},"F|^607</t>
  </si>
  <si>
    <t>51-36EV to EBITDATTM07/14/2015EURr":{"r":[[19.33289437591794]],"c":null,"a":["Multiple!AF168"]},"F|^54263-35EV to EBITDATTM07/14/2015EURr":{"r":[[5.3325039066577045]],"c":null,"a":["Multiple!AF130"]},"F|^13200-67EV to EBITDATTM07/14/2015EURr":{"id":1458306,"headerValues":[],"financialValues":[],"error":null,"description":null,"customValues":[]},"F|^57540-79EV to EBITDATTM07/14/2015EURr":{"r":[[18.084307317936467]],"c":null,"a":["Multiple!AF177"]},"F|^99526-69EV to EBITDATTM07/14/2015EURr":{"r":[[10.83809867868177]],"c":null,"a":["Multiple!AF152"]},"F|^10685-53EV to EBITDATTM07/14/2015EURr":{"r":[[8.606021987066432]],"c":null,"a":["Multiple!AF132"]},"F|^11933-92EV to EBITDATTM01/15/2015EURr":{"r":[[14.557480195384615]],"c":null,"a":["Multiple!AG155"]},"F|^53969-59EV to EBITDATTM01/15/2015EURr":{"r":[[4.247826115132133]],"c":null,"a":["Multiple!AG151"]},"F|^10961-02EV to EBITDATTM01/15/2015EURr":{"r":[[12.646363048483652]],"c":null,"a":["Multiple!AG158"]},"F|^443229-13EV to EBITDATTM01/15/2015EURr":{"id":1458344,"headerValues":[],"financialValues":[],"error":null,"description":null,"customValues":[]},"F|^64231-30EV to EBITDATTM01/15/2015EURr":{"id":1458337,"headerValues":[],"financialValues":[],"error":null,"description":null,"customValues":[]},"F|^11822-68EV to EBITDATTM01/15/2015EURr":{"r":[[6.491053351175238]],"c":null,"a":["Multiple!AG133"]},"F|^11727-91EV to EBITDATTM01/15/2015EURr":{"r":[[7.781430255661801]],"c":null,"a":["Multiple!AG137"]},"F|^12762-82EV to EBITDATTM01/15/2015EURr":{"r":[[8.530280919312169]],"c":null,"a":["Multiple!AG146"]},"F|^436051-81EV to EBITDATTM01/15/2015EURr":{"id":1458327,"headerValues":[],"financialValues":[],"error":null,"description":null,"customValues":[]},"F|^10235-53EV to EBITDATTM01/15/2015EURr":{"r":[[8.875266614485493]],"c":null,"a":["Multiple!AG171"]},"F|^56879-02EV to EBITDATTM01/15/2015EURr":{"r":[[6.783238722609139]],"c":null,"a":["Multiple!AG145"]},"F|^167166-55EV to EBITDATTM01/15/2015EURr":{"id":1458334,"headerValues":[],"financialValues":[],"error":null,"description":null,"customValues":[]},"F|^40607-47EV to EBITDATTM01/15/2015EURr":{"r":[[7.240449172576832]],"c":null,"a":["Multiple!AG163"]},"F|^60401-89EV to EBITDATTM01/15/2015EURr":{"r":[[11.461590589769308]],"c":null,"a":["Multiple!AG153"]},"F|^43042-87EV to EBITDATTM01/15/2015EURr":{"r":[[8.122961328942019]],"c":null,"a":["Multiple!AG134"]},"F|^40420-00EV to EBITDATTM01/15/2015EURr":{"r":[[28.223978799507492]],"c":null,"a":["Multiple!AG172"]},"F|^59881-06EV to EBITDATTM01/15/2015EURr":{"r":[[16.1230137321238]],"c":null,"a":["Multiple!AG167"]},"F|^59880-97EV to EBITDATTM01/15/2015EURr":{"r":[[9.302875829474958]],"c":null,"a":["Multiple!AG131"]},"F|^55272-97EV to EBITDATTM01/15/2015EURr":{"r":[[3.17401166558652]],"c":null,"a":["Multiple!AG142"]},"F|^41694-94EV to EBITDATTM01/15/2015EURr":{"r":[[6.220127118644068]],"c":null,"a":["Multiple!AG173"]},"F|^11572-48EV to EBITDATTM01/15/2015EURr":{"r":[[12.35219099192543]],"c":null,"a":["Multiple!AG179"]},"F|^61841-17EV to EBITDATTM01/15/2015EURr":{"r":[[12.665537196753068]],"c":null,"a":["Multiple!AG176"]},"F|^88409-08EV to EBITDATTM01/15/2015EURr":{"id":1458319,"headerValues":[],"financialValues":[],"error":null,"description":null,"customValues":[]},"F|^43120-54EV to EBITDATTM01/15/2015EURr":{"r":[[7.472881795149496]],"c":null,"a":["Multiple!AG139"]},"F|^11345-77EV to EBITDATTM01/15/2015EURr":{"r":[[9.119973443768997]],"c":null,"a":["Multiple!AG156"]},"F|^41707-81EV to EBITDATTM01/15/2015EURr":{"r":[[8.643105900847457]],"c":null,"a":["Multiple!AG157"]},"F|^107326-09EV to EBITDATTM01/15/2015EURr":{"id":1458342,"headerValues":[],"financialValues":[],"error":null,"description":null,"customValues":[]},"F|^57805-66EV to EBITDATTM01/15/2015EURr":{"r":[[5.9627445533141215]],"c":null,"a":["Multiple!AG170"]},"F|^60425-74EV to EBITDATTM01/15/2015EURr":{"r":[[5.718603024282561]],"c":null,"a":["Multiple!AG175"]},"F|^59504-41EV to EBITDATTM01/15/2015EURr":{"r":[[3.5879289678571427]],"c":null,"a":["Multiple!AG148"]},"F|^63856-09EV to EBITDATTM01/15/2015EURr":{"id":1458333,"headerValues":[],"financialValues":[],"error":null,"description":null,"customValues":[]},"F|^114802-84EV to EBITDATTM01/15/2015EURr":{"r":[[12.415952902360582]],"c":null,"a":["Multiple!AG159"]},"F|^12603-61EV to EBITDATTM01/15/2015EURr":{"r":[[5.9387284010079195]],"c":null,"a":["Multiple!AG135"]},"F|^10761-22EV to EBITDATTM01/15/2015EURr":{"r":[[4.973601814573292]],"c":null,"a":["Multiple!AG165"]},"F|^11550-88EV to EBITDATTM01/15/2015EURr":{"r":[[12.97708788375165]],"c":null,"a":["Multiple!AG144"]},"F|^10464-31EV to EBITDATTM01/15/2015EURr":{"r":[[9.480707443000838]],"c":null,"a":["Multiple!AG138"]},"F|^42199-93EV to EBITDATTM01/15/2015EURr":{"r":[[12.859243616394728]],"c":null,"a":["Multiple!AG181"]},"F|^59881-51EV to EBITDATTM01/15/2015EURr":{"r":[[7.921993058585377]],"c":null,"a":["Multiple!AG140"]},"F|^55082-71EV to EBITDATTM01/15/2015EURr":{"id":1458340,"headerValues":[],"financialValues":[],"error":null,"description":null,"customValues":[]},"F|^41003-56EV to EBITDATTM01/15/2015EURr":{"r":[[7.637729316698657]],"c":null,"a":["Multiple!AG162"]},"F|^59343-85EV to EBITDATTM01/15/2015EURr":{"r":[[17.979065592402772]],"c":null,"a":["Multiple!AG178"]},"F|^10789-66EV to EBITDATTM01/15/2015EURr":{"r":[[11.799166666666666]],"c":null,"a":["Multiple!AG161"]},"F|^61059-25EV to EBITDATTM01/15/2015EURr":{"r":[[14.780461555738563]],"c":null,"a":["Multiple!AG182"]},"F|^13360-69EV to EBITDATTM01/15/2015EURr":{"id":1458331,"headerValues":[],"financialValues":[],"error":null,"description":null,"customValues":[]},"F|^11092-60EV to EBITDATTM01/15/2015EURr":{"r":[[18.416627757058613]],"c":null,"a":["Multiple!AG174"]},"F|^11660-50EV to EBITDATTM01/15/2015EURr":{"r":[[12.940866076908856]],"c":null,"a":["Multiple!AG150"]},"F|^60751-36EV to EBITDATTM01/15/2015EURr":{"r":[[6.895083652560269]],"c":null,"a":["Multiple!AG168"]},"F|^54263-35EV to EBITDATTM01/15/2015EURr":{"r":[[5.23398133892114]],"c":null,"a":["Multiple!AG130"]},"F|^13200-67EV to EBITDATTM01/15/2015EURr":{"id":1458339,"headerValues":[],"financialValues":[],"error":null,"description":null,"customValues":[]},"F|^57540-79EV to EBITDATTM01/15/2015EURr":{"r":[[13.822613298776789]],"c":null,"a":["Multiple!AG177"]},"F|^99526-69EV to EBITDATTM01/15/2015EURr":{"r":[[9.78565097332636]],"c":null,"a":["Multiple!AG152"]},"F|^10685-53EV to EBITDATTM01/15/2015EURr":{"r":[[8.054980335124881]],"c":null,"a":["Multiple!AG132"]},"F|^11933-92EV to EBITDATTM01/20/2014EURr":{"r":[[12.521507537833829]],"c":null,"a":["Multiple!AI155"]},"F|^53969-59EV to EBITDATTM01/20/2014EURr":{"r":[[4.115366684036394]],"c":null,"a":["Multiple!AI151"]},"F|^10961-02EV to EBITDATTM01/20/2014EURr":{"r":[[10.493566112363572]],"c":null,"a":["Multiple!AI158"]},"F|^443229-13EV to EBITDATTM01/20/2014EURr":{"id":1458464,"headerValues":[],"financialValues":[],"error":null,"description":null,"customValues":[]},"F|^64231-30EV to EBITDATTM01/20/2014EURr":{"id":1458433,"headerValues":[],"financialValues":[],"error":null,"description":null,"customValues":[]},"F|^11822-68EV to EBITDATTM01/20/2014EURr":{"r":[[5.849021113795881]],"c":null,"a":["Multiple!AI133"]},"F|^11727-91EV to EBITDATTM01/20/2014EURr":{"r":[[7.912953907918968]],"c":null,"a":["Multiple!AI137"]},"F|^12762-82EV to EBITDATTM01/20/2014EURr":{"r":[[8.989486473945524]],"c":null,"a":["Multiple!AI146"]},"F|^436051-81EV to EBITDATTM01/20/2014EURr":{"id":1458454,"headerValues":[],"financialValues":[],"error":null,"description":null,"customValues":[]},"F|^10235-53EV to EBITDATTM01/20/2014EURr":{"r":[[6.8223191668237515]],"c":null,"a":["Multiple!AI171"]},"F|^56879-02EV to EBITDATTM01/20/2014EURr":{"r":[[8.735936560186989]],"c":null,"a":["Multiple!AI145"]},"F|^167166-55EV to EBITDATTM01/20/2014EURr":{"id":1458451,"headerValues":[],"financialValues":[],"error":null,"description":null,"customValues":[]},"F|^40607-47EV to EBITDATTM01/20/2014EURr":{"r":[[7.2008021390374335]],"c":null,"a":["Multiple!AI163"]},"F|^60401-89EV to EBITDATTM01/20/2014EURr":{"r":[[11.712995966528531]],"c":null,"a":["Multiple!AI153"]},"F|^43042-87EV to EBITDATTM01/20/2014EURr":{"id":1458469,"headerValues":[],"financialValues":[],"error":null,"description":null,"customValues":[]},"F|^40420-00EV to EBITDATTM01/20/2014EURr":{"id":1458457,"headerValues":[],"financialValues":[],"error":null,"description":null,"customValues":[]},"F|^59881-06EV to EBITDATTM01/20/2014EURr":{"r":[[16.422935798097253]],"c":null,"a":["Multiple!AI167"]},"F|^59880-97EV to EBITDATTM01/20/2014EURr":{"r":[[9.583574281271419]],"c":null,"a":["Multiple!AI131"]},"F|^55272-97EV to EBITDATTM01/20/2014EURr":{"r":[[2.817813092979127]],"c":null,"a":["Multiple!AI142"]},"F|^41694-94EV to EBITDATTM01/20/2014EURr":{"r":[[2.6281028368794326]],"c":null,"a":["Multiple!AI173"]},"F|^11572-48EV to EBITDATTM01/20/2014EURr":{"r":[[13.591988621307706]],"c":null,"a":["Multiple!AI180"]},"F|^61841-17EV to EBITDATTM01/20/2014EURr":{"r":[[13.662773866319528]],"c":null,"a":["Multiple!AI176"]},"F|^88409-08EV to EBITDATTM01/20/2014EURr":{"id":1458425,"headerValues":[],"financialValues":[],"error":null,"description":null,"customValues":[]},"F|^43120-54EV to EBITDATTM01/20/2014EURr":{"r":[[8.111641443979932]],"c":null,"a":["Multiple!AI139"]},"F|^11345-77EV to EBITDATTM01/20/2014EURr":{"r":[[13.556497085775554]],"c":null,"a":["Multiple!AI156"]},"F|^41707-81EV to EBITDATTM01/20/2014EURr":{"r":[[7.428622385762025]],"c":null,"a":["Multiple!AI157"]},"F|^107326-09EV to EBITDATTM01/20/2014EURr":{"id":1458461,"headerValues":[],"financialValues":[],"error":null,"description":null,"customValues":[]},"F|^57805-66EV to EBITDATTM01/20/2014EURr":{"r":[[7.045703855855856]],"c":null,"a":["Multiple!AI170"]},"F|^60425-74EV to EBITDATTM01/20/2014EURr":{"r":[[11.20693987302348]],"c":null,"a":["Multiple!AI175"]},"F|^59504-41EV to EBITDATTM01/20/2014EURr":{"r":[[3.0002657115628972]],"c":null,"a":["Multiple!AI148"]},"F|^63856-09EV to EBITDATTM01/20/2014EURr":{"id":1458449,"headerValues":[],"financialValues":[],"error":null,"description":null,"customValues":[]},"F|^114802-84EV to EBITDATTM01/20/2014EURr":{"r":[[10.77246077921448]],"c":null,"a":["Multiple!AI159"]},"F|^12603-61EV to EBITDATTM01/20/2014EURr":{"r":[[5.687004388194531]],"c":null,"a":["Multiple!AI135"]},"F|^10761-22EV to EBITDATTM01/20/2014EURr":{"r":[[5.239511917626144]],"c":null,"a":["Multiple!AI165"]},"F|^11550-88EV to EBITDATTM01/20/2014EURr":{"r":[[13.163452560989562]],"c":null,"a":["Multiple!AI144"]},"F|^10464-31EV to EBITDATTM01/20/2014EURr":{"r":[[11.041115429538031]],"c":null,"a":["Multiple!AI138"]},"F|^42199-93EV to EBITDATTM01/20/2014EURr":{"r":[[35.40111450615837]],"c":null,"a":["Multiple!AI181"]},"F|^59881-51EV to EBITDATTM01/20/2014EURr":{"r":[[10.149927078540507]],"c":null,"a":["Multiple!AI140"]},"F|^55082-71EV to EBITDATTM01/20/2014EURr":{"id":1458427,"headerValues":[],"financialValues":[],"error":null,"description":null,"customValues":[]},"F|^41003-56EV to EBITDATTM01/20/2014EURr":{"r":[[7.946519369482976]],"c":null,"a":["Multiple!AI162"]},"F|^59343-85EV to EBITDATTM01/20/2014EURr":{"r":[[27.7448881140955]],"c":null,"a":["Multiple!AI178"]},"F|^10789-66EV to EBITDATTM01/20/2014EURr":{"r":[[12.293350908025776]],"c":null,"a":["Multiple!AI161"]},"F|^61059-25EV to EBITDATTM01/20/2014EURr":{"r":[[10.958427435746872]],"c":null,"a":["Multiple!AI182"]},"F|^13360-69EV to EBITDATTM01/20/2014EURr":{"id":1458458,"headerValues":[],"financialValues":[],"error":null,"description":null,"customValues":[]},"F|^11092-60EV to EBITDATTM01/20/2014EURr":{"r":[[12.641542702796121]],"c":null,"a":["Multiple!AI174"]},"F|^11660-50EV to EBITDATTM01/20/2014EURr":{"r":[[14.367360924368127]],"c":null,"a":["Multiple!AI150"]},"F|^60751-36EV to EBITDATTM01/20/2014EURr":{"r":[[6.455819127230736]],"c":null,"a":["Multiple!AI168"]},"F|^54263-35EV to EBITDATTM01/20/2014EURr":{"r":[[5.905665714014504]],"c":null,"a":["Multiple!AI130"]},"F|^13200-67EV to EBITDATTM01/20/2014EURr":{"id":1458466,"headerValues":[],"financialValues":[],"error":null,"description":null,"customValues":[]},"F|^57540-79EV to EBITDATTM01/20/2014EURr":{"r":[[11.291671112568567]],"c":null,"a":["Multiple!AI177"]},"F|^99526-69EV to EBITDATTM01/20/2014EURr":{"r":[[11.432246083903046]],"c":null,"a":["Multiple!AI152"]},"F|^10685-53EV to EBITDATTM01/20/2014EURr":{"r":[[7.499500266951415]],"c":null,"a":["Multiple!AI132"]},"F|^11933-92EV to EBITDATTM07/08/2016EURr":{"r":[[13.502788560629922]],"c":null,"a":["Multiple!AD155"]},"F|^53969-59EV to EBITDATTM07/08/2016EURr":{"r":[[3.031555582636127]],"c":null,"a":["Multiple!AD151"]},"F|^10961-02EV to EBITDATTM07/08/2016EURr":{"r":[[13.840467794606576]],"c":null,"a":["Multiple!AD158"]},"F|^443229-13EV to EBITDATTM07/08/2016EURr":{"id":1458206,"headerValues":[],"financialValues":[],"error":null,"description":null,"customValues":[]},"F|^64231-30EV to EBITDATTM07/08/2016EURr":{"id":1458195,"headerValues":[],"financialValues":[],"error":null,"description":null,"customValues":[]},"F|^11822-68EV to EBITDATTM07/08/2016EURr":{"r":[[5.522251353029899]],"c":null,"a":["Multiple!AD133"]},"F|^11727-91EV to EBITDATTM07/08/2016EURr":{"r":[[7.844849125965251]],"c":null,"a":["Multiple!AD137"]},"F|^12762-82EV to EBITDATTM07/08/2016EURr":{"r":[[6.185730390023792]],"c":null,"a":["Multiple!AD146"]},"F|^436051-81EV to EBITDATTM07/08/2016EURr":{"id":1458173,"headerValues":[],"financialValues":[],"error":null,"description":null,"customValues":[]},"F|^10235-53EV to EBITDATTM07/08/2016EURr":{"r":[[7.399964877889938]],"c":null,"a":["Multiple!AD171"]},"F|^56879-02EV to EBITDATTM07/08/2016EURr":{"r":[[5.548956191277049]],"c":null,"a":["Multiple!AD145"]},"F|^167166-55EV to EBITDATTM07/08/2016EURr":{"id":1458161,"headerValues":[],"financialValues":[],"error":null,"description":null,"customValues":[]},"F|^40607-47EV to EBITDATTM07/08/2016EURr":{"r":[[4.841021111589832]],"c":null,"a":["Multiple!AD163"]},"F|^60401-89EV to EBITDATTM07/08/2016EURr":{"r":[[11.36390914734774]],"c":null,"a":["Multiple!AD153"]},"F|^43042-87EV to EBITDATTM07/08/2016EURr":{"r":[[7.1691176518506925]],"c":null,"a":["Multiple!AD134"]},"F|^40420-00EV to EBITDATTM07/08/2016EURr":{"r":[[24.304845324512783]],"c":null,"a":["Multiple!AD172"]},"F|^59881-06EV to EBITDATTM07/08/2016EURr":{"r":[[15.952058893186004]],"c":null,"a":["Multiple!AD167"]},"F|^59880-97EV to EBITDATTM07/08/2016EURr":{"r":[[8.29908206981843]],"c":null,"a":["Multiple!AD131"]},"F|^55272-97EV to EBITDATTM07/08/2016EURr":{"r":[[1.992712818814177]],"c":null,"a":["Multiple!AD142"]},"F|^41694-94EV to EBITDATTM07/08/2016EURr":{"id":1458163,"headerValues":[],"financialValues":[],"error":null,"description":null,"customValues":[]},"F|^11572-48EV to EBITDATTM07/08/2016EURr":{"r":[[9.670353786262075]],"c":null,"a":["Multiple!AD180"]},"F|^61841-17EV to EBITDATTM07/08/2016EURr":{"r":[[20.483327459173257]],"c":null,"a":["Multiple!AD176"]},"F|^88409-08EV to EBITDATTM07/08/2016EURr":{"id":1458164,"headerValues":[],"financialValues":[],"error":null,"description":null,"customValues":[]},"F|^43120-54EV to EBITDATTM07/08/2016EURr":{"r":[[7.188358177588026]],"c":null,"a":["Multiple!AD139"]},"F|^11345-77EV to EBITDATTM07/08/2016EURr":{"r":[[16.06384895724907]],"c":null,"a":["Multiple!AD156"]},"F|^41707-81EV to EBITDATTM07/08/2016EURr":{"r":[[7.716886955204165]],"c":null,"a":["Multiple!AD157"]},"F|^107326-09EV to EBITDATTM07/08/2016EURr":{"id":1458154,"headerValues":[],"financialValues":[],"error":null,"description":null,"customValues":[]},"F|^57805-66EV to EBITDATTM07/08/2016EURr":{"r":[[5.265500037623762]],"c":null,"a":["Multiple!AD170"]},"F|^60425-74EV to EBITDATTM07/08/2016EURr":{"r":[[3.715907232782501]],"c":null,"a":["Multiple!AD175"]},"F|^59504-41EV to EBITDATTM07/08/2016EURr":{"r":[[2.1566084925414364]],"c":null,"a":["Multiple!AD148"]},"F|^63856-09EV to EBITDATTM07/08/2016EURr":{"r":[[6.979996505939902]],"c":null,"a":["Multiple!AD164"]},"F|^114802-84EV to EBITDATTM07/08/2016EURr":{"r":[[11.832738228233366]],"c":null,"a":["Multiple!AD159"]},"F|^12603-61EV to EBITDATTM07/08/2016EURr":{"r":[[4.231257434338953]],"c":null,"a":["Multiple!AD135"]},"F|^10761-22EV to EBITDATTM07/08/2016EURr":{"r":[[5.917272102742187]],"c":null,"a":["Multiple!AD165"]},"F|^11550-88EV to EBITDATTM07/08/2016EURr":{"r":[[9.310170489034205]],"c":null,"a":["Multiple!AD144"]},"F|^10464-31EV to EBITDATTM07/08/2016EURr":{"r":[[9.570666308334236]],"c":null,"a":["Multiple!AD138"]},"F|^42199-93EV to EBITDATTM07/08/2016EURr":{"r":[[5.5192360913710825]],"c":null,"a":["Multiple!AD181"]},"F|^59881-51EV to EBITDATTM07/08/2016EURr":{"r":[[6.626336203967447]],"c":null,"a":["Multiple!AD140"]},"F|^55082-71EV to EBITDATTM07/08/2016EURr":{"id":1458158,"headerValues":[],"financialValues":[],"error":null,"description":null,"customValues":[]},"F|^41003-56EV to EBITDATTM07/08/2016EURr":{"r":[[9.548270005319148]],"c":null,"a":["Multiple!AD162"]},"F|^59343-85EV to EBITDATTM07/08/2016EURr":{"r":[[17.593640251863793]],"c":null,"a":["Multiple!AD178"]},"F|^10789-66EV to EBITDATTM07/08/2016EURr":{"r":[[11.369489229101747]],"c":null,"a":["Multiple!AD161"]},"F|^61059-25EV to EBITDATTM07/08/2016EURr":{"r":[[24.719497392255466]],"c":null,"a":["Multiple!AD182"]},"F|^13360-69EV to EBITDATTM07/08/2016EURr":{"id":1458172,"headerValues":[],"financialValues":[],"error":null,"description":null,"customValues":[]},"F|^11092-60EV to EBITDATTM07/08/2016EURr":{"r":[[16.25750865397924]],"c":null,"a":["Multiple!AD174"]},"F|^11660-50EV to EBITDATTM07/08/2016EURr":{"r":[[15.074069933077727]],"c":null,"a":["Multiple!AD150"]},"F|^60751-36EV to EBITDATTM07/08/2016EURr":{"r":[[7.244453481781377]],"c":null,"a":["Multiple!AD168"]},"F|^54263-35EV to EBITDATTM07/08/2016EURr":{"r":[[7.272591436856459]],"c":null,"a":["Multiple!AD130"]},"F|^13200-67EV to EBITDATTM07/08/2016EURr":{"r":[[7.9442811553369115]],"c":null,"a":["Multiple!AD160"]},"F|^57540-79EV to EBITDATTM07/08/2016EURr":{"r":[[20.40111052509957]],"c":null,"a":["Multiple!AD177"]},"F|^99526-69EV to EBITDATTM07/08/2016EURr":{"r":[[8.074036320691311]],"c":null,"a":["Multiple!AD152"]},"F|^10685-53EV to EBITDATTM07/08/2016EURr":{"r":[[6.807566755485005]],"c":null,"a":["Multiple!AD132"]},"F|^54263-35Total Debt to EBITDAFY2023YEUR":{"r":[[3.580713429024645]],"c":null,"a":["Multiple!AA23"]},"F|^54263-35EV to EBITDAFY2023YEUR":{"r":[[4.132107742906849]],"c":null,"a":["Multiple!AD23"]},"D|^57805-66Primary Industry Code":{"r":[["Distributors/Wholesale"]],"a":["Multiple!O63"]},"D|^57540-79Primary Industry Code":{"r":[["Diagnostic Equipment"]],"a":["Multiple!O70"]},"D|^11092-60Primary Industry Code":{"r":[["Food Products"]],"a":["Multiple!O67"]},"D|^61059-25Primary Industry Code":{"r":[["Media and Information Services (B2B)"]],"a":["Multiple!O75"]},"D|^40420-00Primary Industry Code":{"r":[["Real Estate Services (B2C)"]],"a":["Multiple!O65"]},"D|^10235-53Primary Industry Code":{"r":[["Aerospace and Defense"]],"a":["Multiple!O64"]},"D|^64231-30Primary Industry Code":{"r":[["Rail"]],"a":["Multiple!O62"]},"D|^12603-61Primary Industry Code":{"r":[["Multi-Utilities"]],"a":["Multiple!O28"]},"D|^59343-85Primary Industry Code":{"r":[["Real Estate Services (B2C)"]],"a":["Multiple!O71"]},"D|^41694-94Primary Industry Code":{"r":[["Holding Companies"]],"a":["Multiple!O66"]},"D|^60425-74Primary Industry Code":{"r":[["Electrical Equipment"]],"a":["Multiple!O68"]},"D|^61841-17Primary Industry Code":{"r":[["Other Devices and Supplies"]],"a":["Multiple!O69"]},"D|^11572-48Primary Industry Code":{"r":[["Re-Insurance"]],"a":["Multiple!O73","Multiple!O72"]},"D|^43120-54Primary Industry Code":{"r":[["Multi-line Chemicals"]],"a":["Multiple!O32"]},"D|^167166-55Primary Industry Code":{"r":[["Energy Production"]],"a":["Multiple!O29"]},"D|^43042-87Primary Industry Code":{"r":[["Re-Insurance"]],"a":["Multiple!O27"]},"D|^56879-02Primary Industry Code":{"r":[["Environmental Services (B2B)"]],"a":["Multiple!O38"]},"D|^42199-93Primary Industry Code":{"r":[["Real Estate Services (B2C)"]],"a":["Multiple!O74"]},"D|^11822-68Primary Industry Code":{"r":[["Telecommunications Service Providers"]],"a":["Multiple!O26"]},"D|^10685-53Primary Industry Code":{"r":[["Automotive"]],"a":["Multiple!O25"]},"D|^59881-51Primary Industry Code":{"r":[["Re-Insurance"]],"a":["Multiple!O33"]},"D|^11660-50Primary Industry Code":{"r":[["Business/Productivity Software"]],"a":["Multiple!O43"]},"D|^11727-91Primary Industry Code":{"r":[["Logistics"]],"a":["Multiple!O30"]},"D|^443229-13Primary Industry Code":{"r":[["Automotive"]],"a":["Multiple!O34"]},"D|^59504-41Primary Industry Code":{"r":[["Air"]],"a":["Multiple!O41"]},"D|^436051-81Primary Industry Code":{"r":[["Oil and Gas Equipment"]],"a":["Multiple!O42"]},"D|^107326-09Primary Industry Code":{"r":[["Other Commercial Services"]],"a":["Multiple!O36"]},"D|^11550-88Primary Industry Code":{"r":[["Conglomerates"]],"a":["Multiple!O37"]},"D|^10464-31Primary Industry Code":{"r":[["Electrical Equipment"]],"a":["Multiple!O31"]},"D|^53969-59Primary Industry Code":{"r":[["Energy Traders and Brokers"]],"a":["Multiple!O44"]},"D|^13360-69Primary Industry Code":{"r":[["Diagnostic Equipment"]],"a":["Multiple!O47"]},"D|^60401-89Primary Industry Code":{"r":[["Other Devices and Supplies"]],"a":["Multiple!O46"]},"D|^10961-02Primary Industry Code":{"r":[["Pharmaceuticals"]],"a":["Multiple!O51"]},"D|^12762-82Primary Industry Code":{"r":[["Automotive"]],"a":["Multiple!O39"]},"D|^55272-97Primary Industry Code":{"r":[["Automotive"]],"a":["Multiple!O35"]},"D|^88409-08Primary Industry Code":{"r":[["Automotive"]],"a":["Multiple!O40"]},"D|^11933-92Primary Industry Code":{"r":[["Personal Products"]],"a":["Multiple!O48"]},"D|^99526-69Primary Industry Code":{"r":[["Commercial/Professional Insurance"]],"a":["Multiple!O45"]},"D|^10789-66Primary Industry Code":{"r":[["Distributors/Wholesale"]],"a":["Multiple!O54"]},"D|^63856-09Primary Industry Code":{"r":[["Specialty Chemicals"]],"a":["Multiple!O57"]},"D|^60751-36Primary Industry Code":{"r":[["Telecommunications Service Providers"]],"a":["Multiple!O61"]},"D|^114802-84Primary Industry Code":{"r":[["Medical Supplies"]],"a":["Multiple!O52"]},"D|^55082-71Primary Industry Code":{"r":[["Other Restaurants, Hotels and Leisure"]],"a":["Multiple!O59"]},"D|^40607-47Primary Industry Code":{"r":[["Specialty Chemicals"]],"a":["Multiple!O56"]},"D|^11345-77Primary Industry Code":{"r":[["Footwear"]],"a":["Multiple!O49"]},"D|^13200-67Primary Industry Code":{"r":[["Marine"]],"a":["Multiple!O53"]},"D|^10761-22Primary Industry Code":{"r":[["Machinery (B2B)"]],"a":["Multiple!O58"]},"D|^59880-97Primary Industry Code":{"r":[["Automotive"]],"a":["Multiple!O24"]},"D|^41003-56Primary Industry Code":{"r":[["Application Specific Semiconductors"]],"a":["Multiple!O55"]},"D|^41707-81Primary Industry Code":{"r":[["Raw Materials (Non-Wood)"]],"a":["Multiple!O50"]},"D|^59881-06Primary Industry Code":{"r":[["Personal Products"]],"a":["Multiple!O60"]},"D|^57805-66HQ Country":{"r":[["Germany"]],"a":["Multiple!P63"]},"D|^11572-48HQ CityEUR":{"r":[["Hannover"]],"a":["Multiple!Q73","Multiple!Q72"]},"D|^41694-94HQ Country":{"r":[["Germany"]],"a":["Multiple!P66"]},"D|^10235-53HQ Country":{"r":[["Germany"]],"a":["Multiple!P64"]},"D|^61841-17HQ CityEUR":{"r":[["Goettingen"]],"a":["Multiple!Q69"]},"D|^40420-00HQ CityEUR":{"r":[["Bochum"]],"a":["Multiple!Q65"]},"D|^11092-60HQ CityEUR":{"r":[["Holzminden"]],"a":["Multiple!Q67"]},"D|^64231-30HQ Country":{"r":[["Germany"]],"a":["Multiple!P62"]},"D|^10235-53HQ CityEUR":{"r":[["Munich"]],"a":["Multiple!Q64"]},"D|^64231-30HQ CityEUR":{"r":[["Munich"]],"a":["Multiple!Q62"]},"D|^57805-66HQ CityEUR":{"r":[["Dusseldorf"]],"a":["Multiple!Q63"]},"D|^57540-79HQ CityEUR":{"r":[["Jena"]],"a":["Multiple!Q70"]},"D|^57540-79HQ Country":{"r":[["Germany"]],"a":["Multiple!P70"]},"D|^11572-48HQ Country":{"r":[["Germany"]],"a":["Multiple!P73","Multiple!P72"]},"D|^167166-55HQ Country":{"r":[["Germany"]],"a":["Multiple!P29"]},"D|^61059-25HQ Country":{"r":[["Germany"]],"a":["Multiple!P75"]},"D|^42199-93HQ CityEUR":{"r":[["Berlin"]],"a":["Multiple!Q74"]},"D|^59343-85HQ CityEUR":{"r":[["Dusseldorf"]],"a":["Multiple!Q71"]},"D|^11092-60HQ Country":{"r":[["Germany"]],"a":["Multiple!P67"]},"D|^40420-00HQ Country":{"r":[["Germany"]],"a":["Multiple!P65"]},"D|^41694-94HQ CityEUR":{"r":[["Stuttgart"]],"a":["Multiple!Q66"]},"D|^61841-17HQ Country":{"r":[["Germany"]],"a":["Multiple!P69"]},"D|^59343-85HQ Country":{"r":[["Germany"]],"a":["Multiple!P71"]},"D|^10685-53HQ CityEUR":{"r":[["Stuttgart"]],"a":["Multiple!Q25"]},"D|^42199-93HQ Country":{"r":[["Germany"]],"a":["Multiple!P74"]},"D|^60425-74HQ Country":{"r":[["Germany"]],"a":["Multiple!P68"]},"D|^60425-74HQ CityEUR":{"r":[["Munich"]],"a":["Multiple!Q68"]},"D|^12603-61HQ Country":{"r":[["Germany"]],"a":["Multiple!P28"]},"D|^167166-55HQ CityEUR":{"r":[["Dusseldorf"]],"a":["Multiple!Q29"]},"D|^11727-91HQ Country":{"r":[["Germany"]],"a":["Multiple!P30"]},"D|^10464-31HQ CityEUR":{"r":[["Munich"]],"a":["Multiple!Q31"]},"D|^43042-87HQ Country":{"r":[["Germany"]],"a":["Multiple!P27"]},"D|^12603-61HQ CityEUR":{"r":[["Essen"]],"a":["Multiple!Q28"]},"D|^12762-82HQ Country":{"r":[["Germany"]],"a":["Multiple!P39"]},"D|^55272-97HQ Country":{"r":[["Germany"]],"a":["Multiple!P35"]},"D|^11822-68HQ Country":{"r":[["Germany"]],"a":["Multiple!P26"]},"D|^443229-13HQ Country":{"r":[["Germany"]],"a":["Multiple!P34"]},"D|^10685-53HQ Country":{"r":[["Germany"]],"a":["Multiple!P25"]},"D|^11727-91HQ CityEUR":{"r":[["Bonn"]],"a":["Multiple!Q30"]},"D|^61059-25HQ CityEUR":{"r":[["Munich"]],"a":["Multiple!Q75"]},"D|^55272-97HQ CityEUR":{"r":[["Ingolstadt"]],"a":["Multiple!Q35"]},"D|^11822-68HQ CityEUR":{"r":[["Bonn"]],"a":["Multiple!Q26"]},"D|^88409-08HQ Country":{"r":[["Germany"]],"a":["Multiple!P40"]},"D|^43120-54HQ Country":{"r":[["Germany"]],"a":["Multiple!P32"]},"D|^10789-66HQ Country":{"r":[["Germany"]],"a":["Multiple!P54"]},"D|^88409-08HQ CityEUR":{"r":[["Stuttgart"]],"a":["Multiple!Q40"]},"D|^56879-02HQ CityEUR":{"r":[["Karlsruhe"]],"a":["Multiple!Q38"]},"D|^107326-09HQ CityEUR":{"r":[["Munich"]],"a":["Multiple!Q36"]},"D|^12762-82HQ CityEUR":{"r":[["Hanover"]],"a":["Multiple!Q39"]},"D|^53969-59HQ Country":{"r":[["Germany"]],"a":["Multiple!P44"]},"D|^10464-31HQ Country":{"r":[["Germany"]],"a":["Multiple!P31"]},"D|^443229-13HQ CityEUR":{"r":[["Leinfelden-Echterdingen"]],"a":["Multiple!Q34"]},"D|^43042-87HQ CityEUR":{"r":[["Munich"]],"a":["Multiple!Q27"]},"D|^11345-77HQ Country":{"r":[["Germany"]],"a":["Multiple!P49"]},"D|^59881-51HQ Country":{"r":[["Germany"]],"a":["Multiple!P33"]},"D|^107326-09HQ Country":{"r":[["Germany"]],"a":["Multiple!P36"]},"D|^59881-51HQ CityEUR":{"r":[["Munich"]],"a":["Multiple!Q33"]},"D|^99526-69HQ Country":{"r":[["Germany"]],"a":["Multiple!P45"]},"D|^11550-88HQ Country":{"r":[["Germany"]],"a":["Multiple!P37"]},"D|^53969-59HQ CityEUR":{"r":[["Essen"]],"a":["Multiple!Q44"]},"D|^41707-81HQ Country":{"r":[["Germany"]],"a":["Multiple!P50"]},"D|^10961-02HQ Country":{"r":[["Germany"]],"a":["Multiple!P51"]},"D|^11933-92HQ CityEUR":{"r":[["Dusseldorf"]],"a":["Multiple!Q48"]},"D|^60401-89HQ CityEUR":{"r":[["Bad Homburg"]],"a":["Multiple!Q46"]},"D|^41707-81HQ CityEUR":{"r":[["Heidelberg"]],"a":["Multiple!Q50"]},"D|^99526-69HQ CityEUR":{"r":[["Hannover"]],"a":["Multiple!Q45"]},"D|^59504-41HQ Country":{"r":[["Germany"]],"a":["Multiple!P41"]},"D|^11660-50HQ CityEUR":{"r":[["Walldorf"]],"a":["Multiple!Q43"]},"D|^43120-54HQ CityEUR":{"r":[["Ludwigshafen"]],"a":["Multiple!Q32"]},"D|^59504-41HQ CityEUR":{"r":[["Frankfurt"]],"a":["Multiple!Q41"]},"D|^60401-89HQ Country":{"r":[["Germany"]],"a":["Multiple!P46"]},"D|^56879-02HQ Country":{"r":[["Germany"]],"a":["Multiple!P38"]},"D|^55082-71HQ Country":{"r":[["Germany"]],"a":["Multiple!P59"]},"D|^11550-88HQ CityEUR":{"r":[["Leverkusen"]],"a":["Multiple!Q37"]},"D|^10961-02HQ CityEUR":{"r":[["Darmstadt"]],"a":["Multiple!Q51"]},"D|^41003-56HQ Country":{"r":[["Germany"]],"a":["Multiple!P55"]},"D|^114802-84HQ Country":{"r":[["Germany"]],"a":["Multiple!P52"]},"D|^59881-06HQ Country":{"r":[["Germany"]],"a":["Multiple!P60"]},"D|^40607-47HQ CityEUR":{"r":[["Essen"]],"a":["Multiple!Q56"]},"D|^13360-69HQ CityEUR":{"r":[["Forchheim"]],"a":["Multiple!Q47"]},"D|^436051-81HQ CityEUR":{"r":[["Munich"]],"a":["Multiple!Q42"]},"D|^13200-67HQ CityEUR":{"r":[["Hamburg"]],"a":["Multiple!Q53"]},"D|^436051-81HQ Country":{"r":[["Germany"]],"a":["Multiple!P42"]},"D|^41003-56HQ CityEUR":{"r":[["Neubiberg"]],"a":["Multiple!Q55"]},"D|^11660-50HQ Country":{"r":[["Germany"]],"a":["Multiple!P43"]},"D|^13360-69HQ Country":{"r":[["Germany"]],"a":["Multiple!P47"]},"D|^11345-77HQ CityEUR":{"r":[["Herzogenaurach"]],"a":["Multiple!Q49"]},"D|^10761-22HQ CityEUR":{"r":[["Frankfurt"]],"a":["Multiple!Q58"]},"D|^40607-47HQ Country":{"r":[["Germany"]],"a":["Multiple!P56"]},"D|^10761-22HQ Country":{"r":[["Germany"]],"a":["Multiple!P58"]},"D|^63856-09HQ Country":{"r":[["Germany"]],"a":["Multiple!P57"]},"D|^59880-97HQ CityEUR":{"r":[["Munich"]],"a":["Multiple!Q24"]},"D|^59881-06HQ CityEUR":{"r":[["Hamburg"]],"a":["Multiple!Q60"]},"D|^55082-71HQ CityEUR":{"r":[["Berlin"]],"a":["Multiple!Q59"]},"D|^10789-66HQ CityEUR":{"r":[["Essen"]],"a":["Multiple!Q54"]},"D|^60751-36HQ CityEUR":{"r":[["Munich"]],"a":["Multiple!Q61"]},"D|^60751-36HQ Country":{"r":[["Germany"]],"a":["Multiple!P61"]},"D|^59880-97HQ Country":{"r":[["Germany"]],"a":["Multiple!P24"]},"D|^114802-84HQ CityEUR":{"r":[["Bad Homburg v.d. Höhe"]],"a":["Multiple!Q52"]},"D|^13200-67HQ Country":{"r":[["Germany"]],"a":["Multiple!P53"]},"D|^11933-92HQ Country":{"r":[["Germany"]],"a":["Multiple!P48"]},"D|^63856-09HQ CityEUR":{"r":[["Leverkusen"]],"a":["Multiple!Q57"]},"D|^40420-00NameUSD":{"r":[["Vonovia"]],"a":["Multiple!N65"]},"D|^10235-53NameUSD":{"r":[["MTU Aero Engines"]],"a":["Multiple!N64"]},"D|^57805-66NameUSD":{"r":[["Rheinmetall"]],"a":["Multiple!N63"]},"D|^11092-60NameUSD":{"r":[["Symrise"]],"a":["Multiple!N67"]},"D|^61841-17NameUSD":{"r":[["Sartorius"]],"a":["Multiple!N69"]},"D|^41694-94NameUSD":{"r":[["Porsche Automobil Holding"]],"a":["Multiple!N66"]},"D|^64231-30NameUSD":{"r":[["Knorr-Bremse"]],"a":["Multiple!N62"]},"D|^61059-25NameUSD":{"r":[["Nemetschek Group"]],"a":["Multiple!N75"]},"D|^59343-85NameUSD":{"r":[["LEG Immobilien"]],"a":["Multiple!N71"]},"D|^57540-79NameUSD":{"r":[["Carl Zeiss Meditec"]],"a":["Multiple!N70"]},"D|^43042-87NameUSD":{"r":[["Allianz Group"]],"a":["Multiple!N27"]},"D|^60425-74NameUSD":{"r":[["Osram Licht"]],"a":["Multiple!N68"]},"D|^11572-48NameUSD":{"r":[["Hannover Re"]],"a":["Multiple!N73","Multiple!N72"]},"D|^42199-93NameUSD":{"r":[["Deutsche Wohnen"]],"a":["Multiple!N74"]},"D|^167166-55NameUSD":{"r":[["Uniper (Energy Production)"]],"a":["Multiple!N29"]},"D|^10464-31NameUSD":{"r":[["Siemens"]],"a":["Multiple!N31"]},"D|^59881-51NameUSD":{"r":[["Münchener Rückversicherungs-Gesellschaft"]],"a":["Multiple!N33"]},"D|^11822-68NameUSD":{"r":[["Deutsche Telekom"]],"a":["Multiple!N26"]},"D|^43120-54NameUSD":{"r":[["BASF"]],"a":["Multiple!N32"]},"D|^11550-88NameUSD":{"r":[["Bayer"]],"a":["Multiple!N37"]},"D|^10685-53NameUSD":{"r":[["Mercedes-Benz Group"]],"a":["Multiple!N25"]},"D|^12603-61NameUSD":{"r":[["E.ON"]],"a":["Multiple!N28"]},"D|^12762-82NameUSD":{"r":[["Continental"]],"a":["Multiple!N39"]},"D|^107326-09NameUSD":{"r":[["Traton"]],"a":["Multiple!N36"]},"D|^63856-09NameUSD":{"r":[["Covestro"]],"a":["Multiple!N57"]},"D|^11727-91NameUSD":{"r":[["DHL Group"]],"a":["Multiple!N30"]},"D|^443229-13NameUSD":{"r":[["Daimler Truck"]],"a":["Multiple!N34"]},"D|^56879-02NameUSD":{"r":[["EnBW Energie Baden-Württemberg"]],"a":["Multiple!N38"]},"D|^436051-81NameUSD":{"r":[["Siemens Energy"]],"a":["Multiple!N42"]},"D|^114802-84NameUSD":{"r":[["Fresenius Medical Care"]],"a":["Multiple!N52"]},"D|^13360-69NameUSD":{"r":[["Siemens Healthineers"]],"a":["Multiple!N47"]},"D|^11345-77NameUSD":{"r":[["Adidas"]],"a":["Multiple!N49"]},"D|^59504-41NameUSD":{"r":[["Lufthansa Group"]],"a":["Multiple!N41"]},"D|^11933-92NameUSD":{"r":[["Henkel"]],"a":["Multiple!N48"]},"D|^88409-08NameUSD":{"r":[["Porsche"]],"a":["Multiple!N40"]},"D|^53969-59NameUSD":{"r":[["RWE"]],"a":["Multiple!N44"]},"D|^11660-50NameUSD":{"r":[["SAP"]],"a":["Multiple!N43"]},"D|^55272-97NameUSD":{"r":[["Audi"]],"a":["Multiple!N35"]},"D|^10761-22NameUSD":{"r":[["KION Group"]],"a":["Multiple!N58"]},"D|^55082-71NameUSD":{"r":[["Delivery Hero (Restaurants, Hotels and Leisure)"]],"a":["Multiple!N59"]},"D|^60401-89NameUSD":{"r":[["Fresenius"]],"a":["Multiple!N46"]},"D|^41707-81NameUSD":{"r":[["Heidelberg Materials"]],"a":["Multiple!N50"]},"D|^10789-66NameUSD":{"r":[["Brenntag"]],"a":["Multiple!N54"]},"D|^99526-69NameUSD":{"r":[["Talanx"]],"a":["Multiple!N45"]},"D|^59880-97Nam</t>
  </si>
  <si>
    <t>eUSD":{"r":[["BMW Group"]],"a":["Multiple!N24"]},"D|^13200-67NameUSD":{"r":[["Hapag-Lloyd"]],"a":["Multiple!N53"]},"D|^10961-02NameUSD":{"r":[["Merck"]],"a":["Multiple!N51"]},"D|^59881-06NameUSD":{"r":[["Beiersdorf"]],"a":["Multiple!N60"]},"D|^60751-36NameUSD":{"r":[["Telefonica Deutschland"]],"a":["Multiple!N61"]},"D|^40607-47NameUSD":{"r":[["Evonik Industries"]],"a":["Multiple!N56"]},"D|^41003-56NameUSD":{"r":[["Infineon Technologies"]],"a":["Multiple!N55"]},"F|^11933-92EV to EBITDATTM12/09/2021EURr":{"r":[[9.342512751296917]],"c":null,"a":["Multiple!S155"]},"F|^53969-59EV to EBITDATTM12/09/2021EURr":{"r":[[5.680697953820162]],"c":null,"a":["Multiple!S151"]},"F|^10961-02EV to EBITDATTM12/09/2021EURr":{"r":[[19.352321564942113]],"c":null,"a":["Multiple!S158"]},"F|^443229-13EV to EBITDATTM12/09/2021EURr":{"id":1457616,"headerValues":[],"financialValues":[],"error":null,"description":null,"customValues":[]},"F|^64231-30EV to EBITDATTM12/09/2021EURr":{"r":[[12.812891161591473]],"c":null,"a":["Multiple!S169"]},"F|^11822-68EV to EBITDATTM12/09/2021EURr":{"r":[[5.787438403745072]],"c":null,"a":["Multiple!S133"]},"F|^11727-91EV to EBITDATTM12/09/2021EURr":{"r":[[6.9443515850144095]],"c":null,"a":["Multiple!S137"]},"F|^12762-82EV to EBITDATTM12/09/2021EURr":{"r":[[5.0789383993928885]],"c":null,"a":["Multiple!S146"]},"F|^436051-81EV to EBITDATTM12/09/2021EURr":{"r":[[12.647055178869323]],"c":null,"a":["Multiple!S149"]},"F|^10235-53EV to EBITDATTM12/09/2021EURr":{"r":[[19.357646174483307]],"c":null,"a":["Multiple!S171"]},"F|^56879-02EV to EBITDATTM12/09/2021EURr":{"r":[[11.22696410376468]],"c":null,"a":["Multiple!S145"]},"F|^167166-55EV to EBITDATTM12/09/2021EURr":{"id":1457596,"headerValues":[],"financialValues":[],"error":null,"description":null,"customValues":[]},"F|^40607-47EV to EBITDATTM12/09/2021EURr":{"r":[[7.220955848884843]],"c":null,"a":["Multiple!S163"]},"F|^60401-89EV to EBITDATTM12/09/2021EURr":{"r":[[7.897116739832624]],"c":null,"a":["Multiple!S153"]},"F|^43042-87EV to EBITDATTM12/09/2021EURr":{"r":[[6.568112636045381]],"c":null,"a":["Multiple!S134"]},"F|^40420-00EV to EBITDATTM12/09/2021EURr":{"r":[[3.3224591260533303]],"c":null,"a":["Multiple!S172"]},"F|^59881-06EV to EBITDATTM12/09/2021EURr":{"r":[[16.30522994533221]],"c":null,"a":["Multiple!S167"]},"F|^59880-97EV to EBITDATTM12/09/2021EURr":{"r":[[6.369567927243881]],"c":null,"a":["Multiple!S131"]},"F|^55272-97EV to EBITDATTM12/09/2021EURr":{"id":1457589,"headerValues":[],"financialValues":[],"error":null,"description":null,"customValues":[]},"F|^41694-94EV to EBITDATTM12/09/2021EURr":{"r":[[4.559503347204632]],"c":null,"a":["Multiple!S173"]},"F|^11572-48EV to EBITDATTM12/09/2021EURr":{"r":[[13.44933340678234]],"c":null,"a":["Multiple!S180"]},"F|^61841-17EV to EBITDATTM12/09/2021EURr":{"r":[[37.71795003730654]],"c":null,"a":["Multiple!S176"]},"F|^88409-08EV to EBITDATTM12/09/2021EURr":{"id":1457607,"headerValues":[],"financialValues":[],"error":null,"description":null,"customValues":[]},"F|^43120-54EV to EBITDATTM12/09/2021EURr":{"r":[[6.490091595513619]],"c":null,"a":["Multiple!S139"]},"F|^11345-77EV to EBITDATTM12/09/2021EURr":{"r":[[15.98950759752322]],"c":null,"a":["Multiple!S156"]},"F|^41707-81EV to EBITDATTM12/09/2021EURr":{"r":[[5.288950460793904]],"c":null,"a":["Multiple!S157"]},"F|^107326-09EV to EBITDATTM12/09/2021EURr":{"r":[[4.617908929025694]],"c":null,"a":["Multiple!S143"]},"F|^57805-66EV to EBITDATTM12/09/2021EURr":{"r":[[4.831814194884288]],"c":null,"a":["Multiple!S170"]},"F|^60425-74EV to EBITDATTM12/09/2021EURr":{"r":[[23.927955037974684]],"c":null,"a":["Multiple!S175"]},"F|^59504-41EV to EBITDATTM12/09/2021EURr":{"id":1457586,"headerValues":[],"financialValues":[],"error":null,"description":null,"customValues":[]},"F|^63856-09EV to EBITDATTM12/09/2021EURr":{"r":[[3.73642718573307]],"c":null,"a":["Multiple!S164"]},"F|^114802-84EV to EBITDATTM12/09/2021EURr":{"r":[[7.959971199091486]],"c":null,"a":["Multiple!S159"]},"F|^12603-61EV to EBITDATTM12/09/2021EURr":{"r":[[6.404655570196159]],"c":null,"a":["Multiple!S135"]},"F|^10761-22EV to EBITDATTM12/09/2021EURr":{"r":[[9.591411687537628]],"c":null,"a":["Multiple!S165"]},"F|^11550-88EV to EBITDATTM12/09/2021EURr":{"r":[[11.039035852714266]],"c":null,"a":["Multiple!S144"]},"F|^10464-31EV to EBITDATTM12/09/2021EURr":{"r":[[16.720685920365803]],"c":null,"a":["Multiple!S138"]},"F|^42199-93EV to EBITDATTM12/09/2021EURr":{"r":[[5.459546843470741]],"c":null,"a":["Multiple!S181"]},"F|^59881-51EV to EBITDATTM12/09/2021EURr":{"r":[[15.474234569304766]],"c":null,"a":["Multiple!S140"]},"F|^55082-71EV to EBITDATTM12/09/2021EURr":{"id":1457572,"headerValues":[],"financialValues":[],"error":null,"description":null,"customValues":[]},"F|^41003-56EV to EBITDATTM12/09/2021EURr":{"r":[[18.65463900503018]],"c":null,"a":["Multiple!S162"]},"F|^59343-85EV to EBITDATTM12/09/2021EURr":{"r":[[7.07210867693289]],"c":null,"a":["Multiple!S178"]},"F|^10789-66EV to EBITDATTM12/09/2021EURr":{"r":[[10.636369307548346]],"c":null,"a":["Multiple!S161"]},"F|^61059-25EV to EBITDATTM12/09/2021EURr":{"r":[[62.57215957733043]],"c":null,"a":["Multiple!S182"]},"F|^13360-69EV to EBITDATTM12/09/2021EURr":{"r":[[21.449218699685083]],"c":null,"a":["Multiple!S154"]},"F|^11092-60EV to EBITDATTM12/09/2021EURr":{"r":[[25.78007295723174]],"c":null,"a":["Multiple!S174"]},"F|^11660-50EV to EBITDATTM12/09/2021EURr":{"r":[[14.791586573278458]],"c":null,"a":["Multiple!S150"]},"F|^60751-36EV to EBITDATTM12/09/2021EURr":{"r":[[4.10765929586657]],"c":null,"a":["Multiple!S168"]},"F|^54263-35EV to EBITDATTM12/09/2021EURr":{"r":[[4.5578930395262205]],"c":null,"a":["Multiple!S130"]},"F|^13200-67EV to EBITDATTM12/09/2021EURr":{"r":[[5.268828921418366]],"c":null,"a":["Multiple!S160"]},"F|^57540-79EV to EBITDATTM12/09/2021EURr":{"r":[[36.973820003120025]],"c":null,"a":["Multiple!S177"]},"F|^99526-69EV to EBITDATTM12/09/2021EURr":{"r":[[12.449538213541667]],"c":null,"a":["Multiple!S152"]},"F|^10685-53EV to EBITDATTM12/09/2021EURr":{"r":[[6.824899738013058]],"c":null,"a":["Multiple!S132"]},"F|^11933-92EV to EBITDATTM11/29/2023EURr":{"r":[[11.230746819961613]],"c":null,"a":["Multiple!O155"]},"F|^53969-59EV to EBITDATTM11/29/2023EURr":{"r":[[9.013350378787878]],"c":null,"a":["Multiple!O151"]},"F|^10961-02EV to EBITDATTM11/29/2023EURr":{"r":[[13.422209694420602]],"c":null,"a":["Multiple!O158"]},"F|^443229-13EV to EBITDATTM11/29/2023EURr":{"r":[[6.737278483894059]],"c":null,"a":["Multiple!O141"]},"F|^64231-30EV to EBITDATTM11/29/2023EURr":{"r":[[9.509846482197338]],"c":null,"a":["Multiple!O169"]},"F|^11822-68EV to EBITDATTM11/29/2023EURr":{"r":[[6.635157108417911]],"c":null,"a":["Multiple!O133"]},"F|^11727-91EV to EBITDATTM11/29/2023EURr":{"r":[[6.4253043020072145]],"c":null,"a":["Multiple!O137"]},"F|^12762-82EV to EBITDATTM11/29/2023EURr":{"r":[[4.890557340207659]],"c":null,"a":["Multiple!O146"]},"F|^436051-81EV to EBITDATTM11/29/2023EURr":{"id":1457379,"headerValues":[],"financialValues":[],"error":null,"description":null,"customValues":[]},"F|^10235-53EV to EBITDATTM11/29/2023EURr":{"r":[[10.730422528301887]],"c":null,"a":["Multiple!O171"]},"F|^56879-02EV to EBITDATTM11/29/2023EURr":{"r":[[3.9873018946729797]],"c":null,"a":["Multiple!O145"]},"F|^167166-55EV to EBITDATTM11/29/2023EURr":{"r":[[1.2496965145611614]],"c":null,"a":["Multiple!O136"]},"F|^40607-47EV to EBITDATTM11/29/2023EURr":{"r":[[6.858631221719457]],"c":null,"a":["Multiple!O163"]},"F|^60401-89EV to EBITDATTM11/29/2023EURr":{"r":[[11.74641705587893]],"c":null,"a":["Multiple!O153"]},"F|^43042-87EV to EBITDATTM11/29/2023EURr":{"r":[[4.109243270952795]],"c":null,"a":["Multiple!O134"]},"F|^40420-00EV to EBITDATTM11/29/2023EURr":{"id":1457387,"headerValues":[],"financialValues":[],"error":null,"description":null,"customValues":[]},"F|^59881-06EV to EBITDATTM11/29/2023EURr":{"r":[[18.231667841897234]],"c":null,"a":["Multiple!O167"]},"F|^59880-97EV to EBITDATTM11/29/2023EURr":{"r":[[5.413586145881522]],"c":null,"a":["Multiple!O131"]},"F|^41694-94EV to EBITDATTM11/29/2023EURr":{"r":[[4.012484539270254]],"c":null,"a":["Multiple!O173"]},"F|^11572-48EV to EBITDATTM11/29/2023EURr":{"r":[[12.783644658916321]],"c":null,"a":["Multiple!O180"]},"F|^61841-17EV to EBITDATTM11/29/2023EURr":{"r":[[21.335065304932737]],"c":null,"a":["Multiple!O176"]},"F|^88409-08EV to EBITDATTM11/29/2023EURr":{"r":[[6.200593252463988]],"c":null,"a":["Multiple!O147"]},"F|^43120-54EV to EBITDATTM11/29/2023EURr":{"r":[[21.167198555234656]],"c":null,"a":["Multiple!O139"]},"F|^11345-77EV to EBITDATTM11/29/2023EURr":{"r":[[38.686606255489025]],"c":null,"a":["Multiple!O156"]},"F|^41707-81EV to EBITDATTM11/29/2023EURr":{"r":[[5.742817819443341]],"c":null,"a":["Multiple!O157"]},"F|^107326-09EV to EBITDATTM11/29/2023EURr":{"r":[[5.158316633266533]],"c":null,"a":["Multiple!O143"]},"F|^57805-66EV to EBITDATTM11/29/2023EURr":{"r":[[13.345555591894438]],"c":null,"a":["Multiple!O170"]},"F|^60425-74EV to EBITDATTM11/29/2023EURr":{"r":[[29.650751280078897]],"c":null,"a":["Multiple!O175"]},"F|^59504-41EV to EBITDATTM11/29/2023EURr":{"r":[[2.9180858103481815]],"c":null,"a":["Multiple!O148"]},"F|^63856-09EV to EBITDATTM11/29/2023EURr":{"r":[[12.713051835511983]],"c":null,"a":["Multiple!O164"]},"F|^114802-84EV to EBITDATTM11/29/2023EURr":{"r":[[7.6378905776198325]],"c":null,"a":["Multiple!O159"]},"F|^12603-61EV to EBITDATTM11/29/2023EURr":{"r":[[22.46535594753301]],"c":null,"a":["Multiple!O135"]},"F|^10761-22EV to EBITDATTM11/29/2023EURr":{"r":[[5.082805682308688]],"c":null,"a":["Multiple!O165"]},"F|^11550-88EV to EBITDATTM11/29/2023EURr":{"r":[[6.59176670151267]],"c":null,"a":["Multiple!O144"]},"F|^10464-31EV to EBITDATTM11/29/2023EURr":{"r":[[10.479939466657667]],"c":null,"a":["Multiple!O138"]},"F|^42199-93EV to EBITDATTM11/29/2023EURr":{"id":1457363,"headerValues":[],"financialValues":[],"error":null,"description":null,"customValues":[]},"F|^59881-51EV to EBITDATTM11/29/2023EURr":{"r":[[10.919848596564725]],"c":null,"a":["Multiple!O140"]},"F|^55082-71EV to EBITDATTM11/29/2023EURr":{"id":1457365,"headerValues":[],"financialValues":[],"error":null,"description":null,"customValues":[]},"F|^41003-56EV to EBITDATTM11/29/2023EURr":{"r":[[8.326325820717132]],"c":null,"a":["Multiple!O162"]},"F|^59343-85EV to EBITDATTM11/29/2023EURr":{"id":1457383,"headerValues":[],"financialValues":[],"error":null,"description":null,"customValues":[]},"F|^10789-66EV to EBITDATTM11/29/2023EURr":{"r":[[7.779510278253718]],"c":null,"a":["Multiple!O161"]},"F|^61059-25EV to EBITDATTM11/29/2023EURr":{"r":[[38.1951212459206]],"c":null,"a":["Multiple!O182"]},"F|^13360-69EV to EBITDATTM11/29/2023EURr":{"r":[[15.247344722058429]],"c":null,"a":["Multiple!O154"]},"F|^11092-60EV to EBITDATTM11/29/2023EURr":{"r":[[22.692922170386364]],"c":null,"a":["Multiple!O174"]},"F|^11660-50EV to EBITDATTM11/29/2023EURr":{"r":[[28.40518672761131]],"c":null,"a":["Multiple!O150"]},"F|^60751-36EV to EBITDATTM11/29/2023EURr":{"r":[[4.5238898992522625]],"c":null,"a":["Multiple!O168"]},"F|^54263-35EV to EBITDATTM11/29/2023EURr":{"r":[[4.118239994114994]],"c":null,"a":["Multiple!O130"]},"F|^13200-67EV to EBITDATTM11/29/2023EURr":{"r":[[2.1702968525124735]],"c":null,"a":["Multiple!O160"]},"F|^57540-79EV to EBITDATTM11/29/2023EURr":{"r":[[16.55407298574324]],"c":null,"a":["Multiple!O177"]},"F|^99526-69EV to EBITDATTM11/29/2023EURr":{"r":[[7.4329483529248686]],"c":null,"a":["Multiple!O152"]},"F|^10685-53EV to EBITDATTM11/29/2023EURr":{"r":[[4.573896214217697]],"c":null,"a":["Multiple!O132"]},"F|^43120-54EV to EBITDATTM06/17/2020EURr":{"r":[[8.862588270946823]],"c":null,"a":["Multiple!V139"]},"F|^11345-77EV to EBITDATTM06/17/2020EURr":{"r":[[16.25080916247582]],"c":null,"a":["Multiple!V156"]},"F|^41707-81EV to EBITDATTM06/17/2020EURr":{"r":[[5.758285859965988]],"c":null,"a":["Multiple!V157"]},"F|^11933-92EV to EBITDATTM06/17/2020EURr":{"r":[[10.284433694269262]],"c":null,"a":["Multiple!V155"]},"F|^10961-02EV to EBITDATTM06/17/2020EURr":{"r":[[13.019553343835616]],"c":null,"a":["Multiple!V158"]},"F|^443229-13EV to EBITDATTM06/17/2020EURr":{"id":1457764,"headerValues":[],"financialValues":[],"error":null,"description":null,"customValues":[]},"F|^64231-30EV to EBITDATTM06/17/2020EURr":{"r":[[14.124242211576867]],"c":null,"a":["Multiple!V169"]},"F|^60425-74EV to EBITDATTM06/17/2020EURr":{"r":[[20.355524486486487]],"c":null,"a":["Multiple!V175"]},"F|^59504-41EV to EBITDATTM06/17/2020EURr":{"r":[[3.6042075518118244]],"c":null,"a":["Multiple!V148"]},"F|^11822-68EV to EBITDATTM06/17/2020EURr":{"r":[[6.019719653487601]],"c":null,"a":["Multiple!V133"]},"F|^63856-09EV to EBITDATTM06/17/2020EURr":{"r":[[5.328077947788253]],"c":null,"a":["Multiple!V164"]},"F|^114802-84EV to EBITDATTM06/17/2020EURr":{"r":[[9.436210254645298]],"c":null,"a":["Multiple!V159"]},"F|^11727-91EV to EBITDATTM06/17/2020EURr":{"r":[[7.746883619900933]],"c":null,"a":["Multiple!V137"]},"F|^436051-81EV to EBITDATTM06/17/2020EURr":{"id":1457756,"headerValues":[],"financialValues":[],"error":null,"description":null,"customValues":[]},"F|^10235-53EV to EBITDATTM06/17/2020EURr":{"r":[[9.615820822778293]],"c":null,"a":["Multiple!V171"]},"F|^12603-61EV to EBITDATTM06/17/2020EURr":{"r":[[14.425832981857246]],"c":null,"a":["Multiple!V135"]},"F|^56879-02EV to EBITDATTM06/17/2020EURr":{"r":[[7.679822540487804]],"c":null,"a":["Multiple!V145"]},"F|^10761-22EV to EBITDATTM06/17/2020EURr":{"r":[[7.071805217851363]],"c":null,"a":["Multiple!V165"]},"F|^167166-55EV to EBITDATTM06/17/2020EURr":{"r":[[13.47430109800732]],"c":null,"a":["Multiple!V136"]},"F|^10464-31EV to EBITDATTM06/17/2020EURr":{"r":[[12.733885364371087]],"c":null,"a":["Multiple!V138"]},"F|^40607-47EV to EBITDATTM06/17/2020EURr":{"r":[[6.779712729073799]],"c":null,"a":["Multiple!V163"]},"F|^42199-93EV to EBITDATTM06/17/2020EURr":{"r":[[7.721186420074672]],"c":null,"a":["Multiple!V181"]},"F|^60401-89EV to EBITDATTM06/17/2020EURr":{"r":[[8.514170981263982]],"c":null,"a":["Multiple!V153"]},"F|^43042-87EV to EBITDATTM06/17/2020EURr":{"r":[[7.870775277985237]],"c":null,"a":["Multiple!V134"]},"F|^55082-71EV to EBITDATTM06/17/2020EURr":{"id":1457767,"headerValues":[],"financialValues":[],"error":null,"description":null,"customValues":[]},"F|^41003-56EV to EBITDATTM06/17/2020EURr":{"r":[[9.619609756177924]],"c":null,"a":["Multiple!V162"]},"F|^59881-06EV to EBITDATTM06/17/2020EURr":{"r":[[16.910226154952078]],"c":null,"a":["Multiple!V167"]},"F|^59343-85EV to EBITDATTM06/17/2020EURr":{"r":[[9.860156587162932]],"c":null,"a":["Multiple!V178"]},"F|^13360-69EV to EBITDATTM06/17/2020EURr":{"r":[[13.37424840509915]],"c":null,"a":["Multiple!V154"]},"F|^61059-25EV to EBITDATTM06/17/2020EURr":{"r":[[36.01783692795338]],"c":null,"a":["Multiple!V182"]},"F|^11092-60EV to EBITDATTM06/17/2020EURr":{"r":[[21.397703216794945]],"c":null,"a":["Multiple!V174"]},"F|^55272-97EV to EBITDATTM06/17/2020EURr":{"r":[[5.672760709649502]],"c":null,"a":["Multiple!V142"]},"F|^60751-36EV to EBITDATTM06/17/2020EURr":{"r":[[5.194611038678835]],"c":null,"a":["Multiple!V168"]},"F|^41694-94EV to EBITDATTM06/17/2020EURr":{"r":[[4.554083635265701]],"c":null,"a":["Multiple!V173"]},"F|^54263-35EV to EBITDATTM06/17/2020EURr":{"r":[[4.80140031904146]],"c":null,"a":["Multiple!V130"]},"F|^88409-08EV to EBITDATTM06/17/2020EURr":{"id":1457739,"headerValues":[],"financialValues":[],"error":null,"description":null,"customValues":[]},"F|^61841-17EV to EBITDATTM06/17/2020EURr":{"r":[[43.06221894588416]],"c":null,"a":["Multiple!V176"]},"F|^13200-67EV to EBITDATTM06/17/2020EURr":{"r":[[8.444972974137931]],"c":null,"a":["Multiple!V160"]},"F|^57540-79EV to EBITDATTM06/17/2020EURr":{"r":[[27.504659474627744]],"c":null,"a":["Multiple!V177"]},"F|^99526-69EV to EBITDATTM06/17/2020EURr":{"r":[[9.279476673697804]],"c":null,"a":["Multiple!V152"]},"F|^11933-92EV to EBITDATTM12/04/2022EURr":{"r":[[10.937016619013063]],"c":null,"a":["Multiple!Q155"]},"F|^53969-59EV to EBITDATTM12/04/2022EURr":{"r":[[29.68723686746988]],"c":null,"a":["Multiple!Q151"]},"F|^10961-02EV to EBITDATTM12/04/2022EURr":{"r":[[13.272397552068913]],"c":null,"a":["Multiple!Q158"]},"F|^443229-13EV to EBITDATTM12/04/2022EURr":{"r":[[9.483537255015712]],"c":null,"a":["Multiple!Q141"]},"F|^64231-30EV to EBITDATTM12/04/2022EURr":{"r":[[10.144868529233229]],"c":null,"a":["Multiple!Q169"]},"F|^11822-68EV to EBITDATTM12/04/2022EURr":{"r":[[6.763415185924444]],"c":null,"a":["Multiple!Q133"]},"F|^11727-91EV to EBITDATTM12/04/2022EURr":{"r":[[5.152323999840485]],"c":null,"a":["Multiple!Q137"]},"F|^12762-82EV to EBITDATTM12/04/2022EURr":{"r":[[5.014110449375712]],"c":null,"a":["Multiple!Q146"]},"F|^436051-81EV to EBITDATTM12/04/2022EURr":{"r":[[22.726856064267352]],"c":null,"a":["Multiple!Q149"]},"F|^10235-53EV to EBITDATTM12/04/2022EURr":{"r":[[14.951410809906292]],"c":null,"a":["Multiple!Q171"]},"F|^56879-02EV to EBITDATTM12/04/2022EURr":{"r":[[10.354567035569422]],"c":null,"a":["Multiple!Q145"]},"F|^167166-55EV to EBITDATTM12/04/2022EURr":{"id":1457499,"headerValues":[],"financialValues":[],"error":null,"description":null,"customValues":[]},"F|^40607-47EV to EBITDATTM12/04/2022EURr":{"r":[[5.355434602649007]],"c":null,"a":["Multiple!Q163"]},"F|^60401-89EV to EBITDATTM12/04/2022EURr":{"r":[[8.195002006767934]],"c":null,"a":["Multiple!Q153"]},"F|^43042-87EV to EBITDATTM12/04/2022EURr":{"r":[[8.728828847043363]],"c":null,"a":["Multiple!Q134"]},"F|^40420-00EV to EBITDATTM12/04/2022EURr":{"r":[[2.6557736719445626]],"c":null,"a":["Multiple!Q172"]},"F|^59881-06EV to EBITDATTM12/04/2022EURr":{"r":[[17.37825676980568]],"c":null,"a":["Multiple!Q167"]},"F|^59880-97EV to EBITDATTM12/04/2022EURr":{"r":[[1.0477815976675426]],"c":null,"a":["Multiple!Q131"]},"F|^55272-97EV to EBITDATTM12/04/2022EURr":{"id":1457495,"headerValues":[],"financialValues":[],"error":null,"description":null,"customValues":[]},"F|^41694-94EV to EBITDATTM12/04/2022EURr":{"r":[[5.349042387711452]],"c":null,"a":["Multiple!Q173"]},"F|^11572-48EV to EBITDATTM12/04/2022EURr":{"r":[[14.58899378633199]],"c":null,"a":["Multiple!Q179"]},"F|^61841-17EV to EBITDATTM12/04/2022EURr":{"r":[[24.30003799241867]],"c":null,"a":["Multiple!Q176"]},"F|^88409-08EV to EBITDATTM12/04/2022EURr":{"id":1457478,"headerValues":[],"financialValues":[],"error":null,"description":null,"customValues":[]},"F|^43120-54EV to EBITDATTM12/04/2022EURr":{"r":[[5.642098662483545]],"c":null,"a":["Multiple!Q139"]},"F|^11345-77EV to EBITDATTM12/04/2022EURr":{"r":[[9.422542062280085]],"c":null,"a":["Multiple!Q156"]},"F|^41707-81EV to EBITDATTM12/04/2022EURr":{"r":[[4.541460441021524]],"c":null,"a":["Multiple!Q157"]},"F|^107326-09EV to EBITDATTM12/04/2022EURr":{"r":[[8.472969374167777]],"c":null,"a":["Multiple!Q143"]},"F|^57805-66EV to EBITDATTM12/04/2022EURr":{"r":[[11.035565505827506]],"c":null,"a":["Multiple!Q170"]},"F|^60425-74EV to EBITDATTM12/04/2022EURr":{"id":1457507,"headerValues":[],"financialValues":[],"error":null,"description":null,"customValues":[]},"F|^59504-41EV to EBITDATTM12/04/2022EURr":{"r":[[4.959201510092919]],"c":null,"a":["Multiple!Q148"]},"F|^63856-09EV to EBITDATTM12/04/2022EURr":{"r":[[4.502408869179601]],"c":null,"a":["Multiple!Q164"]},"F|^114802-84EV to EBITDATTM12/04/2022EURr":{"r":[[6.925310358448676]],"c":null,"a":["Multiple!Q159"]},"F|^12603-61EV to EBITDATTM12/04/2022EURr":{"r":[[6.214993206623085]],"c":null,"a":["Multiple!Q135"]},"F|^10761-22EV to EBITDATTM12/04/2022EURr":{"r":[[5.480067845480821]],"c":null,"a":["Multiple!Q165"]},"F|^11550-88EV to EBITDATTM12/04/2022EURr":{"r":[[7.796139329426066]],"c":null,"a":["Multiple!Q144"]},"F|^10464-31EV to EBITDATTM12/04/2022EURr":{"r":[[18.82124222410668]],"c":null,"a":["Multiple!Q138"]},"F|^42199-93EV to EBITDATTM12/04/2022EURr":{"r":[[5.399700538679768]],"c":null,"a":["Multiple!Q181"]},"F|^59881-51EV to EBITDATTM12/04/2022EURr":{"r":[[9.877540195601311]],"c":null,"a":["Multiple!Q140"]},"F|^55082-71EV to EBITDATTM12/04/2022EURr":{"id":1457512,"headerValues":[],"financialValues":[],"error":null,"description":null,"customValues":[]},"F|^41003-56EV to EBITDATTM12/04/2022EURr":{"r":[[9.768176776449756]],"c":null,"a":["Multiple!Q162"]},"F|^59343-85EV to EBITDATTM12/04/2022EURr":{"r":[[5.616615934271537]],"c":null,"a":["Multiple!Q178"]},"F|^10789-66EV to EBITDATTM12/04/2022EURr":{"r":[[5.176751946607341]],"c":null,"a":["Multiple!Q161"]},"F|^61059-25EV to EBITDATTM12/04/2022EURr":{"r":[[21.386200457910064]],"c":null,"a":["Multiple!Q182"]},"F|^13360-69EV to EBITDATTM12/04/2022EURr":{"r":[[13.435571222881556]],"c":null,"a":["Multiple!Q154"]},"F|^11092-60EV to EBITDATTM12/04/2022EURr":{"r":[[19.989590656085735]],"c":null,"a":["Multiple!Q174"]},"F|^11660-50EV to EBITDATTM12/04/2022EURr":{"r":[[21.493268874587976]],"c":null,"a":["Multiple!Q150"]},"F|^60751-36EV to EBITDATTM12/04/2022EURr":{"r":[[4.128982389175258]],"c":null,"a":["Multiple!Q168"]},"F|^54263-35EV to EBITDATTM12/04/2022EURr":{"r":[[3.932738221172161]],"c":null,"a":["Multiple!Q130"]},"F|^13200-67EV to EBITDATTM12/04/2022EURr":{"r":[[1.303903351712805]],"c":null,"a":["Multiple!Q160"]},"F|^57540-79EV to EBITDATTM12/04/2022EURr":{"r":[[25.447697719979303]],"c":null,"a":["Multiple!Q177"]},"F|^99526-69EV to EBITDATTM12/04/2022EURr":{"r":[[8.745344514559529]],"c":null,"a":["Multiple!Q152"]},"F|^10685-53EV to EBITDATTM12/04/2022EURr":{"r":[[5.186168690135797]],"c":null,"a":["Multiple!Q132"]},"F|^11933-92EV to EBITDATTM12/14/2020EURr":{"r":[[11.53200742866005]],"c":null,"a":["Multiple!U155"]},"F|^53969-59EV to EBITDATTM12/14/2020EURr":{"r":[[4.04729728892034]],"c":null,"a":["Multiple!U151"]},"F|^10961-02EV to EBITDATTM12/14/2020EURr":{"r":[[14.510302122274302]],"c":null,"a":["Multiple!U158"]},"F|^443229-13EV to EBITDATTM12/14/2020EURr":{"id":1457721,"headerValues":[],"financialValues":[],"error":null,"description":null,"customValues":[]},"F|^64231-30EV to EBITDATTM12/14/2020EURr":{"r":[[16.186677571304713]],"c":null,"a":["Multiple!U169"]},"F|^11822-68EV to EBITDATTM12/14/2020EURr":{"r":[[6.87317187892099]],"c":null,"a":["Multiple!U133"]},"F|^11727-91EV to EBITDATTM12/14/2020EURr":{"r":[[8.00810038119441]],"c":null,"a":["Multiple!U137"]},"F|^12762-82EV to EBITDATTM12/14/2020EURr":{"r":[[10.377308698435547]],"c":null,"a":["Multiple!U146"]},"F|^436051-81EV to EBITDATTM12/14/2020EURr":{"r":[[301.71337250943395]],"c":null,"a":["Multiple!U149"]},"F|^10235-53EV to EBITDATTM12/14/2020EURr":{"r":[[13.396770623268699]],"c":null,"a":["Multiple!U171"]},"F|^56879-02EV to EBITDATTM12/14/2020EURr":{"r":[[7.595378998988585]],"c":null,"a":["Multiple!U145"]},"F|^167166-55EV to EBITDATTM12/14/2020EURr":{"r":[[9.735615312791783]],"c":null,"a":["Multiple!U136"]},"F|^40607-47EV to EBITDATTM12/14/2020EURr":{"r":[[7.808082901554404]],"c":null,"a":["Multiple!U163"]},"F|^60401-89EV to EBITDATTM12/14/2020EURr":{"r":[[7.603608217597104]],"c":null,"a":["Multiple!U153"]},"F|^43042-87EV to EBITDATTM12/14/2020EURr":{"r":[[7.75704359559112]],"c":null,"a":["Multiple!U134"]},"F|^40420-00EV to EBITDATTM12/14/2020EURr":{"r":[[6.009848852772112]],"c":null,"a":["Multiple!U172"]},"F|^59881-06EV to EBITDATTM12/14/2020EURr":{"r":[[17.834188194419443]],"c":null,"a":["Multiple!U167"]},"F|^59880-97EV to EBITDATTM12/14/2020EURr":{"r":[[11.837670158361597]],"c":null,"a":["Multiple!U131"]},"F|^55272-97EV to EBITDATTM12/14/2020EURr":{"r":[[7.848658161020677]],"c":null,"a":["Multiple!U142"]},"F|^41694-94EV to EBITDATTM12/14/2020EURr":{"r":[[12.197283434650457]],"c":null,"a":["Multiple!U173"]},"F|^11572-48EV to EBITDATTM12/14/2020EURr":{"r":[[12.914127862596692]],"c":null,"a":["Multiple!U180"]},"F|^61841-17EV to EBITDATTM12/14/2020EURr":{"r":[[46.01734862028281]],"c":null,"a":["Multiple!U176"]},"F|^88409-08EV to EBITDATTM12/14/2020EURr":{"id":1457702,"headerValues":[],"financialValues":[],"error":null,"description":null,"customValues":[]},"F|^43120-54EV to EBITDATTM12/14/2020EURr":{"r":[[14.776227577134986]],"c":null,"a":["Multiple!U139"]},"F|^11345-77EV to EBITDATTM12/14/2020EURr":{"r":[[27.28261822629409]],"c":null,"a":["Multiple!U156"]},"F|^41707-81EV to EBITDATTM12/14/2020EURr":{"r":[[6.357481418177619]],"c":null,"a":["Multiple!U157"]},"F|^107326-09EV to EBITDATTM12/14/2020EURr":{"r":[[7.313686131386861]],"c":null,"a":["Multiple!U143"]},"F|^57805-66EV to EBITDATTM12/14/2020EURr":{"r":[[6.592451357142857]],"c":null,"a":["Multiple!U170"]},"F|^60425-74EV to EBITDATTM12/14/2020EURr":{"r":[[37.19033523448276]],"c":null,"a":["Multiple!U175"]},"F|^59504-41EV to EBITDATTM12/14/2020EURr":{"id":1457701,"headerValues":[],"financialValues":[],"error":null,"description":null,"customValues":[]},"F|^63856-09EV to EBITDATTM12/14/2020EURr":{"r":[[10.114504155124655]],"c":null,"a":["Multiple!U164"]},"F|^114802-84EV to EBITDATTM12/14/2020EURr":{"r":[[7.9227568138423425]],"c":null,"a":["Multiple!U159"]},"F|^12603-61EV to EBITDATTM12/14/2020EURr":{"r":[[9.020658260992908]],"c":null,"a":["Multiple!U135"]},"F|^10761-22EV to EBITDATTM12/14/2020EURr":{"r":[[8.581054145618843]],"c":null,"a":["Multiple!U165"]},"F|^11550-88EV to EBITDATTM12/14/2020EURr":{"id":1457710,"headerValues":[],"financialValues":[],"error":null,"description":null,"customValues":[]},"F|^10464-31EV to EBITDATTM12/14/2020EURr":{"r":[[14.988416023465481]],"c":null,"a":["Multiple!U138"]},"F|^42199-93EV to EBITDATTM12/14/2020EURr":{"r":[[10.545989513108614]],"c":null,"a":["Multiple!U181"]},"F|^59881-51EV to EBITDATTM12/14/2020EURr":{"id":1457716,"headerValues":[],"financialValues":[],"error":null,"description":null,"customValues":[]},"F|^55082-71EV to EBITDATTM12/14/2020EURr":{"id":1457677,"headerValues":[],"financialValues":[],"error":null,"description":null,"customValues":[]},"F|^41003-56EV to EBITDATTM12/14/2020EURr":{"r":[[23.756147910364145]],"c":null,"a":["Multiple!U162"]},"F|^59343-85EV to EBITDATTM12/14/2020EURr":{"r":[[10.357018440297376]],"c":null,"a":["Multiple!U178"]},"F|^10789-66EV to EBITDATTM12/14/2020EURr":{"r":[[9.30900516282764]],"c":null,"a":["Multiple!U161"]},"F|^61059-25EV to EBITDATTM12/14/2020EURr":{"r":[[37.786951894543016]],"c":null,"a":["Multiple!U182"]},"F|^13360-69EV to EBITDATTM12/14/2020EURr":{"r":[[15.544204714899713]],"c":null,"a":["Multiple!U154"]},"F|^11092-60EV to EBITDATTM12/14/2020EURr":{"r":[[22.989210281628967]],"c":null,"a":["Multiple!U174"]},"F|^11660-50EV to EBITDATTM12/14/2020EURr":{"r":[[14.335668840934249]],"c":null,"a":["Multiple!U150"]},"F|^60751-36EV to EBITDATTM12/14/2020EURr":{"r":[[4.2113593866866115]],"c":null,"a":["Multiple!U168"]},"F|^54263-35EV to EBITDATTM12/14/2020EURr":{"r":[[5.632861077104144]],"c":null,"a":["Multiple!U130"]},"F|^13200-67EV to EBITDATTM12/14/2020EURr":{"r":[[7.9336781179520415]],"c":null,"a":["Multiple!U160"]},"F|^57540-79EV to EBITDATTM12/14/2020EURr":{"r":[[36.68215096357324]],"c":null,"a":["Multiple!U177"]},"F|^99526-69EV to EBITDATTM12/14/2020EURr":{"r":[[11.136562711911358]],"c":null,"a":["Multiple!U152"]},"F|^10685-53EV to EBITDATTM12/14/2020EURr":{"r":[[13.029156497274485]],"c":null,"a":["Multiple!U132"]},"F|^11933-92EV to EBITDATTM05/27/2024EURr":{"r":[[13.279361409738717]],"c":null,"a":["Multiple!N155"]},"F|^53969-59EV to EBITDATTM05/27/2024EURr":{"r":[[5.972151077489521]],"c":null,"a":["Multiple!N151"]},"F|^10961-02EV to EBITDATTM05/27/2024EURr":{"r":[[14.882024568602072]],"c":null,"a":["Multiple!N158"]},"F|^443229-13EV to EBITDATTM05/27/2024EURr":{"r":[[7.16678866283941]],"c":null,"a":["Multiple!N141"]},"F|^64231-30EV to EBITDATTM05/27/2024EURr":{"r":[[11.046235523005647]],"c":null,"a":["Multiple!N169"]},"F|^11822-68EV to EBITDATTM05/27/2024EURr":{"r":[[6.426670285666951]],"c":null,"a":["Multiple!N133"]},"F|^11727-91EV to EBITDATTM05/27/2024EURr":{"r":[[6.320271863407062]],"c":null,"a":["Multiple!N137"]},"F|^12762-82EV to EBITDATTM05/27/2024EURr":{"r":[[4.850794477232807]],"c":null,"a":["Multiple!N146"]},"F|^436051-81EV to EBITDATTM05/27/2024EURr":{"r":[[21.123922280285036]],"c":null,"a":["Multiple!N149"]},"F|^10235-53EV to EBITDATTM05/27/2024EURr":{"r":[[46.622275]],"c":null,"a":["Multiple!N171"]},"F|^56879-02EV to EBITDATTM05/27/2024EURr":{"r":[[5.954631808476163]],"c":null,"a":["Multiple!N145"]},"F|^167166-55EV to EBITDATTM05/27/2024EURr":{"r":[[21.607115218575853]],"c":null,"a":["Multiple!N136"]},"F|^40607-47EV to EBITDATTM05/27/2024EURr":{"r":[[7.470955120828538]],"c":null,"a":["Multiple!N163"]},"F|^60401-89EV to EBITDATTM05/27/2024EURr":{"r":[[11.68549422154082]],"c":null,"a":["Multiple!N153"]},"F|^43042-87EV to EBITDATTM05/27/2024EURr":{"r":[[6.3162841974180095]],"c":null,"a":["Multiple!N134"]},"F|^40420-00EV to EBITDATTM05/27/2024EURr":{"id":1457348,"headerValues":[],"financialValues":[],"error":null,"description":null,"customValues":[]},"F|^59881-06EV to EBITDATTM05/27/2024EURr":{"r":[[20.01362098959011]],"c":null,"a":["Multiple!N167"]},"F|^59880-97EV to EBITDATTM05/27/2024EURr":{"r":[[5.46226613362931]],"c":null,"a":["Multiple!N131"]},"F|^41694-94EV to EBITDATTM05/27/2024EURr":{"r":[[3.9665572277607364]],"c":null,"a":["Multiple!N173"]},"F|^11572-48EV to EBITDATTM05/27/2024EURr":{"id":1457306,"headerValues":[],"financialValues":[],"error":null,"description":null,"customValues":[]},"F|^61841-17EV to EBITDATTM05/27/2024EURr":{"r":[[24.789470638042697]],"c":null,"a":["Multiple!N176"]},"F|^88409-08EV to EBITDATTM05/27/2024EURr":{"r":[[5.422528647822766]],"c":null,"a":["Multiple!N147"]},"F|^43120-54EV to EBITDATTM05/27/2024EURr":{"r":[[9.308909851003717]],"c":null,"a":["Multiple!N139"]},"F|^11345-77EV to EBITDATTM05/27/2024EURr":{"r":[[34.08676027166276]],"c":null,"a":["Multiple!N156"]},"F|^41707-81EV to EBITDATTM05/27/2024EURr":{"r":[[5.765348775727467]],"c":null,"a":["Multiple!N157"]},"F|^107326-09EV to EBITDATTM05/27/2024EURr":{"r":[[5.672418710781518]],"c":null,"a":["Multiple!N143"]},"F|^57805-66EV to EBITDATTM05/27/2024EURr":{"r":[[19.501586878955695]],"c":null,"a":["Multiple!N170"]},"F|^60425-74EV to EBITDATTM05/27/2024EURr":{"r":[[139.49337637362638]],"c":null,"a":["Multiple!N175"]},"F|^59504-41EV to EBITDATTM05/27/2024EURr":{"r":[[2.8263622272922024]],"c":null,"a":["Multiple!N148"]},"F|^63856-09EV to EBITDATTM05/27/2024EURr":{"r":[[11.267626210131333]],"c":null,"a":["Multiple!N164"]},"F|^114802-84EV to EBITDATTM05/27/2024EURr":{"r":[[7.324993951730794]],"c":null,"a":["Multiple!N159"]},"F|^12603-61EV to EBITDATTM05/27/2024EURr":{"r":[[14.559687231024318]],"c":null,"a":["Multiple!N135"]},"F|^10761-22EV to EBITDATTM05/27/2024EURr":{"r":[[5.723996395374819]],"c":null,"a":["Multiple!N165"]},"F|^11550-88EV to EBITDATTM05/27/2024EURr":{"r":[[6.5492227115793735]],"c":null,"a":["Multiple!N144"]},"F|^10464-31EV to EBITDATTM05/27/2024EURr":{"r":[[14.04913556060124]],"c":null,"a":["Multiple!N138"]},"F|^42199-93EV to EBITDATTM05/27/2024EURr":{"id":1457353,"headerValues":[],"financialValues":[],"error":null,"description":null,"customValues":[]},"F|^59881-51EV to EBITDATTM05/27/2024EURr":{"r":[[9.510911146087523]],"c":null,"a":["Multiple!N140"]},"F|^55082-71EV to EBITDATTM05/27/2024EURr":{"id":1457320,"headerValues":[],"financialValues":[],"error":null,"description":null,"customValues":[]},"F|^41003-56EV to EBITDATTM05/27/2024EURr":{"r":[[10.634315419005613]],"c":null,"a":["Multiple!N162"]},"F|^59343-85EV to EBITDATTM05/27/2024EURr":{"id":1457321,"headerValues":[],"financialValues":[],"error":null,"description":null,"customValues":[]},"F|^10789-66EV to EBITDATTM05/27/2024EURr":{"r":[[6.733811409107207]],"c":null,"a":["Multiple!N161"]},"F|^61059-25EV to EBITDATTM05/27/2024EURr":{"r":[[38.50774029446167]],"c":null,"a":["Multiple!N182"]},"F|^13360-69EV to EBITDATTM05/27/2024EURr":{"r":[[15.636401589333333]],"c":null,"a":["Multiple!N154"]},"F|^11092-60EV to EBITDATTM05/27/2024EURr":{"r":[[20.272775620568865]],"c":null,"a":["Multiple!N174"]},"F|^11660-50EV to EBITDATTM05/27/2024EURr":{"r":[[37.77823276409224]],"c":null,"a":["Multiple!N150"]},"F|^60751-36EV to EBITDATTM05/27/2024EURr":{"r":[[4.25808107751639]],"c":null,"a":["Multiple!N168"]},"F|^54263-35EV to EBITDATTM05/27/2024EURr":{"r":[[3.8508237998394486]],"c":null,"a":["Multiple!N130"]},"F|^13200-67EV to EBITDATTM05/27/2024EURr":{"r":[[5.526730619006652]],"c":null,"a":["Multiple!N160"]},"F|^57540-79EV to EBITDATTM05/27/2024EURr":{"r":[[19.603187163774148]],"c":null,"a":["Multiple!N177"]},"F|^99526-69EV to EBITDATTM05/27/2024EURr":{"r":[[9.928942527303182]],"c":null,"a":["Multiple!N152"]},"F|^10685-53EV to EBITDATTM05/27/2024EURr":{"r":[[5.199871451715501]],"c":null,"a":["Multiple!N132"]},"F|^11933-92EV to EBITDATTM06/12/2021EURr":{"r":[[14.336943448941701]],"c":null,"a":["Multiple!T155"]},"F|^53969-59EV to EBITDATTM06/12/2021EURr":{"r":[[4.236963517611383]],"c":null,"a":["Multiple!T151"]},"F|^10961-02EV to EBITDATTM06/12/2021EURr":{"r":[[14.689153831996</t>
  </si>
  <si>
    <t>945]],"c":null,"a":["Multiple!T158"]},"F|^443229-13EV to EBITDATTM06/12/2021EURr":{"id":1457664,"headerValues":[],"financialValues":[],"error":null,"description":null,"customValues":[]},"F|^64231-30EV to EBITDATTM06/12/2021EURr":{"r":[[15.428789214020782]],"c":null,"a":["Multiple!T169"]},"F|^11822-68EV to EBITDATTM06/12/2021EURr":{"r":[[3.396840718085609]],"c":null,"a":["Multiple!T133"]},"F|^11727-91EV to EBITDATTM06/12/2021EURr":{"r":[[8.488120668569099]],"c":null,"a":["Multiple!T137"]},"F|^12762-82EV to EBITDATTM06/12/2021EURr":{"r":[[9.69190440924685]],"c":null,"a":["Multiple!T146"]},"F|^436051-81EV to EBITDATTM06/12/2021EURr":{"r":[[26.47816695059625]],"c":null,"a":["Multiple!T149"]},"F|^10235-53EV to EBITDATTM06/12/2021EURr":{"r":[[22.549037508506615]],"c":null,"a":["Multiple!T171"]},"F|^56879-02EV to EBITDATTM06/12/2021EURr":{"r":[[11.392514213153051]],"c":null,"a":["Multiple!T145"]},"F|^167166-55EV to EBITDATTM06/12/2021EURr":{"r":[[13.055090450799806]],"c":null,"a":["Multiple!T136"]},"F|^40607-47EV to EBITDATTM06/12/2021EURr":{"r":[[8.332882599580714]],"c":null,"a":["Multiple!T163"]},"F|^60401-89EV to EBITDATTM06/12/2021EURr":{"r":[[8.542886524451456]],"c":null,"a":["Multiple!T153"]},"F|^43042-87EV to EBITDATTM06/12/2021EURr":{"r":[[8.688129061968896]],"c":null,"a":["Multiple!T134"]},"F|^40420-00EV to EBITDATTM06/12/2021EURr":{"r":[[5.434279651005257]],"c":null,"a":["Multiple!T172"]},"F|^59881-06EV to EBITDATTM06/12/2021EURr":{"r":[[20.362294793950852]],"c":null,"a":["Multiple!T167"]},"F|^59880-97EV to EBITDATTM06/12/2021EURr":{"r":[[10.190835802174508]],"c":null,"a":["Multiple!T131"]},"F|^55272-97EV to EBITDATTM06/12/2021EURr":{"id":1457638,"headerValues":[],"financialValues":[],"error":null,"description":null,"customValues":[]},"F|^41694-94EV to EBITDATTM06/12/2021EURr":{"r":[[8.28114489910314]],"c":null,"a":["Multiple!T173"]},"F|^11572-48EV to EBITDATTM06/12/2021EURr":{"r":[[18.82973624009352]],"c":null,"a":["Multiple!T180"]},"F|^61841-17EV to EBITDATTM06/12/2021EURr":{"r":[[38.07494704424218]],"c":null,"a":["Multiple!T176"]},"F|^88409-08EV to EBITDATTM06/12/2021EURr":{"id":1457670,"headerValues":[],"financialValues":[],"error":null,"description":null,"customValues":[]},"F|^43120-54EV to EBITDATTM06/12/2021EURr":{"r":[[12.057791890998162]],"c":null,"a":["Multiple!T139"]},"F|^11345-77EV to EBITDATTM06/12/2021EURr":{"r":[[21.950812628166915]],"c":null,"a":["Multiple!T156"]},"F|^41707-81EV to EBITDATTM06/12/2021EURr":{"r":[[6.628118857398224]],"c":null,"a":["Multiple!T157"]},"F|^107326-09EV to EBITDATTM06/12/2021EURr":{"r":[[160.45625]],"c":null,"a":["Multiple!T143"]},"F|^57805-66EV to EBITDATTM06/12/2021EURr":{"r":[[5.777932422740525]],"c":null,"a":["Multiple!T170"]},"F|^60425-74EV to EBITDATTM06/12/2021EURr":{"r":[[22.77310188185654]],"c":null,"a":["Multiple!T175"]},"F|^59504-41EV to EBITDATTM06/12/2021EURr":{"id":1457666,"headerValues":[],"financialValues":[],"error":null,"description":null,"customValues":[]},"F|^63856-09EV to EBITDATTM06/12/2021EURr":{"r":[[5.508477343942505]],"c":null,"a":["Multiple!T164"]},"F|^114802-84EV to EBITDATTM06/12/2021EURr":{"r":[[8.28650518345757]],"c":null,"a":["Multiple!T159"]},"F|^12603-61EV to EBITDATTM06/12/2021EURr":{"r":[[7.805273404332582]],"c":null,"a":["Multiple!T135"]},"F|^10761-22EV to EBITDATTM06/12/2021EURr":{"r":[[10.46901681112079]],"c":null,"a":["Multiple!T165"]},"F|^11550-88EV to EBITDATTM06/12/2021EURr":{"id":1457673,"headerValues":[],"financialValues":[],"error":null,"description":null,"customValues":[]},"F|^10464-31EV to EBITDATTM06/12/2021EURr":{"r":[[14.549051369451126]],"c":null,"a":["Multiple!T138"]},"F|^42199-93EV to EBITDATTM06/12/2021EURr":{"r":[[8.816723694111124]],"c":null,"a":["Multiple!T181"]},"F|^59881-51EV to EBITDATTM06/12/2021EURr":{"r":[[14.58201172540446]],"c":null,"a":["Multiple!T140"]},"F|^55082-71EV to EBITDATTM06/12/2021EURr":{"id":1457669,"headerValues":[],"financialValues":[],"error":null,"description":null,"customValues":[]},"F|^41003-56EV to EBITDATTM06/12/2021EURr":{"r":[[22.837852473558836]],"c":null,"a":["Multiple!T162"]},"F|^59343-85EV to EBITDATTM06/12/2021EURr":{"r":[[8.695787474993901]],"c":null,"a":["Multiple!T178"]},"F|^10789-66EV to EBITDATTM06/12/2021EURr":{"r":[[11.872368285390246]],"c":null,"a":["Multiple!T161"]},"F|^61059-25EV to EBITDATTM06/12/2021EURr":{"r":[[38.90416161571227]],"c":null,"a":["Multiple!T182"]},"F|^13360-69EV to EBITDATTM06/12/2021EURr":{"r":[[17.739109555373524]],"c":null,"a":["Multiple!T154"]},"F|^11092-60EV to EBITDATTM06/12/2021EURr":{"r":[[22.519424193101678]],"c":null,"a":["Multiple!T174"]},"F|^11660-50EV to EBITDATTM06/12/2021EURr":{"r":[[14.852319956893046]],"c":null,"a":["Multiple!T150"]},"F|^60751-36EV to EBITDATTM06/12/2021EURr":{"r":[[3.9351986783451363]],"c":null,"a":["Multiple!T168"]},"F|^54263-35EV to EBITDATTM06/12/2021EURr":{"r":[[5.787247462719695]],"c":null,"a":["Multiple!T130"]},"F|^13200-67EV to EBITDATTM06/12/2021EURr":{"r":[[9.779926142557073]],"c":null,"a":["Multiple!T160"]},"F|^57540-79EV to EBITDATTM06/12/2021EURr":{"r":[[43.87119302513678]],"c":null,"a":["Multiple!T177"]},"F|^99526-69EV to EBITDATTM06/12/2021EURr":{"r":[[11.6259036640625]],"c":null,"a":["Multiple!T152"]},"F|^10685-53EV to EBITDATTM06/12/2021EURr":{"r":[[8.070648054964195]],"c":null,"a":["Multiple!T132"]},"F|^11933-92EV to EBITDATTM06/07/2022EURr":{"r":[[9.689191664818024]],"c":null,"a":["Multiple!R155"]},"F|^53969-59EV to EBITDATTM06/07/2022EURr":{"r":[[6.5292199884236926]],"c":null,"a":["Multiple!R151"]},"F|^10961-02EV to EBITDATTM06/07/2022EURr":{"r":[[14.019830864064826]],"c":null,"a":["Multiple!R158"]},"F|^443229-13EV to EBITDATTM06/07/2022EURr":{"r":[[10.308125377491567]],"c":null,"a":["Multiple!R141"]},"F|^64231-30EV to EBITDATTM06/07/2022EURr":{"r":[[10.10448505055883]],"c":null,"a":["Multiple!R169"]},"F|^11822-68EV to EBITDATTM06/07/2022EURr":{"r":[[6.24706749354689]],"c":null,"a":["Multiple!R133"]},"F|^11727-91EV to EBITDATTM06/07/2022EURr":{"r":[[5.181625954839252]],"c":null,"a":["Multiple!R137"]},"F|^12762-82EV to EBITDATTM06/07/2022EURr":{"r":[[5.139322720800714]],"c":null,"a":["Multiple!R146"]},"F|^436051-81EV to EBITDATTM06/07/2022EURr":{"r":[[19.683318862888484]],"c":null,"a":["Multiple!R149"]},"F|^10235-53EV to EBITDATTM06/07/2022EURr":{"r":[[15.862870798192771]],"c":null,"a":["Multiple!R171"]},"F|^56879-02EV to EBITDATTM06/07/2022EURr":{"r":[[8.686492233238068]],"c":null,"a":["Multiple!R145"]},"F|^167166-55EV to EBITDATTM06/07/2022EURr":{"id":1457552,"headerValues":[],"financialValues":[],"error":null,"description":null,"customValues":[]},"F|^40607-47EV to EBITDATTM06/07/2022EURr":{"r":[[6.3314046121593295]],"c":null,"a":["Multiple!R163"]},"F|^60401-89EV to EBITDATTM06/07/2022EURr":{"r":[[7.858125066548881]],"c":null,"a":["Multiple!R153"]},"F|^43042-87EV to EBITDATTM06/07/2022EURr":{"r":[[6.132741343230554]],"c":null,"a":["Multiple!R134"]},"F|^40420-00EV to EBITDATTM06/07/2022EURr":{"r":[[2.7516418194766774]],"c":null,"a":["Multiple!R172"]},"F|^59881-06EV to EBITDATTM06/07/2022EURr":{"r":[[17.1358801420068]],"c":null,"a":["Multiple!R167"]},"F|^59880-97EV to EBITDATTM06/07/2022EURr":{"r":[[4.378557356310058]],"c":null,"a":["Multiple!R131"]},"F|^55272-97EV to EBITDATTM06/07/2022EURr":{"id":1457551,"headerValues":[],"financialValues":[],"error":null,"description":null,"customValues":[]},"F|^41694-94EV to EBITDATTM06/07/2022EURr":{"r":[[4.0317849500713265]],"c":null,"a":["Multiple!R173"]},"F|^11572-48EV to EBITDATTM06/07/2022EURr":{"r":[[11.870000792361191]],"c":null,"a":["Multiple!R180"]},"F|^61841-17EV to EBITDATTM06/07/2022EURr":{"r":[[27.01156469845829]],"c":null,"a":["Multiple!R176"]},"F|^88409-08EV to EBITDATTM06/07/2022EURr":{"id":1457519,"headerValues":[],"financialValues":[],"error":null,"description":null,"customValues":[]},"F|^43120-54EV to EBITDATTM06/07/2022EURr":{"r":[[5.867974436661299]],"c":null,"a":["Multiple!R139"]},"F|^11345-77EV to EBITDATTM06/07/2022EURr":{"r":[[12.495346501506528]],"c":null,"a":["Multiple!R156"]},"F|^41707-81EV to EBITDATTM06/07/2022EURr":{"r":[[3.8209552952538632]],"c":null,"a":["Multiple!R157"]},"F|^107326-09EV to EBITDATTM06/07/2022EURr":{"r":[[32.536184210526315]],"c":null,"a":["Multiple!R143"]},"F|^57805-66EV to EBITDATTM06/07/2022EURr":{"r":[[11.45356353908985]],"c":null,"a":["Multiple!R170"]},"F|^60425-74EV to EBITDATTM06/07/2022EURr":{"id":1457534,"headerValues":[],"financialValues":[],"error":null,"description":null,"customValues":[]},"F|^59504-41EV to EBITDATTM06/07/2022EURr":{"r":[[21.69740913119143]],"c":null,"a":["Multiple!R148"]},"F|^63856-09EV to EBITDATTM06/07/2022EURr":{"r":[[3.1709292347102145]],"c":null,"a":["Multiple!R164"]},"F|^114802-84EV to EBITDATTM06/07/2022EURr":{"r":[[8.681657315267788]],"c":null,"a":["Multiple!R159"]},"F|^12603-61EV to EBITDATTM06/07/2022EURr":{"r":[[5.962588948614706]],"c":null,"a":["Multiple!R135"]},"F|^10761-22EV to EBITDATTM06/07/2022EURr":{"r":[[5.477122273430067]],"c":null,"a":["Multiple!R165"]},"F|^11550-88EV to EBITDATTM06/07/2022EURr":{"r":[[13.728483888965709]],"c":null,"a":["Multiple!R144"]},"F|^10464-31EV to EBITDATTM06/07/2022EURr":{"r":[[13.421607044598899]],"c":null,"a":["Multiple!R138"]},"F|^42199-93EV to EBITDATTM06/07/2022EURr":{"r":[[6.274123424521146]],"c":null,"a":["Multiple!R181"]},"F|^59881-51EV to EBITDATTM06/07/2022EURr":{"r":[[7.782785568554048]],"c":null,"a":["Multiple!R140"]},"F|^55082-71EV to EBITDATTM06/07/2022EURr":{"id":1457546,"headerValues":[],"financialValues":[],"error":null,"description":null,"customValues":[]},"F|^41003-56EV to EBITDATTM06/07/2022EURr":{"r":[[11.029344501914661]],"c":null,"a":["Multiple!R162"]},"F|^59343-85EV to EBITDATTM06/07/2022EURr":{"r":[[6.607302212084696]],"c":null,"a":["Multiple!R178"]},"F|^10789-66EV to EBITDATTM06/07/2022EURr":{"r":[[8.412871665520141]],"c":null,"a":["Multiple!R161"]},"F|^61059-25EV to EBITDATTM06/07/2022EURr":{"r":[[31.67227933647348]],"c":null,"a":["Multiple!R182"]},"F|^13360-69EV to EBITDATTM06/07/2022EURr":{"r":[[15.346959886357885]],"c":null,"a":["Multiple!R154"]},"F|^11092-60EV to EBITDATTM06/07/2022EURr":{"r":[[19.71490341106684]],"c":null,"a":["Multiple!R174"]},"F|^11660-50EV to EBITDATTM06/07/2022EURr":{"r":[[14.119361931951966]],"c":null,"a":["Multiple!R150"]},"F|^60751-36EV to EBITDATTM06/07/2022EURr":{"r":[[4.885887455266138]],"c":null,"a":["Multiple!R168"]},"F|^54263-35EV to EBITDATTM06/07/2022EURr":{"r":[[4.268384854795459]],"c":null,"a":["Multiple!R130"]},"F|^13200-67EV to EBITDATTM06/07/2022EURr":{"r":[[4.006881733067443]],"c":null,"a":["Multiple!R160"]},"F|^57540-79EV to EBITDATTM06/07/2022EURr":{"r":[[26.210423183136033]],"c":null,"a":["Multiple!R177"]},"F|^99526-69EV to EBITDATTM06/07/2022EURr":{"r":[[8.689584646148175]],"c":null,"a":["Multiple!R152"]},"F|^10685-53EV to EBITDATTM06/07/2022EURr":{"r":[[5.49842429859446]],"c":null,"a":["Multiple!R132"]},"F|^11933-92EV to EBITDATTM06/02/2023EURr":{"r":[[13.020032269822007]],"c":null,"a":["Multiple!P155"]},"F|^53969-59EV to EBITDATTM06/02/2023EURr":{"r":[[62.27690071986123]],"c":null,"a":["Multiple!P151"]},"F|^10961-02EV to EBITDATTM06/02/2023EURr":{"r":[[12.580750902197803]],"c":null,"a":["Multiple!P158"]},"F|^443229-13EV to EBITDATTM06/02/2023EURr":{"r":[[6.984685773804897]],"c":null,"a":["Multiple!P141"]},"F|^64231-30EV to EBITDATTM06/02/2023EURr":{"r":[[11.441492263474718]],"c":null,"a":["Multiple!P169"]},"F|^11822-68EV to EBITDATTM06/02/2023EURr":{"r":[[6.643944989627205]],"c":null,"a":["Multiple!P133"]},"F|^11727-91EV to EBITDATTM06/02/2023EURr":{"r":[[5.601604927994672]],"c":null,"a":["Multiple!P137"]},"F|^12762-82EV to EBITDATTM06/02/2023EURr":{"r":[[4.726715370361363]],"c":null,"a":["Multiple!P146"]},"F|^436051-81EV to EBITDATTM06/02/2023EURr":{"r":[[18.69137578968254]],"c":null,"a":["Multiple!P149"]},"F|^10235-53EV to EBITDATTM06/02/2023EURr":{"r":[[14.82609768703242]],"c":null,"a":["Multiple!P171"]},"F|^56879-02EV to EBITDATTM06/02/2023EURr":{"r":[[4.9912529458564485]],"c":null,"a":["Multiple!P145"]},"F|^167166-55EV to EBITDATTM06/02/2023EURr":{"r":[[71.69379072653363]],"c":null,"a":["Multiple!P136"]},"F|^40607-47EV to EBITDATTM06/02/2023EURr":{"r":[[5.565384615384615]],"c":null,"a":["Multiple!P163"]},"F|^60401-89EV to EBITDATTM06/02/2023EURr":{"r":[[8.377821288529887]],"c":null,"a":["Multiple!P153"]},"F|^43042-87EV to EBITDATTM06/02/2023EURr":{"r":[[3.5334006901956485]],"c":null,"a":["Multiple!P134"]},"F|^40420-00EV to EBITDATTM06/02/2023EURr":{"id":1457429,"headerValues":[],"financialValues":[],"error":null,"description":null,"customValues":[]},"F|^59881-06EV to EBITDATTM06/02/2023EURr":{"r":[[18.80316245047689]],"c":null,"a":["Multiple!P167"]},"F|^59880-97EV to EBITDATTM06/02/2023EURr":{"r":[[5.711398728529957]],"c":null,"a":["Multiple!P131"]},"F|^41694-94EV to EBITDATTM06/02/2023EURr":{"r":[[5.802461461959224]],"c":null,"a":["Multiple!P173"]},"F|^11572-48EV to EBITDATTM06/02/2023EURr":{"r":[[11.985425756698268]],"c":null,"a":["Multiple!P180"]},"F|^61841-17EV to EBITDATTM06/02/2023EURr":{"r":[[16.7751298725393]],"c":null,"a":["Multiple!P176"]},"F|^88409-08EV to EBITDATTM06/02/2023EURr":{"id":1457417,"headerValues":[],"financialValues":[],"error":null,"description":null,"customValues":[]},"F|^43120-54EV to EBITDATTM06/02/2023EURr":{"r":[[10.427572645751411]],"c":null,"a":["Multiple!P139"]},"F|^11345-77EV to EBITDATTM06/02/2023EURr":{"r":[[24.247529204946996]],"c":null,"a":["Multiple!P156"]},"F|^41707-81EV to EBITDATTM06/02/2023EURr":{"r":[[5.536961435450585]],"c":null,"a":["Multiple!P157"]},"F|^107326-09EV to EBITDATTM06/02/2023EURr":{"r":[[6.574939564867043]],"c":null,"a":["Multiple!P143"]},"F|^57805-66EV to EBITDATTM06/02/2023EURr":{"r":[[11.257868993858752]],"c":null,"a":["Multiple!P170"]},"F|^60425-74EV to EBITDATTM06/02/2023EURr":{"r":[[19.832230441453568]],"c":null,"a":["Multiple!P175"]},"F|^59504-41EV to EBITDATTM06/02/2023EURr":{"r":[[4.405667146095097]],"c":null,"a":["Multiple!P148"]},"F|^63856-09EV to EBITDATTM06/02/2023EURr":{"r":[[9.352248122201493]],"c":null,"a":["Multiple!P164"]},"F|^114802-84EV to EBITDATTM06/02/2023EURr":{"r":[[7.724429409287355]],"c":null,"a":["Multiple!P159"]},"F|^12603-61EV to EBITDATTM06/02/2023EURr":{"r":[[17.70427736269575]],"c":null,"a":["Multiple!P135"]},"F|^10761-22EV to EBITDATTM06/02/2023EURr":{"r":[[6.423841357491857]],"c":null,"a":["Multiple!P165"]},"F|^11550-88EV to EBITDATTM06/02/2023EURr":{"r":[[7.4753285552315605]],"c":null,"a":["Multiple!P144"]},"F|^10464-31EV to EBITDATTM06/02/2023EURr":{"r":[[13.56938970050931]],"c":null,"a":["Multiple!P138"]},"F|^42199-93EV to EBITDATTM06/02/2023EURr":{"r":[[5.245892351923609]],"c":null,"a":["Multiple!P181"]},"F|^59881-51EV to EBITDATTM06/02/2023EURr":{"r":[[9.684866882279012]],"c":null,"a":["Multiple!P140"]},"F|^55082-71EV to EBITDATTM06/02/2023EURr":{"id":1457430,"headerValues":[],"financialValues":[],"error":null,"description":null,"customValues":[]},"F|^41003-56EV to EBITDATTM06/02/2023EURr":{"r":[[9.114927163474055]],"c":null,"a":["Multiple!P162"]},"F|^59343-85EV to EBITDATTM06/02/2023EURr":{"r":[[14.144461925779535]],"c":null,"a":["Multiple!P178"]},"F|^10789-66EV to EBITDATTM06/02/2023EURr":{"r":[[6.672634551805802]],"c":null,"a":["Multiple!P161"]},"F|^61059-25EV to EBITDATTM06/02/2023EURr":{"r":[[34.1029219641207]],"c":null,"a":["Multiple!P182"]},"F|^13360-69EV to EBITDATTM06/02/2023EURr":{"r":[[15.853317179865773]],"c":null,"a":["Multiple!P154"]},"F|^11092-60EV to EBITDATTM06/02/2023EURr":{"r":[[21.244500512490003]],"c":null,"a":["Multiple!P174"]},"F|^11660-50EV to EBITDATTM06/02/2023EURr":{"r":[[31.854524724567327]],"c":null,"a":["Multiple!P150"]},"F|^60751-36EV to EBITDATTM06/02/2023EURr":{"r":[[4.7683223313397125]],"c":null,"a":["Multiple!P168"]},"F|^54263-35EV to EBITDATTM06/02/2023EURr":{"r":[[4.29089598188523]],"c":null,"a":["Multiple!P130"]},"F|^13200-67EV to EBITDATTM06/02/2023EURr":{"r":[[1.0713291523117143]],"c":null,"a":["Multiple!P160"]},"F|^57540-79EV to EBITDATTM06/02/2023EURr":{"r":[[21.86937101570266]],"c":null,"a":["Multiple!P177"]},"F|^99526-69EV to EBITDATTM06/02/2023EURr":{"r":[[6.762483529803161]],"c":null,"a":["Multiple!P152"]},"F|^10685-53EV to EBITDATTM06/02/2023EURr":{"r":[[4.896150696326168]],"c":null,"a":["Multiple!P132"]},"F|^55272-97EV to EBITDATTM05/27/2024EURr":{"id":1457342,"headerValues":[],"financialValues":[],"error":null,"description":null,"customValues":[]},"F|^55272-97EV to EBITDATTM11/29/2023EURr":{"id":1457372,"headerValues":[],"financialValues":[],"error":null,"description":null,"customValues":[]},"F|^55272-97EV to EBITDATTM06/02/2023EURr":{"id":1457427,"headerValues":[],"financialValues":[],"error":null,"description":null,"customValues":[]},"D|^131910-49TLimit1.% Acquired EUR":{"r":[[0.51]],"a":["Multiple!AY64"]},"D|^55573-03TLimit1.% Acquired EUR":{"r":[[0.295]],"a":["Multiple!AY56"]},"D|^76177-18TLimit1.% Acquired EUR":{"r":[[0.7090000000000001]],"a":["Multiple!AY52"]},"D|^62628-40TLimit1.% Acquired EUR":{"r":[[1]],"a":["Multiple!AY63"]},"D|^253770-76TLimit1.% Acquired EUR":{"r":[[1]],"a":["Multiple!AY61"]},"D|^123952-33TLimit1.% Acquired EUR":{"r":[[0.9514]],"a":["Multiple!AY58"]},"D|^132901-48TLimit1.% Acquired EUR":{"r":[[0.8498]],"a":["Multiple!AY66"]},"D|^205287-22TLimit1.% Acquired EUR":{"r":[[0.163]],"a":["Multiple!AY55"]},"D|^44940-61TLimit1.% Acquired EUR":{"r":[[0.19440000000000002]],"a":["Multiple!AY65"]},"D|^175471-66TLimit1.% Acquired EUR":{"r":[[0.795]],"a":["Multiple!AY59"]},"D|^61541-65TLimit1.% Acquired EUR":{"r":[[0.7]],"a":["Multiple!AY70"]},"D|^40562-20TLimit1.% Acquired EUR":{"r":[[0.7352]],"a":["Multiple!AY74"]},"D|^122350-69TLimit1.% Acquired EUR":{"r":[[0.2341]],"a":["Multiple!AY69"]},"D|^186057-82TLimit1.% Acquired EUR":{"r":[[0.1261]],"a":["Multiple!AY67"]},"D|^99133-30TLimit1.% Acquired EUR":{"r":[[0.973]],"a":["Multiple!AY68"]},"D|^160231-87TLimit1.% Acquired EUR":{"r":[[0.7]],"a":["Multiple!AY23"]},"D|^119512-27TLimit1.% Acquired EUR":{"r":[[0.5256000000000001]],"a":["Multiple!AY75"]},"D|^110626-03TLimit1.% Acquired EUR":{"r":[[0.7743000000000001]],"a":["Multiple!AY73"]},"D|^157996-09TLimit1.% Acquired EUR":{"r":[[1]],"a":["Multiple!AY71"]},"D|^131026-60TLimit1.% Acquired EUR":{"r":[[0.6]],"a":["Multiple!AY72"]},"D|^97231-33TLimit1.% Acquired EUR":{"r":[[0.6659]],"a":["Multiple!AY76"]},"D|^114633-28TLimit1.% Acquired EUR":{"r":[[1]],"a":["Multiple!AY26"]},"D|^80894-17TLimit1.% Acquired EUR":{"r":[[1]],"a":["Multiple!AY24"]},"D|^126392-86TLimit1.% Acquired EUR":{"r":[[1]],"a":["Multiple!AY25"]},"D|^131558-05TLimit1.% Acquired EUR":{"r":[[0.9218999999999999]],"a":["Multiple!AY31"]},"D|^226068-67TLimit1.% Acquired EUR":{"r":[[1]],"a":["Multiple!AY28"]},"D|^75143-89TLimit1.% Acquired EUR":{"r":[[0.7154]],"a":["Multiple!AY30"]},"D|^91703-26TLimit1.% Acquired EUR":{"r":[[1]],"a":["Multiple!AY35"]},"D|^187515-82TLimit1.% Acquired EUR":{"r":[[0.6]],"a":["Multiple!AY33"]},"D|^71782-93TLimit1.% Acquired EUR":{"r":[[0.4509]],"a":["Multiple!AY27"]},"D|^85888-63TLimit1.% Acquired EUR":{"r":[[0.752]],"a":["Multiple!AY29"]},"D|^106351-12TLimit1.% Acquired EUR":{"r":[[0.583]],"a":["Multiple!AY40"]},"D|^190507-24TLimit1.% Acquired EUR":{"r":[[0.893]],"a":["Multiple!AY32"]},"D|^114085-99TLimit1.% Acquired EUR":{"r":[[1]],"a":["Multiple!AY34"]},"D|^174173-14TLimit1.% Acquired EUR":{"r":[[1]],"a":["Multiple!AY36"]},"D|^165178-81TLimit1.% Acquired EUR":{"r":[[1]],"a":["Multiple!AY39"]},"D|^87619-87TLimit1.% Acquired EUR":{"r":[[0.52]],"a":["Multiple!AY38"]},"D|^131831-65TLimit1.% Acquired EUR":{"r":[[0.85]],"a":["Multiple!AY43"]},"D|^228531-61TLimit1.% Acquired EUR":{"r":[[0.51]],"a":["Multiple!AY37"]},"D|^82595-62TLimit1.% Acquired EUR":{"r":[[0.62]],"a":["Multiple!AY42"]},"D|^63490-33TLimit1.% Acquired EUR":{"r":[[1]],"a":["Multiple!AY44"]},"D|^123580-18TLimit1.% Acquired EUR":{"r":[[1]],"a":["Multiple!AY41"]},"D|^175584-34TLimit1.% Acquired EUR":{"r":[[0.22]],"a":["Multiple!AY51"]},"D|^70001-02TLimit1.% Acquired EUR":{"r":[[1]],"a":["Multiple!AY50"]},"D|^119212-03TLimit1.% Acquired EUR":{"r":[[0.72]],"a":["Multiple!AY48"]},"D|^242328-97TLimit1.% Acquired EUR":{"r":[[0.42]],"a":["Multiple!AY45"]},"D|^230171-77TLimit1.% Acquired EUR":{"r":[[1]],"a":["Multiple!AY57"]},"D|^81568-00TLimit1.% Acquired EUR":{"r":[[1]],"a":["Multiple!AY53"]},"D|^95046-76TLimit1.% Acquired EUR":{"r":[[0.768]],"a":["Multiple!AY47"]},"D|^39483-01TLimit1.% Acquired EUR":{"r":[[0.495]],"a":["Multiple!AY49"]},"D|^75803-32TLimit1.% Acquired EUR":{"r":[[1]],"a":["Multiple!AY62"]},"D|^73714-15TLimit1.% Acquired EUR":{"r":[[0.5707]],"a":["Multiple!AY54"]},"D|^45867-79TLimit1.% Acquired EUR":{"r":[[1]],"a":["Multiple!AY60"]},"D|^64514-08TLimit1.% Acquired EUR":{"r":[[1]],"a":["Multiple!AY46"]},"D|^54263-35Primary Industry Code":{"r":[["Automotive"]],"a":["Multiple!O23"]},"D|^205287-22TImplied EV / RevenueEUR":{"r":[[2.512872226835924]],"a":["Multiple!BA55"]},"D|^205287-22TImplied EV / EBITEUR":{"r":[[11.014560582423298]],"a":["Multiple!BC55"]},"D|^75803-32TImplied EV / RevenueEUR":{"r":[[0.7915816280374739]],"a":["Multiple!BA62"]},"D|^62628-40TImplied EV / EBITEUR":{"r":[[7.4746835443037964]],"a":["Multiple!BC63"]},"D|^123952-33TImplied EV / RevenueEUR":{"r":[[6.06099881722984]],"a":["Multiple!BA58"]},"D|^175471-66TImplied EV / EBITEUR":{"r":[[14.37956943387817]],"a":["Multiple!BC59"]},"D|^230171-77TImplied EV / EBITEUR":{"r":[[8.51190476434521]],"a":["Multiple!BC57"]},"D|^44940-61TImplied EV / EBITDAEUR":{"r":[[5.09478288034989]],"a":["Multiple!BB65"]},"D|^81568-00TImplied EV / EBITDAEUR":{"r":[[9.49091032501103]],"a":["Multiple!BB53"]},"D|^76177-18TImplied EV / RevenueEUR":{"r":[[1.2651546108128446]],"a":["Multiple!BA52"]},"D|^73714-15TImplied EV / RevenueEUR":{"r":[[2.176100876343048]],"a":["Multiple!BA54"]},"D|^123952-33TImplied EV / EBITEUR":{"r":[[15.584012109504961]],"a":["Multiple!BC58"]},"D|^230171-77TImplied EV / EBITDAEUR":{"r":[[8.51190476434521]],"a":["Multiple!BB57"]},"D|^81568-00TImplied EV / EBITEUR":{"r":[[12.34212074849947]],"a":["Multiple!BC53"]},"D|^230171-77TImplied EV / RevenueEUR":{"r":[[2.193251534371158]],"a":["Multiple!BA57"]},"D|^62628-40TImplied EV / RevenueEUR":{"r":[[2.428571428571428]],"a":["Multiple!BA63"]},"D|^175471-66TImplied EV / RevenueEUR":{"r":[[1.1849751595540137]],"a":["Multiple!BA59"]},"D|^122350-69TImplied EV / RevenueEUR":{"r":[[0.1689532432525832]],"a":["Multiple!BA69"]},"D|^186057-82TImplied EV / EBITEUR":{"r":[[9.136237805149905]],"a":["Multiple!BC67"]},"D|^55573-03TImplied EV / EBITEUR":{"r":[[17.679181856843215]],"a":["Multiple!BC56"]},"D|^61541-65TImplied EV / EBITEUR":{"r":[[5.65793439716312]],"a":["Multiple!BC70"]},"D|^62628-40TImplied EV / EBITDAEUR":{"r":[[5.880785002929114]],"a":["Multiple!BB63"]},"D|^157996-09TImplied EV / EBITDAEUR":{"r":[[3.3379389752446746]],"a":["Multiple!BB71"]},"D|^75803-32TImplied EV / EBITEUR":{"r":[[17.07007098089571]],"a":["Multiple!BC62"]},"D|^45867-79TImplied EV / EBITEUR":{"r":[[7.722352516687714]],"a":["Multiple!BC60"]},"D|^175471-66TImplied EV / EBITDAEUR":{"r":[[7.659964160970664]],"a":["Multiple!BB59"]},"D|^253770-76TImplied EV / RevenueEUR":{"r":[[5.325398126638233]],"a":["Multiple!BA61"]},"D|^55573-03TImplied EV / EBITDAEUR":{"r":[[8.553987870901803]],"a":["Multiple!BB56"]},"D|^186057-82TImplied EV / EBITDAEUR":{"r":[[4.513340074283941]],"a":["Multiple!BB67"]},"D|^132901-48TImplied EV / RevenueEUR":{"r":[[0.3409493940653662]],"a":["Multiple!BA66"]},"D|^253770-76TImplied EV / EBITEUR":{"r":[[15.279091930990665]],"a":["Multiple!BC61"]},"D|^45867-79TImplied EV / RevenueEUR":{"r":[[2.091681163386173]],"a":["Multiple!BA60"]},"D|^110626-03TImplied EV / RevenueEUR":{"r":[[4.6897394136807815]],"a":["Multiple!BA73"]},"D|^99133-30TImplied EV / EBITDAEUR":{"r":[[3.9258121665058634]],"a":["Multiple!BB68"]},"D|^131026-60TImplied EV / RevenueEUR":{"r":[[0.4104234378156044]],"a":["Multiple!BA72"]},"D|^132901-48TImplied EV / EBITDAEUR":{"r":[[4.563025040997212]],"a":["Multiple!BB66"]},"D|^40562-20TImplied EV / RevenueEUR":{"r":[[0.9513179533629664]],"a":["Multiple!BA74"]},"D|^44940-61TImplied EV / RevenueEUR":{"r":[[0.4982981037759486]],"a":["Multiple!BA65"]},"D|^45867-79TImplied EV / EBITDAEUR":{"r":[[7.634479560533638]],"a":["Multiple!BB60"]},"D|^157996-09TImplied EV / EBITEUR":{"r":[[3.3379389752446746]],"a":["Multiple!BC71"]},"D|^131910-49TImplied EV / EBITEUR":{"r":[[5.453648003160465]],"a":["Multiple!BC64"]},"D|^186057-82TImplied EV / RevenueEUR":{"r":[[0.4270991544872203]],"a":["Multiple!BA67"]},"D|^75803-32TImplied EV / EBITDAEUR":{"r":[[7.500773579297677]],"a":["Multiple!BB62"]},"D|^61541-65TImplied EV / EBITDAEUR":{"r":[[3.7697282929710574]],"a":["Multiple!BB70"]},"D|^160231-87TImplied EV / EBITEUR":{"r":[[129.9907149489322]],"a":["Multiple!BC23"]},"D|^61541-65TImplied EV / RevenueEUR":{"r":[[0.34966948736984266]],"a":["Multiple!BA70"]},"D|^131026-60TImplied EV / EBITEUR":{"r":[[5.67969531288424]],"a":["Multiple!BC72"]},"D|^122350-69TImplied EV / EBITEUR":{"r":[[16.242524916943523]],"a":["Multiple!BC69"]},"D|^99133-30TImplied EV / RevenueEUR":{"r":[[0.30224206704620665]],"a":["Multiple!BA68"]},"D|^122350-69TImplied EV / EBITDAEUR":{"r":[[3.897170187325628]],"a":["Multiple!BB69"]},"D|^131910-49TImplied EV / RevenueEUR":{"r":[[29.79961242211647]],"a":["Multiple!BA64"]},"D|^119512-27TImplied EV / EBITEUR":{"r":[[1.1206636500754146]],"a":["Multiple!BC75"]},"D|^157996-09TImplied EV / RevenueEUR":{"r":[[0.1715993843968273]],"a":["Multiple!BA71"]},"D|^44940-61TImplied EV / EBITEUR":{"r":[[5.768800848956491]],"a":["Multiple!BC65"]},"D|^132901-48TImplied EV / EBITEUR":{"r":[[14.614177541485418]],"a":["Multiple!BC66"]},"D|^97231-33TImplied EV / EBITDAEUR":{"r":[[0.015766741638597537]],"a":["Multiple!BB76"]},"D|^119512-27TImplied EV / EBITDAEUR":{"r":[[0.7566191446028512]],"a":["Multiple!BB75"]},"D|^131910-49TImplied EV / EBITDAEUR":{"r":[[5.433912891783451]],"a":["Multiple!BB64"]},"D|^97231-33TImplied EV / RevenueEUR":{"r":[[0.0004440208740017047]],"a":["Multiple!BA76"]},"D|^160231-87TImplied EV / EBITDAEUR":{"r":[[87.51823296520108]],"a":["Multiple!BB23"]},"D|^97231-33TImplied EV / EBITEUR":{"r":[[0.019794749383306776]],"a":["Multiple!BC76"]},"D|^110626-03TImplied EV / EBITEUR":{"r":[[2.339345194573076]],"a":["Multiple!BC73"]},"D|^40562-20TImplied EV / EBITDAEUR":{"r":[[1.9889077443684224]],"a":["Multiple!BB74"]},"D|^110626-03TImplied EV / EBITDAEUR":{"r":[[2.339345194573076]],"a":["Multiple!BB73"]},"D|^119512-27TImplied EV / RevenueEUR":{"r":[[0.3099384711648764]],"a":["Multiple!BA75"]},"D|^131026-60TImplied EV / EBITDAEUR":{"r":[[3.095512796170419]],"a":["Multiple!BB72"]},"D|^99133-30TImplied EV / EBITEUR":{"r":[[4.161605219802891]],"a":["Multiple!BC68"]},"D|^40562-20TImplied EV / EBITEUR":{"r":[[2.7759803074546667]],"a":["Multiple!BC74"]},"D|^160231-87TImplied EV / RevenueEUR":{"r":[[29.88473032588587]],"a":["Multiple!BA23"]},"D|^126392-86TImplied EV / RevenueEUR":{"r":[[7.151070547441757]],"a":["Multiple!BA25"]},"D|^226068-67TImplied EV / EBITDAEUR":{"r":[[32.971028991160956]],"a":["Multiple!BB28"]},"D|^114633-28TImplied EV / EBITEUR":{"r":[[60.17529846259555]],"a":["Multiple!BC26"]},"D|^80894-17TImplied EV / RevenueEUR":{"r":[[1.09193970587308]],"a":["Multiple!BA24"]},"D|^85888-63TImplied EV / EBITDAEUR":{"r":[[22.407122232916265]],"a":["Multiple!BB29"]},"D|^80894-17TImplied EV / EBITEUR":{"r":[[80.07132986516923]],"a":["Multiple!BC24"]},"D|^190507-24TImplied EV / EBITDAEUR":{"r":[[19.452161915799856]],"a":["Multiple!BB32"]},"D|^114633-28TImplied EV / EBITDAEUR":{"r":[[38.915011351722896]],"a":["Multiple!BB26"]},"D|^114633-28TImplied EV / RevenueEUR":{"r":[[16.16312594621873]],"a":["Multiple!BA26"]},"D|^126392-86TImplied EV / EBITDAEUR":{"r":[[44.278458801885115]],"a":["Multiple!BB25"]},"D|^71782-93TImplied EV / EBITDAEUR":{"r":[[34.23323823109843]],"a":["Multiple!BB27"]},"D|^75143-89TImplied EV / RevenueEUR":{"r":[[8.82108284456171]],"a":["Multiple!BA30"]},"D|^131558-05TImplied EV / EBITEUR":{"r":[[33.446790926819254]],"a":["Multiple!BC31"]},"D|^85888-63TImplied EV / RevenueEUR":{"r":[[3.0176279974076476]],"a":["Multiple!BA29"]},"D|^75143-89TImplied EV / EBITDAEUR":{"r":[[21.71513209865707]],"a":["Multiple!BB30"]},"D|^71782-93TImplied EV / RevenueEUR":{"r":[[0.7089574285798694]],"a":["Multiple!BA27"]},"D|^114085-99TImplied EV / EBITEUR":{"r":[[48.260739384792984]],"a":["Multiple!BC34"]},"D|^131558-05TImplied EV / RevenueEUR":{"r":[[6.625166893691421]],"a":["Multiple!BA31"]},"D|^226068-67TImplied EV / RevenueEUR":{"r":[[3.2623757421097737]],"a":["Multiple!BA28"]},"D|^91703-26TImplied EV / EBITEUR":{"r":[[27.88376123597551]],"a":["Multiple!BC35"]},"D|^114085-99TImplied EV / RevenueEUR":{"r":[[0.8709739725771065]],"a":["Multiple!BA34"]},"D|^71782-93TImplied EV / EBITEUR":{"r":[[54.10935738444194]],"a":["Multiple!BC27"]},"D|^80894-17TImplied EV / EBITDAEUR":{"r":[[79.08639916262219]],"a":["Multiple!BB24"]},"D|^126392-86TImplied EV / EBITEUR":{"r":[[215.75272395664393]],"a":["Multiple!BC25"]},"D|^226068-67TImplied EV / EBITEUR":{"r":[[90.58996313037264]],"a":["Multiple!BC28"]},"D|^174173-14TImplied EV / EBITEUR":{"r":[[30.642591487308206]],"a":["Multiple!BC36"]},"D|^75143-89TImplied EV / EBITEUR":{"r":[[21.854395604395606]],"a":["Multiple!BC30"]},"D|^114085-99TImplied EV / EBITDAEUR":{"r":[[19.083247299166512]],"a":["Multiple!BB34"]},"D|^228531-61TImplied EV / EBITEUR":{"r":[[32.17651388865607]],"a":["Multiple!BC37"]},"D|^87619-87TImplied EV / RevenueEUR":{"r":[[2.554324077876565]],"a":["Multiple!BA38"]},"D|^85888-63TImplied EV / EBITEUR":{"r":[[40.66550218340611]],"a":["Multiple!BC29"]},"D|^131831-65TImplied EV / RevenueEUR":{"r":[[4.680314979925748]],"a":["Multiple!BA43"]},"D|^165178-81TImplied EV / EBITEUR":{"r":[[16.35051488184428]],"a":["Multiple!BC39"]},"D|^174173-14TImplied EV / EBITDAEUR":{"r":[[17.540035244692074]],"a":["Multiple!BB36"]},"D|^190507-24TImplied EV / RevenueEUR":{"r":[[16.94071588320846]],"a":["Multiple!BA32"]},"D|^190507-24TImplied EV / EBITEUR":{"r":[[34.492418730786206]],"a":["Multiple!BC32"]},"D|^187515-82TImplied EV / EBITDAEUR":{"r":[[19.36971455157503]],"a":["Multiple!BB33"]},"D|^131558-05TImplied EV / EBITDAEUR":{"r":[[20.083328238629356]],"a":["Multiple!BB31"]},"D|^106351-12TImplied EV / EBITEUR":{"r":[[37.04277870003831]],"a":["Multiple!BC40"]},"D|^187515-82TImplied EV / RevenueEUR":{"r":[[13.54364008649559]],"a":["Multiple!BA33"]},"D|^174173-14TImplied EV / RevenueEUR":{"r":[[4.826579434592165]],"a":["Multiple!BA36"]},"D|^123580-18TImplied EV / EBITDAEUR":{"r":[[15.78406280150864]],"a":["Multiple!BB41"]},"D|^91703-26TImplied EV / EBITDAEUR":{"r":[[18.75307761909476]],"a":["Multiple!BB35"]},"D|^87619-87TImplied EV / EBITEUR":{"r":[[16.56034890149772]],"a":["Multiple!BC38"]},"D|^63490-33TImplied EV / RevenueEUR":{"r":[[2.8510561449734046]],"a":["Multiple!BA44"]},"D|^63490-33TImplied EV / EBITEUR":{"r":[[17.53038073782933]],"a":["Multiple!BC44"]},"D|^95046-76TImplied EV / EBITDAEUR":{"r":[[13.578635819485175]],"a":["Multiple!BB47"]},"D|^82595-62TImplied EV / RevenueEUR":{"r":[[1.8346133620969205]],"a":["Multiple!BA42"]},"D|^228531-61TImplied EV / RevenueEUR":{"r":[[2.5467188613600213]],"a":["Multiple!BA37"]},"D|^228531-61TImplied EV / EBITDAEUR":{"r":[[16.947414255397877]],"a":["Multiple!BB37"]},"D|^106351-12TImplied EV / EBITDAEUR":{"r":[[16.289420485175203]],"a":["Multiple!BB40"]},"D|^187515-82TImplied EV / EBITEUR":{"r":[[32.440298849521014]],"a":["Multiple!BC33"]},"D|^91703-26TImplied EV / RevenueEUR":{"r":[[2.137211888321531]],"a":["Multiple!BA35"]},"D|^123580-18TImplied EV / EBITEUR":{"r":[[26.188474132285528]],"a":["Multiple!BC41"]},"D|^119212-03TImplied EV / EBITEUR":{"r":[[42.682119205298015]],"a":["Multiple!BC48"]},"D|^131831-65TImplied EV / EBITEUR":{"r":[[27.978929120785214]],"a":["Multiple!BC43"]},"D|^95046-76TImplied EV / RevenueEUR":{"r":[[1.189157440075334]],"a":["Multiple!BA47"]},"D|^242328-97TImplied EV / RevenueEUR":{"r":[[3.0202998622868993]],"a":["Multiple!BA45"]},"D|^119212-03TImplied EV / RevenueEUR":{"r":[[1.3587350798325841]],"a":["Multiple!BA48"]},"D|^87619-87TImplied EV / EBITDAEUR":{"r":[[16.56034890149772]],"a":["Multiple!BB38"]},"D|^165178-81TImplied EV / EBITDAEUR":{"r":[[16.35051488184428]],"a":["Multiple!BB39"]},"D|^64514-08TImplied EV / EBITDAEUR":{"r":[[13.85636685832547]],"a":["Multiple!BB46"]},"D|^82595-62TImplied EV / EBITEUR":{"r":[[17.346740922254476]],"a":["Multiple!BC42"]},"D|^165178-81TImplied EV / RevenueEUR":{"r":[[3.9128564375730805]],"a":["Multiple!BA39"]},"D|^123580-18TImplied EV / RevenueEUR":{"r":[[1.2197243126625443]],"a":["Multiple!BA41"]},"D|^106351-12TImplied EV / RevenueEUR":{"r":[[1.2358692734716832]],"a":["Multiple!BA40"]},"D|^242328-97TImplied EV / EBITEUR":{"r":[[2</t>
  </si>
  <si>
    <t>8.744894097842344]],"a":["Multiple!BC45"]},"D|^39483-01TImplied EV / EBITDAEUR":{"r":[[12.009099055628317]],"a":["Multiple!BB49"]},"D|^119212-03TImplied EV / EBITDAEUR":{"r":[[13.46586370060837]],"a":["Multiple!BB48"]},"D|^70001-02TImplied EV / EBITEUR":{"r":[[13.764632460065577]],"a":["Multiple!BC50"]},"D|^175584-34TImplied EV / EBITDAEUR":{"r":[[11.067617128]],"a":["Multiple!BB51"]},"D|^73714-15TImplied EV / EBITEUR":{"r":[[15.764190894271195]],"a":["Multiple!BC54"]},"D|^64514-08TImplied EV / RevenueEUR":{"r":[[3.403072099676099]],"a":["Multiple!BA46"]},"D|^76177-18TImplied EV / EBITDAEUR":{"r":[[10.875176495955374]],"a":["Multiple!BB52"]},"D|^63490-33TImplied EV / EBITDAEUR":{"r":[[14.130550690294664]],"a":["Multiple!BB44"]},"D|^39483-01TImplied EV / RevenueEUR":{"r":[[0.7369699020706868]],"a":["Multiple!BA49"]},"D|^131831-65TImplied EV / EBITDAEUR":{"r":[[15.060231305033513]],"a":["Multiple!BB43"]},"D|^242328-97TImplied EV / EBITDAEUR":{"r":[[13.892884796502136]],"a":["Multiple!BB45"]},"D|^82595-62TImplied EV / EBITDAEUR":{"r":[[15.257537806757492]],"a":["Multiple!BB42"]},"D|^39483-01TImplied EV / EBITEUR":{"r":[[15.71353837828087]],"a":["Multiple!BC49"]},"D|^70001-02TImplied EV / RevenueEUR":{"r":[[2.9605836406723505]],"a":["Multiple!BA50"]},"D|^175584-34TImplied EV / RevenueEUR":{"r":[[0.5730478589180681]],"a":["Multiple!BA51"]},"D|^70001-02TImplied EV / EBITDAEUR":{"r":[[11.332271463547348]],"a":["Multiple!BB50"]},"D|^205287-22TImplied EV / EBITDAEUR":{"r":[[8.840970225396532]],"a":["Multiple!BB55"]},"D|^76177-18TImplied EV / EBITEUR":{"r":[[28.572329227732904]],"a":["Multiple!BC52"]},"D|^253770-76TImplied EV / EBITDAEUR":{"r":[[7.629617879085545]],"a":["Multiple!BB61"]},"D|^73714-15TImplied EV / EBITDAEUR":{"r":[[9.182494249594672]],"a":["Multiple!BB54"]},"D|^175584-34TImplied EV / EBITEUR":{"r":[[14.486409853403142]],"a":["Multiple!BC51"]},"D|^55573-03TImplied EV / RevenueEUR":{"r":[[0.7218057082581898]],"a":["Multiple!BA56"]},"D|^123952-33TImplied EV / EBITDAEUR":{"r":[[8.456427024131907]],"a":["Multiple!BB58"]},"D|^64514-08TImplied EV / EBITEUR":{"r":[[19.780251290762624]],"a":["Multiple!BC46"]},"D|^81568-00TImplied EV / RevenueEUR":{"r":[[1.76906402611314]],"a":["Multiple!BA53"]},"D|^95046-76TImplied EV / EBITEUR":{"r":[[258.8374740993789]],"a":["Multiple!BC47"]},"D|^253770-76TLimit1.Implied EV EUR":{"r":[[2501004000]],"a":["Multiple!AX61"]},"D|^44940-61TLimit1.Deal AmountEUR":{"r":[[18900000]],"a":["Multiple!AW65"]},"D|^230171-77TLimit1.Deal AmountEUR":{"r":[[3575000000]],"a":["Multiple!AW57"]},"D|^55573-03TLimit1.Implied EV EUR":{"r":[[2009924917.727837]],"a":["Multiple!AX56"]},"D|^81568-00TLimit1.Deal AmountEUR":{"r":[[949000000]],"a":["Multiple!AW53"]},"D|^73714-15TLimit1.Deal AmountEUR":{"r":[[10590000]],"a":["Multiple!AW54"]},"D|^205287-22TLimit1.Deal AmountEUR":{"r":[[33800000]],"a":["Multiple!AW55"]},"D|^230171-77TLimit1.Implied EV EUR":{"r":[[3575000000]],"a":["Multiple!AX57"]},"D|^73714-15TLimit1.Implied EV EUR":{"r":[[16158174.44]],"a":["Multiple!AX54"]},"D|^123952-33TLimit1.Deal AmountEUR":{"r":[[65000000]],"a":["Multiple!AW58"]},"D|^122350-69TLimit1.Deal AmountEUR":{"r":[[2600000000]],"a":["Multiple!AW69"]},"D|^61541-65TLimit1.Implied EV EUR":{"r":[[127643000]],"a":["Multiple!AX70"]},"D|^99133-30TLimit1.Implied EV EUR":{"r":[[133972941.18833622]],"a":["Multiple!AX68"]},"D|^44940-61TLimit1.Implied EV EUR":{"r":[[81542000]],"a":["Multiple!AX65"]},"D|^45867-79TLimit1.Implied EV EUR":{"r":[[856100000]],"a":["Multiple!AX60"]},"D|^75803-32TLimit1.Implied EV EUR":{"r":[[315317708.11669505]],"a":["Multiple!AX62"]},"D|^45867-79TLimit1.Deal AmountEUR":{"r":[[952000000]],"a":["Multiple!AW60"]},"D|^123952-33TLimit1.Implied EV EUR":{"r":[[65748430.48]],"a":["Multiple!AX58"]},"D|^75803-32TLimit1.Deal AmountEUR":{"r":[[372278122.20461166]],"a":["Multiple!AW62"]},"D|^110626-03TLimit1.Deal AmountEUR":{"r":[[46000000]],"a":["Multiple!AW73"]},"D|^62628-40TLimit1.Implied EV EUR":{"r":[[20076999.999999996]],"a":["Multiple!AX63"]},"D|^132901-48TLimit1.Deal AmountEUR":{"r":[[687000000]],"a":["Multiple!AW66"]},"D|^61541-65TLimit1.Deal AmountEUR":{"r":[[99400000]],"a":["Multiple!AW70"]},"D|^157996-09TLimit1.Implied EV EUR":{"r":[[579800000]],"a":["Multiple!AX71"]},"D|^131026-60TLimit1.Deal AmountEUR":{"r":[[2660000000]],"a":["Multiple!AW72"]},"D|^132901-48TLimit1.Implied EV EUR":{"r":[[453550999.99999994]],"a":["Multiple!AX66"]},"D|^175471-66TLimit1.Implied EV EUR":{"r":[[7484911000.000001]],"a":["Multiple!AX59"]},"D|^186057-82TLimit1.Implied EV EUR":{"r":[[2254120000]],"a":["Multiple!AX67"]},"D|^131910-49TLimit1.Deal AmountEUR":{"r":[[629350000]],"a":["Multiple!AW64"]},"D|^131910-49TLimit1.Implied EV EUR":{"r":[[1214811000]],"a":["Multiple!AX64"]},"D|^99133-30TLimit1.Deal AmountEUR":{"r":[[196148935.19909823]],"a":["Multiple!AW68"]},"D|^186057-82TLimit1.Deal AmountEUR":{"r":[[345000000]],"a":["Multiple!AW67"]},"D|^110626-03TLimit1.Implied EV EUR":{"r":[[57589999.99999999]],"a":["Multiple!AX73"]},"D|^40562-20TLimit1.Implied EV EUR":{"r":[[13005467.740425114]],"a":["Multiple!AX74"]},"D|^97231-33TLimit1.Implied EV EUR":{"r":[[173178.2399999986]],"a":["Multiple!AX76"]},"D|^119512-27TLimit1.Implied EV EUR":{"r":[[2971999.9999999995]],"a":["Multiple!AX75"]},"D|^62628-40TLimit1.Deal AmountEUR":{"r":[[20900000]],"a":["Multiple!AW63"]},"D|^160231-87TLimit1.Deal AmountEUR":{"r":[[4350000000]],"a":["Multiple!AW23"]},"D|^122350-69TLimit1.Implied EV EUR":{"r":[[9778000000]],"a":["Multiple!AX69"]},"D|^119512-27TLimit1.Deal AmountEUR":{"r":[[2700000]],"a":["Multiple!AW75"]},"D|^160231-87TLimit1.Implied EV EUR":{"r":[[42000000000]],"a":["Multiple!AX23"]},"D|^157996-09TLimit1.Deal AmountEUR":{"r":[[1500000000]],"a":["Multiple!AW71"]},"D|^131026-60TLimit1.Implied EV EUR":{"r":[[2771555000]],"a":["Multiple!AX72"]},"D|^40562-20TLimit1.Deal AmountEUR":{"r":[[23605392.5]],"a":["Multiple!AW74"]},"D|^97231-33TLimit1.Deal AmountEUR":{"r":[[19540000]],"a":["Multiple!AW76"]},"D|^114633-28TLimit1.Deal Type 1EUR":{"r":[["Buyout/LBO"]],"a":["Multiple!AM26"]},"D|^190507-24TLimit1.Deal Type 1EUR":{"r":[["Buyout/LBO"]],"a":["Multiple!AM32"]},"D|^87619-87TLimit1.Deal Type 1EUR":{"r":[["Merger/Acquisition"]],"a":["Multiple!AM38"]},"D|^131558-05TLimit1.Deal Type 1EUR":{"r":[["Merger/Acquisition"]],"a":["Multiple!AM31"]},"D|^71782-93TLimit1.Deal Type 1EUR":{"r":[["Buyout/LBO"]],"a":["Multiple!AM27"]},"D|^226068-67TLimit1.Deal Type 1EUR":{"r":[["Buyout/LBO"]],"a":["Multiple!AM28"]},"D|^187515-82TLimit1.Deal Type 1EUR":{"r":[["Merger/Acquisition"]],"a":["Multiple!AM33"]},"D|^126392-86TLimit1.Deal Type 1EUR":{"r":[["Merger/Acquisition"]],"a":["Multiple!AM25"]},"D|^114085-99TLimit1.Deal Type 1EUR":{"r":[["Merger/Acquisition"]],"a":["Multiple!AM34"]},"D|^82595-62TLimit1.Deal Type 1EUR":{"r":[["Merger/Acquisition"]],"a":["Multiple!AM42"]},"D|^242328-97TLimit1.Deal Type 1EUR":{"r":[["Buyout/LBO"]],"a":["Multiple!AM45"]},"D|^165178-81TLimit1.Deal Type 1EUR":{"r":[["Buyout/LBO"]],"a":["Multiple!AM39"]},"D|^70001-02TLimit1.Deal Type 1EUR":{"r":[["Buyout/LBO"]],"a":["Multiple!AM50"]},"D|^131831-65TLimit1.Deal Type 1EUR":{"r":[["Merger/Acquisition"]],"a":["Multiple!AM43"]},"D|^174173-14TLimit1.Deal Type 1EUR":{"r":[["Merger/Acquisition"]],"a":["Multiple!AM36"]},"D|^75143-89TLimit1.Deal Type 1EUR":{"r":[["Merger/Acquisition"]],"a":["Multiple!AM30"]},"D|^228531-61TLimit1.Deal Type 1EUR":{"r":[["Merger/Acquisition"]],"a":["Multiple!AM37"]},"D|^106351-12TLimit1.Deal Type 1EUR":{"r":[["Buyout/LBO"]],"a":["Multiple!AM40"]},"D|^119212-03TLimit1.Deal Type 1EUR":{"r":[["Merger/Acquisition"]],"a":["Multiple!AM48"]},"D|^85888-63TLimit1.Deal Type 1EUR":{"r":[["Buyout/LBO"]],"a":["Multiple!AM29"]},"D|^80894-17TLimit1.Deal Type 1EUR":{"r":[["Merger/Acquisition"]],"a":["Multiple!AM24"]},"D|^91703-26TLimit1.Deal Type 1EUR":{"r":[["Merger/Acquisition"]],"a":["Multiple!AM35"]},"D|^175471-66TLimit1.Deal Type 1EUR":{"r":[["Merger/Acquisition"]],"a":["Multiple!AM59"]},"D|^73714-15TLimit1.Deal Type 1EUR":{"r":[["Merger/Acquisition"]],"a":["Multiple!AM54"]},"D|^44940-61TLimit1.Deal Type 1EUR":{"r":[["Merger/Acquisition"]],"a":["Multiple!AM65"]},"D|^76177-18TLimit1.Deal Type 1EUR":{"r":[["Merger/Acquisition"]],"a":["Multiple!AM52"]},"D|^119512-27TLimit1.Deal Type 1EUR":{"r":[["Merger/Acquisition"]],"a":["Multiple!AM75"]},"D|^123952-33TLimit1.Deal Type 1EUR":{"r":[["Buyout/LBO"]],"a":["Multiple!AM58"]},"D|^61541-65TLimit1.Deal Type 1EUR":{"r":[["Buyout/LBO"]],"a":["Multiple!AM70"]},"D|^230171-77TLimit1.Deal Type 1EUR":{"r":[["Buyout/LBO"]],"a":["Multiple!AM57"]},"D|^80894-17TLimit1.Deal AmountEUR":{"r":[[242790000]],"a":["Multiple!AW24"]},"D|^45867-79TLimit1.Deal Type 1EUR":{"r":[["Merger/Acquisition"]],"a":["Multiple!AM60"]},"D|^39483-01TLimit1.Deal Type 1EUR":{"r":[["Merger/Acquisition"]],"a":["Multiple!AM49"]},"D|^63490-33TLimit1.Deal Type 1EUR":{"r":[["Buyout/LBO"]],"a":["Multiple!AM44"]},"D|^205287-22TLimit1.Deal Type 1EUR":{"r":[["Buyout/LBO"]],"a":["Multiple!AM55"]},"D|^123580-18TLimit1.Deal Type 1EUR":{"r":[["Buyout/LBO"]],"a":["Multiple!AM41"]},"D|^81568-00TLimit1.Deal Type 1EUR":{"r":[["Merger/Acquisition"]],"a":["Multiple!AM53"]},"D|^64514-08TLimit1.Deal Type 1EUR":{"r":[["Merger/Acquisition"]],"a":["Multiple!AM46"]},"D|^95046-76TLimit1.Deal Type 1EUR":{"r":[["Merger/Acquisition"]],"a":["Multiple!AM47"]},"D|^110626-03TLimit1.Deal Type 1EUR":{"r":[["Merger/Acquisition"]],"a":["Multiple!AM73"]},"D|^131026-60TLimit1.Deal Type 1EUR":{"r":[["Merger/Acquisition"]],"a":["Multiple!AM72"]},"D|^186057-82TLimit1.Deal Type 1EUR":{"r":[["Merger/Acquisition"]],"a":["Multiple!AM67"]},"D|^253770-76TLimit1.Deal Type 1EUR":{"r":[["Buyout/LBO"]],"a":["Multiple!AM61"]},"D|^122350-69TLimit1.Deal Type 1EUR":{"r":[["Merger/Acquisition"]],"a":["Multiple!AM69"]},"D|^157996-09TLimit1.Deal Type 1EUR":{"r":[["Buyout/LBO"]],"a":["Multiple!AM71"]},"D|^114633-28TLimit1.Implied EV EUR":{"r":[[5604968000]],"a":["Multiple!AX26"]},"D|^71782-93TLimit1.Implied EV EUR":{"r":[[47995000]],"a":["Multiple!AX27"]},"D|^132901-48TLimit1.Deal Type 1EUR":{"r":[["Merger/Acquisition"]],"a":["Multiple!AM66"]},"D|^55573-03TLimit1.Deal Type 1EUR":{"r":[["Merger/Acquisition"]],"a":["Multiple!AM56"]},"D|^175584-34TLimit1.Deal Type 1EUR":{"r":[["Merger/Acquisition"]],"a":["Multiple!AM51"]},"D|^131910-49TLimit1.Deal Type 1EUR":{"r":[["Merger/Acquisition"]],"a":["Multiple!AM64"]},"D|^62628-40TLimit1.Deal Type 1EUR":{"r":[["Merger/Acquisition"]],"a":["Multiple!AM63"]},"D|^75803-32TLimit1.Deal Type 1EUR":{"r":[["Merger/Acquisition"]],"a":["Multiple!AM62"]},"D|^99133-30TLimit1.Deal Type 1EUR":{"r":[["Merger/Acquisition"]],"a":["Multiple!AM68"]},"D|^187515-82TLimit1.Deal AmountEUR":{"r":[[849300000]],"a":["Multiple!AW33"]},"D|^126392-86TLimit1.Implied EV EUR":{"r":[[10420346741.261665]],"a":["Multiple!AX25"]},"D|^114085-99TLimit1.Deal AmountEUR":{"r":[[4956144553.448365]],"a":["Multiple!AW34"]},"D|^126392-86TLimit1.Deal AmountEUR":{"r":[[9858210166.666666]],"a":["Multiple!AW25"]},"D|^80894-17TLimit1.Implied EV EUR":{"r":[[159462807.79515678]],"a":["Multiple!AX24"]},"D|^85888-63TLimit1.Deal AmountEUR":{"r":[[38270000]],"a":["Multiple!AW29"]},"D|^75143-89TLimit1.Deal AmountEUR":{"r":[[2858000000]],"a":["Multiple!AW30"]},"D|^40562-20TLimit1.Deal Type 1EUR":{"r":[["Merger/Acquisition"]],"a":["Multiple!AM74"]},"D|^160231-87TLimit1.Deal Type 1EUR":{"r":[["Merger/Acquisition"]],"a":["Multiple!AM23"]},"D|^97231-33TLimit1.Deal Type 1EUR":{"r":[["Merger/Acquisition"]],"a":["Multiple!AM76"]},"D|^226068-67TLimit1.Implied EV EUR":{"r":[[3300303645.8174243]],"a":["Multiple!AX28"]},"D|^75143-89TLimit1.Implied EV EUR":{"r":[[4948010000]],"a":["Multiple!AX30"]},"D|^174173-14TLimit1.Deal AmountEUR":{"r":[[5548292032]],"a":["Multiple!AW36"]},"D|^87619-87TLimit1.Deal AmountEUR":{"r":[[2800000000]],"a":["Multiple!AW38"]},"D|^71782-93TLimit1.Deal AmountEUR":{"r":[[22030000]],"a":["Multiple!AW27"]},"D|^114633-28TLimit1.Deal AmountEUR":{"r":[[5700000000]],"a":["Multiple!AW26"]},"D|^190507-24TLimit1.Implied EV EUR":{"r":[[18553472035.2899]],"a":["Multiple!AX32"]},"D|^226068-67TLimit1.Deal AmountEUR":{"r":[[3585196691.357549]],"a":["Multiple!AW28"]},"D|^85888-63TLimit1.Implied EV EUR":{"r":[[46562000]],"a":["Multiple!AX29"]},"D|^174173-14TLimit1.Implied EV EUR":{"r":[[6367213666.666666]],"a":["Multiple!AX36"]},"D|^91703-26TLimit1.Implied EV EUR":{"r":[[6219486997.1]],"a":["Multiple!AX35"]},"D|^82595-62TLimit1.Deal AmountEUR":{"r":[[63869183.46711667]],"a":["Multiple!AW42"]},"D|^131558-05TLimit1.Deal AmountEUR":{"r":[[1095080000]],"a":["Multiple!AW31"]},"D|^114085-99TLimit1.Implied EV EUR":{"r":[[4668606149.454794]],"a":["Multiple!AX34"]},"D|^131558-05TLimit1.Implied EV EUR":{"r":[[977616251.9999999]],"a":["Multiple!AX31"]},"D|^190507-24TLimit1.Deal AmountEUR":{"r":[[15306683433.333334]],"a":["Multiple!AW32"]},"D|^228531-61TLimit1.Implied EV EUR":{"r":[[977629343.0611624]],"a":["Multiple!AX37"]},"D|^187515-82TLimit1.Implied EV EUR":{"r":[[1415500000]],"a":["Multiple!AX33"]},"D|^228531-61TLimit1.Deal AmountEUR":{"r":[[515656364]],"a":["Multiple!AW37"]},"D|^91703-26TLimit1.Deal AmountEUR":{"r":[[6783528200]],"a":["Multiple!AW35"]},"D|^106351-12TLimit1.Deal AmountEUR":{"r":[[177300000]],"a":["Multiple!AW40"]},"D|^242328-97TLimit1.Implied EV EUR":{"r":[[8127934999.999999]],"a":["Multiple!AX45"]},"D|^131831-65TLimit1.Deal AmountEUR":{"r":[[1075000000]],"a":["Multiple!AW43"]},"D|^123580-18TLimit1.Implied EV EUR":{"r":[[1799541000]],"a":["Multiple!AX41"]},"D|^165178-81TLimit1.Implied EV EUR":{"r":[[3764657000]],"a":["Multiple!AX39"]},"D|^64514-08TLimit1.Implied EV EUR":{"r":[[1310770071.316232]],"a":["Multiple!AX46"]},"D|^106351-12TLimit1.Implied EV EUR":{"r":[[290082000]],"a":["Multiple!AX40"]},"D|^63490-33TLimit1.Implied EV EUR":{"r":[[1097209000]],"a":["Multiple!AX44"]},"D|^95046-76TLimit1.Implied EV EUR":{"r":[[41672833330]],"a":["Multiple!AX47"]},"D|^242328-97TLimit1.Deal AmountEUR":{"r":[[3610660000]],"a":["Multiple!AW45"]},"D|^131831-65TLimit1.Implied EV EUR":{"r":[[1145933000]],"a":["Multiple!AX43"]},"D|^70001-02TLimit1.Deal AmountEUR":{"r":[[3008905600]],"a":["Multiple!AW50"]},"D|^87619-87TLimit1.Implied EV EUR":{"r":[[5361562000]],"a":["Multiple!AX38"]},"D|^123580-18TLimit1.Deal AmountEUR":{"id":1457061,"headerValues":[{"date":null,"value":"","description":null}],"financialValues":[],"error":null,"description":null,"customValues":[]},"D|^165178-81TLimit1.Deal AmountEUR":{"r":[[4000000000]],"a":["Multiple!AW39"]},"D|^39483-01TLimit1.Implied EV EUR":{"r":[[348432000]],"a":["Multiple!AX49"]},"D|^64514-08TLimit1.Deal AmountEUR":{"r":[[1384546070.1811936]],"a":["Multiple!AW46"]},"D|^63490-33TLimit1.Deal AmountEUR":{"r":[[1100000000]],"a":["Multiple!AW44"]},"D|^76177-18TLimit1.Deal AmountEUR":{"r":[[1159000000]],"a":["Multiple!AW52"]},"D|^76177-18TLimit1.Implied EV EUR":{"r":[[1563535000]],"a":["Multiple!AX52"]},"D|^82595-62TLimit1.Implied EV EUR":{"r":[[97657762.66683936]],"a":["Multiple!AX42"]},"D|^119212-03TLimit1.Implied EV EUR":{"r":[[219130000]],"a":["Multiple!AX48"]},"D|^95046-76TLimit1.Deal AmountEUR":{"r":[[22000000000]],"a":["Multiple!AW47"]},"D|^39483-01TLimit1.Deal AmountEUR":{"r":[[177700000]],"a":["Multiple!AW49"]},"D|^175584-34TLimit1.Deal AmountEUR":{"r":[[3600000]],"a":["Multiple!AW51"]},"D|^175584-34TLimit1.Implied EV EUR":{"r":[[13834521.41]],"a":["Multiple!AX51"]},"D|^253770-76TLimit1.Deal AmountEUR":{"r":[[2810000000]],"a":["Multiple!AW61"]},"D|^70001-02TLimit1.Implied EV EUR":{"r":[[3008905600]],"a":["Multiple!AX50"]},"D|^55573-03TLimit1.Deal AmountEUR":{"r":[[925154045.1583349]],"a":["Multiple!AW56"]},"D|^119212-03TLimit1.Deal AmountEUR":{"r":[[181000000]],"a":["Multiple!AW48"]},"D|^205287-22TLimit1.Implied EV EUR":{"r":[[190629000.00000003]],"a":["Multiple!AX55"]},"D|^81568-00TLimit1.Implied EV EUR":{"r":[[838968000]],"a":["Multiple!AX53"]},"D|^175471-66TLimit1.Deal AmountEUR":{"r":[[6800000000]],"a":["Multiple!AW59"]},"D|^80894-17TLimit1.Company IdEUR":{"r":[["114747-31"]],"a":["Multiple!AN24"]},"D|^187515-82TLimit1.Company IdEUR":{"r":[["60443-83"]],"a":["Multiple!AN33"]},"D|^226068-67TLimit1.Company IdEUR":{"r":[["111167-38"]],"a":["Multiple!AN28"]},"D|^87619-87TLimit1.Company IdEUR":{"r":[["10568-80"]],"a":["Multiple!AN38"]},"D|^85888-63TLimit1.Company IdEUR":{"r":[["157362-40"]],"a":["Multiple!AN29"]},"D|^71782-93TLimit1.Company IdEUR":{"r":[["149122-45"]],"a":["Multiple!AN27"]},"D|^131558-05TLimit1.Company IdEUR":{"r":[["60411-88"]],"a":["Multiple!AN31"]},"D|^165178-81TLimit1.Company IdEUR":{"r":[["211815-28"]],"a":["Multiple!AN39"]},"D|^228531-61TLimit1.Company IdEUR":{"r":[["149204-62"]],"a":["Multiple!AN37"]},"D|^123952-33TLimit1.Company IdEUR":{"r":[["151829-92"]],"a":["Multiple!AN58"]},"D|^114633-28TLimit1.Company IdEUR":{"r":[["55993-96"]],"a":["Multiple!AN26"]},"D|^126392-86TLimit1.Company IdEUR":{"r":[["41285-62"]],"a":["Multiple!AN25"]},"D|^123580-18TLimit1.Company IdEUR":{"r":[["62363-35"]],"a":["Multiple!AN41"]},"D|^99133-30TLimit1.Company IdEUR":{"r":[["107587-54"]],"a":["Multiple!AN68"]},"D|^82595-62TLimit1.Company IdEUR":{"r":[["65354-32"]],"a":["Multiple!AN42"]},"D|^62628-40TLimit1.Company IdEUR":{"r":[["97907-50"]],"a":["Multiple!AN63"]},"D|^174173-14TLimit1.Company IdEUR":{"r":[["62787-07"]],"a":["Multiple!AN36"]},"D|^114085-99TLimit1.Company IdEUR":{"r":[["61909-93"]],"a":["Multiple!AN34"]},"D|^190507-24TLimit1.Company IdEUR":{"r":[["462503-26"]],"a":["Multiple!AN32"]},"D|^131831-65TLimit1.Company IdEUR":{"r":[["59325-58"]],"a":["Multiple!AN43"]},"D|^119212-03TLimit1.Company IdEUR":{"r":[["53310-07"]],"a":["Multiple!AN48"]},"D|^81568-00TLimit1.Company IdEUR":{"r":[["41172-49"]],"a":["Multiple!AN53"]},"D|^253770-76TLimit1.Company IdEUR":{"r":[["11136-52"]],"a":["Multiple!AN61"]},"D|^73714-15TLimit1.Company IdEUR":{"r":[["128061-91"]],"a":["Multiple!AN54"]},"D|^39483-01TLimit1.Company IdEUR":{"r":[["99522-73"]],"a":["Multiple!AN49"]},"D|^106351-12TLimit1.Company IdEUR":{"r":[["149030-02"]],"a":["Multiple!AN40"]},"D|^242328-97TLimit1.Company IdEUR":{"r":[["41903-74"]],"a":["Multiple!AN45"]},"D|^76177-18TLimit1.Company IdEUR":{"r":[["13473-73"]],"a":["Multiple!AN52"]},"D|^64514-08TLimit1.Company IdEUR":{"r":[["58409-83"]],"a":["Multiple!AN46"]},"D|^75143-89TLimit1.Company IdEUR":{"r":[["97247-26"]],"a":["Multiple!AN30"]},"D|^63490-33TLimit1.Company IdEUR":{"r":[["111610-90"]],"a":["Multiple!AN44"]},"D|^91703-26TLimit1.Company IdEUR":{"r":[["41633-65"]],"a":["Multiple!AN35"]},"D|^95046-76TLimit1.Company IdEUR":{"r":[["55510-39"]],"a":["Multiple!AN47"]},"D|^55573-03TLimit1.Company IdEUR":{"r":[["58400-20"]],"a":["Multiple!AN56"]},"D|^175584-34TLimit1.Company IdEUR":{"r":[["60759-82"]],"a":["Multiple!AN51"]},"D|^110626-03TLimit1.Company IdEUR":{"r":[["63833-23"]],"a":["Multiple!AN73"]},"D|^122350-69TLimit1.Company IdEUR":{"r":[["167166-55"]],"a":["Multiple!AN69"]},"D|^131026-60TLimit1.Company IdEUR":{"r":[["57673-36"]],"a":["Multiple!AN72"]},"D|^97231-33TLimit1.Company IdEUR":{"r":[["119814-13"]],"a":["Multiple!AN76"]},"D|^205287-22TLimit1.Company IdEUR":{"r":[["62936-56"]],"a":["Multiple!AN55"]},"D|^230171-77TLimit1.Company IdEUR":{"r":[["64957-96"]],"a":["Multiple!AN57"]},"D|^132901-48TLimit1.Company IdEUR":{"r":[["61160-86"]],"a":["Multiple!AN66"]},"D|^175471-66TLimit1.Company IdEUR":{"r":[["57673-36"]],"a":["Multiple!AN59"]},"D|^70001-02TLimit1.Company IdEUR":{"r":[["62787-07"]],"a":["Multiple!AN50"]},"D|^186057-82TLimit1.Company IdEUR":{"r":[["110861-92"]],"a":["Multiple!AN67"]},"D|^131910-49TLimit1.Company IdEUR":{"r":[["227635-66"]],"a":["Multiple!AN64"]},"D|^75803-32TLimit1.Company IdEUR":{"r":[["151865-47"]],"a":["Multiple!AN62"]},"D|^157996-09TLimit1.Company IdEUR":{"r":[["13177-45"]],"a":["Multiple!AN71"]},"D|^119512-27TLimit1.Company IdEUR":{"r":[["97907-50"]],"a":["Multiple!AN75"]},"D|^160231-87TLimit1.Company IdEUR":{"r":[["109919-62"]],"a":["Multiple!AN23"]},"D|^61541-65TLimit1.Company IdEUR":{"r":[["57879-82"]],"a":["Multiple!AN70"]},"D|^44940-61TLimit1.Company IdEUR":{"r":[["107572-06"]],"a":["Multiple!AN65"]},"D|^45867-79TLimit1.Company IdEUR":{"r":[["97247-26"]],"a":["Multiple!AN60"]},"D|^40562-20TLimit1.Company IdEUR":{"r":[["59880-52"]],"a":["Multiple!AN74"]},"D|^85888-63TLimit1.Investors IdsEUR":{"r":[["123247-45"]],"a":["Multiple!AR29"]},"D|^228531-61TLimit1.Investors IdsEUR":{"r":[["61673-32"]],"a":["Multiple!AR37"]},"D|^80894-17TLimit1.Investors IdsEUR":{"r":[["43126-57"]],"a":["Multiple!AR24"]},"D|^71782-93TLimit1.Investors IdsEUR":{"r":[["128391-31"]],"a":["Multiple!AR27"]},"D|^82595-62TLimit1.Investors IdsEUR":{"r":[["10568-26"]],"a":["Multiple!AR42"]},"D|^39483-01TLimit1.Investors IdsEUR":{"r":[["61183-18"]],"a":["Multiple!AR49"]},"D|^187515-82TLimit1.Investors IdsEUR":{"r":[["60961-42"]],"a":["Multiple!AR33"]},"D|^165178-81TLimit1.Investors IdsEUR":{"r":[["53307-73"]],"a":["Multiple!AR39"]},"D|^73714-15TLimit1.Investors IdsEUR":{"r":[["159458-68"]],"a":["Multiple!AR54"]},"D|^70001-02TLimit1.Investors IdsEUR":{"r":[["10048-15"]],"a":["Multiple!AR50"]},"D|^106351-12TLimit1.Investors IdsEUR":{"r":[["57509-83"]],"a":["Multiple!AR40"]},"D|^95046-76TLimit1.Investors IdsEUR":{"r":[["12603-61"]],"a":["Multiple!AR47"]},"D|^174173-14TLimit1.Investors IdsEUR":{"r":[["41026-60"]],"a":["Multiple!AR36"]},"D|^45867-79TLimit1.Investors IdsEUR":{"r":[["42199-93"]],"a":["Multiple!AR60"]},"D|^131910-49TLimit1.Investors IdsEUR":{"r":[["62008-93"]],"a":["Multiple!AR64"]},"D|^75803-32TLimit1.Investors IdsEUR":{"r":[["55354-78"]],"a":["Multiple!AR62"]},"D|^76177-18TLimit1.Investors IdsEUR":{"r":[["166361-68"]],"a":["Multiple!AR52"]},"D|^81568-00TLimit1.Investors IdsEUR":{"r":[["163876-24"]],"a":["Multiple!AR53"]},"D|^87619-87TLimit1.Investors IdsEUR":{"r":[["51363-55"]],"a":["Multiple!AR38"]},"D|^131831-65TLimit1.Investors IdsEUR":{"r":[["25329-07"]],"a":["Multiple!AR43"]},"D|^91703-26TLimit1.Investors IdsEUR":{"r":[["63603-73"]],"a":["Multiple!AR35"]},"D|^175584-34TLimit1.Investors IdsEUR":{"r":[["433805-23"]],"a":["Multiple!AR51"]},"D|^123580-18TLimit1.Investors IdsEUR":{"id":1456772,"headerValues":[{"date":null,"value":"","description":null}],"financialValues":[],"error":null,"description":null,"customValues":[]},"D|^63490-33TLimit1.Investors IdsEUR":{"r":[["11137-96"]],"a":["Multiple!AR44"]},"D|^126392-86TLimit1.Investors IdsEUR":{"r":[["11511-37"]],"a":["Multiple!AR25"]},"D|^131558-05TLimit1.Investors IdsEUR":{"r":[["57594-25"]],"a":["Multiple!AR31"]},"D|^114085-99TLimit1.Investors IdsEUR":{"r":[["53309-53"]],"a":["Multiple!AR34"]},"D|^157996-09TLimit1.Investors IdsEUR":{"id":1456782,"headerValues":[{"date":null,"value":"","description":null}],"financialValues":[],"error":null,"description":null,"customValues":[]},"D|^114633-28TLimit1.Investors IdsEUR":{"r":[["10014-49"]],"a":["Multiple!AR26"]},"D|^242328-97TLimit1.Investors IdsEUR":{"r":[["11150-92"]],"a":["Multiple!AR45"]},"D|^75143-89TLimit1.Investors IdsEUR":{"r":[["40420-00"]],"a":["Multiple!AR30"]},"D|^226068-67TLimit1.Investors IdsEUR":{"id":1456779,"headerValues":[{"date":null,"value":"","description":null}],"financialValues":[],"error":null,"description":null,"customValues":[]},"D|^190507-24TLimit1.Investors IdsEUR":{"r":[["10763-20"]],"a":["Multiple!AR32"]},"D|^253770-76TLimit1.Investors IdsEUR":{"r":[["591107-23"]],"a":["Multiple!AR61"]},"D|^110626-03TLimit1.Investors IdsEUR":{"r":[["65795-86"]],"a":["Multiple!AR73"]},"D|^132901-48TLimit1.Investors IdsEUR":{"r":[["100400-50"]],"a":["Multiple!AR66"]},"D|^62628-40TLimit1.Investors IdsEUR":{"r":[["118899-10"]],"a":["Multiple!AR63"]},"D|^122350-69TLimit1.Investors IdsEUR":{"r":[["55774-54"]],"a":["Multiple!AR69"]},"D|^123952-33TLimit1.Investors IdsEUR":{"r":[["10020-16"]],"a":["Multiple!AR58"]},"D|^44940-61TLimit1.Investors IdsEUR":{"r":[["12349-72"]],"a":["Multiple!AR65"]},"D|^175471-66TLimit1.Investors IdsEUR":{"r":[["42268-51"]],"a":["Multiple!AR59"]},"D|^40562-20TLimit1.Investors IdsEUR":{"r":[["41271-40"]],"a":["Multiple!AR74"]},"D|^64514-08TLimit1.Investors IdsEUR":{"r":[["11268-91"]],"a":["Multiple!AR46"]},"D|^205287-22TLimit1.Investors IdsEUR":{"r":[["158880-52"]],"a":["Multiple!AR55"]},"D|^131026-60TLimit1.Investors IdsEUR":{"id":1456800,"headerValues":[{"date":null,"value":"","description":null}],"financialValues":[],"error":null,"description":null,"customValues":[]},"D|^230171-77TLimit1.Investors IdsEUR":{"r":[["10124-74"]],"a":["Multiple!AR57"]},"D|^119212-03TLimit1.Investors IdsEUR":{"r":[["10813-06"]],"a":["Multiple!AR48"]},"D|^160231-87TLimit1.Investors IdsEUR":{"r":[["124282-09"]],"a":["Multiple!AR23"]},"D|^61541-65TLimit1.Investors IdsEUR":{"r":[["57633-58"]],"a":["Multiple!AR70"]},"D|^186057-82TLimit1.Investors IdsEUR":{"r":[["60408-91"]],"a":["Multiple!AR67"]},"D|^55573-03TLimit1.Investors IdsEUR":{"r":[["59027-59"]],"a":["Multiple!AR56"]},"D|^119512-27TLimit1.Investors IdsEUR":{"r":[["108041-41"]],"a":["Multiple!AR75"]},"D|^99133-30TLimit1.Investors IdsEUR":{"r":[["57775-24"]],"a":["Multiple!AR68"]},"D|^97231-33TLimit1.Investors IdsEUR":{"r":[["222242-86"]],"a":["Multiple!AR76"]},"D|^54263-35HQ Country":{"r":[["Germany"]],"a":["Multiple!P23"]},"D|^54263-35HQ CityEUR":{"r":[["Wolfsburg"]],"a":["Multiple!Q23"]},"D|^186057-82TDeal DateEUR":{"r":[[44617]],"a":["Multiple!AL67"],"c":[["dd-mmm-yy"]]},"D|^175471-66TDeal DateEUR":{"r":[[44592]],"a":["Multiple!AL59"],"c":[["dd-mmm-yy"]]},"D|^131910-49TDeal DateEUR":{"r":[[43965]],"a":["Multiple!AL64"],"c":[["dd-mmm-yy"]]},"D|^62628-40TDeal DateEUR":{"r":[[42347]],"a":["Multiple!AL63"],"c":[["dd-mmm-yy"]]},"D|^230171-77TDeal DateEUR":{"r":[[42055]],"a":["Multiple!AL57"],"c":[["dd-mmm-yy"]]},"D|^110626-03TDeal DateEUR":{"r":[[43318]],"a":["Multiple!AL73"],"c":[["dd-mmm-yy"]]},"D|^253770-76TDeal DateEUR":{"r":[[45365]],"a":["Multiple!AL61"],"c":[["dd-mmm-yy"]]},"D|^61541-65TDeal DateEUR":{"r":[[42325]],"a":["Multiple!AL70"],"c":[["dd-mmm-yy"]]},"D|^122350-69TDeal DateEUR":{"r":[[43959]],"a":["Multiple!AL69"],"c":[["dd-mmm-yy"]]},"D|^44940-61TDeal DateEUR":{"r":[[42142]],"a":["Multiple!AL65"],"c":[["dd-mmm-yy"]]},"D|^75803-32TDeal DateEUR":{"r":[[42717]],"a":["Multiple!AL62"],"c":[["dd-mmm-yy"]]},"D|^99133-30TDeal DateEUR":{"r":[[43383]],"a":["Multiple!AL68"],"c":[["dd-mmm-yy"]]},"D|^119512-27TDeal DateEUR":{"r":[[43620]],"a":["Multiple!AL75"],"c":[["dd-mmm-yy"]]},"D|^40562-20TDeal DateEUR":{"r":[[42115]],"a":["Multiple!AL74"],"c":[["dd-mmm-yy"]]},"D|^132901-48TDeal DateEUR":{"r":[[44018]],"a":["Multiple!AL66"],"c":[["dd-mmm-yy"]]},"D|^97231-33TDeal DateEUR":{"r":[[43019]],"a":["Multiple!AL76"],"c":[["dd-mmm-yy"]]},"D|^157996-09TDeal DateEUR":{"r":[[44321]],"a":["Multiple!AL71"],"c":[["dd-mmm-yy"]]},"D|^131026-60TDeal DateEUR":{"r":[[43860]],"a":["Multiple!AL72"],"c":[["dd-mmm-yy"]]},"D|^126392-86TDeal DateEUR":{"r":[[44056]],"a":["Multiple!AL25"],"c":[["dd-mmm-yy"]]},"D|^114633-28TDeal DateEUR":{"r":[[43599]],"a":["Multiple!AL26"],"c":[["dd-mmm-yy"]]},"D|^226068-67TDeal DateEUR":{"r":[[45108]],"a":["Multiple!AL28"],"c":[["dd-mmm-yy"]]},"D|^80894-17TDeal DateEUR":{"r":[[42857]],"a":["Multiple!AL24"],"c":[["dd-mmm-yy"]]},"D|^85888-63TDeal DateEUR":{"r":[[42767]],"a":["Multiple!AL29"],"c":[["dd-mmm-yy"]]},"D|^131558-05TDeal DateEUR":{"r":[[44006]],"a":["Multiple!AL31"],"c":[["dd-mmm-yy"]]},"D|^190507-24TDeal DateEUR":{"r":[[45008]],"a":["Multiple!AL32"],"c":[["dd-mmm-yy"]]},"D|^71782-93TDeal DateEUR":{"r":[[42537]],"a":["Multiple!AL27"],"c":[["dd-mmm-yy"]]},"D|^187515-82TDeal DateEUR":{"r":[[44652]],"a":["Multiple!AL33"],"c":[["dd-mmm-yy"]]},"D|^174173-14TDeal DateEUR":{"r":[[44790]],"a":["Multiple!AL36"],"c":[["dd-mmm-yy"]]},"D|^75143-89TDeal DateEUR":{"r":[[42618]],"a":["Multiple!AL30"],"c":[["dd-mmm-yy"]]},"D|^91703-26TDeal DateEUR":{"r":[[43980]],"a":["Multiple!AL35"],"c":[["dd-mmm-yy"]]},"D|^114085-99TDeal DateEUR":{"r":[[43696]],"a":["Multiple!AL34"],"c":[["dd-mmm-yy"]]},"D|^63490-33TDeal DateEUR":{"r":[[42359]],"a":["Multiple!AL44"],"c":[["dd-mmm-yy"]]},"D|^87619-87TDeal DateEUR":{"r":[[42986]],"a":["Multiple!AL38"],"c":[["dd-mmm-yy"]]},"D|^39483-01TDeal DateEUR":{"r":[[42058]],"a":["Multiple!AL49"],"c":[["dd-mmm-yy"]]},"D|^165178-81TDeal DateEUR":{"r":[[44316]],"a":["Multiple!AL39"],"c":[["dd-mmm-yy"]]},"D|^242328-97TDeal DateEUR":{"r":[[45232]],"a":["Multiple!AL45"],"c":[["dd-mmm-yy"]]},"D|^228531-61TDeal DateEUR":{"r":[[45296]],"a":["Multiple!AL37"],"c":[["dd-mmm-yy"]]},"D|^82595-62TDeal DateEUR":{"r":[[42837]],"a":["Multiple!AL42"],"c":[["dd-mmm-yy"]]},"D|^123580-18TDeal DateEUR":{"r":[[43724]],"a":["Multiple!AL41"],"c":[["dd-mmm-yy"]]},"D|^95046-76TDeal DateEUR":{"r":[[43726]],"a":["Multiple!AL47"],"c":[["dd-mmm-yy"]]},"D|^131831-65TDeal DateEUR":{"r":[[44022]],"a":["Multiple!AL43"],"c":[["dd-mmm-yy"]]},"D|^106351-12TDeal DateEUR":{"r":[[43333]],"a":["Multiple!AL40"],"c":[["dd-mmm-yy"]]},"D|^175584-34TDeal DateEUR":{"r":[[43831]],"a":["Multiple!AL51"],"c":[["dd-mmm-yy"]]},"D|^73714-15TDeal DateEUR":{"r":[[42583]],"a":["Multiple!AL54"],"c":[["dd-mmm-yy"]]},"D|^70001-02TDeal DateEUR":{"r":[[42766]],"a":["Multiple!AL50"],"c":[["dd-mmm-yy"]]},"D|^64514-08TDeal DateEUR":{"r":[[42381]],"a":["Multiple!AL46"],"c":[["dd-mmm-yy"]]},"D|^119212-03TDeal DateEUR":{"r":[[43902]],"a":["Multiple!AL48"],"c":[["dd-mmm-yy"]]},"D|^76177-18TDeal DateEUR":{"r":[[42828]],"a":["Multiple!AL52"],"c":[["dd-mmm-yy"]]},"D|^55573-03TDeal DateEUR":{"r":[[42342]],"a":["Multiple!AL56"],"c":[["dd-mmm-yy"]]},"D|^205287-22TDeal DateEUR":{"r":[[44834]],"a":["Multiple!AL55"],"c":[["dd-mmm-yy"]]},"D|^45867-79TDeal DateEUR":{"r":[[42095]],"a":["Multiple!AL60"],"c":[["dd-mmm-yy"]]},"D|^81568-00TDeal DateEUR":{"r":[[42808]],"a":["Multiple!AL53"],"c":[["dd-mmm-yy"]]},"D|^123952-33TDeal DateEUR":{"r":[[43733]],"a":["Multiple!AL58"],"c":[["dd-mmm-yy"]]},"D|^54263-35NameUSD":{"r":[["Volkswagen Group"]],"a":["Multiple!N23"]},"D|^163876-24Limit2.Entity TypesEUR":{"r":[["Private Company, Acquirer"]],"a":["Multiple!AU53"]},"D|^61673-32Limit2.Entity TypesEUR":{"r":[["Public Company, Acquirer"]],"a":["Multiple!AU37"]},"D|^108041-41Limit2.Entity TypesEUR":{"r":[["Public Company, Acquirer"]],"a":["Multiple!AU75"]},"D|^159458-68Limit2.Entity TypesEUR":{"r":[["Public Company, Holding Company"]],"a":["Multiple!AU54"]},"D|^25329-07Limit2.Entity TypesEUR":{"r":[["Public Company, Acquirer"]],"a":["Multiple!AU43"]},"D|^53309-53Limit2.Entity TypesEUR":{"r":[["Public Company, Acquirer"]],"a":["Multiple!AU34"]},"D|^11150-92Limit2.Entity TypesEUR":{"r":[["PE/Buyout, Financing Advisory"]],"a":["Multiple!AU45"]},"D|^63603-73Limit2.Entity TypesEUR":{"r":[["Private Company, Acquirer"]],"a":["Multiple!AU35"]},"D|^10014-49Limit2.Entity TypesEUR":{"r":[["Public Company, PE/Buyout"]],"a":["Multiple!AU26"]},"D|^51363-55Limit2.Entity TypesEUR":{"r":[["Public Company, Acquirer"]],"a":["Multiple!AU38"]},"D|^591107-23Limit2.Entity TypesEUR":{"r":[["Private Company, Acquirer"]],"a":["Multiple!AU61"]},"D|^10124-74Limit2.Entity TypesEUR":{"r":[["Public Company, Asset Manager"]],"a":["Multiple!AU57"]},"D|^41026-60Limit2.Entity TypesEUR":{"r":[["Public Company, Acquirer"]],"a":["Multiple!AU36"]},"D|^42199-93Limit2.Entity TypesEUR":{"r":[["Public Company, Real Estate"]],"a":["Multiple!AU60"]},"D|^57509-83Limit2.Entity TypesEUR":{"r":[["Private Company, Holding Company"]],"a":["Multiple!AU40"]},"D|^10813-06Limit2.Entity TypesEUR":{"r":[["Public Company, Acquirer"]],"a":["Multiple!AU48"]},"D|^100400-50Limit2.Entity TypesEUR":{"r":[["Private Company, Acquirer"]],"a":["Multiple!AU66"]},"D|^55354-78Limit2.Entity TypesEUR":{"r":[["Public Company, Acquirer"]],"a":["Multiple!AU62"]},"D|^10568-26Limit2.Entity TypesEUR":{"r":[["Public Company, Acquirer"]],"a":["Multiple!AU42"]},"D|^118899-10Limit2.Entity TypesEUR":{"r":[["Acquirer"]],"a":["Multiple!AU63"]},"D|^40420-00Limit2.Entity TypesEUR":{"r":[["Public Company, Acquirer"]],"a":["Multiple!AU30"]},"D|^41271-40Limit2.Entity TypesEUR":{"r":[["Private Company, Acquirer"]],"a":["Multiple!AU74"]},"D|^158880-52Limit2.Entity TypesEUR":{"r":[["Public Company, PE/Buyout"]],"a":["Multiple!AU55"]},"D|^166361-68Limit2.Entity TypesEUR":{"r":[["Private Company, Acquirer"]],"a":["Multiple!AU52"]},"D|^57594-25Limit2.Entity TypesEUR":{"r":[["Public Company, Acquirer"]],"a":["Multiple!AU31"]},"D|^11268-91Limit2.Entity TypesEUR":{"r":[["Public Company, PE/Buyout"]],"a":["Multiple!AU46"]},"D|^55774-54Limit2.Entity TypesEUR":{"r":[["Public Company, Acquirer"]],"a":["Multiple!AU69"]},"D|^10048-15Limit2.Entity TypesEUR":{"r":[["Public Company, PE/Buyout"]],"a":["Multiple!AU50"]},"D|^65795-86Limit2.Entity TypesEUR":{"r":[["Private Company, Real Estate"]],"a":["Multiple!AU73"]},"D|^62008-93Limit2.Entity TypesEUR":{"r":[["Public Company, Acquirer"]],"a":["Multiple!AU64"]},"D|^61183-18Limit2.Entity</t>
  </si>
  <si>
    <t xml:space="preserve"> TypesEUR":{"r":[["Acquirer"]],"a":["Multiple!AU49"]},"D|^12349-72Limit2.Entity TypesEUR":{"r":[["Public Company, Acquirer"]],"a":["Multiple!AU65"]},"D|^57775-24Limit2.Entity TypesEUR":{"r":[["Public Company, Acquirer"]],"a":["Multiple!AU68"]},"D|^12603-61Limit2.Entity TypesEUR":{"r":[["Public Company, Acquirer"]],"a":["Multiple!AU47"]},"D|^128391-31Limit2.Entity TypesEUR":{"r":[["Asset Manager"]],"a":["Multiple!AU27"]},"D|^10763-20Limit2.Entity TypesEUR":{"r":[["Private Company, Infrastructure"]],"a":["Multiple!AU32"]},"D|^10020-16Limit2.Entity TypesEUR":{"r":[["Public Company, Asset Manager"]],"a":["Multiple!AU58"]},"D|^53307-73Limit2.Entity TypesEUR":{"r":[["Investor, Family Office (Single)"]],"a":["Multiple!AU39"]},"D|^11137-96Limit2.Entity TypesEUR":{"r":[["Private Company, PE/Buyout"]],"a":["Multiple!AU44"]},"D|^57633-58Limit2.Entity TypesEUR":{"r":[["Investor, Family Office (Single)"]],"a":["Multiple!AU70"]},"D|^433805-23Limit2.Entity TypesEUR":{"r":[["Acquirer"]],"a":["Multiple!AU51"]},"D|^60408-91Limit2.Entity TypesEUR":{"r":[["Public Company, Holding Company"]],"a":["Multiple!AU67"]},"D|^11511-37Limit2.Entity TypesEUR":{"r":[["Public Company, Acquirer"]],"a":["Multiple!AU25"]},"D|^123247-45Limit2.Entity TypesEUR":{"r":[["Private Company, PE/Buyout"]],"a":["Multiple!AU29"]},"D|^43126-57Limit2.Entity TypesEUR":{"r":[["Public Company, Holding Company"]],"a":["Multiple!AU24"]},"D|^42268-51Limit2.Entity TypesEUR":{"r":[["Public Company, Acquirer"]],"a":["Multiple!AU59"]},"D|^59027-59Limit2.Entity TypesEUR":{"r":[["LP Direct Investments, Wealth Management Firm"]],"a":["Multiple!AU56"]},"D|^222242-86Limit2.Entity TypesEUR":{"r":[["Acquirer"]],"a":["Multiple!AU76"]},"D|^124282-09Limit2.Entity TypesEUR":{"r":[["Public Company, Acquirer"]],"a":["Multiple!AU23"]},"D|^60961-42Limit2.Entity TypesEUR":{"r":[["Public Company, Real Estate"]],"a":["Multiple!AU33"]},"D|^65354-32Primary Industry CodeEUR":{"r":[["Media and Information Services (B2B)"]],"a":["Multiple!AP42"]},"D|^10568-26Primary Industry CodeEUR":{"r":[["Consulting Services (B2B)"]],"a":["Multiple!AT42"]},"D|^41285-62Primary Industry CodeEUR":{"r":[["Biotechnology"]],"a":["Multiple!AP25"]},"D|^61673-32Primary Industry CodeEUR":{"r":[["Building Products"]],"a":["Multiple!AT37"]},"D|^10763-20Primary Industry CodeEUR":{"r":[["Asset Management"]],"a":["Multiple!AT32"]},"D|^25329-07Primary Industry CodeEUR":{"r":[["Electrical Equipment"]],"a":["Multiple!AT43"]},"D|^61909-93Primary Industry CodeEUR":{"r":[["Logistics"]],"a":["Multiple!AP34"]},"D|^10568-80Primary Industry CodeEUR":{"r":[["Telecommunications Service Providers"]],"a":["Multiple!AP38"]},"D|^163876-24Primary Industry CodeEUR":{"r":[["Electrical Equipment"]],"a":["Multiple!AT53"]},"D|^53307-73Primary Industry CodeEUR":{"id":1459721,"headerValues":[{"date":null,"value":"","description":null}],"financialValues":[],"error":null,"description":null,"customValues":[]},"D|^60961-42Primary Industry CodeEUR":{"r":[["Construction and Engineering"]],"a":["Multiple!AT33"]},"D|^462503-26Primary Industry CodeEUR":{"r":[["Construction and Engineering"]],"a":["Multiple!AP32"]},"D|^60759-82Primary Industry CodeEUR":{"r":[["IT Consulting and Outsourcing"]],"a":["Multiple!AP51"]},"D|^10124-74Primary Industry CodeEUR":{"r":[["Private Equity"]],"a":["Multiple!AT57"]},"D|^149122-45Primary Industry CodeEUR":{"r":[["Industrial Supplies and Parts"]],"a":["Multiple!AP27"]},"D|^53310-07Primary Industry CodeEUR":{"r":[["Electronic Equipment and Instruments"]],"a":["Multiple!AP48"]},"D|^62936-56Primary Industry CodeEUR":{"r":[["Automation/Workflow Software"]],"a":["Multiple!AP55"]},"D|^151829-92Primary Industry CodeEUR":{"r":[["Buildings and Property"]],"a":["Multiple!AP58"]},"D|^43126-57Primary Industry CodeEUR":{"r":[["Commercial/Professional Insurance"]],"a":["Multiple!AT24"]},"D|^59325-58Primary Industry CodeEUR":{"r":[["Multimedia and Design Software"]],"a":["Multiple!AP43"]},"D|^41633-65Primary Industry CodeEUR":{"r":[["Distributors/Wholesale"]],"a":["Multiple!AP35"]},"D|^110861-92Primary Industry CodeEUR":{"r":[["Specialty Retail"]],"a":["Multiple!AP67"]},"D|^55774-54Primary Industry CodeEUR":{"r":[["Electrical Equipment"]],"a":["Multiple!AT69"]},"D|^166361-68Primary Industry CodeEUR":{"r":[["Holding Companies"]],"a":["Multiple!AT52"]},"D|^158880-52Primary Industry CodeEUR":{"r":[["Other Commercial Services"]],"a":["Multiple!AT55"]},"D|^10813-06Primary Industry CodeEUR":{"r":[["Electrical Equipment"]],"a":["Multiple!AT48"]},"D|^111610-90Primary Industry CodeEUR":{"r":[["Pharmaceuticals"]],"a":["Multiple!AP44"]},"D|^97907-50Primary Industry CodeEUR":{"r":[["Medical Records Systems"]],"a":["Multiple!AP75","Multiple!AP63"]},"D|^59027-59Primary Industry CodeEUR":{"id":1459461,"headerValues":[{"date":null,"value":"","description":null}],"financialValues":[],"error":null,"description":null,"customValues":[]},"D|^62008-93Primary Industry CodeEUR":{"r":[["Real Estate Services (B2C)"]],"a":["Multiple!AT64"]},"D|^13177-45Primary Industry CodeEUR":{"r":[["Other Commercial Services"]],"a":["Multiple!AP71"]},"D|^64957-96Primary Industry CodeEUR":{"r":[["Machinery (B2B)"]],"a":["Multiple!AP57"]},"D|^11150-92Primary Industry CodeEUR":{"id":1459511,"headerValues":[{"date":null,"value":"","description":null}],"financialValues":[],"error":null,"description":null,"customValues":[]},"D|^124282-09Primary Industry CodeEUR":{"r":[["Other Semiconductors"]],"a":["Multiple!AT23"]},"D|^114747-31Primary Industry CodeEUR":{"r":[["Insurance Brokers"]],"a":["Multiple!AP24"]},"D|^591107-23Primary Industry CodeEUR":{"r":[["Other Commercial Services"]],"a":["Multiple!AT61"]},"D|^61183-18Primary Industry CodeEUR":{"id":1459488,"headerValues":[{"date":null,"value":"","description":null}],"financialValues":[],"error":null,"description":null,"customValues":[]},"D|^51363-55Primary Industry CodeEUR":{"r":[["Other Commercial Services"]],"a":["Multiple!AT38"]},"D|^100400-50Primary Industry CodeEUR":{"r":[["Clinics/Outpatient Services"]],"a":["Multiple!AT66"]},"D|^12349-72Primary Industry CodeEUR":{"r":[["Electrical Equipment"]],"a":["Multiple!AT65"]},"D|^167166-55Primary Industry CodeEUR":{"r":[["Energy Production"]],"a":["Multiple!AP69"]},"D|^159458-68Primary Industry CodeEUR":{"r":[["Business/Productivity Software"]],"a":["Multiple!AT54"]},"D|^57673-36Primary Industry CodeEUR":{"r":[["Electrical Equipment"]],"a":["Multiple!AP72","Multiple!AP59"]},"D|^118899-10Primary Industry CodeEUR":{"id":1459545,"headerValues":[{"date":null,"value":"","description":null}],"financialValues":[],"error":null,"description":null,"customValues":[]},"D|^40420-00Primary Industry CodeEUR":{"r":[["Real Estate Services (B2C)"]],"a":["Multiple!AT30"]},"D|^11136-52Primary Industry CodeEUR":{"r":[["Energy Production"]],"a":["Multiple!AP61"]},"D|^42199-93Primary Industry CodeEUR":{"r":[["Real Estate Services (B2C)"]],"a":["Multiple!AT60"]},"D|^59880-52Primary Industry CodeEUR":{"r":[["Systems and Information Management"]],"a":["Multiple!AP74"]},"D|^10048-15Primary Industry CodeEUR":{"r":[["Private Equity"]],"a":["Multiple!AT50"]},"D|^123247-45Primary Industry CodeEUR":{"r":[["Private Equity"]],"a":["Multiple!AT29"]},"D|^65795-86Primary Industry CodeEUR":{"r":[["Buildings and Property"]],"a":["Multiple!AT73"]},"D|^42268-51Primary Industry CodeEUR":{"r":[["Other Commercial Services"]],"a":["Multiple!AT59"]},"D|^107572-06Primary Industry CodeEUR":{"r":[["Electronics (B2C)"]],"a":["Multiple!AP65"]},"D|^108041-41Primary Industry CodeEUR":{"r":[["Enterprise Systems (Healthcare)"]],"a":["Multiple!AT75"]},"D|^11511-37Primary Industry CodeEUR":{"r":[["Discovery Tools (Healthcare)"]],"a":["Multiple!AT25"]},"D|^60408-91Primary Industry CodeEUR":{"r":[["Specialty Retail"]],"a":["Multiple!AT67"]},"D|^61160-86Primary Industry CodeEUR":{"r":[["Hospitals/Inpatient Services"]],"a":["Multiple!AP66"]},"D|^57879-82Primary Industry CodeEUR":{"r":[["Holding Companies"]],"a":["Multiple!AP70"]},"D|^41271-40Primary Industry CodeEUR":{"r":[["Other Devices and Supplies"]],"a":["Multiple!AT74"]},"D|^97247-26Primary Industry CodeEUR":{"r":[["Real Estate Services (B2C)"]],"a":["Multiple!AP30","Multiple!AP60"]},"D|^55354-78Primary Industry CodeEUR":{"r":[["Construction and Engineering"]],"a":["Multiple!AT62"]},"D|^55510-39Primary Industry CodeEUR":{"r":[["Energy Production"]],"a":["Multiple!AP47"]},"D|^151865-47Primary Industry CodeEUR":{"r":[["Holding Companies"]],"a":["Multiple!AP62"]},"D|^41026-60Primary Industry CodeEUR":{"r":[["Electronic Equipment and Instruments"]],"a":["Multiple!AT36"]},"D|^11137-96Primary Industry CodeEUR":{"r":[["Private Equity"]],"a":["Multiple!AT44"]},"D|^63833-23Primary Industry CodeEUR":{"r":[["Buildings and Property"]],"a":["Multiple!AP73"]},"D|^62363-35Primary Industry CodeEUR":{"r":[["Systems and Information Management"]],"a":["Multiple!AP41"]},"D|^57775-24Primary Industry CodeEUR":{"r":[["Publishing"]],"a":["Multiple!AT68"]},"D|^11268-91Primary Industry CodeEUR":{"r":[["Asset Management"]],"a":["Multiple!AT46"]},"D|^107587-54Primary Industry CodeEUR":{"r":[["Media and Information Services (B2B)"]],"a":["Multiple!AP68"]},"D|^149030-02Primary Industry CodeEUR":{"r":[["Building Products"]],"a":["Multiple!AP40"]},"D|^58400-20Primary Industry CodeEUR":{"r":[["Machinery (B2B)"]],"a":["Multiple!AP56"]},"D|^211815-28Primary Industry CodeEUR":{"r":[["Footwear"]],"a":["Multiple!AP39"]},"D|^60411-88Primary Industry CodeEUR":{"r":[["Other Commercial Products"]],"a":["Multiple!AP31"]},"D|^62787-07Primary Industry CodeEUR":{"r":[["Specialty Chemicals"]],"a":["Multiple!AP36","Multiple!AP50"]},"D|^119814-13Primary Industry CodeEUR":{"r":[["Distributors/Wholesale"]],"a":["Multiple!AP76"]},"D|^13473-73Primary Industry CodeEUR":{"r":[["Building Products"]],"a":["Multiple!AP52"]},"D|^222242-86Primary Industry CodeEUR":{"id":1459628,"headerValues":[{"date":null,"value":"","description":null}],"financialValues":[],"error":null,"description":null,"customValues":[]},"D|^63603-73Primary Industry CodeEUR":{"r":[["Distributors/Wholesale"]],"a":["Multiple!AT35"]},"D|^128061-91Primary Industry CodeEUR":{"r":[["Business/Productivity Software"]],"a":["Multiple!AP54"]},"D|^111167-38Primary Industry CodeEUR":{"r":[["Systems and Information Management"]],"a":["Multiple!AP28"]},"D|^128391-31Primary Industry CodeEUR":{"id":1459668,"headerValues":[{"date":null,"value":"","description":null}],"financialValues":[],"error":null,"description":null,"customValues":[]},"D|^53309-53Primary Industry CodeEUR":{"r":[["Logistics"]],"a":["Multiple!AT34"]},"D|^57594-25Primary Industry CodeEUR":{"r":[["Electrical Equipment"]],"a":["Multiple!AT31"]},"D|^57509-83Primary Industry CodeEUR":{"r":[["Holding Companies"]],"a":["Multiple!AT40"]},"D|^227635-66Primary Industry CodeEUR":{"r":[["Real Estate Services (B2C)"]],"a":["Multiple!AP64"]},"D|^99522-73Primary Industry CodeEUR":{"r":[["Beverages"]],"a":["Multiple!AP49"]},"D|^58409-83Primary Industry CodeEUR":{"r":[["Industrial Supplies and Parts"]],"a":["Multiple!AP46"]},"D|^10020-16Primary Industry CodeEUR":{"r":[["Asset Management"]],"a":["Multiple!AT58"]},"D|^41903-74Primary Industry CodeEUR":{"r":[["Laboratory Services (Healthcare)"]],"a":["Multiple!AP45"]},"D|^10014-49Primary Industry CodeEUR":{"r":[["Asset Management"]],"a":["Multiple!AT26"]},"D|^109919-62Primary Industry CodeEUR":{"r":[["Production (Semiconductors)"]],"a":["Multiple!AP23"]},"D|^149204-62Primary Industry CodeEUR":{"r":[["Other Commercial Products"]],"a":["Multiple!AP37"]},"D|^433805-23Primary Industry CodeEUR":{"id":1459707,"headerValues":[{"date":null,"value":"","description":null}],"financialValues":[],"error":null,"description":null,"customValues":[]},"D|^55993-96Primary Industry CodeEUR":{"r":[["Real Estate Services (B2C)"]],"a":["Multiple!AP26"]},"D|^60443-83Primary Industry CodeEUR":{"r":[["Real Estate Services (B2C)"]],"a":["Multiple!AP33"]},"D|^41172-49Primary Industry CodeEUR":{"r":[["Machinery (B2B)"]],"a":["Multiple!AP53"]},"D|^12603-61Primary Industry CodeEUR":{"r":[["Multi-Utilities"]],"a":["Multiple!AT47"]},"D|^157362-40Primary Industry CodeEUR":{"r":[["Business/Productivity Software"]],"a":["Multiple!AP29"]},"D|^57633-58Primary Industry CodeEUR":{"id":1459690,"headerValues":[{"date":null,"value":"","description":null}],"financialValues":[],"error":null,"description":null,"customValues":[]},"D|^109919-62HQ CountryEUR":{"r":[["Germany"]],"a":["Multiple!AQ23"]},"D|^65354-32HQ CountryEUR":{"r":[["Germany"]],"a":["Multiple!AQ42"]},"D|^151865-47HQ CountryEUR":{"r":[["Switzerland"]],"a":["Multiple!AQ62"]},"D|^151829-92HQ CountryEUR":{"r":[["Germany"]],"a":["Multiple!AQ58"]},"D|^11136-52HQ CountryEUR":{"r":[["Germany"]],"a":["Multiple!AQ61"]},"D|^149204-62HQ CountryEUR":{"r":[["Germany"]],"a":["Multiple!AQ37"]},"D|^111167-38HQ CountryEUR":{"r":[["Switzerland"]],"a":["Multiple!AQ28"]},"D|^58409-83HQ CountryEUR":{"r":[["Switzerland"]],"a":["Multiple!AQ46"]},"D|^62363-35HQ CountryEUR":{"r":[["Germany"]],"a":["Multiple!AQ41"]},"D|^62787-07HQ CountryEUR":{"r":[["Germany"]],"a":["Multiple!AQ50","Multiple!AQ36"]},"D|^63833-23HQ CountryEUR":{"r":[["Germany"]],"a":["Multiple!AQ73"]},"D|^157362-40HQ CountryEUR":{"r":[["Germany"]],"a":["Multiple!AQ29"]},"D|^55510-39HQ CountryEUR":{"r":[["Germany"]],"a":["Multiple!AQ47"]},"D|^64957-96HQ CountryEUR":{"r":[["Switzerland"]],"a":["Multiple!AQ57"]},"D|^60443-83HQ CountryEUR":{"r":[["Germany"]],"a":["Multiple!AQ33"]},"D|^99522-73HQ CountryEUR":{"r":[["Germany"]],"a":["Multiple!AQ49"]},"D|^57673-36HQ CountryEUR":{"r":[["Germany"]],"a":["Multiple!AQ72","Multiple!AQ59"]},"D|^61160-86HQ CountryEUR":{"r":[["Germany"]],"a":["Multiple!AQ66"]},"D|^41903-74HQ CountryEUR":{"r":[["Germany"]],"a":["Multiple!AQ45"]},"D|^10568-80HQ CountryEUR":{"r":[["Germany"]],"a":["Multiple!AQ38"]},"D|^114747-31HQ CountryEUR":{"r":[["Switzerland"]],"a":["Multiple!AQ24"]},"D|^97247-26HQ CountryEUR":{"r":[["Austria"]],"a":["Multiple!AQ30","Multiple!AQ60"]},"D|^59880-52HQ CountryEUR":{"r":[["Germany"]],"a":["Multiple!AQ74"]},"D|^107587-54HQ CountryEUR":{"r":[["Switzerland"]],"a":["Multiple!AQ68"]},"D|^60411-88HQ CountryEUR":{"r":[["Germany"]],"a":["Multiple!AQ31"]},"D|^13473-73HQ CountryEUR":{"r":[["Germany"]],"a":["Multiple!AQ52"]},"D|^53310-07HQ CountryEUR":{"r":[["Germany"]],"a":["Multiple!AQ48"]},"D|^13177-45HQ CountryEUR":{"r":[["Germany"]],"a":["Multiple!AQ71"]},"D|^128061-91HQ CountryEUR":{"r":[["Germany"]],"a":["Multiple!AQ54"]},"D|^58400-20HQ CountryEUR":{"r":[["Switzerland"]],"a":["Multiple!AQ56"]},"D|^462503-26HQ CountryEUR":{"r":[["Germany"]],"a":["Multiple!AQ32"]},"D|^149030-02HQ CountryEUR":{"r":[["Germany"]],"a":["Multiple!AQ40"]},"D|^41285-62HQ CountryEUR":{"r":[["Germany"]],"a":["Multiple!AQ25"]},"D|^61909-93HQ CountryEUR":{"r":[["Switzerland"]],"a":["Multiple!AQ34"]},"D|^119814-13HQ CountryEUR":{"r":[["Germany"]],"a":["Multiple!AQ76"]},"D|^41172-49HQ CountryEUR":{"r":[["Germany"]],"a":["Multiple!AQ53"]},"D|^97907-50HQ CountryEUR":{"r":[["Germany"]],"a":["Multiple!AQ75","Multiple!AQ63"]},"D|^60759-82HQ CountryEUR":{"r":[["Germany"]],"a":["Multiple!AQ51"]},"D|^55993-96HQ CountryEUR":{"r":[["Germany"]],"a":["Multiple!AQ26"]},"D|^167166-55HQ CountryEUR":{"r":[["Germany"]],"a":["Multiple!AQ69"]},"D|^107572-06HQ CountryEUR":{"r":[["Germany"]],"a":["Multiple!AQ65"]},"D|^62936-56HQ CountryEUR":{"r":[["Germany"]],"a":["Multiple!AQ55"]},"D|^211815-28HQ CountryEUR":{"r":[["Germany"]],"a":["Multiple!AQ39"]},"D|^149122-45HQ CountryEUR":{"r":[["Germany"]],"a":["Multiple!AQ27"]},"D|^227635-66HQ CountryEUR":{"r":[["Germany"]],"a":["Multiple!AQ64"]},"D|^110861-92HQ CountryEUR":{"r":[["Germany"]],"a":["Multiple!AQ67"]},"D|^59325-58HQ CountryEUR":{"r":[["Germany"]],"a":["Multiple!AQ43"]},"D|^41633-65HQ CountryEUR":{"r":[["Switzerland"]],"a":["Multiple!AQ35"]},"D|^111610-90HQ CountryEUR":{"r":[["Germany"]],"a":["Multiple!AQ44"]},"D|^57879-82HQ CountryEUR":{"r":[["Germany"]],"a":["Multiple!AQ70"]},"D|^124282-09NameEUR":{"r":[["Global Wafers"]],"a":["Multiple!AS23"]},"D|^111167-38NameEUR":{"r":[["SoftwareONE"]],"a":["Multiple!AO28"]},"D|^128391-31NameEUR":{"r":[["Investmentaktiengesellschaft"]],"a":["Multiple!AS27"]},"D|^10568-26NameEUR":{"r":[["Accenture"]],"a":["Multiple!AS42"]},"D|^41026-60NameEUR":{"r":[["Mks Instruments"]],"a":["Multiple!AS36"]},"D|^58400-20NameEUR":{"r":[["Sulzer"]],"a":["Multiple!AO56"]},"D|^11137-96NameEUR":{"r":[["BC Partners"]],"a":["Multiple!AS44"]},"D|^41172-49NameEUR":{"r":[["Pfeiffer Vacuum"]],"a":["Multiple!AO53"]},"D|^62787-07NameEUR":{"r":[["Atotech Deutschland"]],"a":["Multiple!AO36","Multiple!AO50"]},"D|^61160-86NameEUR":{"r":[["RHÖN-KLINIKUM"]],"a":["Multiple!AO66"]},"D|^11136-52NameEUR":{"r":[["Encavis"]],"a":["Multiple!AO61"]},"D|^149030-02NameEUR":{"r":[["Westag"]],"a":["Multiple!AO40"]},"D|^57509-83NameEUR":{"r":[["Broadview Holding"]],"a":["Multiple!AS40"]},"D|^61673-32NameEUR":{"r":[["Kingspan Group"]],"a":["Multiple!AS37"]},"D|^10568-80NameEUR":{"r":[["1&amp;1 (Germany)"]],"a":["Multiple!AO38"]},"D|^60443-83NameEUR":{"r":[["VIB Vermoegen"]],"a":["Multiple!AO33"]},"D|^55993-96NameEUR":{"r":[["Scout24"]],"a":["Multiple!AO26"]},"D|^40420-00NameEUR":{"r":[["Vonovia"]],"a":["Multiple!AS30"]},"D|^12603-61NameEUR":{"r":[["E.ON"]],"a":["Multiple!AS47"]},"D|^211815-28NameEUR":{"r":[["Birkenstock"]],"a":["Multiple!AO39"]},"D|^57673-36NameEUR":{"r":[["Forvia Hella"]],"a":["Multiple!AO59","Multiple!AO72"]},"D|^151865-47NameEUR":{"r":[["Looser Holding"]],"a":["Multiple!AO62"]},"D|^57594-25NameEUR":{"r":[["Atlas Copco"]],"a":["Multiple!AS31"]},"D|^10763-20NameEUR":{"r":[["Global Infrastructure Partners"]],"a":["Multiple!AS32"]},"D|^99522-73NameEUR":{"r":[["Hawesko Holding"]],"a":["Multiple!AO49"]},"D|^433805-23NameEUR":{"r":[["Audius (Software Company)"]],"a":["Multiple!AS51"]},"D|^53307-73NameEUR":{"r":[["ESAS Holding"]],"a":["Multiple!AS39"]},"D|^57879-82NameEUR":{"r":[["MAX Automation"]],"a":["Multiple!AO70"]},"D|^65354-32NameEUR":{"r":[["SinnerSchrader"]],"a":["Multiple!AO42"]},"D|^114747-31NameEUR":{"r":[["PAX-Anlage"]],"a":["Multiple!AO24"]},"D|^61909-93NameEUR":{"r":[["Panalpina World Transport"]],"a":["Multiple!AO34"]},"D|^13473-73NameEUR":{"r":[["Braas Monier Building Group"]],"a":["Multiple!AO52"]},"D|^57633-58NameEUR":{"r":[["Günther Holding"]],"a":["Multiple!AS70"]},"D|^119814-13NameEUR":{"r":[["Nordwest Handel"]],"a":["Multiple!AO76"]},"D|^63833-23NameEUR":{"r":[["GxP German Properties"]],"a":["Multiple!AO73"]},"D|^42268-51NameEUR":{"r":[["Faurecia"]],"a":["Multiple!AS59"]},"D|^10124-74NameEUR":{"r":[["Onex (Private Equity)"]],"a":["Multiple!AS57"]},"D|^591107-23NameEUR":{"r":[["Elbe BidCo"]],"a":["Multiple!AS61"]},"D|^227635-66NameEUR":{"r":[["Covivio Office"]],"a":["Multiple!AO64"]},"D|^109919-62NameEUR":{"r":[["Siltronic"]],"a":["Multiple!AO23"]},"D|^10020-16NameEUR":{"r":[["Apollo Global Management"]],"a":["Multiple!AS58"]},"D|^163876-24NameEUR":{"r":[["Busch Vacuum"]],"a":["Multiple!AS53"]},"D|^42199-93NameEUR":{"r":[["Deutsche Wohnen"]],"a":["Multiple!AS60"]},"D|^10048-15NameEUR":{"r":[["The Carlyle Group"]],"a":["Multiple!AS50"]},"D|^108041-41NameEUR":{"r":[["Nexus (Enterprise Systems)"]],"a":["Multiple!AS75"]},"D|^60408-91NameEUR":{"r":[["Hornbach Holding"]],"a":["Multiple!AS67"]},"D|^55774-54NameEUR":{"r":[["Fortum"]],"a":["Multiple!AS69"]},"D|^107572-06NameEUR":{"r":[["Data Modul"]],"a":["Multiple!AO65"]},"D|^128061-91NameEUR":{"r":[["Softship"]],"a":["Multiple!AO54"]},"D|^462503-26NameEUR":{"r":[["Vantage Towers"]],"a":["Multiple!AO32"]},"D|^59880-52NameEUR":{"r":[["MeVis Medical Solutions"]],"a":["Multiple!AO74"]},"D|^10813-06NameEUR":{"r":[["TE Connectivity"]],"a":["Multiple!AS48"]},"D|^41271-40NameEUR":{"r":[["Varian Medical Systems"]],"a":["Multiple!AS74"]},"D|^62936-56NameEUR":{"r":[["Beta Systems Software"]],"a":["Multiple!AO55"]},"D|^97907-50NameEUR":{"r":[["Ifa systems"]],"a":["Multiple!AO63","Multiple!AO75"]},"D|^11268-91NameEUR":{"r":[["Partners Group"]],"a":["Multiple!AS46"]},"D|^55354-78NameEUR":{"r":[["Arbonia"]],"a":["Multiple!AS62"]},"D|^57775-24NameEUR":{"r":[["TX Group"]],"a":["Multiple!AS68"]},"D|^159458-68NameEUR":{"r":[["WiseTech Global"]],"a":["Multiple!AS54"]},"D|^158880-52NameEUR":{"r":[["Sparta (Hamburg)"]],"a":["Multiple!AS55"]},"D|^97247-26NameEUR":{"r":[["Conwert Immobilien Invest"]],"a":["Multiple!AO60","Multiple!AO30"]},"D|^11150-92NameEUR":{"r":[["Cinven"]],"a":["Multiple!AS45"]},"D|^51363-55NameEUR":{"r":[["United Internet"]],"a":["Multiple!AS38"]},"D|^55510-39NameEUR":{"r":[["Innogy"]],"a":["Multiple!AO47"]},"D|^13177-45NameEUR":{"r":[["Bilfinger"]],"a":["Multiple!AO71"]},"D|^61183-18NameEUR":{"r":[["Tocos Beteiligung"]],"a":["Multiple!AS49"]},"D|^100400-50NameEUR":{"r":[["Asklepios Kliniken"]],"a":["Multiple!AS66"]},"D|^107587-54NameEUR":{"r":[["Goldbach Group"]],"a":["Multiple!AO68"]},"D|^62363-35NameEUR":{"r":[["Cancom"]],"a":["Multiple!AO41"]},"D|^167166-55NameEUR":{"r":[["Uniper (Energy Production)"]],"a":["Multiple!AO69"]},"D|^53310-07NameEUR":{"r":[["First Sensor"]],"a":["Multiple!AO48"]},"D|^62008-93NameEUR":{"r":[["Covivio"]],"a":["Multiple!AS64"]},"D|^41903-74NameEUR":{"r":[["SYNLAB International"]],"a":["Multiple!AO45"]},"D|^118899-10NameEUR":{"r":[["Topcon Europe"]],"a":["Multiple!AS63"]},"D|^41285-62NameEUR":{"r":[["Qiagen"]],"a":["Multiple!AO25"]},"D|^11511-37NameEUR":{"r":[["Thermo Fisher Scientific"]],"a":["Multiple!AS25"]},"D|^60961-42NameEUR":{"r":[["Branicks"]],"a":["Multiple!AS33"]},"D|^25329-07NameEUR":{"r":[["Schneider Electric (Electrical Equipment)"]],"a":["Multiple!AS43"]},"D|^60759-82NameEUR":{"r":[["IT Competence Group"]],"a":["Multiple!AO51"]},"D|^166361-68NameEUR":{"r":[["Standard Industries"]],"a":["Multiple!AS52"]},"D|^151829-92NameEUR":{"r":[["AGROB Immobilien"]],"a":["Multiple!AO58"]},"D|^64957-96NameEUR":{"r":[["SIG Group"]],"a":["Multiple!AO57"]},"D|^123247-45NameEUR":{"r":[["Armira Partners"]],"a":["Multiple!AS29"]},"D|^12349-72NameEUR":{"r":[["Arrow Electronics"]],"a":["Multiple!AS65"]},"D|^110861-92NameEUR":{"r":[["Hornbach-Baumarkt"]],"a":["Multiple!AO67"]},"D|^65795-86NameEUR":{"r":[["Summit Properties (Guernsey)"]],"a":["Multiple!AS73"]},"D|^111610-90NameEUR":{"r":[["Dermapharm"]],"a":["Multiple!AO44"]},"D|^59325-58NameEUR":{"r":[["RIB Software"]],"a":["Multiple!AO43"]},"D|^59027-59NameEUR":{"r":[["Renova Group"]],"a":["Multiple!AS56"]},"D|^149122-45NameEUR":{"r":[["KROMI Logistik"]],"a":["Multiple!AO27"]},"D|^60411-88NameEUR":{"r":[["ISRA Vision"]],"a":["Multiple!AO31"]},"D|^149204-62NameEUR":{"r":[["Steico"]],"a":["Multiple!AO37"]},"D|^63603-73NameEUR":{"r":[["ZF Friedrichshafen"]],"a":["Multiple!AS35"]},"D|^157362-40NameEUR":{"r":[["F24 (Germany)"]],"a":["Multiple!AO29"]},"D|^222242-86NameEUR":{"r":[["Dr. Helmut Rothenberger Holding"]],"a":["Multiple!AS76"]},"D|^10014-49NameEUR":{"r":[["Blackstone"]],"a":["Multiple!AS26"]},"D|^53309-53NameEUR":{"r":[["DSV"]],"a":["Multiple!AS34"]},"D|^43126-57NameEUR":{"r":[["Baloise Holding"]],"a":["Multiple!AS24"]},"D|^58409-83NameEUR":{"r":[["VAT Group"]],"a":["Multiple!AO46"]},"D|^41633-65NameEUR":{"r":[["WABCO"]],"a":["Multiple!AO35"]},"F|^insert!EV to EBITDATTM05/27/2024EURr":{"id":1573588,"headerValues":[],"financialValues":[],"error":"PBXLP_ENTITY_ID","description":null,"customValues":[]},"F|^insert!EV to EBITDATTM06/02/2023EURr":{"id":1573610,"headerValues":[],"financialValues":[],"error":"PBXLP_ENTITY_ID","description":null,"customValues":[]},"F|^insert!EV to EBITDATTM11/29/2023EURr":{"id":1573643,"headerValues":[],"financialValues":[],"error":"PBXLP_ENTITY_ID","description":null,"customValues":[]},"F|^insert!EV to EBITDATTM12/04/2022EURr":{"id":1573692,"headerValues":[],"financialValues":[],"error":"PBXLP_ENTITY_ID","description":null,"customValues":[]},"F|^insert!EV to EBITDATTM06/07/2022EURr":{"id":1573753,"headerValues":[],"financialValues":[],"error":"PBXLP_ENTITY_ID","description":null,"customValues":[]},"F|^insert!EV to EBITDATTM12/09/2021EURr":{"id":1573806,"headerValues":[],"financialValues":[],"error":"PBXLP_ENTITY_ID","description":null,"customValues":[]},"F|^insert!EV to EBITDATTM06/12/2021EURr":{"id":1573858,"headerValues":[],"financialValues":[],"error":"PBXLP_ENTITY_ID","description":null,"customValues":[]},"F|^insert!EV to EBITDATTM12/14/2020EURr":{"id":1573895,"headerValues":[],"financialValues":[],"error":"PBXLP_ENTITY_ID","description":null,"customValues":[]},"F|^insert!EV to EBITDATTM06/17/2020EURr":{"id":1573961,"headerValues":[],"financialValues":[],"error":"PBXLP_ENTITY_ID","description":null,"customValues":[]},"F|^insert!EV to EBITDATTM12/20/2019EURr":{"id":1574010,"headerValues":[],"financialValues":[],"error":"PBXLP_ENTITY_ID","description":null,"customValues":[]},"F|^insert!EV to EBITDATTM06/23/2019EURr":{"id":1574050,"headerValues":[],"financialValues":[],"error":"PBXLP_ENTITY_ID","description":null,"customValues":[]},"F|^insert!EV to EBITDATTM12/25/2018EURr":{"id":1574114,"headerValues":[],"financialValues":[],"error":"PBXLP_ENTITY_ID","description":null,"customValues":[]},"F|^insert!EV to EBITDATTM06/28/2018EURr":{"id":1574171,"headerValues":[],"financialValues":[],"error":"PBXLP_ENTITY_ID","description":null,"customValues":[]},"F|^insert!EV to EBITDATTM12/30/2017EURr":{"id":1574230,"headerValues":[],"financialValues":[],"error":"PBXLP_ENTITY_ID","description":null,"customValues":[]},"F|^insert!EV to EBITDATTM07/03/2017EURr":{"id":1574272,"headerValues":[],"financialValues":[],"error":"PBXLP_ENTITY_ID","description":null,"customValues":[]},"F|^insert!EV to EBITDATTM01/04/2017EURr":{"id":1574327,"headerValues":[],"financialValues":[],"error":"PBXLP_ENTITY_ID","description":null,"customValues":[]},"F|^insert!EV to EBITDATTM07/08/2016EURr":{"id":1574380,"headerValues":[],"financialValues":[],"error":"PBXLP_ENTITY_ID","description":null,"customValues":[]},"F|^insert!EV to EBITDATTM01/10/2016EURr":{"id":1574441,"headerValues":[],"financialValues":[],"error":"PBXLP_ENTITY_ID","description":null,"customValues":[]},"F|^insert!EV to EBITDATTM07/14/2015EURr":{"id":1574491,"headerValues":[],"financialValues":[],"error":"PBXLP_ENTITY_ID","description":null,"customValues":[]},"F|^insert!EV to EBITDATTM01/15/2015EURr":{"id":1574548,"headerValues":[],"financialValues":[],"error":"PBXLP_ENTITY_ID","description":null,"customValues":[]},"F|^insert!EV to EBITDATTM07/19/2014EURr":{"id":1574566,"headerValues":[],"financialValues":[],"error":"PBXLP_ENTITY_ID","description":null,"customValues":[]},"F|^insert!EV to EBITDATTM01/20/2014EURr":{"id":1574648,"headerValues":[],"financialValues":[],"error":"PBXLP_ENTITY_ID","description":null,"customValues":[]},"F|^insert!EV to RevenueFY05/27/2024EUR":{"id":1574915,"headerValues":[],"financialValues":[],"error":"PBXLP_ENTITY_ID","description":null,"customValues":[]},"F|^insert!EBITDAFY05/27/2024EUR":{"id":1574916,"headerValues":[],"financialValues":[],"error":"PBXLP_ENTITY_ID","description":null,"customValues":[]},"F|^insert!Market CapTTM05/27/2024EUR":{"id":1574917,"headerValues":[],"financialValues":[],"error":"PBXLP_ENTITY_ID","description":null,"customValues":[]},"F|^insert!NET DebtTTM05/27/2024EUR":{"id":1574918,"headerValues":[],"financialValues":[],"error":"PBXLP_ENTITY_ID","description":null,"customValues":[]},"F|^insert!Total Debt to EBITDAFY2023YEUR":{"id":1574919,"headerValues":[],"financialValues":[],"error":"PBXLP_ENTITY_ID","description":null,"customValues":[]},"F|^insert!EBITFY05/27/2024EUR":{"id":1574920,"headerValues":[],"financialValues":[],"error":"PBXLP_ENTITY_ID","description":null,"customValues":[]},"F|^insert!EVTTM05/27/2024EUR":{"id":1574921,"headerValues":[],"financialValues":[],"error":"PBXLP_ENTITY_ID","description":null,"customValues":[]},"F|^insert!Total Debt to EquityTTM05/27/2024EUR":{"id":1574926,"headerValues":[],"financialValues":[],"error":"PBXLP_ENTITY_ID","description":null,"customValues":[]},"F|^insert!EV to EBITDAFY2023YEUR":{"id":1575026,"headerValues":[],"financialValues":[],"error":"PBXLP_ENTITY_ID","description":null,"customValues":[]},"F|^insert!Total RevenueFY2023YEUR":{"id":1575192,"headerValues":[],"financialValues":[],"error":"PBXLP_ENTITY_ID","description":null,"customValues":[]},"F|^insert!EV to Forward EBITDAFY05/27/2024EUR":{"id":1575218,"headerValues":[],"financialValues":[],"error":"PBXLP_ENTITY_ID","description":null,"customValues":[]},"F|^insert!EV to Forward EBITFY05/27/2024EUR":{"id":1575225,"headerValues":[],"financialValues":[],"error":"PBXLP_ENTITY_ID","description":null,"customValues":[]},"F|^insert!EV to EBITFY2023YEUR":{"id":1575230,"headerValues":[],"financialValues":[],"error":"PBXLP_ENTITY_ID","description":null,"customValues":[]},"F|^insert!EV to Forward RevenueFY05/27/2024EUR":{"id":1575232,"headerValues":[],"financialValues":[],"error":"PBXLP_ENTITY_ID","description":null,"customValues":[]},"D|^insert!Primary Industry Code":{"id":1572998,"headerValues":[],"financialValues":[],"error":"PBXLP_ENTITY_ID","description":null,"customValues":[]},"D|^insert!HQ CityEUR":{"id":1572999,"headerValues":[],"financialValues":[],"error":"PBXLP_ENTITY_ID","description":null,"customValues":[]},"D|^insert!NameUSD":{"id":1573001,"headerValues":[],"financialValues":[],"error":"PBXLP_ENTITY_ID","description":null,"customValues":[]},"D|^insert!HQ Country":{"id":1573005,"headerValues":[],"financialValues":[],"error":"PBXLP_ENTITY_ID","description":null,"customValues":[]},"D|^insert!Limit1.Investors IdsEUR":{"id":1589135,"headerValues":[],"financialValues":[],"error":"PBXLP_ENTITY_ID","description":null,"customValues":[]},"D|^insert!Limit1.Company IdEUR":{"id":1589208,"headerValues":[],"financialValues":[],"error":"PBXLP_ENTITY_ID","description":null,"customValues":[]},"D|^insert!Limit1.Deal Type 1EUR":{"id":1589227,"headerValues":[],"financialValues":[],"error":"PBXLP_ENTITY_ID","description":null,"customValues":[]},"D|^insert!Implied EV / RevenueEUR":{"id":1589582,"headerValues":[],"financialValues":[],"error":"PBXLP_ENTITY_ID","description":null,"customValues":[]},"D|^insert!Limit1.% Acquired EUR":{"id":1589583,"headerValues":[],"financialValues":[],"error":"PBXLP_ENTITY_ID","description":null,"customValues":[]},"D|^insert!Limit1.Deal AmountEUR":{"id":1589594,"headerValues":[],"financialValues":[],"error":"PBXLP_ENTITY_ID","description":null,"customValues":[]},"D|^insert!Implied EV / EBITDAEUR":{"id":1589622,"headerValues":[],"financialValues":[],"error":"PBXLP_ENTITY_ID","description":null,"customValues":[]},"D|^insert!Implied EV / EBITEUR":{"id":1589626,"headerValues":[],"financialValues":[],"error":"PBXLP_ENTITY_ID","description":null,"customValues":[]},"D|^insert!Limit1.Implied EV EUR":{"id":1589637,"headerValues":[],"financialValues":[],"error":"PBXLP_ENTITY_ID","description":null,"customValues":[]},"D|^insert!Deal DateEUR":{"id":1593573,"headerValues":[],"financialValues":[],"error":"PBXLP_ENTITY_ID","description":null,"customValues":[]},"D|^#ENTITYNOTFOUNDPrimary Industry CodeEUR":{"id":1593880,"headerValues":[],"financialValues":[],"error":"PBXLP_ENTITY_ID","description":null,"customValues":[]},"D|^#ENTITYNOTFOUNDNameEUR":{"id":1593881,"headerValues":[],"financialValues":[],"error":"PBXLP_ENTITY_ID","description":null,"customValues":[]},"D|^#ENTITYNOTFOUNDLimit2.Entity TypesEUR":{"id":1593883,"headerValues":[],"financialValues":[],"error":"PBXLP_ENTITY_ID","description":null,"customValues":[]},"D|^#ENTITYNOTFOUNDHQ CountryEUR":{"id":1593885,"headerValues":[],"financialValues":[],"error":"PBXLP_ENTITY_ID","description":null,"customValues":[]},"F|^insert!EV to EBITDATTM06/03/2024EURr":{"id":275,"headerValues":[],"financialValues":[],"error":"PBXLP_ENTITY_ID","description":null,"customValues":[]},"F|^insert!EV to EBITDATTM12/06/2023EURr":{"id":302,"headerValues":[],"financialValues":[],"error":"PBXLP_ENTITY_ID","description":null,"customValues":[]},"F|^insert!EV to EBITDATTM06/09/2023EURr":{"id":329,"headerValues":[],"financialValues":[],"error":"PBXLP_ENTITY_ID","description":null,"customValues":[]},"F|^insert!EV to EBITDATTM12/11/2022EURr":{"id":338,"headerValues":[],"financialValues":[],"error":"PBXLP_ENTITY_ID","description":null,"customValues":[]},"F|^insert!EV to EBITDATTM06/14/2022EURr":{"id":359,"headerValues":[],"financialValues":[],"error":"PBXLP_ENTITY_ID","description":null,"customValues":[]},"F|^insert!EV to EBITDATTM12/16/2021EURr":{"id":387,"headerValues":[],"financialValues":[],"error":"PBXLP_ENTITY_ID","description":null,"customValues":[]},"F|^insert!EV to EBITDATTM06/19/2021EURr":{"id":437,"headerValues":[],"financialValues":[],"error":"PBXLP_ENTITY_ID","description":null,"customValues":[]},"F|^insert!EV to EBITDATTM12/21/2020EURr":{"id":446,"headerValues":[],"financialValues":[],"error":"PBXLP_ENTITY_ID","description":null</t>
  </si>
  <si>
    <t>,"customValues":[]},"F|^insert!EV to EBITDATTM06/24/2020EURr":{"id":466,"headerValues":[],"financialValues":[],"error":"PBXLP_ENTITY_ID","description":null,"customValues":[]},"F|^insert!EV to EBITDATTM12/27/2019EURr":{"id":501,"headerValues":[],"financialValues":[],"error":"PBXLP_ENTITY_ID","description":null,"customValues":[]},"F|^insert!EV to EBITDATTM06/30/2019EURr":{"id":533,"headerValues":[],"financialValues":[],"error":"PBXLP_ENTITY_ID","description":null,"customValues":[]},"F|^insert!EV to EBITDATTM01/01/2019EURr":{"id":568,"headerValues":[],"financialValues":[],"error":"PBXLP_ENTITY_ID","description":null,"customValues":[]},"F|^insert!EV to EBITDATTM07/05/2018EURr":{"id":583,"headerValues":[],"financialValues":[],"error":"PBXLP_ENTITY_ID","description":null,"customValues":[]},"F|^insert!EV to EBITDATTM01/06/2018EURr":{"id":602,"headerValues":[],"financialValues":[],"error":"PBXLP_ENTITY_ID","description":null,"customValues":[]},"F|^insert!EV to EBITDATTM07/10/2017EURr":{"id":650,"headerValues":[],"financialValues":[],"error":"PBXLP_ENTITY_ID","description":null,"customValues":[]},"F|^insert!EV to EBITDATTM01/11/2017EURr":{"id":659,"headerValues":[],"financialValues":[],"error":"PBXLP_ENTITY_ID","description":null,"customValues":[]},"F|^insert!EV to EBITDATTM07/15/2016EURr":{"id":690,"headerValues":[],"financialValues":[],"error":"PBXLP_ENTITY_ID","description":null,"customValues":[]},"F|^insert!EV to EBITDATTM01/17/2016EURr":{"id":720,"headerValues":[],"financialValues":[],"error":"PBXLP_ENTITY_ID","description":null,"customValues":[]},"F|^insert!EV to EBITDATTM07/21/2015EURr":{"id":755,"headerValues":[],"financialValues":[],"error":"PBXLP_ENTITY_ID","description":null,"customValues":[]},"F|^insert!EV to EBITDATTM01/22/2015EURr":{"id":766,"headerValues":[],"financialValues":[],"error":"PBXLP_ENTITY_ID","description":null,"customValues":[]},"F|^insert!EV to EBITDATTM07/26/2014EURr":{"id":813,"headerValues":[],"financialValues":[],"error":"PBXLP_ENTITY_ID","description":null,"customValues":[]},"F|^insert!EV to EBITDATTM01/27/2014EURr":{"id":836,"headerValues":[],"financialValues":[],"error":"PBXLP_ENTITY_ID","description":null,"customValues":[]},"F|^insert!NET DebtTTM06/03/2024EUR":{"id":973,"headerValues":[],"financialValues":[],"error":"PBXLP_ENTITY_ID","description":null,"customValues":[]},"F|^insert!EBITDAFY06/03/2024EUR":{"id":975,"headerValues":[],"financialValues":[],"error":"PBXLP_ENTITY_ID","description":null,"customValues":[]},"F|^insert!EV to RevenueFY06/03/2024EUR":{"id":976,"headerValues":[],"financialValues":[],"error":"PBXLP_ENTITY_ID","description":null,"customValues":[]},"F|^insert!Market CapTTM06/03/2024EUR":{"id":977,"headerValues":[],"financialValues":[],"error":"PBXLP_ENTITY_ID","description":null,"customValues":[]},"F|^insert!EBITFY06/03/2024EUR":{"id":981,"headerValues":[],"financialValues":[],"error":"PBXLP_ENTITY_ID","description":null,"customValues":[]},"F|^insert!EVTTM06/03/2024EUR":{"id":988,"headerValues":[],"financialValues":[],"error":"PBXLP_ENTITY_ID","description":null,"customValues":[]},"F|^insert!EV to Forward RevenueFY06/03/2024EUR":{"id":1135,"headerValues":[],"financialValues":[],"error":"PBXLP_ENTITY_ID","description":null,"customValues":[]},"F|^insert!EV to Forward EBITDAFY06/03/2024EUR":{"id":1136,"headerValues":[],"financialValues":[],"error":"PBXLP_ENTITY_ID","description":null,"customValues":[]},"F|^insert!Total Debt to EquityTTM06/03/2024EUR":{"id":1141,"headerValues":[],"financialValues":[],"error":"PBXLP_ENTITY_ID","description":null,"customValues":[]},"F|^insert!EV to Forward EBITFY06/03/2024EUR":{"id":1145,"headerValues":[],"financialValues":[],"error":"PBXLP_ENTITY_ID","description":null,"customValues":[]},"F|^159758-47EV to EBITDATTM06/14/2022EURr":{"r":[[11.845346271942699]],"c":null,"a":["Multiple!R135"]},"F|^221614-12EV to EBITDATTM06/14/2022EURr":{"r":[[15.64064912849986]],"c":null,"a":["Multiple!R131"]},"F|^308309-77EV to EBITDATTM06/14/2022EURr":{"id":5799,"headerValues":[],"financialValues":[],"error":null,"description":null,"customValues":[]},"F|^55470-52EV to EBITDATTM06/14/2022EURr":{"id":5793,"headerValues":[],"financialValues":[],"error":null,"description":null,"customValues":[]},"F|^529798-24EV to EBITDATTM06/14/2022EURr":{"id":5800,"headerValues":[],"financialValues":[],"error":null,"description":null,"customValues":[]},"F|^42849-73EV to EBITDATTM06/14/2022EURr":{"id":5784,"headerValues":[],"financialValues":[],"error":null,"description":null,"customValues":[]},"F|^226947-16EV to EBITDATTM06/14/2022EURr":{"id":5796,"headerValues":[],"financialValues":[],"error":null,"description":null,"customValues":[]},"F|^501417-28EV to EBITDATTM06/14/2022EURr":{"id":5790,"headerValues":[],"financialValues":[],"error":null,"description":null,"customValues":[]},"F|^143918-38EV to EBITDATTM06/14/2022EURr":{"id":5802,"headerValues":[],"financialValues":[],"error":null,"description":null,"customValues":[]},"F|^11049-76EV to EBITDATTM06/14/2022EURr":{"id":5789,"headerValues":[],"financialValues":[],"error":null,"description":null,"customValues":[]},"F|^57624-85EV to EBITDATTM06/14/2022EURr":{"id":5801,"headerValues":[],"financialValues":[],"error":null,"description":null,"customValues":[]},"F|^166203-73EV to EBITDATTM06/14/2022EURr":{"id":5786,"headerValues":[],"financialValues":[],"error":null,"description":null,"customValues":[]},"F|^61827-49EV to EBITDATTM06/14/2022EURr":{"id":5792,"headerValues":[],"financialValues":[],"error":null,"description":null,"customValues":[]},"F|^159758-47EV to EBITDATTM01/01/2019EURr":{"id":5994,"headerValues":[],"financialValues":[],"error":null,"description":null,"customValues":[]},"F|^221614-12EV to EBITDATTM01/01/2019EURr":{"id":5998,"headerValues":[],"financialValues":[],"error":null,"description":null,"customValues":[]},"F|^308309-77EV to EBITDATTM01/01/2019EURr":{"id":5990,"headerValues":[],"financialValues":[],"error":null,"description":null,"customValues":[]},"F|^55470-52EV to EBITDATTM01/01/2019EURr":{"id":5976,"headerValues":[],"financialValues":[],"error":null,"description":null,"customValues":[]},"F|^529798-24EV to EBITDATTM01/01/2019EURr":{"id":5986,"headerValues":[],"financialValues":[],"error":null,"description":null,"customValues":[]},"F|^42849-73EV to EBITDATTM01/01/2019EURr":{"id":5985,"headerValues":[],"financialValues":[],"error":null,"description":null,"customValues":[]},"F|^226947-16EV to EBITDATTM01/01/2019EURr":{"id":5993,"headerValues":[],"financialValues":[],"error":null,"description":null,"customValues":[]},"F|^501417-28EV to EBITDATTM01/01/2019EURr":{"id":5991,"headerValues":[],"financialValues":[],"error":null,"description":null,"customValues":[]},"F|^143918-38EV to EBITDATTM01/01/2019EURr":{"id":5981,"headerValues":[],"financialValues":[],"error":null,"description":null,"customValues":[]},"F|^63572-86EV to EBITDATTM01/01/2019EURr":{"id":5947,"headerValues":[],"financialValues":[],"error":null,"description":null,"customValues":[]},"F|^11049-76EV to EBITDATTM01/01/2019EURr":{"id":5974,"headerValues":[],"financialValues":[],"error":null,"description":null,"customValues":[]},"F|^57624-85EV to EBITDATTM01/01/2019EURr":{"id":5977,"headerValues":[],"financialValues":[],"error":null,"description":null,"customValues":[]},"F|^166203-73EV to EBITDATTM01/01/2019EURr":{"id":5973,"headerValues":[],"financialValues":[],"error":null,"description":null,"customValues":[]},"F|^61827-49EV to EBITDATTM01/01/2019EURr":{"id":5975,"headerValues":[],"financialValues":[],"error":null,"description":null,"customValues":[]},"F|^159758-47EV to EBITDATTM01/11/2017EURr":{"id":6095,"headerValues":[],"financialValues":[],"error":null,"description":null,"customValues":[]},"F|^221614-12EV to EBITDATTM01/11/2017EURr":{"id":6100,"headerValues":[],"financialValues":[],"error":null,"description":null,"customValues":[]},"F|^308309-77EV to EBITDATTM01/11/2017EURr":{"id":6104,"headerValues":[],"financialValues":[],"error":null,"description":null,"customValues":[]},"F|^55470-52EV to EBITDATTM01/11/2017EURr":{"id":6099,"headerValues":[],"financialValues":[],"error":null,"description":null,"customValues":[]},"F|^529798-24EV to EBITDATTM01/11/2017EURr":{"id":6087,"headerValues":[],"financialValues":[],"error":null,"description":null,"customValues":[]},"F|^42849-73EV to EBITDATTM01/11/2017EURr":{"id":6105,"headerValues":[],"financialValues":[],"error":null,"description":null,"customValues":[]},"F|^226947-16EV to EBITDATTM01/11/2017EURr":{"id":6084,"headerValues":[],"financialValues":[],"error":null,"description":null,"customValues":[]},"F|^501417-28EV to EBITDATTM01/11/2017EURr":{"id":6085,"headerValues":[],"financialValues":[],"error":null,"description":null,"customValues":[]},"F|^143918-38EV to EBITDATTM01/11/2017EURr":{"id":6091,"headerValues":[],"financialValues":[],"error":null,"description":null,"customValues":[]},"F|^63572-86EV to EBITDATTM01/11/2017EURr":{"id":6064,"headerValues":[],"financialValues":[],"error":null,"description":null,"customValues":[]},"F|^11049-76EV to EBITDATTM01/11/2017EURr":{"id":6092,"headerValues":[],"financialValues":[],"error":null,"description":null,"customValues":[]},"F|^57624-85EV to EBITDATTM01/11/2017EURr":{"id":6098,"headerValues":[],"financialValues":[],"error":null,"description":null,"customValues":[]},"F|^166203-73EV to EBITDATTM01/11/2017EURr":{"id":6101,"headerValues":[],"financialValues":[],"error":null,"description":null,"customValues":[]},"F|^61827-49EV to EBITDATTM01/11/2017EURr":{"id":6082,"headerValues":[],"financialValues":[],"error":null,"description":null,"customValues":[]},"F|^159758-47EV to EBITDATTM01/22/2015EURr":{"id":6194,"headerValues":[],"financialValues":[],"error":null,"description":null,"customValues":[]},"F|^221614-12EV to EBITDATTM01/22/2015EURr":{"id":6198,"headerValues":[],"financialValues":[],"error":null,"description":null,"customValues":[]},"F|^308309-77EV to EBITDATTM01/22/2015EURr":{"id":6192,"headerValues":[],"financialValues":[],"error":null,"description":null,"customValues":[]},"F|^55470-52EV to EBITDATTM01/22/2015EURr":{"id":6209,"headerValues":[],"financialValues":[],"error":null,"description":null,"customValues":[]},"F|^529798-24EV to EBITDATTM01/22/2015EURr":{"id":6189,"headerValues":[],"financialValues":[],"error":null,"description":null,"customValues":[]},"F|^42849-73EV to EBITDATTM01/22/2015EURr":{"id":6200,"headerValues":[],"financialValues":[],"error":null,"description":null,"customValues":[]},"F|^226947-16EV to EBITDATTM01/22/2015EURr":{"id":6214,"headerValues":[],"financialValues":[],"error":null,"description":null,"customValues":[]},"F|^501417-28EV to EBITDATTM01/22/2015EURr":{"id":6215,"headerValues":[],"financialValues":[],"error":null,"description":null,"customValues":[]},"F|^143918-38EV to EBITDATTM01/22/2015EURr":{"id":6204,"headerValues":[],"financialValues":[],"error":null,"description":null,"customValues":[]},"F|^63572-86EV to EBITDATTM01/22/2015EURr":{"id":6167,"headerValues":[],"financialValues":[],"error":null,"description":null,"customValues":[]},"F|^11049-76EV to EBITDATTM01/22/2015EURr":{"id":6201,"headerValues":[],"financialValues":[],"error":null,"description":null,"customValues":[]},"F|^57624-85EV to EBITDATTM01/22/2015EURr":{"id":6206,"headerValues":[],"financialValues":[],"error":null,"description":null,"customValues":[]},"F|^166203-73EV to EBITDATTM01/22/2015EURr":{"id":6202,"headerValues":[],"financialValues":[],"error":null,"description":null,"customValues":[]},"F|^61827-49EV to EBITDATTM01/22/2015EURr":{"id":6207,"headerValues":[],"financialValues":[],"error":null,"description":null,"customValues":[]},"F|^159758-47EV to EBITDATTM06/24/2020EURr":{"id":5901,"headerValues":[],"financialValues":[],"error":null,"description":null,"customValues":[]},"F|^221614-12EV to EBITDATTM06/24/2020EURr":{"id":5918,"headerValues":[],"financialValues":[],"error":null,"description":null,"customValues":[]},"F|^308309-77EV to EBITDATTM06/24/2020EURr":{"id":5900,"headerValues":[],"financialValues":[],"error":null,"description":null,"customValues":[]},"F|^55470-52EV to EBITDATTM06/24/2020EURr":{"id":5894,"headerValues":[],"financialValues":[],"error":null,"description":null,"customValues":[]},"F|^529798-24EV to EBITDATTM06/24/2020EURr":{"id":5897,"headerValues":[],"financialValues":[],"error":null,"description":null,"customValues":[]},"F|^42849-73EV to EBITDATTM06/24/2020EURr":{"id":5893,"headerValues":[],"financialValues":[],"error":null,"description":null,"customValues":[]},"F|^226947-16EV to EBITDATTM06/24/2020EURr":{"id":5903,"headerValues":[],"financialValues":[],"error":null,"description":null,"customValues":[]},"F|^501417-28EV to EBITDATTM06/24/2020EURr":{"id":5911,"headerValues":[],"financialValues":[],"error":null,"description":null,"customValues":[]},"F|^143918-38EV to EBITDATTM06/24/2020EURr":{"id":5914,"headerValues":[],"financialValues":[],"error":null,"description":null,"customValues":[]},"F|^63572-86EV to EBITDATTM06/24/2020EURr":{"id":5887,"headerValues":[],"financialValues":[],"error":null,"description":null,"customValues":[]},"F|^11049-76EV to EBITDATTM06/24/2020EURr":{"id":5907,"headerValues":[],"financialValues":[],"error":null,"description":null,"customValues":[]},"F|^57624-85EV to EBITDATTM06/24/2020EURr":{"id":5917,"headerValues":[],"financialValues":[],"error":null,"description":null,"customValues":[]},"F|^166203-73EV to EBITDATTM06/24/2020EURr":{"id":5896,"headerValues":[],"financialValues":[],"error":null,"description":null,"customValues":[]},"F|^61827-49EV to EBITDATTM06/24/2020EURr":{"id":5916,"headerValues":[],"financialValues":[],"error":null,"description":null,"customValues":[]},"F|^159758-47EV to EBITDATTM12/27/2019EURr":{"id":5934,"headerValues":[],"financialValues":[],"error":null,"description":null,"customValues":[]},"F|^221614-12EV to EBITDATTM12/27/2019EURr":{"id":5938,"headerValues":[],"financialValues":[],"error":null,"description":null,"customValues":[]},"F|^308309-77EV to EBITDATTM12/27/2019EURr":{"id":5920,"headerValues":[],"financialValues":[],"error":null,"description":null,"customValues":[]},"F|^55470-52EV to EBITDATTM12/27/2019EURr":{"id":5922,"headerValues":[],"financialValues":[],"error":null,"description":null,"customValues":[]},"F|^529798-24EV to EBITDATTM12/27/2019EURr":{"id":5935,"headerValues":[],"financialValues":[],"error":null,"description":null,"customValues":[]},"F|^42849-73EV to EBITDATTM12/27/2019EURr":{"id":5925,"headerValues":[],"financialValues":[],"error":null,"description":null,"customValues":[]},"F|^226947-16EV to EBITDATTM12/27/2019EURr":{"id":5931,"headerValues":[],"financialValues":[],"error":null,"description":null,"customValues":[]},"F|^501417-28EV to EBITDATTM12/27/2019EURr":{"id":5919,"headerValues":[],"financialValues":[],"error":null,"description":null,"customValues":[]},"F|^143918-38EV to EBITDATTM12/27/2019EURr":{"id":5930,"headerValues":[],"financialValues":[],"error":null,"description":null,"customValues":[]},"F|^63572-86EV to EBITDATTM12/27/2019EURr":{"id":5899,"headerValues":[],"financialValues":[],"error":null,"description":null,"customValues":[]},"F|^11049-76EV to EBITDATTM12/27/2019EURr":{"id":5936,"headerValues":[],"financialValues":[],"error":null,"description":null,"customValues":[]},"F|^57624-85EV to EBITDATTM12/27/2019EURr":{"id":5940,"headerValues":[],"financialValues":[],"error":null,"description":null,"customValues":[]},"F|^166203-73EV to EBITDATTM12/27/2019EURr":{"id":5923,"headerValues":[],"financialValues":[],"error":null,"description":null,"customValues":[]},"F|^61827-49EV to EBITDATTM12/27/2019EURr":{"id":5933,"headerValues":[],"financialValues":[],"error":null,"description":null,"customValues":[]},"F|^159758-47EV to EBITDATTM07/05/2018EURr":{"id":6023,"headerValues":[],"financialValues":[],"error":null,"description":null,"customValues":[]},"F|^221614-12EV to EBITDATTM07/05/2018EURr":{"id":6011,"headerValues":[],"financialValues":[],"error":null,"description":null,"customValues":[]},"F|^308309-77EV to EBITDATTM07/05/2018EURr":{"id":6003,"headerValues":[],"financialValues":[],"error":null,"description":null,"customValues":[]},"F|^55470-52EV to EBITDATTM07/05/2018EURr":{"id":6002,"headerValues":[],"financialValues":[],"error":null,"description":null,"customValues":[]},"F|^529798-24EV to EBITDATTM07/05/2018EURr":{"id":6022,"headerValues":[],"financialValues":[],"error":null,"description":null,"customValues":[]},"F|^42849-73EV to EBITDATTM07/05/2018EURr":{"id":6015,"headerValues":[],"financialValues":[],"error":null,"description":null,"customValues":[]},"F|^226947-16EV to EBITDATTM07/05/2018EURr":{"id":6014,"headerValues":[],"financialValues":[],"error":null,"description":null,"customValues":[]},"F|^501417-28EV to EBITDATTM07/05/2018EURr":{"id":6018,"headerValues":[],"financialValues":[],"error":null,"description":null,"customValues":[]},"F|^143918-38EV to EBITDATTM07/05/2018EURr":{"id":6026,"headerValues":[],"financialValues":[],"error":null,"description":null,"customValues":[]},"F|^63572-86EV to EBITDATTM07/05/2018EURr":{"id":5983,"headerValues":[],"financialValues":[],"error":null,"description":null,"customValues":[]},"F|^11049-76EV to EBITDATTM07/05/2018EURr":{"id":6020,"headerValues":[],"financialValues":[],"error":null,"description":null,"customValues":[]},"F|^57624-85EV to EBITDATTM07/05/2018EURr":{"id":6019,"headerValues":[],"financialValues":[],"error":null,"description":null,"customValues":[]},"F|^166203-73EV to EBITDATTM07/05/2018EURr":{"id":6006,"headerValues":[],"financialValues":[],"error":null,"description":null,"customValues":[]},"F|^61827-49EV to EBITDATTM07/05/2018EURr":{"id":6012,"headerValues":[],"financialValues":[],"error":null,"description":null,"customValues":[]},"F|^159758-47EV to EBITDATTM12/16/2021EURr":{"r":[[47.77605818585716]],"c":null,"a":["Multiple!S135"]},"F|^221614-12EV to EBITDATTM12/16/2021EURr":{"r":[[43.93634790404571]],"c":null,"a":["Multiple!S131"]},"F|^308309-77EV to EBITDATTM12/16/2021EURr":{"id":5834,"headerValues":[],"financialValues":[],"error":null,"description":null,"customValues":[]},"F|^55470-52EV to EBITDATTM12/16/2021EURr":{"id":5813,"headerValues":[],"financialValues":[],"error":null,"description":null,"customValues":[]},"F|^529798-24EV to EBITDATTM12/16/2021EURr":{"id":5826,"headerValues":[],"financialValues":[],"error":null,"description":null,"customValues":[]},"F|^42849-73EV to EBITDATTM12/16/2021EURr":{"id":5823,"headerValues":[],"financialValues":[],"error":null,"description":null,"customValues":[]},"F|^226947-16EV to EBITDATTM12/16/2021EURr":{"id":5817,"headerValues":[],"financialValues":[],"error":null,"description":null,"customValues":[]},"F|^501417-28EV to EBITDATTM12/16/2021EURr":{"id":5828,"headerValues":[],"financialValues":[],"error":null,"description":null,"customValues":[]},"F|^143918-38EV to EBITDATTM12/16/2021EURr":{"id":5812,"headerValues":[],"financialValues":[],"error":null,"description":null,"customValues":[]},"F|^11049-76EV to EBITDATTM12/16/2021EURr":{"id":5815,"headerValues":[],"financialValues":[],"error":null,"description":null,"customValues":[]},"F|^57624-85EV to EBITDATTM12/16/2021EURr":{"id":5833,"headerValues":[],"financialValues":[],"error":null,"description":null,"customValues":[]},"F|^166203-73EV to EBITDATTM12/16/2021EURr":{"id":5830,"headerValues":[],"financialValues":[],"error":null,"description":null,"customValues":[]},"F|^61827-49EV to EBITDATTM12/16/2021EURr":{"id":5811,"headerValues":[],"financialValues":[],"error":null,"description":null,"customValues":[]},"F|^159758-47EV to EBITDATTM12/21/2020EURr":{"r":[[648.4631775577882]],"c":null,"a":["Multiple!U135"]},"F|^221614-12EV to EBITDATTM12/21/2020EURr":{"id":5878,"headerValues":[],"financialValues":[],"error":null,"description":null,"customValues":[]},"F|^308309-77EV to EBITDATTM12/21/2020EURr":{"id":5874,"headerValues":[],"financialValues":[],"error":null,"description":null,"customValues":[]},"F|^55470-52EV to EBITDATTM12/21/2020EURr":{"id":5880,"headerValues":[],"financialValues":[],"error":null,"description":null,"customValues":[]},"F|^529798-24EV to EBITDATTM12/21/2020EURr":{"id":5869,"headerValues":[],"financialValues":[],"error":null,"description":null,"customValues":[]},"F|^42849-73EV to EBITDATTM12/21/2020EURr":{"id":5881,"headerValues":[],"financialValues":[],"error":null,"description":null,"customValues":[]},"F|^226947-16EV to EBITDATTM12/21/2020EURr":{"id":5872,"headerValues":[],"financialValues":[],"error":null,"description":null,"customValues":[]},"F|^501417-28EV to EBITDATTM12/21/2020EURr":{"id":5873,"headerValues":[],"financialValues":[],"error":null,"description":null,"customValues":[]},"F|^143918-38EV to EBITDATTM12/21/2020EURr":{"id":5885,"headerValues":[],"financialValues":[],"error":null,"description":null,"customValues":[]},"F|^11049-76EV to EBITDATTM12/21/2020EURr":{"id":5870,"headerValues":[],"financialValues":[],"error":null,"description":null,"customValues":[]},"F|^57624-85EV to EBITDATTM12/21/2020EURr":{"id":5889,"headerValues":[],"financialValues":[],"error":null,"description":null,"customValues":[]},"F|^166203-73EV to EBITDATTM12/21/2020EURr":{"id":5868,"headerValues":[],"financialValues":[],"error":null,"description":null,"customValues":[]},"F|^61827-49EV to EBITDATTM12/21/2020EURr":{"id":5886,"headerValues":[],"financialValues":[],"error":null,"description":null,"customValues":[]},"F|^159758-47EV to EBITDATTM07/10/2017EURr":{"id":6061,"headerValues":[],"financialValues":[],"error":null,"description":null,"customValues":[]},"F|^221614-12EV to EBITDATTM07/10/2017EURr":{"id":6071,"headerValues":[],"financialValues":[],"error":null,"description":null,"customValues":[]},"F|^308309-77EV to EBITDATTM07/10/2017EURr":{"id":6065,"headerValues":[],"financialValues":[],"error":null,"description":null,"customValues":[]},"F|^55470-52EV to EBITDATTM07/10/2017EURr":{"id":6078,"headerValues":[],"financialValues":[],"error":null,"description":null,"customValues":[]},"F|^529798-24EV to EBITDATTM07/10/2017EURr":{"id":6056,"headerValues":[],"financialValues":[],"error":null,"description":null,"customValues":[]},"F|^42849-73EV to EBITDATTM07/10/2017EURr":{"id":6067,"headerValues":[],"financialValues":[],"error":null,"description":null,"customValues":[]},"F|^226947-16EV to EBITDATTM07/10/2017EURr":{"id":6066,"headerValues":[],"financialValues":[],"error":null,"description":null,"customValues":[]},"F|^501417-28EV to EBITDATTM07/10/2017EURr":{"id":6058,"headerValues":[],"financialValues":[],"error":null,"description":null,"customValues":[]},"F|^143918-38EV to EBITDATTM07/10/2017EURr":{"id":6062,"headerValues":[],"financialValues":[],"error":null,"description":null,"customValues":[]},"F|^63572-86EV to EBITDATTM07/10/2017EURr":{"id":6053,"headerValues":[],"financialValues":[],"error":null,"description":null,"customValues":[]},"F|^11049-76EV to EBITDATTM07/10/2017EURr":{"id":6054,"headerValues":[],"financialValues":[],"error":null,"description":null,"customValues":[]},"F|^57624-85EV to EBITDATTM07/10/2017EURr":{"id":6077,"headerValues":[],"financialValues":[],"error":null,"description":null,"customValues":[]},"F|^166203-73EV to EBITDATTM07/10/2017EURr":{"id":6074,"headerValues":[],"financialValues":[],"error":null,"description":null,"customValues":[]},"F|^61827-49EV to EBITDATTM07/10/2017EURr":{"id":6073,"headerValues":[],"financialValues":[],"error":null,"description":null,"customValues":[]},"F|^159758-47EV to EBITDATTM01/17/2016EURr":{"id":6142,"headerValues":[],"financialValues":[],"error":null,"description":null,"customValues":[]},"F|^221614-12EV to EBITDATTM01/17/2016EURr":{"id":6161,"headerValues":[],"financialValues":[],"error":null,"description":null,"customValues":[]},"F|^308309-77EV to EBITDATTM01/17/2016EURr":{"id":6149,"headerValues":[],"financialValues":[],"error":null,"description":null,"customValues":[]},"F|^55470-52EV to EBITDATTM01/17/2016EURr":{"id":6160,"headerValues":[],"financialValues":[],"error":null,"description":null,"customValues":[]},"F|^529798-24EV to EBITDATTM01/17/2016EURr":{"id":6159,"headerValues":[],"financialValues":[],"error":null,"description":null,"customValues":[]},"F|^42849-73EV to EBITDATTM01/17/2016EURr":{"id":6147,"headerValues":[],"financialValues":[],"error":null,"description":null,"customValues":[]},"F|^226947-16EV to EBITDATTM01/17/2016EURr":{"id":6146,"headerValues":[],"financialValues":[],"error":null,"description":null,"customValues":[]},"F|^501417-28EV to EBITDATTM01/17/2016EURr":{"id":6155,"headerValues":[],"financialValues":[],"error":null,"description":null,"customValues":[]},"F|^143918-38EV to EBITDATTM01/17/2016EURr":{"id":6158,"headerValues":[],"financialValues":[],"error":null,"description":null,"customValues":[]},"F|^63572-86EV to EBITDATTM01/17/2016EURr":{"id":6116,"headerValues":[],"financialValues":[],"error":null,"description":null,"customValues":[]},"F|^11049-76EV to EBITDATTM01/17/2016EURr":{"id":6140,"headerValues":[],"financialValues":[],"error":null,"description":null,"customValues":[]},"F|^57624-85EV to EBITDATTM01/17/2016EURr":{"id":6139,"headerValues":[],"financialValues":[],"error":null,"description":null,"customValues":[]},"F|^166203-73EV to EBITDATTM01/17/2016EURr":{"id":6148,"headerValues":[],"financialValues":[],"error":null,"description":null,"customValues":[]},"F|^61827-49EV to EBITDATTM01/17/2016EURr":{"id":6157,"headerValues":[],"financialValues":[],"error":null,"description":null,"customValues":[]},"F|^159758-47NET DebtTTM06/03/2024EUR":{"r":[[-3920050.188054]],"c":null,"a":["Multiple!T28"]},"F|^159758-47EVTTM06/03/2024EUR":{"r":[[26006780]],"c":null,"a":["Multiple!S28"]},"F|^159758-47Total Debt to EquityTTM06/03/2024EUR":{"r":[[0.011500035704316328]],"c":null,"a":["Multiple!V28"]},"F|^159758-47EV to Forward EBITDAFY06/03/2024EUR":{"r":[[13.562661340686658]],"c":null,"a":["Multiple!AH28"]},"F|^159758-47EBITDAFY06/03/2024EUR":{"r":[[-26710022.591965]],"c":null,"a":["Multiple!Y28"]},"F|^159758-47EBITFY06/03/2024EUR":{"r":[[-27178135.941797]],"c":null,"a":["Multiple!Z28"]},"F|^159758-47EV to EBITDATTM06/03/2024EURr":{"id":5690,"headerValues":[],"financialValues":[],"error":null,"description":null,"customValues":[]},"F|^159758-47EV to Forward EBITFY06/03/2024EUR":{"r":[[19.72789870179947]],"c":null,"a":["Multiple!AI28"]},"F|^159758-47EV to RevenueFY06/03/2024EUR":{"r":[[2.4590145175538694]],"c":null,"a":["Multiple!AC28"]},"F|^159758-47EV to Forward RevenueFY06/03/2024EUR":{"r":[[2.054742081685357]],"c":null,"a":["Multiple!AG28"]},"F|^159758-47Market CapTTM06/03/2024EUR":{"r":[[29926829.777728736]],"c":null,"a":["Multiple!U28"]},"F|^221614-12NET DebtTTM06/03/2024EUR":{"r":[[-23528259.216000002]],"c":null,"a":["Multiple!T24"]},"F|^221614-12EVTTM06/03/2024EUR":{"r":[[499084748]],"c":null,"a":["Multiple!S24"]},"F|^221614-12Total Debt to EquityTTM06/03/2024EUR":{"r":[[0.010220125786163521]],"c":null,"a":["Multiple!V24"]},"F|^221614-12EV to Forward EBITDAFY06/03/2024EUR":{"r":[[12.394052659722071]],"c":null,"a":["Multiple!AH24"]},"F|^221614-12EBITDAFY06/03/2024EUR":{"r":[[28434154.77]],"c":null,"a":["Multiple!Y24"]},"F|^221614-12EBITFY06/03/2024EUR":{"r":[[27802284.664]],"c":null,"a":["Multiple!Z24"]},"F|^221614-12EV to EBITDATTM06/03/2024EURr":{"r":[[14.881558677532984]],"c":null,"a":["Multiple!N131"]},"F|^221614-12EV to Forward EBITFY06/03/2024EUR":{"r":[[12.696346627032366]],"c":null,"a":["Multiple!AI24"]},"F|^221614-12EV to RevenueFY06/03/2024EUR":{"r":[[3.198375083255976]],"c":null,"a":["Multiple!AC24"]},"F|^221614-12EV to Forward RevenueFY06/03/2024EUR":{"r":[[2.602751058541635]],"c":null,"a":["Multiple!AG24"]},"F|^221614-12Market CapTTM06/03/2024EUR":{"r":[[522613007.21142924]],"c":null,"a":["Multiple!U24"]},"F|^308309-77NET DebtTTM06/03/2024EUR":{"r":[[2247316.001566527]],"c":null,"a":["Multiple!T32"]},"F|^308309-77EVTTM06/03/2024EUR":{"id":6485,"headerValues":[],"financialValues":[],"error":null,"description":null,"customValues":[]},"F|^308309-77Total Debt to EquityTTM06/03/2024EUR":{"r":[[2.8513072225379417]],"c":null,"a":["Multiple!V32"]},"F|^308309-77EV to Forward EBITDAFY06/03/2024EUR":{"id":6668,"headerValues":[],"financialValues":[],"error":null,"description":null,"customValues":[]},"F|^308309-77EBITDAFY06/03/2024EUR":{"id":6460,"headerValues":[],"financialValues":[],"error":null,"description":null,"customValues":[]},"F|^308309-77EBITFY06/03/2024EUR":{"id":6481,"headerValues":[],"financialValues":[],"error":null,"description":null,"customValues":[]},"F|^308309-77EV to EBITDATTM06/03/2024EURr":{"id":5676,"headerValues":[],"financialValues":[],"error":null,"description":null,"customValues":[]},"F|^308309-77EV to Forward EBITFY06/03/2024EUR":{"id":6681,"headerValues":[],"financialValues":[],"error":null,"description":null,"customValues":[]},"F|^308309-77EV to RevenueFY06/03/2024EUR":{"id":6533,"headerValues":[],"financialValues":[],"error":null,"description":null,"customValues":[]},"F|^308309-77EV to Forward RevenueFY06/03/2024EUR":{"id":6689,"headerValues":[],"financialValues":[],"error":null,"description":null,"customValues":[]},"F|^308309-77Market CapTTM06/03/2024EUR":{"id":6397,"headerValues":[],"financialValues":[],"error":null,"description":null,"customValues":[]},"F|^55470-52NET DebtTTM06/03/2024EUR":{"id":6491,"headerValues":[],"financialValues":[],"error":null,"description":null,"customValues":[]},"F|^55470-52EVTTM06/03/2024EUR":{"id":6461,"headerValues":[],"financialValues":[],"error":null,"description":null,"customValues":[]},"F|^55470-52Total Debt to EquityTTM06/03/2024EUR":{"id":6551,"headerValues":[],"financialValues":[],"error":null,"description":null,"customValues":[]},"F|^55470-52EV to Forward EBITDAFY06/03/2024EUR":{"id":6612,"headerValues":[],"financialValues":[],"error":null,"description":null,"customValues":[]},"F|^55470-52EBITDAFY06/03/2024EUR":{"id":6468,"headerValues":[],"financialValues":[],"error":null,"description":null,"customValues":[]},"F|^55470-52EBITFY06/03/2024EUR":{"id":6450,"headerValues":[],"financialValues":[],"error":null,"description":null,"customValues":[]},"F|^55470-52EV to EBITDATTM06/03/2024EURr":{"id":5679,"headerValues":[],"financialValues":[],"error":null,"description":null,"customValues":[]},"F|^55470-52EV to Forward EBITFY06/03/2024EUR":{"id":6717,"headerValues":[],"financialValues":[],"error":null,"description":null,"customValues":[]},"F|^55470-52EV to RevenueFY06/03/2024EUR":{"id":6498,"headerValues":[],"financialValues":[],"error":null,"description":null,"customValues":[]},"F|^55470-52EV to Forward RevenueFY06/03/2024EUR":{"id":6618,"headerValues":[],"financialValues":[],"error":null,"description":null,"customValues":[]},"F|^55470-52Market CapTTM06/03/2024EUR":{"id":6382,"headerValues":[],"financialValues":[],"error":null,"description":null,"customValues":[]},"F|^529798-24NET DebtTTM06/03/2024EUR":{"id":6492,"headerValues":[],"financialValues":[],"error":null,"description":null,"customValues":[]},"F|^529798-24EVTTM06/03/2024EUR":{"id":6487,"headerValues":[],"financialValues":[],"error":null,"description":null,"customValues":[]},"F|^529798-24Total Debt to EquityTTM06/03/2024EUR":{"id":6584,"headerValues":[],"financialValues":[],"error":null,"description":null,"customValues":[]},"F|^529798-24EV to Forward EBITDAFY06/03/2024EUR":{"id":6661,"headerValues":[],"financialValues":[],"error":null,"description":null,"customValues":[]},"F|^529798-24EBITDAFY06/03/2024EUR":{"id":6431,"headerValues":[],"financialValues":[],"error":null,"description":null,"customValues":[]},"F|^529798-24EBITFY06/03/2024EUR":{"id":6466,"headerValues":[],"financialValues":[],"error":null,"description":null,"customValues":[]},"F|^529798-24EV to EBITDATTM06/03/2024EURr":{"id":5683,"headerValues":[],"financialValues":[],"error":null,"description":null,"customValues":[]},"F|^529798-24EV to Forward EBITFY06/03/2024EUR":{"id":6648,"headerValues":[],"financialValues":[],"error":null,"description":null,"customValues":[]},"F|^529798-24EV to RevenueFY06/03/2024EUR":{"id":6521,"headerValues":[],"financialValues":[],"error":null,"description":null,"customValues":[]},"F|^529798-24EV to Forward RevenueFY06/03/2024EUR":{"id":6678,"headerValues":[],"financialValues":[],"error":null,"description":null,"customValues":[]},"F|^529798-24Market CapTTM06/03/2024EUR":{"id":6375,"headerValues":[],"financialValues":[],"error":null,"description":null,"customValues":[]},"F|^42849-73NET DebtTTM06/03/2024EUR":{"id":6434,"headerValues":[],"financialValues":[],"error":null,"description":null,"customValues":[]},"F|^42849-73EVTTM06/03/2024EUR":{"id":6408,"headerValues":[],"financialValues":[],"error":null,"description":null,"customValues":[]},"F|^42849-73Total Debt to EquityTTM06/03/2024EUR":{"id":6625,"headerValues":[],"financialValues":[],"error":null,"des</t>
  </si>
  <si>
    <t>cription":null,"customValues":[]},"F|^42849-73EV to Forward EBITDAFY06/03/2024EUR":{"id":6709,"headerValues":[],"financialValues":[],"error":null,"description":null,"customValues":[]},"F|^42849-73EBITDAFY06/03/2024EUR":{"id":6475,"headerValues":[],"financialValues":[],"error":null,"description":null,"customValues":[]},"F|^42849-73EBITFY06/03/2024EUR":{"id":6404,"headerValues":[],"financialValues":[],"error":null,"description":null,"customValues":[]},"F|^42849-73EV to EBITDATTM06/03/2024EURr":{"id":5685,"headerValues":[],"financialValues":[],"error":null,"description":null,"customValues":[]},"F|^42849-73EV to Forward EBITFY06/03/2024EUR":{"id":6679,"headerValues":[],"financialValues":[],"error":null,"description":null,"customValues":[]},"F|^42849-73EV to RevenueFY06/03/2024EUR":{"id":6409,"headerValues":[],"financialValues":[],"error":null,"description":null,"customValues":[]},"F|^42849-73EV to Forward RevenueFY06/03/2024EUR":{"id":6602,"headerValues":[],"financialValues":[],"error":null,"description":null,"customValues":[]},"F|^42849-73Market CapTTM06/03/2024EUR":{"id":6448,"headerValues":[],"financialValues":[],"error":null,"description":null,"customValues":[]},"F|^226947-16NET DebtTTM06/03/2024EUR":{"r":[[8659309.799999999]],"c":null,"a":["Multiple!T25"]},"F|^226947-16EVTTM06/03/2024EUR":{"r":[[47825686]],"c":null,"a":["Multiple!S25"]},"F|^226947-16Total Debt to EquityTTM06/03/2024EUR":{"id":6569,"headerValues":[],"financialValues":[],"error":null,"description":null,"customValues":[]},"F|^226947-16EV to Forward EBITDAFY06/03/2024EUR":{"id":6599,"headerValues":[],"financialValues":[],"error":null,"description":null,"customValues":[]},"F|^226947-16EBITDAFY06/03/2024EUR":{"r":[[-7725800.560000001]],"c":null,"a":["Multiple!Y25"]},"F|^226947-16EBITFY06/03/2024EUR":{"r":[[-8251489.440000001]],"c":null,"a":["Multiple!Z25"]},"F|^226947-16EV to EBITDATTM06/03/2024EURr":{"id":5689,"headerValues":[],"financialValues":[],"error":null,"description":null,"customValues":[]},"F|^226947-16EV to Forward EBITFY06/03/2024EUR":{"id":6684,"headerValues":[],"financialValues":[],"error":null,"description":null,"customValues":[]},"F|^226947-16EV to RevenueFY06/03/2024EUR":{"r":[[2.191538887806004]],"c":null,"a":["Multiple!AC25"]},"F|^226947-16EV to Forward RevenueFY06/03/2024EUR":{"id":6593,"headerValues":[],"financialValues":[],"error":null,"description":null,"customValues":[]},"F|^226947-16Market CapTTM06/03/2024EUR":{"r":[[39165471.20122]],"c":null,"a":["Multiple!U25"]},"F|^501417-28NET DebtTTM06/03/2024EUR":{"id":6518,"headerValues":[],"financialValues":[],"error":null,"description":null,"customValues":[]},"F|^501417-28EVTTM06/03/2024EUR":{"id":6483,"headerValues":[],"financialValues":[],"error":null,"description":null,"customValues":[]},"F|^501417-28Total Debt to EquityTTM06/03/2024EUR":{"id":6578,"headerValues":[],"financialValues":[],"error":null,"description":null,"customValues":[]},"F|^501417-28EV to Forward EBITDAFY06/03/2024EUR":{"id":6701,"headerValues":[],"financialValues":[],"error":null,"description":null,"customValues":[]},"F|^501417-28EBITDAFY06/03/2024EUR":{"id":6422,"headerValues":[],"financialValues":[],"error":null,"description":null,"customValues":[]},"F|^501417-28EBITFY06/03/2024EUR":{"id":6454,"headerValues":[],"financialValues":[],"error":null,"description":null,"customValues":[]},"F|^501417-28EV to EBITDATTM06/03/2024EURr":{"id":5686,"headerValues":[],"financialValues":[],"error":null,"description":null,"customValues":[]},"F|^501417-28EV to Forward EBITFY06/03/2024EUR":{"id":6721,"headerValues":[],"financialValues":[],"error":null,"description":null,"customValues":[]},"F|^501417-28EV to RevenueFY06/03/2024EUR":{"id":6489,"headerValues":[],"financialValues":[],"error":null,"description":null,"customValues":[]},"F|^501417-28EV to Forward RevenueFY06/03/2024EUR":{"id":6604,"headerValues":[],"financialValues":[],"error":null,"description":null,"customValues":[]},"F|^501417-28Market CapTTM06/03/2024EUR":{"id":6383,"headerValues":[],"financialValues":[],"error":null,"description":null,"customValues":[]},"F|^143918-38NET DebtTTM06/03/2024EUR":{"id":6464,"headerValues":[],"financialValues":[],"error":null,"description":null,"customValues":[]},"F|^143918-38EVTTM06/03/2024EUR":{"id":6425,"headerValues":[],"financialValues":[],"error":null,"description":null,"customValues":[]},"F|^143918-38Total Debt to EquityTTM06/03/2024EUR":{"id":6617,"headerValues":[],"financialValues":[],"error":null,"description":null,"customValues":[]},"F|^143918-38EV to Forward EBITDAFY06/03/2024EUR":{"id":6649,"headerValues":[],"financialValues":[],"error":null,"description":null,"customValues":[]},"F|^143918-38EBITDAFY06/03/2024EUR":{"id":6390,"headerValues":[],"financialValues":[],"error":null,"description":null,"customValues":[]},"F|^143918-38EBITFY06/03/2024EUR":{"id":6400,"headerValues":[],"financialValues":[],"error":null,"description":null,"customValues":[]},"F|^143918-38EV to EBITDATTM06/03/2024EURr":{"id":5687,"headerValues":[],"financialValues":[],"error":null,"description":null,"customValues":[]},"F|^143918-38EV to Forward EBITFY06/03/2024EUR":{"id":6714,"headerValues":[],"financialValues":[],"error":null,"description":null,"customValues":[]},"F|^143918-38EV to RevenueFY06/03/2024EUR":{"id":6427,"headerValues":[],"financialValues":[],"error":null,"description":null,"customValues":[]},"F|^143918-38EV to Forward RevenueFY06/03/2024EUR":{"id":6696,"headerValues":[],"financialValues":[],"error":null,"description":null,"customValues":[]},"F|^143918-38Market CapTTM06/03/2024EUR":{"id":6490,"headerValues":[],"financialValues":[],"error":null,"description":null,"customValues":[]},"F|^63572-86NET DebtTTM06/03/2024EUR":{"id":6387,"headerValues":[],"financialValues":[],"error":null,"description":null,"customValues":[]},"F|^63572-86Total Debt to EquityTTM06/03/2024EUR":{"id":6539,"headerValues":[],"financialValues":[],"error":null,"description":null,"customValues":[]},"F|^63572-86EBITDAFY06/03/2024EUR":{"id":6374,"headerValues":[],"financialValues":[],"error":null,"description":null,"customValues":[]},"F|^63572-86EBITFY06/03/2024EUR":{"id":6376,"headerValues":[],"financialValues":[],"error":null,"description":null,"customValues":[]},"F|^11049-76NET DebtTTM06/03/2024EUR":{"id":6428,"headerValues":[],"financialValues":[],"error":null,"description":null,"customValues":[]},"F|^11049-76EVTTM06/03/2024EUR":{"id":6406,"headerValues":[],"financialValues":[],"error":null,"description":null,"customValues":[]},"F|^11049-76Total Debt to EquityTTM06/03/2024EUR":{"id":6601,"headerValues":[],"financialValues":[],"error":null,"description":null,"customValues":[]},"F|^11049-76EV to Forward EBITDAFY06/03/2024EUR":{"id":6624,"headerValues":[],"financialValues":[],"error":null,"description":null,"customValues":[]},"F|^11049-76EBITDAFY06/03/2024EUR":{"id":6484,"headerValues":[],"financialValues":[],"error":null,"description":null,"customValues":[]},"F|^11049-76EBITFY06/03/2024EUR":{"id":6388,"headerValues":[],"financialValues":[],"error":null,"description":null,"customValues":[]},"F|^11049-76EV to EBITDATTM06/03/2024EURr":{"id":5680,"headerValues":[],"financialValues":[],"error":null,"description":null,"customValues":[]},"F|^11049-76EV to Forward EBITFY06/03/2024EUR":{"id":6640,"headerValues":[],"financialValues":[],"error":null,"description":null,"customValues":[]},"F|^11049-76EV to RevenueFY06/03/2024EUR":{"id":6403,"headerValues":[],"financialValues":[],"error":null,"description":null,"customValues":[]},"F|^11049-76EV to Forward RevenueFY06/03/2024EUR":{"id":6686,"headerValues":[],"financialValues":[],"error":null,"description":null,"customValues":[]},"F|^11049-76Market CapTTM06/03/2024EUR":{"id":6437,"headerValues":[],"financialValues":[],"error":null,"description":null,"customValues":[]},"F|^57624-85NET DebtTTM06/03/2024EUR":{"id":6401,"headerValues":[],"financialValues":[],"error":null,"description":null,"customValues":[]},"F|^57624-85EVTTM06/03/2024EUR":{"id":6405,"headerValues":[],"financialValues":[],"error":null,"description":null,"customValues":[]},"F|^57624-85Total Debt to EquityTTM06/03/2024EUR":{"id":6589,"headerValues":[],"financialValues":[],"error":null,"description":null,"customValues":[]},"F|^57624-85EV to Forward EBITDAFY06/03/2024EUR":{"id":6615,"headerValues":[],"financialValues":[],"error":null,"description":null,"customValues":[]},"F|^57624-85EBITDAFY06/03/2024EUR":{"id":6477,"headerValues":[],"financialValues":[],"error":null,"description":null,"customValues":[]},"F|^57624-85EBITFY06/03/2024EUR":{"id":6500,"headerValues":[],"financialValues":[],"error":null,"description":null,"customValues":[]},"F|^57624-85EV to EBITDATTM06/03/2024EURr":{"id":5681,"headerValues":[],"financialValues":[],"error":null,"description":null,"customValues":[]},"F|^57624-85EV to Forward EBITFY06/03/2024EUR":{"id":6619,"headerValues":[],"financialValues":[],"error":null,"description":null,"customValues":[]},"F|^57624-85EV to RevenueFY06/03/2024EUR":{"id":6395,"headerValues":[],"financialValues":[],"error":null,"description":null,"customValues":[]},"F|^57624-85EV to Forward RevenueFY06/03/2024EUR":{"id":6654,"headerValues":[],"financialValues":[],"error":null,"description":null,"customValues":[]},"F|^57624-85Market CapTTM06/03/2024EUR":{"id":6416,"headerValues":[],"financialValues":[],"error":null,"description":null,"customValues":[]},"F|^166203-73NET DebtTTM06/03/2024EUR":{"r":[[146082.660429636]],"c":null,"a":["Multiple!T35"]},"F|^166203-73EVTTM06/03/2024EUR":{"id":6393,"headerValues":[],"financialValues":[],"error":null,"description":null,"customValues":[]},"F|^166203-73Total Debt to EquityTTM06/03/2024EUR":{"r":[[1.8493588820054747]],"c":null,"a":["Multiple!V35"]},"F|^166203-73EV to Forward EBITDAFY06/03/2024EUR":{"id":6611,"headerValues":[],"financialValues":[],"error":null,"description":null,"customValues":[]},"F|^166203-73EBITDAFY06/03/2024EUR":{"id":6455,"headerValues":[],"financialValues":[],"error":null,"description":null,"customValues":[]},"F|^166203-73EBITFY06/03/2024EUR":{"id":6497,"headerValues":[],"financialValues":[],"error":null,"description":null,"customValues":[]},"F|^166203-73EV to EBITDATTM06/03/2024EURr":{"id":5675,"headerValues":[],"financialValues":[],"error":null,"description":null,"customValues":[]},"F|^166203-73EV to Forward EBITFY06/03/2024EUR":{"id":6711,"headerValues":[],"financialValues":[],"error":null,"description":null,"customValues":[]},"F|^166203-73EV to RevenueFY06/03/2024EUR":{"id":6394,"headerValues":[],"financialValues":[],"error":null,"description":null,"customValues":[]},"F|^166203-73EV to Forward RevenueFY06/03/2024EUR":{"id":6621,"headerValues":[],"financialValues":[],"error":null,"description":null,"customValues":[]},"F|^166203-73Market CapTTM06/03/2024EUR":{"id":6429,"headerValues":[],"financialValues":[],"error":null,"description":null,"customValues":[]},"F|^61827-49NET DebtTTM06/03/2024EUR":{"r":[[116016.460805278]],"c":null,"a":["Multiple!T38"]},"F|^61827-49EVTTM06/03/2024EUR":{"id":6419,"headerValues":[],"financialValues":[],"error":null,"description":null,"customValues":[]},"F|^61827-49Total Debt to EquityTTM06/03/2024EUR":{"r":[[0.10114286506429236]],"c":null,"a":["Multiple!V38"]},"F|^61827-49EV to Forward EBITDAFY06/03/2024EUR":{"id":6676,"headerValues":[],"financialValues":[],"error":null,"description":null,"customValues":[]},"F|^61827-49EBITDAFY06/03/2024EUR":{"id":6478,"headerValues":[],"financialValues":[],"error":null,"description":null,"customValues":[]},"F|^61827-49EBITFY06/03/2024EUR":{"id":6378,"headerValues":[],"financialValues":[],"error":null,"description":null,"customValues":[]},"F|^61827-49EV to EBITDATTM06/03/2024EURr":{"id":5699,"headerValues":[],"financialValues":[],"error":null,"description":null,"customValues":[]},"F|^61827-49EV to Forward EBITFY06/03/2024EUR":{"id":6706,"headerValues":[],"financialValues":[],"error":null,"description":null,"customValues":[]},"F|^61827-49EV to RevenueFY06/03/2024EUR":{"id":6463,"headerValues":[],"financialValues":[],"error":null,"description":null,"customValues":[]},"F|^61827-49EV to Forward RevenueFY06/03/2024EUR":{"id":6608,"headerValues":[],"financialValues":[],"error":null,"description":null,"customValues":[]},"F|^61827-49Market CapTTM06/03/2024EUR":{"id":6452,"headerValues":[],"financialValues":[],"error":null,"description":null,"customValues":[]},"F|^159758-47EV to EBITDATTM06/09/2023EURr":{"r":[[10.440495794855634]],"c":null,"a":["Multiple!P135"]},"F|^221614-12EV to EBITDATTM06/09/2023EURr":{"r":[[11.06307982930338]],"c":null,"a":["Multiple!P131"]},"F|^308309-77EV to EBITDATTM06/09/2023EURr":{"id":5748,"headerValues":[],"financialValues":[],"error":null,"description":null,"customValues":[]},"F|^55470-52EV to EBITDATTM06/09/2023EURr":{"id":5742,"headerValues":[],"financialValues":[],"error":null,"description":null,"customValues":[]},"F|^529798-24EV to EBITDATTM06/09/2023EURr":{"id":5756,"headerValues":[],"financialValues":[],"error":null,"description":null,"customValues":[]},"F|^42849-73EV to EBITDATTM06/09/2023EURr":{"id":5745,"headerValues":[],"financialValues":[],"error":null,"description":null,"customValues":[]},"F|^226947-16EV to EBITDATTM06/09/2023EURr":{"id":5741,"headerValues":[],"financialValues":[],"error":null,"description":null,"customValues":[]},"F|^501417-28EV to EBITDATTM06/09/2023EURr":{"id":5753,"headerValues":[],"financialValues":[],"error":null,"description":null,"customValues":[]},"F|^143918-38EV to EBITDATTM06/09/2023EURr":{"id":5747,"headerValues":[],"financialValues":[],"error":null,"description":null,"customValues":[]},"F|^11049-76EV to EBITDATTM06/09/2023EURr":{"id":5734,"headerValues":[],"financialValues":[],"error":null,"description":null,"customValues":[]},"F|^57624-85EV to EBITDATTM06/09/2023EURr":{"id":5749,"headerValues":[],"financialValues":[],"error":null,"description":null,"customValues":[]},"F|^166203-73EV to EBITDATTM06/09/2023EURr":{"id":5750,"headerValues":[],"financialValues":[],"error":null,"description":null,"customValues":[]},"F|^61827-49EV to EBITDATTM06/09/2023EURr":{"id":5731,"headerValues":[],"financialValues":[],"error":null,"description":null,"customValues":[]},"F|^159758-47EV to EBITDATTM06/19/2021EURr":{"r":[[98.07554482598245]],"c":null,"a":["Multiple!T135"]},"F|^221614-12EV to EBITDATTM06/19/2021EURr":{"r":[[48.18679372893136]],"c":null,"a":["Multiple!T131"]},"F|^308309-77EV to EBITDATTM06/19/2021EURr":{"id":5851,"headerValues":[],"financialValues":[],"error":null,"description":null,"customValues":[]},"F|^55470-52EV to EBITDATTM06/19/2021EURr":{"id":5857,"headerValues":[],"financialValues":[],"error":null,"description":null,"customValues":[]},"F|^529798-24EV to EBITDATTM06/19/2021EURr":{"id":5842,"headerValues":[],"financialValues":[],"error":null,"description":null,"customValues":[]},"F|^42849-73EV to EBITDATTM06/19/2021EURr":{"id":5846,"headerValues":[],"financialValues":[],"error":null,"description":null,"customValues":[]},"F|^226947-16EV to EBITDATTM06/19/2021EURr":{"id":5864,"headerValues":[],"financialValues":[],"error":null,"description":null,"customValues":[]},"F|^501417-28EV to EBITDATTM06/19/2021EURr":{"id":5852,"headerValues":[],"financialValues":[],"error":null,"description":null,"customValues":[]},"F|^143918-38EV to EBITDATTM06/19/2021EURr":{"id":5849,"headerValues":[],"financialValues":[],"error":null,"description":null,"customValues":[]},"F|^11049-76EV to EBITDATTM06/19/2021EURr":{"id":5839,"headerValues":[],"financialValues":[],"error":null,"description":null,"customValues":[]},"F|^57624-85EV to EBITDATTM06/19/2021EURr":{"id":5841,"headerValues":[],"financialValues":[],"error":null,"description":null,"customValues":[]},"F|^166203-73EV to EBITDATTM06/19/2021EURr":{"id":5858,"headerValues":[],"financialValues":[],"error":null,"description":null,"customValues":[]},"F|^61827-49EV to EBITDATTM06/19/2021EURr":{"id":5861,"headerValues":[],"financialValues":[],"error":null,"description":null,"customValues":[]},"F|^159758-47EV to EBITDATTM06/30/2019EURr":{"id":5958,"headerValues":[],"financialValues":[],"error":null,"description":null,"customValues":[]},"F|^221614-12EV to EBITDATTM06/30/2019EURr":{"id":5959,"headerValues":[],"financialValues":[],"error":null,"description":null,"customValues":[]},"F|^308309-77EV to EBITDATTM06/30/2019EURr":{"id":5968,"headerValues":[],"financialValues":[],"error":null,"description":null,"customValues":[]},"F|^55470-52EV to EBITDATTM06/30/2019EURr":{"id":5967,"headerValues":[],"financialValues":[],"error":null,"description":null,"customValues":[]},"F|^529798-24EV to EBITDATTM06/30/2019EURr":{"id":5970,"headerValues":[],"financialValues":[],"error":null,"description":null,"customValues":[]},"F|^42849-73EV to EBITDATTM06/30/2019EURr":{"id":5972,"headerValues":[],"financialValues":[],"error":null,"description":null,"customValues":[]},"F|^226947-16EV to EBITDATTM06/30/2019EURr":{"id":5966,"headerValues":[],"financialValues":[],"error":null,"description":null,"customValues":[]},"F|^501417-28EV to EBITDATTM06/30/2019EURr":{"id":5950,"headerValues":[],"financialValues":[],"error":null,"description":null,"customValues":[]},"F|^143918-38EV to EBITDATTM06/30/2019EURr":{"id":5965,"headerValues":[],"financialValues":[],"error":null,"description":null,"customValues":[]},"F|^63572-86EV to EBITDATTM06/30/2019EURr":{"id":5928,"headerValues":[],"financialValues":[],"error":null,"description":null,"customValues":[]},"F|^11049-76EV to EBITDATTM06/30/2019EURr":{"id":5964,"headerValues":[],"financialValues":[],"error":null,"description":null,"customValues":[]},"F|^57624-85EV to EBITDATTM06/30/2019EURr":{"id":5961,"headerValues":[],"financialValues":[],"error":null,"description":null,"customValues":[]},"F|^166203-73EV to EBITDATTM06/30/2019EURr":{"id":5946,"headerValues":[],"financialValues":[],"error":null,"description":null,"customValues":[]},"F|^61827-49EV to EBITDATTM06/30/2019EURr":{"id":5948,"headerValues":[],"financialValues":[],"error":null,"description":null,"customValues":[]},"F|^159758-47EV to EBITDATTM01/27/2014EURr":{"id":6252,"headerValues":[],"financialValues":[],"error":null,"description":null,"customValues":[]},"F|^221614-12EV to EBITDATTM01/27/2014EURr":{"id":6265,"headerValues":[],"financialValues":[],"error":null,"description":null,"customValues":[]},"F|^308309-77EV to EBITDATTM01/27/2014EURr":{"id":6247,"headerValues":[],"financialValues":[],"error":null,"description":null,"customValues":[]},"F|^55470-52EV to EBITDATTM01/27/2014EURr":{"id":6243,"headerValues":[],"financialValues":[],"error":null,"description":null,"customValues":[]},"F|^529798-24EV to EBITDATTM01/27/2014EURr":{"id":6262,"headerValues":[],"financialValues":[],"error":null,"description":null,"customValues":[]},"F|^42849-73EV to EBITDATTM01/27/2014EURr":{"id":6256,"headerValues":[],"financialValues":[],"error":null,"description":null,"customValues":[]},"F|^226947-16EV to EBITDATTM01/27/2014EURr":{"id":6268,"headerValues":[],"financialValues":[],"error":null,"description":null,"customValues":[]},"F|^501417-28EV to EBITDATTM01/27/2014EURr":{"id":6251,"headerValues":[],"financialValues":[],"error":null,"description":null,"customValues":[]},"F|^143918-38EV to EBITDATTM01/27/2014EURr":{"id":6248,"headerValues":[],"financialValues":[],"error":null,"description":null,"customValues":[]},"F|^63572-86EV to EBITDATTM01/27/2014EURr":{"id":6217,"headerValues":[],"financialValues":[],"error":null,"description":null,"customValues":[]},"F|^11049-76EV to EBITDATTM01/27/2014EURr":{"id":6244,"headerValues":[],"financialValues":[],"error":null,"description":null,"customValues":[]},"F|^57624-85EV to EBITDATTM01/27/2014EURr":{"id":6257,"headerValues":[],"financialValues":[],"error":null,"description":null,"customValues":[]},"F|^166203-73EV to EBITDATTM01/27/2014EURr":{"id":6249,"headerValues":[],"financialValues":[],"error":null,"description":null,"customValues":[]},"F|^61827-49EV to EBITDATTM01/27/2014EURr":{"id":6260,"headerValues":[],"financialValues":[],"error":null,"description":null,"customValues":[]},"F|^159758-47EV to EBITDATTM01/06/2018EURr":{"id":6035,"headerValues":[],"financialValues":[],"error":null,"description":null,"customValues":[]},"F|^221614-12EV to EBITDATTM01/06/2018EURr":{"id":6042,"headerValues":[],"financialValues":[],"error":null,"description":null,"customValues":[]},"F|^308309-77EV to EBITDATTM01/06/2018EURr":{"id":6045,"headerValues":[],"financialValues":[],"error":null,"description":null,"customValues":[]},"F|^55470-52EV to EBITDATTM01/06/2018EURr":{"id":6036,"headerValues":[],"financialValues":[],"error":null,"description":null,"customValues":[]},"F|^529798-24EV to EBITDATTM01/06/2018EURr":{"id":6034,"headerValues":[],"financialValues":[],"error":null,"description":null,"customValues":[]},"F|^42849-73EV to EBITDATTM01/06/2018EURr":{"id":6043,"headerValues":[],"financialValues":[],"error":null,"description":null,"customValues":[]},"F|^226947-16EV to EBITDATTM01/06/2018EURr":{"id":6032,"headerValues":[],"financialValues":[],"error":null,"description":null,"customValues":[]},"F|^501417-28EV to EBITDATTM01/06/2018EURr":{"id":6031,"headerValues":[],"financialValues":[],"error":null,"description":null,"customValues":[]},"F|^143918-38EV to EBITDATTM01/06/2018EURr":{"id":6030,"headerValues":[],"financialValues":[],"error":null,"description":null,"customValues":[]},"F|^63572-86EV to EBITDATTM01/06/2018EURr":{"id":6007,"headerValues":[],"financialValues":[],"error":null,"description":null,"customValues":[]},"F|^11049-76EV to EBITDATTM01/06/2018EURr":{"id":6039,"headerValues":[],"financialValues":[],"error":null,"description":null,"customValues":[]},"F|^57624-85EV to EBITDATTM01/06/2018EURr":{"id":6047,"headerValues":[],"financialValues":[],"error":null,"description":null,"customValues":[]},"F|^166203-73EV to EBITDATTM01/06/2018EURr":{"id":6027,"headerValues":[],"financialValues":[],"error":null,"description":null,"customValues":[]},"F|^61827-49EV to EBITDATTM01/06/2018EURr":{"id":6040,"headerValues":[],"financialValues":[],"error":null,"description":null,"customValues":[]},"F|^159758-47EV to EBITDATTM07/26/2014EURr":{"id":6216,"headerValues":[],"financialValues":[],"error":null,"description":null,"customValues":[]},"F|^221614-12EV to EBITDATTM07/26/2014EURr":{"id":6241,"headerValues":[],"financialValues":[],"error":null,"description":null,"customValues":[]},"F|^308309-77EV to EBITDATTM07/26/2014EURr":{"id":6220,"headerValues":[],"financialValues":[],"error":null,"description":null,"customValues":[]},"F|^55470-52EV to EBITDATTM07/26/2014EURr":{"id":6225,"headerValues":[],"financialValues":[],"error":null,"description":null,"customValues":[]},"F|^529798-24EV to EBITDATTM07/26/2014EURr":{"id":6222,"headerValues":[],"financialValues":[],"error":null,"description":null,"customValues":[]},"F|^42849-73EV to EBITDATTM07/26/2014EURr":{"id":6219,"headerValues":[],"financialValues":[],"error":null,"description":null,"customValues":[]},"F|^226947-16EV to EBITDATTM07/26/2014EURr":{"id":6236,"headerValues":[],"financialValues":[],"error":null,"description":null,"customValues":[]},"F|^501417-28EV to EBITDATTM07/26/2014EURr":{"id":6234,"headerValues":[],"financialValues":[],"error":null,"description":null,"customValues":[]},"F|^143918-38EV to EBITDATTM07/26/2014EURr":{"id":6224,"headerValues":[],"financialValues":[],"error":null,"description":null,"customValues":[]},"F|^63572-86EV to EBITDATTM07/26/2014EURr":{"id":6212,"headerValues":[],"financialValues":[],"error":null,"description":null,"customValues":[]},"F|^11049-76EV to EBITDATTM07/26/2014EURr":{"id":6226,"headerValues":[],"financialValues":[],"error":null,"description":null,"customValues":[]},"F|^57624-85EV to EBITDATTM07/26/2014EURr":{"id":6242,"headerValues":[],"financialValues":[],"error":null,"description":null,"customValues":[]},"F|^166203-73EV to EBITDATTM07/26/2014EURr":{"id":6235,"headerValues":[],"financialValues":[],"error":null,"description":null,"customValues":[]},"F|^61827-49EV to EBITDATTM07/26/2014EURr":{"id":6228,"headerValues":[],"financialValues":[],"error":null,"description":null,"customValues":[]},"F|^159758-47EV to EBITDATTM12/11/2022EURr":{"r":[[7.79868912965958]],"c":null,"a":["Multiple!Q135"]},"F|^221614-12EV to EBITDATTM12/11/2022EURr":{"r":[[10.631457816642346]],"c":null,"a":["Multiple!Q131"]},"F|^308309-77EV to EBITDATTM12/11/2022EURr":{"id":5770,"headerValues":[],"financialValues":[],"error":null,"description":null,"customValues":[]},"F|^55470-52EV to EBITDATTM12/11/2022EURr":{"id":5774,"headerValues":[],"financialValues":[],"error":null,"description":null,"customValues":[]},"F|^529798-24EV to EBITDATTM12/11/2022EURr":{"id":5762,"headerValues":[],"financialValues":[],"error":null,"description":null,"customValues":[]},"F|^42849-73EV to EBITDATTM12/11/2022EURr":{"id":5769,"headerValues":[],"financialValues":[],"error":null,"description":null,"customValues":[]},"F|^226947-16EV to EBITDATTM12/11/2022EURr":{"id":5758,"headerValues":[],"financialValues":[],"error":null,"description":null,"customValues":[]},"F|^501417-28EV to EBITDATTM12/11/2022EURr":{"id":5768,"headerValues":[],"financialValues":[],"error":null,"description":null,"customValues":[]},"F|^143918-38EV to EBITDATTM12/11/2022EURr":{"id":5775,"headerValues":[],"financialValues":[],"error":null,"description":null,"customValues":[]},"F|^11049-76EV to EBITDATTM12/11/2022EURr":{"id":5772,"headerValues":[],"financialValues":[],"error":null,"description":null,"customValues":[]},"F|^57624-85EV to EBITDATTM12/11/2022EURr":{"id":5773,"headerValues":[],"financialValues":[],"error":null,"description":null,"customValues":[]},"F|^166203-73EV to EBITDATTM12/11/2022EURr":{"id":5759,"headerValues":[],"financialValues":[],"error":null,"description":null,"customValues":[]},"F|^61827-49EV to EBITDATTM12/11/2022EURr":{"id":5767,"headerValues":[],"financialValues":[],"error":null,"description":null,"customValues":[]},"F|^159758-47EV to EBITDATTM07/15/2016EURr":{"r":[[53.72013655502919]],"c":null,"a":["Multiple!AD135"]},"F|^221614-12EV to EBITDATTM07/15/2016EURr":{"id":6122,"headerValues":[],"financialValues":[],"error":null,"description":null,"customValues":[]},"F|^308309-77EV to EBITDATTM07/15/2016EURr":{"id":6133,"headerValues":[],"financialValues":[],"error":null,"description":null,"customValues":[]},"F|^55470-52EV to EBITDATTM07/15/2016EURr":{"id":6109,"headerValues":[],"financialValues":[],"error":null,"description":null,"customValues":[]},"F|^529798-24EV to EBITDATTM07/15/2016EURr":{"id":6120,"headerValues":[],"financialValues":[],"error":null,"description":null,"customValues":[]},"F|^42849-73EV to EBITDATTM07/15/2016EURr":{"id":6134,"headerValues":[],"financialValues":[],"error":null,"description":null,"customValues":[]},"F|^226947-16EV to EBITDATTM07/15/2016EURr":{"id":6119,"headerValues":[],"financialValues":[],"error":null,"description":null,"customValues":[]},"F|^501417-28EV to EBITDATTM07/15/2016EURr":{"id":6125,"headerValues":[],"financialValues":[],"error":null,"description":null,"customValues":[]},"F|^143918-38EV to EBITDATTM07/15/2016EURr":{"id":6112,"headerValues":[],"financialValues":[],"error":null,"description":null,"customValues":[]},"F|^63572-86EV to EBITDATTM07/15/2016EURr":{"id":6089,"headerValues":[],"financialValues":[],"error":null,"description":null,"customValues":[]},"F|^11049-76EV to EBITDATTM07/15/2016EURr":{"id":6110,"headerValues":[],"financialValues":[],"error":null,"description":null,"customValues":[]},"F|^57624-85EV to EBITDATTM07/15/2016EURr":{"id":6115,"headerValues":[],"financialValues":[],"error":null,"description":null,"customValues":[]},"F|^166203-73EV to EBITDATTM07/15/2016EURr":{"id":6121,"headerValues":[],"financialValues":[],"error":null,"description":null,"customValues":[]},"F|^61827-49EV to EBITDATTM07/15/2016EURr":{"id":6111,"headerValues":[],"financialValues":[],"error":null,"description":null,"customValues":[]},"F|^159758-47EV to EBITDATTM07/21/2015EURr":{"id":6170,"headerValues":[],"financialValues":[],"error":null,"description":null,"customValues":[]},"F|^221614-12EV to EBITDATTM07/21/2015EURr":{"id":6181,"headerValues":[],"financialValues":[],"error":null,"description":null,"customValues":[]},"F|^308309-77EV to EBITDATTM07/21/2015EURr":{"id":6174,"headerValues":[],"financialValues":[],"error":null,"description":null,"customValues":[]},"F|^55470-52EV to EBITDATTM07/21/2015EURr":{"id":6187,"headerValues":[],"financialValues":[],"error":null,"description":null,"customValues":[]},"F|^529798-24EV to EBITDATTM07/21/2015EURr":{"id":6164,"headerValues":[],"financialValues":[],"error":null,"description":null,"customValues":[]},"F|^42849-73EV to EBITDATTM07/21/2015EURr":{"id":6165,"headerValues":[],"financialValues":[],"error":null,"description":null,"customValues":[]},"F|^226947-16EV to EBITDATTM07/21/2015EURr":{"id":6178,"headerValues":[],"financialValues":[],"error":null,"description":null,"customValues":[]},"F|^501417-28EV to EBITDATTM07/21/2015EURr":{"id":6172,"headerValues":[],"financialValues":[],"error":null,"description":null,"customValues":[]},"F|^143918-38EV to EBITDATTM07/21/2015EURr":{"id":6177,"headerValues":[],"financialValues":[],"error":null,"description":null,"customValues":[]},"F|^63572-86EV to EBITDATTM07/21/2015EURr":{"id":6153,"headerValues":[],"financialValues":[],"error":null,"description":null,"customValues":[]},"F|^11049-76EV to EBITDATTM07/21/2015EURr":{"id":6183,"headerValues":[],"financialValues":[],"error":null,"description":null,"customValues":[]},"F|^57624-85EV to EBITDATTM07/21/2015EURr":{"id":6176,"headerValues":[],"financialValues":[],"error":null,"description":null,"customValues":[]},"F|^166203-73EV to EBITDATTM07/21/2015EURr":{"id":6168,"headerValues":[],"financialValues":[],"error":null,"description":null,"customValues":[]},"F|^61827-49EV to EBITDATTM07/21/2015EURr":{"id":6162,"headerValues":[],"financialValues":[],"error":null,"description":null,"customValues":[]},"F|^159758-47EV to EBITDATTM12/06/2023EURr":{"id":5719,"headerValues":[],"financialValues":[],"error":null,"description":null,"customValues":[]},"F|^221614-12EV to EBITDATTM12/06/2023EURr":{"r":[[18.068117998559615]],"c":null,"a":["Multiple!O131"]},"F|^308309-77EV to EBITDATTM12/06/2023EURr":{"id":5714,"headerValues":[],"financialValues":[],"error":null,"description":null,"customValues":[]},"F|^55470-52EV to EBITDATTM12/06/2023EURr":{"id":5709,"headerValues":[],"financialValues":[],"error":null,"description":null,"customValues":[]},"F|^529798-24EV to EBITDATTM12/06/2023EURr":{"id":5726,"headerValues":[],"financialValues":[],"error":null,"description":null,"customValues":[]},"F|^42849-73EV to EBITDATTM12/06/2023EURr":{"id":5704,"headerValues":[],"financialValues":[],"error":null,"description":null,"customValues":[]},"F|^226947-16EV to EBITDATTM12/06/2023EURr":{"id":5710,"headerValues":[],"financialValues":[],"error":null,"description":null,"customValues":[]},"F|^501417-28EV to EBITDATTM12/06/2023EURr":{"id":5717,"headerValues":[],"financialValues":[],"error":null,"description":null,"customValues":[]},"F|^143918-38EV to EBITDATTM12/06/2023EURr":{"id":5724,"headerValues":[],"financialValues":[],"error":null,"description":null,"customValues":[]},"F|^11049-76EV to EBITDATTM12/06/2023EURr":{"id":5722,"headerValues":[],"financialValues":[],"error":null,"description":null,"customValues":[]},"F|^57624-85EV to EBITDATTM12/06/2023EURr":{"id":5705,"headerValues":[],"financialValues":[],"error":null,"description":null,"customValues":[]},"F|^166203-73EV to EBITDATTM12/06/2023EURr":{"id":5713,"headerValues":[],"financialValues":[],"error":null,"description":null,"customValues":[]},"F|^61827-49EV to EBITDATTM12/06/2023EURr":{"id":5703,"headerValues":[],"financialValues":[],"error":null,"description":null,"customValues":[]},"F|^159758-47EV to EBITDAFY2023YEUR":{"id":6733,"headerValues":[],"financialValues":[],"error":null,"description":null,"customValues":[]},"F|^159758-47Total RevenueFY2023YEUR":{"r":[[9871940.186966]],"c":null,"a":["Multiple!X28"]},"F|^159758-47Total Debt to EBITDAFY2023YEUR":{"id":6560,"headerValues":[],"financialValues":[],"error":null,"description":null,"customValues":[]},"F|^159758-47EV to EBITFY2023YEUR":{"id":6638,"headerValues":[],"financialValues":[],"error":null,"description":null,"customValues":[]},"F|^226947-16EV to EBITDAFY2023YEUR":{"id":6702,"headerValues":[],"financialValues":[],"error":null,"description":null,"customValues":[]},"F|^226947-16Total RevenueFY2023YEUR":{"r":[[22524855.52]],"c":null,"a":["Multiple!X25"]},"F|^226947-16Total Debt to EBITDAFY2023YEUR":{"id":6570,"headerValues":[],"financialValues":[],"error":null,"description":null,"customValues":[]},"F|^226947-16EV to EBITFY2023YEUR":{"id":6566,"headerValues":[],"financialValues":[],</t>
  </si>
  <si>
    <t>"error":null,"description":null,"customValues":[]},"F|^221614-12EV to EBITDAFY2023YEUR":{"r":[[10.335160012370837]],"c":null,"a":["Multiple!AD24"]},"F|^221614-12Total RevenueFY2023YEUR":{"r":[[140816766.48]],"c":null,"a":["Multiple!X24"]},"F|^221614-12Total Debt to EBITDAFY2023YEUR":{"r":[[0.16591368856785607]],"c":null,"a":["Multiple!AA24"]},"F|^221614-12EV to EBITFY2023YEUR":{"r":[[10.538582209439722]],"c":null,"a":["Multiple!AE24"]},"F|^535343-41EV to EBITDATTM01/17/2016EURr":{"id":6144,"headerValues":[],"financialValues":[],"error":null,"description":null,"customValues":[]},"F|^482544-55EV to EBITDATTM01/17/2016EURr":{"id":6150,"headerValues":[],"financialValues":[],"error":null,"description":null,"customValues":[]},"F|^501896-44EV to EBITDATTM01/17/2016EURr":{"id":6152,"headerValues":[],"financialValues":[],"error":null,"description":null,"customValues":[]},"F|^496329-85EV to EBITDATTM01/17/2016EURr":{"id":6154,"headerValues":[],"financialValues":[],"error":null,"description":null,"customValues":[]},"F|^518135-86EV to EBITDATTM01/17/2016EURr":{"id":6156,"headerValues":[],"financialValues":[],"error":null,"description":null,"customValues":[]},"F|^522452-80EV to EBITDATTM07/21/2015EURr":{"id":6163,"headerValues":[],"financialValues":[],"error":null,"description":null,"customValues":[]},"F|^496446-58EV to EBITDATTM07/21/2015EURr":{"id":6166,"headerValues":[],"financialValues":[],"error":null,"description":null,"customValues":[]},"F|^522345-25EV to EBITDATTM07/21/2015EURr":{"id":6171,"headerValues":[],"financialValues":[],"error":null,"description":null,"customValues":[]},"F|^535343-41EV to EBITDATTM07/21/2015EURr":{"id":6175,"headerValues":[],"financialValues":[],"error":null,"description":null,"customValues":[]},"F|^518135-86EV to EBITDATTM07/21/2015EURr":{"id":6180,"headerValues":[],"financialValues":[],"error":null,"description":null,"customValues":[]},"F|^541340-65EV to EBITDATTM07/21/2015EURr":{"id":6182,"headerValues":[],"financialValues":[],"error":null,"description":null,"customValues":[]},"F|^501896-44EV to EBITDATTM07/21/2015EURr":{"id":6184,"headerValues":[],"financialValues":[],"error":null,"description":null,"customValues":[]},"F|^496329-85EV to EBITDATTM07/21/2015EURr":{"id":6186,"headerValues":[],"financialValues":[],"error":null,"description":null,"customValues":[]},"F|^482544-55EV to EBITDATTM07/21/2015EURr":{"id":6188,"headerValues":[],"financialValues":[],"error":null,"description":null,"customValues":[]},"F|^522452-80EV to EBITDATTM01/22/2015EURr":{"id":6191,"headerValues":[],"financialValues":[],"error":null,"description":null,"customValues":[]},"F|^518135-86EV to EBITDATTM01/22/2015EURr":{"id":6193,"headerValues":[],"financialValues":[],"error":null,"description":null,"customValues":[]},"F|^482544-55EV to EBITDATTM01/22/2015EURr":{"id":6195,"headerValues":[],"financialValues":[],"error":null,"description":null,"customValues":[]},"F|^522345-25EV to EBITDATTM01/22/2015EURr":{"id":6197,"headerValues":[],"financialValues":[],"error":null,"description":null,"customValues":[]},"F|^496446-58EV to EBITDATTM01/22/2015EURr":{"id":6199,"headerValues":[],"financialValues":[],"error":null,"description":null,"customValues":[]},"F|^535343-41EV to EBITDATTM01/22/2015EURr":{"id":6205,"headerValues":[],"financialValues":[],"error":null,"description":null,"customValues":[]},"F|^541340-65EV to EBITDATTM01/22/2015EURr":{"id":6208,"headerValues":[],"financialValues":[],"error":null,"description":null,"customValues":[]},"F|^496329-85EV to EBITDATTM01/22/2015EURr":{"id":6210,"headerValues":[],"financialValues":[],"error":null,"description":null,"customValues":[]},"F|^501896-44EV to EBITDATTM01/22/2015EURr":{"id":6213,"headerValues":[],"financialValues":[],"error":null,"description":null,"customValues":[]},"F|^496446-58EV to EBITDATTM07/26/2014EURr":{"id":6218,"headerValues":[],"financialValues":[],"error":null,"description":null,"customValues":[]},"F|^535343-41EV to EBITDATTM07/26/2014EURr":{"id":6223,"headerValues":[],"financialValues":[],"error":null,"description":null,"customValues":[]},"F|^518135-86EV to EBITDATTM07/26/2014EURr":{"id":6227,"headerValues":[],"financialValues":[],"error":null,"description":null,"customValues":[]},"F|^522452-80EV to EBITDATTM07/26/2014EURr":{"id":6229,"headerValues":[],"financialValues":[],"error":null,"description":null,"customValues":[]},"F|^501896-44EV to EBITDATTM07/26/2014EURr":{"id":6230,"headerValues":[],"financialValues":[],"error":null,"description":null,"customValues":[]},"F|^522345-25EV to EBITDATTM07/26/2014EURr":{"id":6232,"headerValues":[],"financialValues":[],"error":null,"description":null,"customValues":[]},"F|^482544-55EV to EBITDATTM07/26/2014EURr":{"id":6238,"headerValues":[],"financialValues":[],"error":null,"description":null,"customValues":[]},"F|^541340-65EV to EBITDATTM07/26/2014EURr":{"id":6239,"headerValues":[],"financialValues":[],"error":null,"description":null,"customValues":[]},"F|^496329-85EV to EBITDATTM07/26/2014EURr":{"id":6240,"headerValues":[],"financialValues":[],"error":null,"description":null,"customValues":[]},"F|^518135-86EV to EBITDATTM01/27/2014EURr":{"id":6245,"headerValues":[],"financialValues":[],"error":null,"description":null,"customValues":[]},"F|^501896-44EV to EBITDATTM01/27/2014EURr":{"id":6253,"headerValues":[],"financialValues":[],"error":null,"description":null,"customValues":[]},"F|^496446-58EV to EBITDATTM01/27/2014EURr":{"id":6254,"headerValues":[],"financialValues":[],"error":null,"description":null,"customValues":[]},"F|^522452-80EV to EBITDATTM01/27/2014EURr":{"id":6258,"headerValues":[],"financialValues":[],"error":null,"description":null,"customValues":[]},"F|^482544-55EV to EBITDATTM01/27/2014EURr":{"id":6259,"headerValues":[],"financialValues":[],"error":null,"description":null,"customValues":[]},"F|^522345-25EV to EBITDATTM01/27/2014EURr":{"id":6263,"headerValues":[],"financialValues":[],"error":null,"description":null,"customValues":[]},"F|^541340-65EV to EBITDATTM01/27/2014EURr":{"id":6264,"headerValues":[],"financialValues":[],"error":null,"description":null,"customValues":[]},"F|^496329-85EV to EBITDATTM01/27/2014EURr":{"id":6266,"headerValues":[],"financialValues":[],"error":null,"description":null,"customValues":[]},"F|^535343-41EV to EBITDATTM01/27/2014EURr":{"id":6267,"headerValues":[],"financialValues":[],"error":null,"description":null,"customValues":[]},"F|^482544-55NET DebtTTM06/03/2024EUR":{"id":6373,"headerValues":[],"financialValues":[],"error":null,"description":null,"customValues":[]},"F|^496446-58EBITDAFY06/03/2024EUR":{"id":6377,"headerValues":[],"financialValues":[],"error":null,"description":null,"customValues":[]},"F|^63572-86EV to RevenueFY06/03/2024EUR":{"id":6379,"headerValues":[],"financialValues":[],"error":null,"description":null,"customValues":[]},"F|^63572-86EVTTM06/03/2024EUR":{"id":6381,"headerValues":[],"financialValues":[],"error":null,"description":null,"customValues":[]},"F|^63572-86Market CapTTM06/03/2024EUR":{"id":6386,"headerValues":[],"financialValues":[],"error":null,"description":null,"customValues":[]},"F|^482544-55Market CapTTM06/03/2024EUR":{"id":6391,"headerValues":[],"financialValues":[],"error":null,"description":null,"customValues":[]},"F|^496329-85NET DebtTTM06/03/2024EUR":{"id":6392,"headerValues":[],"financialValues":[],"error":null,"description":null,"customValues":[]},"F|^535343-41EBITFY06/03/2024EUR":{"id":6396,"headerValues":[],"financialValues":[],"error":null,"description":null,"customValues":[]},"F|^518135-86EBITDAFY06/03/2024EUR":{"id":6398,"headerValues":[],"financialValues":[],"error":null,"description":null,"customValues":[]},"F|^541340-65EBITDAFY06/03/2024EUR":{"id":6399,"headerValues":[],"financialValues":[],"error":null,"description":null,"customValues":[]},"F|^522345-25EBITDAFY06/03/2024EUR":{"id":6407,"headerValues":[],"financialValues":[],"error":null,"description":null,"customValues":[]},"F|^535343-41EVTTM06/03/2024EUR":{"id":6410,"headerValues":[],"financialValues":[],"error":null,"description":null,"customValues":[]},"F|^501896-44EBITDAFY06/03/2024EUR":{"id":6411,"headerValues":[],"financialValues":[],"error":null,"description":null,"customValues":[]},"F|^535343-41EV to RevenueFY06/03/2024EUR":{"id":6414,"headerValues":[],"financialValues":[],"error":null,"description":null,"customValues":[]},"F|^496329-85EV to RevenueFY06/03/2024EUR":{"id":6418,"headerValues":[],"financialValues":[],"error":null,"description":null,"customValues":[]},"F|^518135-86EBITFY06/03/2024EUR":{"id":6420,"headerValues":[],"financialValues":[],"error":null,"description":null,"customValues":[]},"F|^496446-58EBITFY06/03/2024EUR":{"id":6421,"headerValues":[],"financialValues":[],"error":null,"description":null,"customValues":[]},"F|^522345-25EBITFY06/03/2024EUR":{"id":6423,"headerValues":[],"financialValues":[],"error":null,"description":null,"customValues":[]},"F|^496329-85Market CapTTM06/03/2024EUR":{"id":6424,"headerValues":[],"financialValues":[],"error":null,"description":null,"customValues":[]},"F|^518135-86EVTTM06/03/2024EUR":{"id":6426,"headerValues":[],"financialValues":[],"error":null,"description":null,"customValues":[]},"F|^522452-80EBITDAFY06/03/2024EUR":{"id":6430,"headerValues":[],"financialValues":[],"error":null,"description":null,"customValues":[]},"F|^496446-58EVTTM06/03/2024EUR":{"id":6432,"headerValues":[],"financialValues":[],"error":null,"description":null,"customValues":[]},"F|^522452-80EBITFY06/03/2024EUR":{"id":6436,"headerValues":[],"financialValues":[],"error":null,"description":null,"customValues":[]},"F|^541340-65EVTTM06/03/2024EUR":{"id":6438,"headerValues":[],"financialValues":[],"error":null,"description":null,"customValues":[]},"F|^518135-86EV to RevenueFY06/03/2024EUR":{"id":6439,"headerValues":[],"financialValues":[],"error":null,"description":null,"customValues":[]},"F|^496446-58EV to RevenueFY06/03/2024EUR":{"id":6440,"headerValues":[],"financialValues":[],"error":null,"description":null,"customValues":[]},"F|^522345-25NET DebtTTM06/03/2024EUR":{"id":6441,"headerValues":[],"financialValues":[],"error":null,"description":null,"customValues":[]},"F|^501896-44EBITFY06/03/2024EUR":{"id":6442,"headerValues":[],"financialValues":[],"error":null,"description":null,"customValues":[]},"F|^535343-41NET DebtTTM06/03/2024EUR":{"id":6443,"headerValues":[],"financialValues":[],"error":null,"description":null,"customValues":[]},"F|^518135-86NET DebtTTM06/03/2024EUR":{"id":6445,"headerValues":[],"financialValues":[],"error":null,"description":null,"customValues":[]},"F|^501896-44EVTTM06/03/2024EUR":{"id":6449,"headerValues":[],"financialValues":[],"error":null,"description":null,"customValues":[]},"F|^522452-80EVTTM06/03/2024EUR":{"id":6456,"headerValues":[],"financialValues":[],"error":null,"description":null,"customValues":[]},"F|^501896-44EV to RevenueFY06/03/2024EUR":{"id":6457,"headerValues":[],"financialValues":[],"error":null,"description":null,"customValues":[]},"F|^522345-25EV to RevenueFY06/03/2024EUR":{"id":6458,"headerValues":[],"financialValues":[],"error":null,"description":null,"customValues":[]},"F|^541340-65NET DebtTTM06/03/2024EUR":{"id":6459,"headerValues":[],"financialValues":[],"error":null,"description":null,"customValues":[]},"F|^482544-55EVTTM06/03/2024EUR":{"id":6462,"headerValues":[],"financialValues":[],"error":null,"description":null,"customValues":[]},"F|^522345-25Market CapTTM06/03/2024EUR":{"id":6465,"headerValues":[],"financialValues":[],"error":null,"description":null,"customValues":[]},"F|^518135-86Market CapTTM06/03/2024EUR":{"id":6467,"headerValues":[],"financialValues":[],"error":null,"description":null,"customValues":[]},"F|^522452-80EV to RevenueFY06/03/2024EUR":{"id":6470,"headerValues":[],"financialValues":[],"error":null,"description":null,"customValues":[]},"F|^496329-85EBITDAFY06/03/2024EUR":{"id":6471,"headerValues":[],"financialValues":[],"error":null,"description":null,"customValues":[]},"F|^541340-65EV to RevenueFY06/03/2024EUR":{"id":6473,"headerValues":[],"financialValues":[],"error":null,"description":null,"customValues":[]},"F|^541340-65EBITFY06/03/2024EUR":{"id":6474,"headerValues":[],"financialValues":[],"error":null,"description":null,"customValues":[]},"F|^482544-55EBITFY06/03/2024EUR":{"id":6476,"headerValues":[],"financialValues":[],"error":null,"description":null,"customValues":[]},"F|^541340-65Market CapTTM06/03/2024EUR":{"id":6479,"headerValues":[],"financialValues":[],"error":null,"description":null,"customValues":[]},"F|^535343-41Market CapTTM06/03/2024EUR":{"id":6480,"headerValues":[],"financialValues":[],"error":null,"description":null,"customValues":[]},"F|^496446-58Market CapTTM06/03/2024EUR":{"id":6482,"headerValues":[],"financialValues":[],"error":null,"description":null,"customValues":[]},"F|^522345-25EVTTM06/03/2024EUR":{"id":6488,"headerValues":[],"financialValues":[],"error":null,"description":null,"customValues":[]},"F|^522452-80Market CapTTM06/03/2024EUR":{"id":6494,"headerValues":[],"financialValues":[],"error":null,"description":null,"customValues":[]},"F|^496329-85EBITFY06/03/2024EUR":{"id":6495,"headerValues":[],"financialValues":[],"error":null,"description":null,"customValues":[]},"F|^522452-80NET DebtTTM06/03/2024EUR":{"id":6496,"headerValues":[],"financialValues":[],"error":null,"description":null,"customValues":[]},"F|^501896-44Market CapTTM06/03/2024EUR":{"id":6504,"headerValues":[],"financialValues":[],"error":null,"description":null,"customValues":[]},"F|^496446-58NET DebtTTM06/03/2024EUR":{"id":6505,"headerValues":[],"financialValues":[],"error":null,"description":null,"customValues":[]},"F|^482544-55EBITDAFY06/03/2024EUR":{"id":6508,"headerValues":[],"financialValues":[],"error":null,"description":null,"customValues":[]},"F|^501896-44NET DebtTTM06/03/2024EUR":{"id":6511,"headerValues":[],"financialValues":[],"error":null,"description":null,"customValues":[]},"F|^535343-41EBITDAFY06/03/2024EUR":{"id":6515,"headerValues":[],"financialValues":[],"error":null,"description":null,"customValues":[]},"F|^496329-85EVTTM06/03/2024EUR":{"id":6517,"headerValues":[],"financialValues":[],"error":null,"description":null,"customValues":[]},"F|^482544-55EV to RevenueFY06/03/2024EUR":{"id":6526,"headerValues":[],"financialValues":[],"error":null,"description":null,"customValues":[]},"F|^63572-86EV to Forward RevenueFY06/03/2024EUR":{"id":6535,"headerValues":[],"financialValues":[],"error":null,"description":null,"customValues":[]},"F|^63572-86Total Debt to EBITDAFY2023YEUR":{"id":6536,"headerValues":[],"financialValues":[],"error":null,"description":null,"customValues":[]},"F|^63572-86EV to Forward EBITDAFY06/03/2024EUR":{"id":6537,"headerValues":[],"financialValues":[],"error":null,"description":null,"customValues":[]},"F|^63572-86EV to Forward EBITFY06/03/2024EUR":{"id":6538,"headerValues":[],"financialValues":[],"error":null,"description":null,"customValues":[]},"F|^518135-86Total Debt to EBITDAFY2023YEUR":{"id":6543,"headerValues":[],"financialValues":[],"error":null,"description":null,"customValues":[]},"F|^496329-85Total Debt to EquityTTM06/03/2024EUR":{"id":6544,"headerValues":[],"financialValues":[],"error":null,"description":null,"customValues":[]},"F|^63572-86Total RevenueFY2023YEUR":{"id":6545,"headerValues":[],"financialValues":[],"error":null,"description":null,"customValues":[]},"F|^496446-58Total Debt to EBITDAFY2023YEUR":{"id":6546,"headerValues":[],"financialValues":[],"error":null,"description":null,"customValues":[]},"F|^496329-85Total Debt to EBITDAFY2023YEUR":{"id":6547,"headerValues":[],"financialValues":[],"error":null,"description":null,"customValues":[]},"F|^529798-24Total Debt to EBITDAFY2023YEUR":{"id":6548,"headerValues":[],"financialValues":[],"error":null,"description":null,"customValues":[]},"F|^63572-86EV to EBITFY2023YEUR":{"id":6549,"headerValues":[],"financialValues":[],"error":null,"description":null,"customValues":[]},"F|^535343-41Total Debt to EquityTTM06/03/2024EUR":{"id":6550,"headerValues":[],"financialValues":[],"error":null,"description":null,"customValues":[]},"F|^57624-85Total Debt to EBITDAFY2023YEUR":{"id":6552,"headerValues":[],"financialValues":[],"error":null,"description":null,"customValues":[]},"F|^11049-76Total Debt to EBITDAFY2023YEUR":{"id":6553,"headerValues":[],"financialValues":[],"error":null,"description":null,"customValues":[]},"F|^522345-25Total Debt to EBITDAFY2023YEUR":{"id":6554,"headerValues":[],"financialValues":[],"error":null,"description":null,"customValues":[]},"F|^63572-86EV to EBITDAFY2023YEUR":{"id":6555,"headerValues":[],"financialValues":[],"error":null,"description":null,"customValues":[]},"F|^55470-52Total Debt to EBITDAFY2023YEUR":{"id":6556,"headerValues":[],"financialValues":[],"error":null,"description":null,"customValues":[]},"F|^522452-80Total Debt to EBITDAFY2023YEUR":{"id":6558,"headerValues":[],"financialValues":[],"error":null,"description":null,"customValues":[]},"F|^518135-86Total Debt to EquityTTM06/03/2024EUR":{"id":6559,"headerValues":[],"financialValues":[],"error":null,"description":null,"customValues":[]},"F|^535343-41Total Debt to EBITDAFY2023YEUR":{"id":6561,"headerValues":[],"financialValues":[],"error":null,"description":null,"customValues":[]},"F|^166203-73Total Debt to EBITDAFY2023YEUR":{"id":6562,"headerValues":[],"financialValues":[],"error":null,"description":null,"customValues":[]},"F|^143918-38Total Debt to EBITDAFY2023YEUR":{"id":6564,"headerValues":[],"financialValues":[],"error":null,"description":null,"customValues":[]},"F|^501896-44Total Debt to EBITDAFY2023YEUR":{"id":6565,"headerValues":[],"financialValues":[],"error":null,"description":null,"customValues":[]},"F|^501896-44Total Debt to EquityTTM06/03/2024EUR":{"id":6567,"headerValues":[],"financialValues":[],"error":null,"description":null,"customValues":[]},"F|^496446-58Total Debt to EquityTTM06/03/2024EUR":{"id":6568,"headerValues":[],"financialValues":[],"error":null,"description":null,"customValues":[]},"F|^522345-25Total Debt to EquityTTM06/03/2024EUR":{"id":6571,"headerValues":[],"financialValues":[],"error":null,"description":null,"customValues":[]},"F|^522452-80Total Debt to EquityTTM06/03/2024EUR":{"id":6572,"headerValues":[],"financialValues":[],"error":null,"description":null,"customValues":[]},"F|^166203-73EV to EBITFY2023YEUR":{"id":6573,"headerValues":[],"financialValues":[],"error":null,"description":null,"customValues":[]},"F|^501417-28Total Debt to EBITDAFY2023YEUR":{"id":6574,"headerValues":[],"financialValues":[],"error":null,"description":null,"customValues":[]},"F|^308309-77Total Debt to EBITDAFY2023YEUR":{"id":6576,"headerValues":[],"financialValues":[],"error":null,"description":null,"customValues":[]},"F|^522345-25EV to EBITFY2023YEUR":{"id":6579,"headerValues":[],"financialValues":[],"error":null,"description":null,"customValues":[]},"F|^541340-65Total Debt to EquityTTM06/03/2024EUR":{"id":6581,"headerValues":[],"financialValues":[],"error":null,"description":null,"customValues":[]},"F|^61827-49Total Debt to EBITDAFY2023YEUR":{"id":6582,"headerValues":[],"financialValues":[],"error":null,"description":null,"customValues":[]},"F|^42849-73EV to EBITFY2023YEUR":{"id":6583,"headerValues":[],"financialValues":[],"error":null,"description":null,"customValues":[]},"F|^42849-73Total Debt to EBITDAFY2023YEUR":{"id":6585,"headerValues":[],"financialValues":[],"error":null,"description":null,"customValues":[]},"F|^55470-52EV to EBITFY2023YEUR":{"id":6586,"headerValues":[],"financialValues":[],"error":null,"description":null,"customValues":[]},"F|^482544-55EV to EBITFY2023YEUR":{"id":6587,"headerValues":[],"financialValues":[],"error":null,"description":null,"customValues":[]},"F|^482544-55Total Debt to EBITDAFY2023YEUR":{"id":6588,"headerValues":[],"financialValues":[],"error":null,"description":null,"customValues":[]},"F|^541340-65EV to EBITFY2023YEUR":{"id":6590,"headerValues":[],"financialValues":[],"error":null,"description":null,"customValues":[]},"F|^143918-38EV to EBITFY2023YEUR":{"id":6592,"headerValues":[],"financialValues":[],"error":null,"description":null,"customValues":[]},"F|^501417-28EV to EBITFY2023YEUR":{"id":6594,"headerValues":[],"financialValues":[],"error":null,"description":null,"customValues":[]},"F|^11049-76EV to EBITFY2023YEUR":{"id":6596,"headerValues":[],"financialValues":[],"error":null,"description":null,"customValues":[]},"F|^482544-55Total Debt to EquityTTM06/03/2024EUR":{"id":6605,"headerValues":[],"financialValues":[],"error":null,"description":null,"customValues":[]},"F|^541340-65Total Debt to EBITDAFY2023YEUR":{"id":6606,"headerValues":[],"financialValues":[],"error":null,"description":null,"customValues":[]},"F|^522452-80EV to EBITFY2023YEUR":{"id":6607,"headerValues":[],"financialValues":[],"error":null,"description":null,"customValues":[]},"F|^308309-77EV to EBITFY2023YEUR":{"id":6613,"headerValues":[],"financialValues":[],"error":null,"description":null,"customValues":[]},"F|^61827-49EV to EBITFY2023YEUR":{"id":6616,"headerValues":[],"financialValues":[],"error":null,"description":null,"customValues":[]},"F|^496329-85EV to EBITFY2023YEUR":{"id":6620,"headerValues":[],"financialValues":[],"error":null,"description":null,"customValues":[]},"F|^501896-44EV to Forward EBITFY06/03/2024EUR":{"id":6622,"headerValues":[],"financialValues":[],"error":null,"description":null,"customValues":[]},"F|^541340-65EV to Forward RevenueFY06/03/2024EUR":{"id":6626,"headerValues":[],"financialValues":[],"error":null,"description":null,"customValues":[]},"F|^482544-55EV to Forward RevenueFY06/03/2024EUR":{"id":6630,"headerValues":[],"financialValues":[],"error":null,"description":null,"customValues":[]},"F|^529798-24EV to EBITFY2023YEUR":{"id":6631,"headerValues":[],"financialValues":[],"error":null,"description":null,"customValues":[]},"F|^535343-41EV to Forward EBITFY06/03/2024EUR":{"id":6634,"headerValues":[],"financialValues":[],"error":null,"description":null,"customValues":[]},"F|^55470-52Total RevenueFY2023YEUR":{"id":6637,"headerValues":[],"financialValues":[],"error":null,"description":null,"customValues":[]},"F|^541340-65EV to Forward EBITDAFY06/03/2024EUR":{"id":6639,"headerValues":[],"financialValues":[],"error":null,"description":null,"customValues":[]},"F|^496446-58EV to EBITFY2023YEUR":{"id":6642,"headerValues":[],"financialValues":[],"error":null,"description":null,"customValues":[]},"F|^535343-41EV to Forward RevenueFY06/03/2024EUR":{"id":6644,"headerValues":[],"financialValues":[],"error":null,"description":null,"customValues":[]},"F|^518135-86EV to Forward RevenueFY06/03/2024EUR":{"id":6645,"headerValues":[],"financialValues":[],"error":null,"description":null,"customValues":[]},"F|^57624-85EV to EBITFY2023YEUR":{"id":6646,"headerValues":[],"financialValues":[],"error":null,"description":null,"customValues":[]},"F|^522452-80EV to Forward EBITFY06/03/2024EUR":{"id":6647,"headerValues":[],"financialValues":[],"error":null,"description":null,"customValues":[]},"F|^522452-80EV to Forward RevenueFY06/03/2024EUR":{"id":6650,"headerValues":[],"financialValues":[],"error":null,"description":null,"customValues":[]},"F|^496329-85EV to Forward EBITFY06/03/2024EUR":{"id":6652,"headerValues":[],"financialValues":[],"error":null,"description":null,"customValues":[]},"F|^522345-25Total RevenueFY2023YEUR":{"id":6653,"headerValues":[],"financialValues":[],"error":null,"description":null,"customValues":[]},"F|^518135-86EV to EBITFY2023YEUR":{"id":6655,"headerValues":[],"financialValues":[],"error":null,"description":null,"customValues":[]},"F|^501896-44EV to Forward RevenueFY06/03/2024EUR":{"id":6656,"headerValues":[],"financialValues":[],"error":null,"description":null,"customValues":[]},"F|^535343-41EV to EBITFY2023YEUR":{"id":6657,"headerValues":[],"financialValues":[],"error":null,"description":null,"customValues":[]},"F|^57624-85EV to EBITDAFY2023YEUR":{"id":6658,"headerValues":[],"financialValues":[],"error":null,"description":null,"customValues":[]},"F|^496446-58EV to Forward EBITDAFY06/03/2024EUR":{"id":6659,"headerValues":[],"financialValues":[],"error":null,"description":null,"customValues":[]},"F|^522452-80Total RevenueFY2023YEUR":{"id":6662,"headerValues":[],"financialValues":[],"error":null,"description":null,"customValues":[]},"F|^522452-80EV to EBITDAFY2023YEUR":{"id":6663,"headerValues":[],"financialValues":[],"error":null,"description":null,"customValues":[]},"F|^501896-44EV to EBITFY2023YEUR":{"id":6664,"headerValues":[],"financialValues":[],"error":null,"description":null,"customValues":[]},"F|^166203-73Total RevenueFY2023YEUR":{"id":6666,"headerValues":[],"financialValues":[],"error":null,"description":null,"customValues":[]},"F|^496329-85EV to Forward RevenueFY06/03/2024EUR":{"id":6669,"headerValues":[],"financialValues":[],"error":null,"description":null,"customValues":[]},"F|^501896-44EV to Forward EBITDAFY06/03/2024EUR":{"id":6670,"headerValues":[],"financialValues":[],"error":null,"description":null,"customValues":[]},"F|^541340-65EV to Forward EBITFY06/03/2024EUR":{"id":6671,"headerValues":[],"financialValues":[],"error":null,"description":null,"customValues":[]},"F|^11049-76EV to EBITDAFY2023YEUR":{"id":6672,"headerValues":[],"financialValues":[],"error":null,"description":null,"customValues":[]},"F|^11049-76Total RevenueFY2023YEUR":{"id":6673,"headerValues":[],"financialValues":[],"error":null,"description":null,"customValues":[]},"F|^496446-58EV to Forward RevenueFY06/03/2024EUR":{"id":6674,"headerValues":[],"financialValues":[],"error":null,"description":null,"customValues":[]},"F|^496329-85EV to Forward EBITDAFY06/03/2024EUR":{"id":6675,"headerValues":[],"financialValues":[],"error":null,"description":null,"customValues":[]},"F|^496446-58EV to Forward EBITFY06/03/2024EUR":{"id":6680,"headerValues":[],"financialValues":[],"error":null,"description":null,"customValues":[]},"F|^518135-86EV to Forward EBITFY06/03/2024EUR":{"id":6682,"headerValues":[],"financialValues":[],"error":null,"description":null,"customValues":[]},"F|^522345-25EV to Forward EBITDAFY06/03/2024EUR":{"id":6683,"headerValues":[],"financialValues":[],"error":null,"description":null,"customValues":[]},"F|^522345-25EV to Forward RevenueFY06/03/2024EUR":{"id":6685,"headerValues":[],"financialValues":[],"error":null,"description":null,"customValues":[]},"F|^535343-41EV to Forward EBITDAFY06/03/2024EUR":{"id":6693,"headerValues":[],"financialValues":[],"error":null,"description":null,"customValues":[]},"F|^522452-80EV to Forward EBITDAFY06/03/2024EUR":{"id":6694,"headerValues":[],"financialValues":[],"error":null,"description":null,"customValues":[]},"F|^308309-77EV to EBITDAFY2023YEUR":{"id":6695,"headerValues":[],"financialValues":[],"error":null,"description":null,"customValues":[]},"F|^482544-55EV to Forward EBITFY06/03/2024EUR":{"id":6697,"headerValues":[],"financialValues":[],"error":null,"description":null,"customValues":[]},"F|^518135-86EV to Forward EBITDAFY06/03/2024EUR":{"id":6698,"headerValues":[],"financialValues":[],"error":null,"description":null,"customValues":[]},"F|^496329-85Total RevenueFY2023YEUR":{"id":6703,"headerValues":[],"financialValues":[],"error":null,"description":null,"customValues":[]},"F|^143918-38Total RevenueFY2023YEUR":{"id":6704,"headerValues":[],"financialValues":[],"error":null,"description":null,"customValues":[]},"F|^518135-86EV to EBITDAFY2023YEUR":{"id":6705,"headerValues":[],"financialValues":[],"error":null,"description":null,"customValues":[]},"F|^535343-41EV to EBITDAFY2023YEUR":{"id":6707,"headerValues":[],"financialValues":[],"error":null,"description":null,"customValues":[]},"F|^482544-55EV to Forward EBITDAFY06/03/2024EUR":{"id":6708,"headerValues":[],"financialValues":[],"error":null,"description":null,"customValues":[]},"F|^501417-28Total RevenueFY2023YEUR":{"id":6710,"headerValues":[],"financialValues":[],"error":null,"description":null,"customValues":[]},"F|^529798-24Total RevenueFY2023YEUR":{"id":6712,"headerValues":[],"financialValues":[],"error":null,"description":null,"customValues":[]},"F|^501896-44Total RevenueFY2023YEUR":{"id":6715,"headerValues":[],"financialValues":[],"error":null,"description":null,"customValues":[]},"F|^57624-85Total RevenueFY2023YEUR":{"id":6716,"headerValues":[],"financialValues":[],"error":null,"description":null,"customValues":[]},"F|^529798-24EV to EBITDAFY2023YEUR":{"id":6718,"headerValues":[],"financialValues":[],"error":null,"description":null,"customValues":[]},"F|^496446-58Total RevenueFY2023YEUR":{"id":6719,"headerValues":[],"financialValues":[],"error":null,"description":null,"customValues":[]},"F|^522345-25EV to Forward EBITFY06/03/2024EUR":{"id":6720,"headerValues":[],"financialValues":[],"error":null,"description":null,"customValues":[]},"F|^482544-55Total RevenueFY2023YEUR":{"id":6723,"headerValues":[],"financialValues":[],"error":null,"description":null,"customValues":[]},"F|^42849-73Total RevenueFY2023YEUR":{"id":6727,"headerValues":[],"financialValues":[],"error":null,"description":null,"customValues":[]},"F|^61827-49Total RevenueFY2023YEUR":{"id":6728,"headerValues":[],"financialValues":[],"error":null,"description":null,"customValues":[]},"F|^42849-73EV to EBITDAFY2023YEUR":{"id":6729,"headerValues":[],"financialValues":[],"error":null,"description":null,"customValues":[]},"F|^496446-58EV to EBITDAFY2023YEUR":{"id":6730,"headerValues":[],"financialValues":[],"error":null,"description":null,"customValues":[]},"F|^482544-55EV to EBITDAFY2023YEUR":{"id":6731,"headerValues":[],"financialValues":[],"error":null,"description":null,"customValues":[]},"F|^522345-25EV to EBITDAFY2023YEUR":{"id":6734,"headerValues":[],"financialValues":[],"error":null,"description":null,"customValues":[]},"F|^501896-44EV to EBITDAFY2023YEUR":{"id":6735,"headerValues":[],"financialValues":[],"error":null,"description":null,"customValues":[]},"F|^61827-49EV to EBITDAFY2023YEUR":{"id":6737,"headerValues":[],"financialValues":[],"error":null,"description":null,"customValues":[]},"F|^55470-52EV to EBITDAFY2023YEUR":{"id":6738,"headerValues":[],"financialValues":[],"error":null,"description":null,"customValues":[]},"F|^308309-77Total RevenueFY2023YEUR":{"id":6739,"headerValues":[],"financialValues":[],"error":null,"description":null,"customValues":[]},"F|^501417-28EV to EBITDAFY2023YEUR":{"id":6740,"headerValues":[],"financialValues":[],"error":null,"description":null,"customValues":[]},"F|^541340-65Total RevenueFY2023YEUR":{"id":6742,"headerValues":[],"financialValues":[],"error":null,"description":null,"customValues":[]},"F|^496329-85EV to EBITDAFY2023YEUR":{"id":6743,"headerValues":[],"financialValues":[],"error":null,"description":null,"customValues":[]},"F|^166203-73EV to EBITDAFY2023YEUR":{"id":6744,"headerValues":[],"financialValues":[],"error":null,"description":null,"customValues":[]},"F|^518135-86Total RevenueFY2023YEUR":{"id":6746,"headerValues":[],"financialValues":[],"error":null,"description":null,"customValues":[]},"F|^541340-65EV to EBITDAFY2023YEUR":{"id":6747,"headerValues":[],"financialValues":[],"error":null,"description":null,"customValues":[]},"F|^535343-41Total RevenueFY2023YEUR":{"id":6748,"headerValues":[],"financialValues":[],"error":null,"description":null,"customValues":[]},"F|^143918-38EV to EBITDAFY2023YEUR":{"id":6749,"headerValues":[],"financialValues":[],"error":null,"description":null,"customValues":[]},"F|^496329-85EV to EBITDATTM06/03/2024EURr":{"id":5677,"headerValues":[],"financialValues":[],"error":null,"description":null,"customValues":[]},"F|^522345-25EV to EBITDATTM06/03/2024EURr":{"id":5678,"headerValues":[],"financialValues":[],"error":null,"description":null,"customValues":[]},"F|^496446-58EV to EBITDATTM06/03/2024EURr":{"id":5682,"headerValues":[],"financialValues":[],"error":null,"description":null,"customValues":[]},"F|^522452-80EV to EBITDATTM06/03/2024EURr":{"id":5691,"headerValues":[],"financialValues":[],"error":null,"description":null,"customValues":[]},"F|^535343-41EV to EBITDATTM06/03/2024EURr":{"id":5693,"headerValues":[],"financialValues":[],"error":null,"description":null,"customValues":[]},"F|^501896-44EV to EBITDATTM06/03/2024EURr":{"id":5694,"headerValues":[],"financialValues":[],"error":null,"description":null,"customValues":[]},"F|^482544-55EV to EBITDATTM06/03/2024EURr":{"id":5696,"headerValues":[],"financialValues":[],"error":null,"description":null,"customValues":[]},"F|^518135-86EV to EBITDATTM06/03/2024EURr":{"id":5697,"headerValues":[],"financialValues":[],"error":null,"description":null,"customValues":[]},"F|^63572-86EV to EBITDATTM06/03/2024EURr":{"id":5700,"headerValues":[],"financialValues":[],"error":null,"description":null,"customValues":[]},"F|^5</t>
  </si>
  <si>
    <t>41340-65EV to EBITDATTM06/03/2024EURr":{"id":5701,"headerValues":[],"financialValues":[],"error":null,"description":null,"customValues":[]},"F|^535343-41EV to EBITDATTM12/06/2023EURr":{"id":5706,"headerValues":[],"financialValues":[],"error":null,"description":null,"customValues":[]},"F|^541340-65EV to EBITDATTM12/06/2023EURr":{"id":5708,"headerValues":[],"financialValues":[],"error":null,"description":null,"customValues":[]},"F|^496446-58EV to EBITDATTM12/06/2023EURr":{"id":5712,"headerValues":[],"financialValues":[],"error":null,"description":null,"customValues":[]},"F|^63572-86EV to EBITDATTM12/06/2023EURr":{"id":5715,"headerValues":[],"financialValues":[],"error":null,"description":null,"customValues":[]},"F|^522452-80EV to EBITDATTM12/06/2023EURr":{"id":5718,"headerValues":[],"financialValues":[],"error":null,"description":null,"customValues":[]},"F|^522345-25EV to EBITDATTM12/06/2023EURr":{"id":5720,"headerValues":[],"financialValues":[],"error":null,"description":null,"customValues":[]},"F|^496329-85EV to EBITDATTM12/06/2023EURr":{"id":5723,"headerValues":[],"financialValues":[],"error":null,"description":null,"customValues":[]},"F|^482544-55EV to EBITDATTM12/06/2023EURr":{"id":5725,"headerValues":[],"financialValues":[],"error":null,"description":null,"customValues":[]},"F|^518135-86EV to EBITDATTM12/06/2023EURr":{"id":5727,"headerValues":[],"financialValues":[],"error":null,"description":null,"customValues":[]},"F|^501896-44EV to EBITDATTM12/06/2023EURr":{"id":5728,"headerValues":[],"financialValues":[],"error":null,"description":null,"customValues":[]},"F|^63572-86EV to EBITDATTM06/09/2023EURr":{"id":5729,"headerValues":[],"financialValues":[],"error":null,"description":null,"customValues":[]},"F|^535343-41EV to EBITDATTM06/09/2023EURr":{"id":5730,"headerValues":[],"financialValues":[],"error":null,"description":null,"customValues":[]},"F|^541340-65EV to EBITDATTM06/09/2023EURr":{"id":5732,"headerValues":[],"financialValues":[],"error":null,"description":null,"customValues":[]},"F|^518135-86EV to EBITDATTM06/09/2023EURr":{"id":5733,"headerValues":[],"financialValues":[],"error":null,"description":null,"customValues":[]},"F|^63572-86EV to EBITDATTM12/11/2022EURr":{"id":5735,"headerValues":[],"financialValues":[],"error":null,"description":null,"customValues":[]},"F|^496446-58EV to EBITDATTM06/09/2023EURr":{"id":5736,"headerValues":[],"financialValues":[],"error":null,"description":null,"customValues":[]},"F|^496329-85EV to EBITDATTM06/09/2023EURr":{"id":5739,"headerValues":[],"financialValues":[],"error":null,"description":null,"customValues":[]},"F|^501896-44EV to EBITDATTM06/09/2023EURr":{"id":5743,"headerValues":[],"financialValues":[],"error":null,"description":null,"customValues":[]},"F|^522345-25EV to EBITDATTM06/09/2023EURr":{"id":5746,"headerValues":[],"financialValues":[],"error":null,"description":null,"customValues":[]},"F|^522452-80EV to EBITDATTM06/09/2023EURr":{"id":5752,"headerValues":[],"financialValues":[],"error":null,"description":null,"customValues":[]},"F|^482544-55EV to EBITDATTM06/09/2023EURr":{"id":5754,"headerValues":[],"financialValues":[],"error":null,"description":null,"customValues":[]},"F|^535343-41EV to EBITDATTM12/11/2022EURr":{"id":5757,"headerValues":[],"financialValues":[],"error":null,"description":null,"customValues":[]},"F|^496446-58EV to EBITDATTM12/11/2022EURr":{"id":5760,"headerValues":[],"financialValues":[],"error":null,"description":null,"customValues":[]},"F|^482544-55EV to EBITDATTM12/11/2022EURr":{"id":5761,"headerValues":[],"financialValues":[],"error":null,"description":null,"customValues":[]},"F|^63572-86EV to EBITDATTM06/14/2022EURr":{"id":5763,"headerValues":[],"financialValues":[],"error":null,"description":null,"customValues":[]},"F|^522452-80EV to EBITDATTM12/11/2022EURr":{"id":5766,"headerValues":[],"financialValues":[],"error":null,"description":null,"customValues":[]},"F|^501896-44EV to EBITDATTM12/11/2022EURr":{"id":5776,"headerValues":[],"financialValues":[],"error":null,"description":null,"customValues":[]},"F|^522345-25EV to EBITDATTM12/11/2022EURr":{"id":5777,"headerValues":[],"financialValues":[],"error":null,"description":null,"customValues":[]},"F|^518135-86EV to EBITDATTM12/11/2022EURr":{"id":5780,"headerValues":[],"financialValues":[],"error":null,"description":null,"customValues":[]},"F|^496329-85EV to EBITDATTM12/11/2022EURr":{"id":5781,"headerValues":[],"financialValues":[],"error":null,"description":null,"customValues":[]},"F|^541340-65EV to EBITDATTM12/11/2022EURr":{"id":5782,"headerValues":[],"financialValues":[],"error":null,"description":null,"customValues":[]},"F|^522345-25EV to EBITDATTM06/14/2022EURr":{"id":5787,"headerValues":[],"financialValues":[],"error":null,"description":null,"customValues":[]},"F|^63572-86EV to EBITDATTM12/16/2021EURr":{"id":5794,"headerValues":[],"financialValues":[],"error":null,"description":null,"customValues":[]},"F|^535343-41EV to EBITDATTM06/14/2022EURr":{"id":5795,"headerValues":[],"financialValues":[],"error":null,"description":null,"customValues":[]},"F|^522452-80EV to EBITDATTM06/14/2022EURr":{"id":5798,"headerValues":[],"financialValues":[],"error":null,"description":null,"customValues":[]},"F|^518135-86EV to EBITDATTM06/14/2022EURr":{"id":5803,"headerValues":[],"financialValues":[],"error":null,"description":null,"customValues":[]},"F|^541340-65EV to EBITDATTM06/14/2022EURr":{"id":5804,"headerValues":[],"financialValues":[],"error":null,"description":null,"customValues":[]},"F|^482544-55EV to EBITDATTM06/14/2022EURr":{"id":5805,"headerValues":[],"financialValues":[],"error":null,"description":null,"customValues":[]},"F|^501896-44EV to EBITDATTM06/14/2022EURr":{"id":5807,"headerValues":[],"financialValues":[],"error":null,"description":null,"customValues":[]},"F|^496329-85EV to EBITDATTM06/14/2022EURr":{"id":5808,"headerValues":[],"financialValues":[],"error":null,"description":null,"customValues":[]},"F|^496446-58EV to EBITDATTM06/14/2022EURr":{"id":5809,"headerValues":[],"financialValues":[],"error":null,"description":null,"customValues":[]},"F|^522345-25EV to EBITDATTM12/16/2021EURr":{"id":5814,"headerValues":[],"financialValues":[],"error":null,"description":null,"customValues":[]},"F|^501896-44EV to EBITDATTM12/16/2021EURr":{"id":5818,"headerValues":[],"financialValues":[],"error":null,"description":null,"customValues":[]},"F|^535343-41EV to EBITDATTM12/16/2021EURr":{"id":5819,"headerValues":[],"financialValues":[],"error":null,"description":null,"customValues":[]},"F|^496446-58EV to EBITDATTM12/16/2021EURr":{"id":5820,"headerValues":[],"financialValues":[],"error":null,"description":null,"customValues":[]},"F|^518135-86EV to EBITDATTM12/16/2021EURr":{"id":5824,"headerValues":[],"financialValues":[],"error":null,"description":null,"customValues":[]},"F|^522452-80EV to EBITDATTM12/16/2021EURr":{"id":5829,"headerValues":[],"financialValues":[],"error":null,"description":null,"customValues":[]},"F|^63572-86EV to EBITDATTM06/19/2021EURr":{"id":5831,"headerValues":[],"financialValues":[],"error":null,"description":null,"customValues":[]},"F|^541340-65EV to EBITDATTM12/16/2021EURr":{"id":5832,"headerValues":[],"financialValues":[],"error":null,"description":null,"customValues":[]},"F|^482544-55EV to EBITDATTM12/16/2021EURr":{"id":5835,"headerValues":[],"financialValues":[],"error":null,"description":null,"customValues":[]},"F|^496329-85EV to EBITDATTM12/16/2021EURr":{"id":5837,"headerValues":[],"financialValues":[],"error":null,"description":null,"customValues":[]},"F|^63572-86EV to EBITDATTM12/21/2020EURr":{"id":5840,"headerValues":[],"financialValues":[],"error":null,"description":null,"customValues":[]},"F|^522452-80EV to EBITDATTM06/19/2021EURr":{"id":5843,"headerValues":[],"financialValues":[],"error":null,"description":null,"customValues":[]},"F|^496446-58EV to EBITDATTM06/19/2021EURr":{"id":5845,"headerValues":[],"financialValues":[],"error":null,"description":null,"customValues":[]},"F|^535343-41EV to EBITDATTM06/19/2021EURr":{"id":5847,"headerValues":[],"financialValues":[],"error":null,"description":null,"customValues":[]},"F|^501896-44EV to EBITDATTM06/19/2021EURr":{"id":5850,"headerValues":[],"financialValues":[],"error":null,"description":null,"customValues":[]},"F|^518135-86EV to EBITDATTM06/19/2021EURr":{"id":5853,"headerValues":[],"financialValues":[],"error":null,"description":null,"customValues":[]},"F|^496329-85EV to EBITDATTM06/19/2021EURr":{"id":5855,"headerValues":[],"financialValues":[],"error":null,"description":null,"customValues":[]},"F|^482544-55EV to EBITDATTM06/19/2021EURr":{"id":5856,"headerValues":[],"financialValues":[],"error":null,"description":null,"customValues":[]},"F|^541340-65EV to EBITDATTM06/19/2021EURr":{"id":5862,"headerValues":[],"financialValues":[],"error":null,"description":null,"customValues":[]},"F|^522345-25EV to EBITDATTM06/19/2021EURr":{"id":5863,"headerValues":[],"financialValues":[],"error":null,"description":null,"customValues":[]},"F|^518135-86EV to EBITDATTM12/21/2020EURr":{"id":5865,"headerValues":[],"financialValues":[],"error":null,"description":null,"customValues":[]},"F|^535343-41EV to EBITDATTM12/21/2020EURr":{"id":5867,"headerValues":[],"financialValues":[],"error":null,"description":null,"customValues":[]},"F|^541340-65EV to EBITDATTM12/21/2020EURr":{"id":5875,"headerValues":[],"financialValues":[],"error":null,"description":null,"customValues":[]},"F|^496329-85EV to EBITDATTM12/21/2020EURr":{"id":5876,"headerValues":[],"financialValues":[],"error":null,"description":null,"customValues":[]},"F|^496446-58EV to EBITDATTM12/21/2020EURr":{"id":5879,"headerValues":[],"financialValues":[],"error":null,"description":null,"customValues":[]},"F|^482544-55EV to EBITDATTM12/21/2020EURr":{"id":5882,"headerValues":[],"financialValues":[],"error":null,"description":null,"customValues":[]},"F|^522452-80EV to EBITDATTM12/21/2020EURr":{"id":5883,"headerValues":[],"financialValues":[],"error":null,"description":null,"customValues":[]},"F|^522345-25EV to EBITDATTM12/21/2020EURr":{"id":5890,"headerValues":[],"financialValues":[],"error":null,"description":null,"customValues":[]},"F|^501896-44EV to EBITDATTM12/21/2020EURr":{"id":5891,"headerValues":[],"financialValues":[],"error":null,"description":null,"customValues":[]},"F|^522345-25EV to EBITDATTM06/24/2020EURr":{"id":5895,"headerValues":[],"financialValues":[],"error":null,"description":null,"customValues":[]},"F|^482544-55EV to EBITDATTM06/24/2020EURr":{"id":5902,"headerValues":[],"financialValues":[],"error":null,"description":null,"customValues":[]},"F|^496329-85EV to EBITDATTM06/24/2020EURr":{"id":5904,"headerValues":[],"financialValues":[],"error":null,"description":null,"customValues":[]},"F|^522452-80EV to EBITDATTM06/24/2020EURr":{"id":5905,"headerValues":[],"financialValues":[],"error":null,"description":null,"customValues":[]},"F|^518135-86EV to EBITDATTM06/24/2020EURr":{"id":5908,"headerValues":[],"financialValues":[],"error":null,"description":null,"customValues":[]},"F|^541340-65EV to EBITDATTM06/24/2020EURr":{"id":5910,"headerValues":[],"financialValues":[],"error":null,"description":null,"customValues":[]},"F|^501896-44EV to EBITDATTM06/24/2020EURr":{"id":5912,"headerValues":[],"financialValues":[],"error":null,"description":null,"customValues":[]},"F|^496446-58EV to EBITDATTM06/24/2020EURr":{"id":5913,"headerValues":[],"financialValues":[],"error":null,"description":null,"customValues":[]},"F|^535343-41EV to EBITDATTM06/24/2020EURr":{"id":5915,"headerValues":[],"financialValues":[],"error":null,"description":null,"customValues":[]},"F|^535343-41EV to EBITDATTM12/27/2019EURr":{"id":5921,"headerValues":[],"financialValues":[],"error":null,"description":null,"customValues":[]},"F|^522452-80EV to EBITDATTM12/27/2019EURr":{"id":5924,"headerValues":[],"financialValues":[],"error":null,"description":null,"customValues":[]},"F|^496446-58EV to EBITDATTM12/27/2019EURr":{"id":5926,"headerValues":[],"financialValues":[],"error":null,"description":null,"customValues":[]},"F|^541340-65EV to EBITDATTM12/27/2019EURr":{"id":5932,"headerValues":[],"financialValues":[],"error":null,"description":null,"customValues":[]},"F|^482544-55EV to EBITDATTM12/27/2019EURr":{"id":5939,"headerValues":[],"financialValues":[],"error":null,"description":null,"customValues":[]},"F|^522345-25EV to EBITDATTM12/27/2019EURr":{"id":5941,"headerValues":[],"financialValues":[],"error":null,"description":null,"customValues":[]},"F|^496329-85EV to EBITDATTM12/27/2019EURr":{"id":5942,"headerValues":[],"financialValues":[],"error":null,"description":null,"customValues":[]},"F|^501896-44EV to EBITDATTM12/27/2019EURr":{"id":5943,"headerValues":[],"financialValues":[],"error":null,"description":null,"customValues":[]},"F|^518135-86EV to EBITDATTM12/27/2019EURr":{"id":5945,"headerValues":[],"financialValues":[],"error":null,"description":null,"customValues":[]},"F|^522345-25EV to EBITDATTM06/30/2019EURr":{"id":5949,"headerValues":[],"financialValues":[],"error":null,"description":null,"customValues":[]},"F|^522452-80EV to EBITDATTM06/30/2019EURr":{"id":5952,"headerValues":[],"financialValues":[],"error":null,"description":null,"customValues":[]},"F|^541340-65EV to EBITDATTM06/30/2019EURr":{"id":5953,"headerValues":[],"financialValues":[],"error":null,"description":null,"customValues":[]},"F|^496446-58EV to EBITDATTM06/30/2019EURr":{"id":5955,"headerValues":[],"financialValues":[],"error":null,"description":null,"customValues":[]},"F|^501896-44EV to EBITDATTM06/30/2019EURr":{"id":5956,"headerValues":[],"financialValues":[],"error":null,"description":null,"customValues":[]},"F|^496329-85EV to EBITDATTM06/30/2019EURr":{"id":5960,"headerValues":[],"financialValues":[],"error":null,"description":null,"customValues":[]},"F|^535343-41EV to EBITDATTM06/30/2019EURr":{"id":5962,"headerValues":[],"financialValues":[],"error":null,"description":null,"customValues":[]},"F|^518135-86EV to EBITDATTM06/30/2019EURr":{"id":5969,"headerValues":[],"financialValues":[],"error":null,"description":null,"customValues":[]},"F|^482544-55EV to EBITDATTM06/30/2019EURr":{"id":5971,"headerValues":[],"financialValues":[],"error":null,"description":null,"customValues":[]},"F|^522345-25EV to EBITDATTM01/01/2019EURr":{"id":5978,"headerValues":[],"financialValues":[],"error":null,"description":null,"customValues":[]},"F|^535343-41EV to EBITDATTM01/01/2019EURr":{"id":5979,"headerValues":[],"financialValues":[],"error":null,"description":null,"customValues":[]},"F|^541340-65EV to EBITDATTM01/01/2019EURr":{"id":5980,"headerValues":[],"financialValues":[],"error":null,"description":null,"customValues":[]},"F|^501896-44EV to EBITDATTM01/01/2019EURr":{"id":5982,"headerValues":[],"financialValues":[],"error":null,"description":null,"customValues":[]},"F|^522452-80EV to EBITDATTM01/01/2019EURr":{"id":5987,"headerValues":[],"financialValues":[],"error":null,"description":null,"customValues":[]},"F|^518135-86EV to EBITDATTM01/01/2019EURr":{"id":5995,"headerValues":[],"financialValues":[],"error":null,"description":null,"customValues":[]},"F|^496329-85EV to EBITDATTM01/01/2019EURr":{"id":5996,"headerValues":[],"financialValues":[],"error":null,"description":null,"customValues":[]},"F|^496446-58EV to EBITDATTM01/01/2019EURr":{"id":5997,"headerValues":[],"financialValues":[],"error":null,"description":null,"customValues":[]},"F|^482544-55EV to EBITDATTM01/01/2019EURr":{"id":5999,"headerValues":[],"financialValues":[],"error":null,"description":null,"customValues":[]},"F|^522452-80EV to EBITDATTM07/05/2018EURr":{"id":6001,"headerValues":[],"financialValues":[],"error":null,"description":null,"customValues":[]},"F|^541340-65EV to EBITDATTM07/05/2018EURr":{"id":6004,"headerValues":[],"financialValues":[],"error":null,"description":null,"customValues":[]},"F|^522345-25EV to EBITDATTM07/05/2018EURr":{"id":6008,"headerValues":[],"financialValues":[],"error":null,"description":null,"customValues":[]},"F|^496446-58EV to EBITDATTM07/05/2018EURr":{"id":6009,"headerValues":[],"financialValues":[],"error":null,"description":null,"customValues":[]},"F|^535343-41EV to EBITDATTM07/05/2018EURr":{"id":6010,"headerValues":[],"financialValues":[],"error":null,"description":null,"customValues":[]},"F|^482544-55EV to EBITDATTM07/05/2018EURr":{"id":6016,"headerValues":[],"financialValues":[],"error":null,"description":null,"customValues":[]},"F|^501896-44EV to EBITDATTM07/05/2018EURr":{"id":6017,"headerValues":[],"financialValues":[],"error":null,"description":null,"customValues":[]},"F|^518135-86EV to EBITDATTM07/05/2018EURr":{"id":6024,"headerValues":[],"financialValues":[],"error":null,"description":null,"customValues":[]},"F|^496329-85EV to EBITDATTM07/05/2018EURr":{"id":6025,"headerValues":[],"financialValues":[],"error":null,"description":null,"customValues":[]},"F|^535343-41EV to EBITDATTM01/06/2018EURr":{"id":6028,"headerValues":[],"financialValues":[],"error":null,"description":null,"customValues":[]},"F|^518135-86EV to EBITDATTM01/06/2018EURr":{"id":6033,"headerValues":[],"financialValues":[],"error":null,"description":null,"customValues":[]},"F|^496446-58EV to EBITDATTM01/06/2018EURr":{"id":6037,"headerValues":[],"financialValues":[],"error":null,"description":null,"customValues":[]},"F|^522345-25EV to EBITDATTM01/06/2018EURr":{"id":6038,"headerValues":[],"financialValues":[],"error":null,"description":null,"customValues":[]},"F|^496329-85EV to EBITDATTM01/06/2018EURr":{"id":6044,"headerValues":[],"financialValues":[],"error":null,"description":null,"customValues":[]},"F|^522452-80EV to EBITDATTM01/06/2018EURr":{"id":6048,"headerValues":[],"financialValues":[],"error":null,"description":null,"customValues":[]},"F|^501896-44EV to EBITDATTM01/06/2018EURr":{"id":6049,"headerValues":[],"financialValues":[],"error":null,"description":null,"customValues":[]},"F|^482544-55EV to EBITDATTM01/06/2018EURr":{"id":6051,"headerValues":[],"financialValues":[],"error":null,"description":null,"customValues":[]},"F|^541340-65EV to EBITDATTM01/06/2018EURr":{"id":6052,"headerValues":[],"financialValues":[],"error":null,"description":null,"customValues":[]},"F|^535343-41EV to EBITDATTM07/10/2017EURr":{"id":6055,"headerValues":[],"financialValues":[],"error":null,"description":null,"customValues":[]},"F|^518135-86EV to EBITDATTM07/10/2017EURr":{"id":6057,"headerValues":[],"financialValues":[],"error":null,"description":null,"customValues":[]},"F|^496446-58EV to EBITDATTM07/10/2017EURr":{"id":6059,"headerValues":[],"financialValues":[],"error":null,"description":null,"customValues":[]},"F|^541340-65EV to EBITDATTM07/10/2017EURr":{"id":6060,"headerValues":[],"financialValues":[],"error":null,"description":null,"customValues":[]},"F|^522345-25EV to EBITDATTM07/10/2017EURr":{"id":6063,"headerValues":[],"financialValues":[],"error":null,"description":null,"customValues":[]},"F|^482544-55EV to EBITDATTM07/10/2017EURr":{"id":6069,"headerValues":[],"financialValues":[],"error":null,"description":null,"customValues":[]},"F|^501896-44EV to EBITDATTM07/10/2017EURr":{"id":6072,"headerValues":[],"financialValues":[],"error":null,"description":null,"customValues":[]},"F|^496329-85EV to EBITDATTM07/10/2017EURr":{"id":6075,"headerValues":[],"financialValues":[],"error":null,"description":null,"customValues":[]},"F|^522452-80EV to EBITDATTM07/10/2017EURr":{"id":6080,"headerValues":[],"financialValues":[],"error":null,"description":null,"customValues":[]},"F|^518135-86EV to EBITDATTM01/11/2017EURr":{"id":6081,"headerValues":[],"financialValues":[],"error":null,"description":null,"customValues":[]},"F|^501896-44EV to EBITDATTM01/11/2017EURr":{"id":6086,"headerValues":[],"financialValues":[],"error":null,"description":null,"customValues":[]},"F|^535343-41EV to EBITDATTM01/11/2017EURr":{"id":6088,"headerValues":[],"financialValues":[],"error":null,"description":null,"customValues":[]},"F|^522345-25EV to EBITDATTM01/11/2017EURr":{"id":6093,"headerValues":[],"financialValues":[],"error":null,"description":null,"customValues":[]},"F|^496446-58EV to EBITDATTM01/11/2017EURr":{"id":6096,"headerValues":[],"financialValues":[],"error":null,"description":null,"customValues":[]},"F|^496329-85EV to EBITDATTM01/11/2017EURr":{"id":6102,"headerValues":[],"financialValues":[],"error":null,"description":null,"customValues":[]},"F|^541340-65EV to EBITDATTM01/11/2017EURr":{"id":6103,"headerValues":[],"financialValues":[],"error":null,"description":null,"customValues":[]},"F|^482544-55EV to EBITDATTM01/11/2017EURr":{"id":6106,"headerValues":[],"financialValues":[],"error":null,"description":null,"customValues":[]},"F|^522452-80EV to EBITDATTM01/11/2017EURr":{"id":6107,"headerValues":[],"financialValues":[],"error":null,"description":null,"customValues":[]},"F|^522452-80EV to EBITDATTM07/15/2016EURr":{"id":6113,"headerValues":[],"financialValues":[],"error":null,"description":null,"customValues":[]},"F|^518135-86EV to EBITDATTM07/15/2016EURr":{"id":6114,"headerValues":[],"financialValues":[],"error":null,"description":null,"customValues":[]},"F|^496446-58EV to EBITDATTM07/15/2016EURr":{"id":6117,"headerValues":[],"financialValues":[],"error":null,"description":null,"customValues":[]},"F|^522345-25EV to EBITDATTM07/15/2016EURr":{"id":6118,"headerValues":[],"financialValues":[],"error":null,"description":null,"customValues":[]},"F|^482544-55EV to EBITDATTM07/15/2016EURr":{"id":6123,"headerValues":[],"financialValues":[],"error":null,"description":null,"customValues":[]},"F|^541340-65EV to EBITDATTM07/15/2016EURr":{"id":6126,"headerValues":[],"financialValues":[],"error":null,"description":null,"customValues":[]},"F|^535343-41EV to EBITDATTM07/15/2016EURr":{"id":6127,"headerValues":[],"financialValues":[],"error":null,"description":null,"customValues":[]},"F|^501896-44EV to EBITDATTM07/15/2016EURr":{"id":6128,"headerValues":[],"financialValues":[],"error":null,"description":null,"customValues":[]},"F|^496329-85EV to EBITDATTM07/15/2016EURr":{"id":6131,"headerValues":[],"financialValues":[],"error":null,"description":null,"customValues":[]},"F|^522345-25EV to EBITDATTM01/17/2016EURr":{"id":6137,"headerValues":[],"financialValues":[],"error":null,"description":null,"customValues":[]},"F|^496446-58EV to EBITDATTM01/17/2016EURr":{"id":6138,"headerValues":[],"financialValues":[],"error":null,"description":null,"customValues":[]},"F|^522452-80EV to EBITDATTM01/17/2016EURr":{"id":6141,"headerValues":[],"financialValues":[],"error":null,"description":null,"customValues":[]},"F|^541340-65EV to EBITDATTM01/17/2016EURr":{"id":6143,"headerValues":[],"financialValues":[],"error":null,"description":null,"customValues":[]},"D|^143918-38HQ CityEUR":{"r":[["Nottingham"]],"a":["Multiple!Q26"]},"D|^159758-47HQ CityEUR":{"r":[["Malmo"]],"a":["Multiple!Q28"]},"D|^226947-16HQ Country":{"r":[["United Kingdom"]],"a":["Multiple!P25"]},"D|^42849-73HQ CityEUR":{"r":[["Askim"]],"a":["Multiple!Q27"]},"D|^143918-38HQ Country":{"r":[["United Kingdom"]],"a":["Multiple!P26"]},"D|^159758-47HQ Country":{"r":[["Sweden"]],"a":["Multiple!P28"]},"D|^226947-16HQ CityEUR":{"r":[["London"]],"a":["Multiple!Q25"]},"D|^501417-28HQ CityEUR":{"r":[["Budapest"]],"a":["Multiple!Q31"]},"D|^482544-55HQ Country":{"r":[["France"]],"a":["Multiple!P33"]},"D|^529798-24HQ Country":{"r":[["Finland"]],"a":["Multiple!P30"]},"D|^42849-73HQ Country":{"r":[["Sweden"]],"a":["Multiple!P27"]},"D|^55470-52HQ CityEUR":{"r":[["Le Châble"]],"a":["Multiple!Q29"]},"D|^55470-52HQ Country":{"r":[["Switzerland"]],"a":["Multiple!P29"]},"D|^482544-55HQ CityEUR":{"r":[["Paris"]],"a":["Multiple!Q33"]},"D|^61827-49HQ Country":{"r":[["United Kingdom"]],"a":["Multiple!P38"]},"D|^57624-85HQ CityEUR":{"r":[["Saint Agnes"]],"a":["Multiple!Q36"]},"D|^308309-77HQ CityEUR":{"r":[["Sandycroft"]],"a":["Multiple!Q32"]},"D|^529798-24HQ CityEUR":{"r":[["Jyväskylä"]],"a":["Multiple!Q30"]},"D|^63572-86HQ CityEUR":{"r":[["Annecy"]],"a":["Multiple!Q23"]},"D|^63572-86HQ Country":{"r":[["France"]],"a":["Multiple!P23"]},"D|^496329-85HQ CityEUR":{"r":[["Belfast"]],"a":["Multiple!Q34"]},"D|^496446-58HQ CityEUR":{"id":6309,"headerValues":[{"date":null,"value":"","description":null}],"financialValues":[],"error":null,"description":null,"customValues":[]},"D|^11049-76HQ CityEUR":{"r":[["Avesta"]],"a":["Multiple!Q37"]},"D|^61827-49HQ CityEUR":{"r":[["Cardiff"]],"a":["Multiple!Q38"]},"D|^166203-73HQ Country":{"r":[["United Kingdom"]],"a":["Multiple!P35"]},"D|^501417-28HQ Country":{"r":[["Hungary"]],"a":["Multiple!P31"]},"D|^496329-85HQ Country":{"r":[["United Kingdom"]],"a":["Multiple!P34"]},"D|^166203-73HQ CityEUR":{"r":[["Walkerburn"]],"a":["Multiple!Q35"]},"D|^522345-25HQ CityEUR":{"r":[["Hook"]],"a":["Multiple!Q42"]},"D|^541340-65HQ Country":{"r":[["United Kingdom"]],"a":["Multiple!P43"]},"D|^308309-77HQ Country":{"r":[["United Kingdom"]],"a":["Multiple!P32"]},"D|^57624-85HQ Country":{"r":[["United Kingdom"]],"a":["Multiple!P36"]},"D|^535343-41HQ Country":{"r":[["France"]],"a":["Multiple!P39"]},"D|^535343-41HQ CityEUR":{"r":[["Écully"]],"a":["Multiple!Q39"]},"D|^541340-65HQ CityEUR":{"r":[["Thetford"]],"a":["Multiple!Q43"]},"D|^518135-86HQ Country":{"r":[["Italy"]],"a":["Multiple!P40"]},"D|^501896-44HQ CityEUR":{"r":[["Richmond"]],"a":["Multiple!Q44"]},"D|^221614-12HQ CityEUR":{"r":[["Boras"]],"a":["Multiple!Q24"]},"D|^11049-76HQ Country":{"r":[["Sweden"]],"a":["Multiple!P37"]},"D|^518135-86HQ CityEUR":{"r":[["Jesi"]],"a":["Multiple!Q40"]},"D|^501896-44HQ Country":{"r":[["United Kingdom"]],"a":["Multiple!P44"]},"D|^522452-80HQ Country":{"r":[["Ireland"]],"a":["Multiple!P45"]},"D|^496446-58HQ Country":{"r":[["United Kingdom"]],"a":["Multiple!P41"]},"D|^522345-25HQ Country":{"r":[["United Kingdom"]],"a":["Multiple!P42"]},"D|^221614-12HQ Country":{"r":[["Sweden"]],"a":["Multiple!P24"]},"D|^522452-80HQ CityEUR":{"r":[["Kinsale"]],"a":["Multiple!Q45"]},"D|^42849-73NameUSD":{"r":[["Tenson"]],"a":["Multiple!N27"]},"D|^159758-47NameUSD":{"r":[["Polygiene"]],"a":["Multiple!N28"]},"D|^501417-28NameUSD":{"r":[["Pinetime Clothing"]],"a":["Multiple!N31"]},"D|^57624-85NameUSD":{"r":[["Finisterre"]],"a":["Multiple!N36"]},"D|^55470-52NameUSD":{"r":[["Faction (Recreational Goods)"]],"a":["Multiple!N29"]},"D|^63572-86NameUSD":{"r":[["Lafuma"]],"a":["Multiple!N23"]},"D|^308309-77NameUSD":{"r":[["ACAI Outdoorwear"]],"a":["Multiple!N32"]},"D|^482544-55NameUSD":{"r":[["Barooders"]],"a":["Multiple!N33"]},"D|^529798-24NameUSD":{"r":[["Pusu"]],"a":["Multiple!N30"]},"D|^496446-58NameUSD":{"r":[["Proviz"]],"a":["Multiple!N41"]},"D|^11049-76NameUSD":{"r":[["Haglöfs"]],"a":["Multiple!N37"]},"D|^61827-49NameUSD":{"r":[["Jottnar"]],"a":["Multiple!N38"]},"D|^496329-85NameUSD":{"r":[["Club Sport NI"]],"a":["Multiple!N34"]},"D|^166203-73NameUSD":{"r":[["FINDRA"]],"a":["Multiple!N35"]},"D|^535343-41NameUSD":{"r":[["Muule"]],"a":["Multiple!N39"]},"D|^501896-44NameUSD":{"r":[["Vivida Lifestyle"]],"a":["Multiple!N44"]},"D|^518135-86NameUSD":{"r":[["Native to Wear"]],"a":["Multiple!N40"]},"D|^522345-25NameUSD":{"r":[["The Herd Group"]],"a":["Multiple!N42"]},"D|^541340-65NameUSD":{"r":[["Troy London"]],"a":["Multiple!N43"]},"D|^221614-12NameUSD":{"r":[["RevolutionRace"]],"a":["Multiple!N24"]},"D|^522452-80NameUSD":{"r":[["Zirkulu"]],"a":["Multiple!N45"]},"D|^226947-16NameUSD":{"r":[["Perfect Moment"]],"a":["Multiple!N25"]},"D|^143918-38NameUSD":{"r":[["Alpkit"]],"a":["Multiple!N26"]},"D|^226947-16Primary Industry Code":{"r":[["Internet Retail"]],"a":["Multiple!O25"]},"D|^42849-73Primary Industry Code":{"r":[["Clothing"]],"a":["Multiple!O27"]},"D|^55470-52Primary Industry Code":{"r":[["Recreational Goods"]],"a":["Multiple!O29"]},"D|^501417-28Primary Industry Code":{"r":[["Clothing"]],"a":["Multiple!O31"]},"D|^529798-24Primary Industry Code":{"r":[["Clothing"]],"a":["Multiple!O30"]},"D|^496329-85Primary Industry Code":{"r":[["Specialty Retail"]],"a":["Multiple!O34"]},"D|^159758-47Primary Industry Code":{"r":[["Clothing"]],"a":["Multiple!O28"]},"D|^308309-77Primary Industry Code":{"r":[["Clothing"]],"a":["Multiple!O32"]},"D|^63572-86Primary Industry Code":{"r":[["Clothing"]],"a":["Multiple!O23"]},"D|^535343-41Primary Industry Code":{"r":[["Clothing"]],"a":["Multiple!O39"]},"D|^166203-73Primary Industry Code":{"r":[["Clothing"]],"a":["Multiple!O35"]},"D|^57624-85Primary Industry Code":{"r":[["Clothing"]],"a":["Multiple!O36"]},"D|^482544-55Primary Industry Code":{"r":[["Internet Retail"]],"a":["Multiple!O33"]},"D|^518135-86Primary Industry Code":{"r":[["Clothing"]],"a":["Multiple!O40"]},"D|^501896-44Primary Industry Code":{"r":[["Clothing"]],"a":["Multiple!O44"]},"D|^496446-58Primary Industry Code":{"r":[["Specialty Retail"]],"a":["Multiple!O41"]},"D|^11049-76Primary Industry Code":{"r":[["Clothing"]],"a":["Multiple!O37"]},"D|^522452-80Primary Industry Code":{"r":[["Clothing"]],"a":["Multiple!O45"]},"D|^61827-49Primary Industry Code":{"r":[["Clothing"]],"a":["Multiple!O38"]},"D|^522345-25Primary Industry Code":{"r":[["Clothing"]],"a":["Multiple!O42"]},"D|^221614-12Primary Industry Code":{"r":[["Clothing"]],"a":["Multiple!O24"]},"D|^541340-65Primary Industry Code":{"r":[["Clothing"]],"a":["Multiple!O43"]},"D|^143918-38Primary Industry Code":{"r":[["Recreational Goods"]],"a":["Multiple!O26"]},"F|^insert!EV to EBITDATTM06/10/2024EURr":{"id":2,"headerValues":[],"financialValues":[],"error":"PBXLP_ENTITY_ID","description":null,"customValues":[]},"F|^insert!EV to EBITDATTM12/13/2023EURr":{"id":29,"headerValues":[],"financialValues":[],"error":"PBXLP_ENTITY_ID","description":null,"customValues":[]},"F|^insert!EV to EBITDATTM06/16/2023EURr":{"id":56,"headerValues":[],"financialValues":[],"error":"PBXLP_ENTITY_ID","description":null,"customValues":[]},"F|^insert!EV to EBITDATTM12/18/2022EURr":{"id":58,"headerValues":[],"financialValues":[],"error":"PBXLP_ENTITY_ID","description":null,"customValues":[]},"F|^insert!EV to EBITDATTM06/21/2022EURr":{"id":94,"headerValues":[],"financialValues":[],"error":"PBXLP_ENTITY_ID","description":null,"customValues":[]},"F|^insert!EV to EBITDATTM12/23/2021EURr":{"id":131,"headerValues":[],"financialValues":[],"error":"PBXLP_ENTITY_ID","description":null,"customValues":[]},"F|^insert!EV to EBITDATTM06/26/2021EURr":{"id":158,"headerValues":[],"financialValues":[],"error":"PBXLP_ENTITY_ID","description":null,"customValues":[]},"F|^insert!EV to EBITDATTM12/28/2020EURr":{"id":168,"headerValues":[],"financialValues":[],"error":"PBXLP_ENTITY_ID","description":null,"customValues":[]},"F|^insert!EV to EBITDATTM07/01/2020EURr":{"id":196,"headerValues":[],"financialValues":[],"error":"PBXLP_ENTITY_ID","description":null,"customValues":[]},"F|^insert!EV to EBITDATTM01/03/2020EURr":{"id":227,"headerValues":[],"financialValues":[],"error":"PBXLP_ENTITY_ID","description":null,"customValues":[]},"F|^insert!EV to EBITDATTM07/07/2019EURr":{"id":255,"headerValues":[],"financialValues":[],"error":"PBXLP_ENTITY_ID","description":null,"customValues":[]},"F|^insert!EV to EBITDATTM01/08/2019EURr":{"id":287,"headerValues":[],"financialValues":[],"error":"PBXLP_ENTITY_ID","description":null,"customValues":[]},"F|^insert!EV to EBITDATTM07/12/2018EURr":{"id":321,"headerValues":[],"financialValues":[],"error":"PBXLP_ENTITY_ID","description":null,"customValues":[]},"F|^insert!EV to EBITDATTM01/13/2018EURr":{"id":330,"headerValues":[],"financialValues":[],"error":"PBXLP_ENTITY_ID","description":null,"customValues":[]},"F|^insert!EV to EBITDATTM07/17/2017EURr":{"id":360,"headerValues":[],"financialValues":[],"error":"PBXLP_ENTITY_ID","description":null,"customValues":[]},"F|^insert!EV to EBITDATTM01/18/2017EURr":{"id":399,"headerValues":[],"financialValues":[],"error":"PBXLP_ENTITY_ID","description":null,"customValues":[]},"F|^insert!EV to EBITDATTM07/22/2016EURr":{"id":421,"headerValues":[],"financialValues":[],"error":"PBXLP_ENTITY_ID","description":null,"customValues":[]},"F|^insert!EV to EBITDATTM01/24/2016EURr":{"id":447,"headerValues":[],"financialValues":[],"error":"PBXLP_ENTITY_ID","description":null,"customValues":[]},"F|^insert!EV to EBITDATTM07/28/2015EURr":{"id":486,"headerValues":[],"financialValues":[],"error":"PBXLP_ENTITY_ID","description":null,"customValues":[]},"F|^insert!EV to EBITDATTM01/29/2015EURr":{"id":500,"headerValues":[],"financialValues":[],"error":"PBXLP_ENTITY_ID","description":null,"customValues":[]},"F|^insert!EV to EBITDATTM08/02/2014EURr":{"id":536,"headerValues":[],"financialValues":[],"error":"PBXLP_ENTITY_ID","description":null,"customValues":[]},"F|^insert!EV to EBITDATTM02/03/2014EURr":{"id":547,"headerValues":[],"financialValues":[],"error":"PBXLP_ENTITY_ID","description":null,"customValues":[]},"F|^insert!EVTTM06/10/2024EUR":{"id":596,"headerValues":[],"fi</t>
  </si>
  <si>
    <t>nancialValues":[],"error":"PBXLP_ENTITY_ID","description":null,"customValues":[]},"F|^insert!EBITFY06/10/2024EUR":{"id":597,"headerValues":[],"financialValues":[],"error":"PBXLP_ENTITY_ID","description":null,"customValues":[]},"F|^insert!Market CapTTM06/10/2024EUR":{"id":599,"headerValues":[],"financialValues":[],"error":"PBXLP_ENTITY_ID","description":null,"customValues":[]},"F|^insert!EV to RevenueFY06/10/2024EUR":{"id":600,"headerValues":[],"financialValues":[],"error":"PBXLP_ENTITY_ID","description":null,"customValues":[]},"F|^insert!EBITDAFY06/10/2024EUR":{"id":601,"headerValues":[],"financialValues":[],"error":"PBXLP_ENTITY_ID","description":null,"customValues":[]},"F|^insert!NET DebtTTM06/10/2024EUR":{"id":607,"headerValues":[],"financialValues":[],"error":"PBXLP_ENTITY_ID","description":null,"customValues":[]},"F|^insert!EV to Forward RevenueFY06/10/2024EUR":{"id":758,"headerValues":[],"financialValues":[],"error":"PBXLP_ENTITY_ID","description":null,"customValues":[]},"F|^insert!EV to Forward EBITDAFY06/10/2024EUR":{"id":760,"headerValues":[],"financialValues":[],"error":"PBXLP_ENTITY_ID","description":null,"customValues":[]},"F|^insert!EV to Forward EBITFY06/10/2024EUR":{"id":761,"headerValues":[],"financialValues":[],"error":"PBXLP_ENTITY_ID","description":null,"customValues":[]},"F|^insert!Total Debt to EquityTTM06/10/2024EUR":{"id":770,"headerValues":[],"financialValues":[],"error":"PBXLP_ENTITY_ID","description":null,"customValues":[]},"F|^insert!EV to EBITDATTM02/06/2025EURr":{"id":2,"description":null,"headerValues":[],"financialValues":[],"customValues":[],"error":"PBXLP_ENTITY_ID"},"F|^insert!EV to EBITDATTM08/10/2024EURr":{"id":29,"description":null,"headerValues":[],"financialValues":[],"customValues":[],"error":"PBXLP_ENTITY_ID"},"F|^insert!EV to EBITDATTM02/12/2024EURr":{"id":56,"description":null,"headerValues":[],"financialValues":[],"customValues":[],"error":"PBXLP_ENTITY_ID"},"F|^insert!EV to EBITDATTM08/16/2023EURr":{"id":83,"description":null,"headerValues":[],"financialValues":[],"customValues":[],"error":"PBXLP_ENTITY_ID"},"F|^insert!EV to EBITDATTM02/17/2023EURr":{"id":110,"description":null,"headerValues":[],"financialValues":[],"customValues":[],"error":"PBXLP_ENTITY_ID"},"F|^insert!EV to EBITDATTM08/21/2022EURr":{"id":137,"description":null,"headerValues":[],"financialValues":[],"customValues":[],"error":"PBXLP_ENTITY_ID"},"F|^insert!EV to EBITDATTM02/22/2022EURr":{"id":164,"description":null,"headerValues":[],"financialValues":[],"customValues":[],"error":"PBXLP_ENTITY_ID"},"F|^insert!EV to EBITDATTM08/26/2021EURr":{"id":191,"description":null,"headerValues":[],"financialValues":[],"customValues":[],"error":"PBXLP_ENTITY_ID"},"F|^insert!EV to EBITDATTM02/27/2021EURr":{"id":218,"description":null,"headerValues":[],"financialValues":[],"customValues":[],"error":"PBXLP_ENTITY_ID"},"F|^insert!EV to EBITDATTM08/31/2020EURr":{"id":245,"description":null,"headerValues":[],"financialValues":[],"customValues":[],"error":"PBXLP_ENTITY_ID"},"F|^insert!EV to EBITDATTM03/04/2020EURr":{"id":272,"description":null,"headerValues":[],"financialValues":[],"customValues":[],"error":"PBXLP_ENTITY_ID"},"F|^insert!EV to EBITDATTM09/06/2019EURr":{"id":299,"description":null,"headerValues":[],"financialValues":[],"customValues":[],"error":"PBXLP_ENTITY_ID"},"F|^insert!EV to EBITDATTM03/10/2019EURr":{"id":326,"description":null,"headerValues":[],"financialValues":[],"customValues":[],"error":"PBXLP_ENTITY_ID"},"F|^insert!EV to EBITDATTM09/11/2018EURr":{"id":353,"description":null,"headerValues":[],"financialValues":[],"customValues":[],"error":"PBXLP_ENTITY_ID"},"F|^insert!EV to EBITDATTM03/15/2018EURr":{"id":380,"description":null,"headerValues":[],"financialValues":[],"customValues":[],"error":"PBXLP_ENTITY_ID"},"F|^insert!EV to EBITDATTM09/16/2017EURr":{"id":407,"description":null,"headerValues":[],"financialValues":[],"customValues":[],"error":"PBXLP_ENTITY_ID"},"F|^insert!EV to EBITDATTM03/20/2017EURr":{"id":434,"description":null,"headerValues":[],"financialValues":[],"customValues":[],"error":"PBXLP_ENTITY_ID"},"F|^insert!EV to EBITDATTM09/21/2016EURr":{"id":461,"description":null,"headerValues":[],"financialValues":[],"customValues":[],"error":"PBXLP_ENTITY_ID"},"F|^insert!EV to EBITDATTM03/25/2016EURr":{"id":488,"description":null,"headerValues":[],"financialValues":[],"customValues":[],"error":"PBXLP_ENTITY_ID"},"F|^insert!EV to EBITDATTM09/27/2015EURr":{"id":515,"description":null,"headerValues":[],"financialValues":[],"customValues":[],"error":"PBXLP_ENTITY_ID"},"F|^insert!EV to EBITDATTM03/31/2015EURr":{"id":542,"description":null,"headerValues":[],"financialValues":[],"customValues":[],"error":"PBXLP_ENTITY_ID"},"F|^insert!EV to EBITDATTM10/02/2014EURr":{"id":569,"description":null,"headerValues":[],"financialValues":[],"customValues":[],"error":"PBXLP_ENTITY_ID"},"F|^insert!EBITDAFY02/06/2025EUR":{"id":596,"description":null,"headerValues":[],"financialValues":[],"customValues":[],"error":"PBXLP_ENTITY_ID"},"F|^insert!Market CapTTM02/06/2025EUR":{"id":597,"description":null,"headerValues":[],"financialValues":[],"customValues":[],"error":"PBXLP_ENTITY_ID"},"F|^insert!EVTTM02/06/2025EUR":{"id":598,"description":null,"headerValues":[],"financialValues":[],"customValues":[],"error":"PBXLP_ENTITY_ID"},"F|^insert!EBITFY02/06/2025EUR":{"id":599,"description":null,"headerValues":[],"financialValues":[],"customValues":[],"error":"PBXLP_ENTITY_ID"},"F|^insert!NET DebtTTM02/06/2025EUR":{"id":600,"description":null,"headerValues":[],"financialValues":[],"customValues":[],"error":"PBXLP_ENTITY_ID"},"F|^insert!EV to RevenueFY02/06/2025EUR":{"id":602,"description":null,"headerValues":[],"financialValues":[],"customValues":[],"error":"PBXLP_ENTITY_ID"},"F|^insert!EV to Forward EBITDAFY02/06/2025EUR":{"id":758,"description":null,"headerValues":[],"financialValues":[],"customValues":[],"error":"PBXLP_ENTITY_ID"},"F|^insert!EV to EBITFY2024YEUR":{"id":759,"description":null,"headerValues":[],"financialValues":[],"customValues":[],"error":"PBXLP_ENTITY_ID"},"F|^insert!EV to Forward EBITFY02/06/2025EUR":{"id":760,"description":null,"headerValues":[],"financialValues":[],"customValues":[],"error":"PBXLP_ENTITY_ID"},"F|^insert!Total RevenueFY2024YEUR":{"id":761,"description":null,"headerValues":[],"financialValues":[],"customValues":[],"error":"PBXLP_ENTITY_ID"},"F|^insert!Total Debt to EBITDAFY2024YEUR":{"id":763,"description":null,"headerValues":[],"financialValues":[],"customValues":[],"error":"PBXLP_ENTITY_ID"},"F|^insert!Total Debt to EquityTTM02/06/2025EUR":{"id":764,"description":null,"headerValues":[],"financialValues":[],"customValues":[],"error":"PBXLP_ENTITY_ID"},"F|^insert!EV to Forward RevenueFY02/06/2025EUR":{"id":766,"description":null,"headerValues":[],"financialValues":[],"customValues":[],"error":"PBXLP_ENTITY_ID"},"F|^insert!EV to EBITDAFY2024YEUR":{"id":767,"description":null,"headerValues":[],"financialValues":[],"customValues":[],"error":"PBXLP_ENTITY_ID"},"F|^insert!EV to EBITDATTM04/28/2025EURr":{"id":2,"description":null,"headerValues":[],"financialValues":[],"customValues":[],"error":"PBXLP_ENTITY_ID"},"F|^insert!EV to EBITDATTM10/30/2024EURr":{"id":29,"description":null,"headerValues":[],"financialValues":[],"customValues":[],"error":"PBXLP_ENTITY_ID"},"F|^insert!EV to EBITDATTM05/03/2024EURr":{"id":56,"description":null,"headerValues":[],"financialValues":[],"customValues":[],"error":"PBXLP_ENTITY_ID"},"F|^insert!EV to EBITDATTM11/05/2023EURr":{"id":83,"description":null,"headerValues":[],"financialValues":[],"customValues":[],"error":"PBXLP_ENTITY_ID"},"F|^insert!EV to EBITDATTM05/09/2023EURr":{"id":110,"description":null,"headerValues":[],"financialValues":[],"customValues":[],"error":"PBXLP_ENTITY_ID"},"F|^insert!EV to EBITDATTM11/10/2022EURr":{"id":137,"description":null,"headerValues":[],"financialValues":[],"customValues":[],"error":"PBXLP_ENTITY_ID"},"F|^insert!EV to EBITDATTM05/14/2022EURr":{"id":164,"description":null,"headerValues":[],"financialValues":[],"customValues":[],"error":"PBXLP_ENTITY_ID"},"F|^insert!EV to EBITDATTM11/15/2021EURr":{"id":191,"description":null,"headerValues":[],"financialValues":[],"customValues":[],"error":"PBXLP_ENTITY_ID"},"F|^insert!EV to EBITDATTM05/19/2021EURr":{"id":218,"description":null,"headerValues":[],"financialValues":[],"customValues":[],"error":"PBXLP_ENTITY_ID"},"F|^insert!EV to EBITDATTM11/20/2020EURr":{"id":245,"description":null,"headerValues":[],"financialValues":[],"customValues":[],"error":"PBXLP_ENTITY_ID"},"F|^insert!EV to EBITDATTM05/24/2020EURr":{"id":272,"description":null,"headerValues":[],"financialValues":[],"customValues":[],"error":"PBXLP_ENTITY_ID"},"F|^insert!EV to EBITDATTM11/26/2019EURr":{"id":299,"description":null,"headerValues":[],"financialValues":[],"customValues":[],"error":"PBXLP_ENTITY_ID"},"F|^insert!EV to EBITDATTM05/30/2019EURr":{"id":326,"description":null,"headerValues":[],"financialValues":[],"customValues":[],"error":"PBXLP_ENTITY_ID"},"F|^insert!EV to EBITDATTM12/01/2018EURr":{"id":353,"description":null,"headerValues":[],"financialValues":[],"customValues":[],"error":"PBXLP_ENTITY_ID"},"F|^insert!EV to EBITDATTM06/04/2018EURr":{"id":380,"description":null,"headerValues":[],"financialValues":[],"customValues":[],"error":"PBXLP_ENTITY_ID"},"F|^insert!EV to EBITDATTM12/06/2017EURr":{"id":407,"description":null,"headerValues":[],"financialValues":[],"customValues":[],"error":"PBXLP_ENTITY_ID"},"F|^insert!EV to EBITDATTM06/09/2017EURr":{"id":434,"description":null,"headerValues":[],"financialValues":[],"customValues":[],"error":"PBXLP_ENTITY_ID"},"F|^insert!EV to EBITDATTM12/11/2016EURr":{"id":461,"description":null,"headerValues":[],"financialValues":[],"customValues":[],"error":"PBXLP_ENTITY_ID"},"F|^insert!EV to EBITDATTM06/14/2016EURr":{"id":488,"description":null,"headerValues":[],"financialValues":[],"customValues":[],"error":"PBXLP_ENTITY_ID"},"F|^insert!EV to EBITDATTM12/17/2015EURr":{"id":515,"description":null,"headerValues":[],"financialValues":[],"customValues":[],"error":"PBXLP_ENTITY_ID"},"F|^insert!EV to EBITDATTM06/20/2015EURr":{"id":542,"description":null,"headerValues":[],"financialValues":[],"customValues":[],"error":"PBXLP_ENTITY_ID"},"F|^insert!EV to EBITDATTM12/22/2014EURr":{"id":569,"description":null,"headerValues":[],"financialValues":[],"customValues":[],"error":"PBXLP_ENTITY_ID"},"F|^insert!EVTTM04/28/2025EUR":{"id":596,"description":null,"headerValues":[],"financialValues":[],"customValues":[],"error":"PBXLP_ENTITY_ID"},"F|^insert!EBITDAFY04/28/2025EUR":{"id":597,"description":null,"headerValues":[],"financialValues":[],"customValues":[],"error":"PBXLP_ENTITY_ID"},"F|^insert!EV to RevenueFY04/28/2025EUR":{"id":598,"description":null,"headerValues":[],"financialValues":[],"customValues":[],"error":"PBXLP_ENTITY_ID"},"F|^insert!Market CapTTM04/28/2025EUR":{"id":599,"description":null,"headerValues":[],"financialValues":[],"customValues":[],"error":"PBXLP_ENTITY_ID"},"F|^insert!NET DebtTTM04/28/2025EUR":{"id":601,"description":null,"headerValues":[],"financialValues":[],"customValues":[],"error":"PBXLP_ENTITY_ID"},"F|^insert!EBITFY04/28/2025EUR":{"id":603,"description":null,"headerValues":[],"financialValues":[],"customValues":[],"error":"PBXLP_ENTITY_ID"},"F|^insert!EV to Forward EBITDAFY04/28/2025EUR":{"id":761,"description":null,"headerValues":[],"financialValues":[],"customValues":[],"error":"PBXLP_ENTITY_ID"},"F|^insert!EV to Forward EBITFY04/28/2025EUR":{"id":762,"description":null,"headerValues":[],"financialValues":[],"customValues":[],"error":"PBXLP_ENTITY_ID"},"F|^insert!EV to Forward RevenueFY04/28/2025EUR":{"id":767,"description":null,"headerValues":[],"financialValues":[],"customValues":[],"error":"PBXLP_ENTITY_ID"},"F|^insert!Total Debt to EquityTTM04/28/2025EUR":{"id":768,"description":null,"headerValues":[],"financialValues":[],"customValues":[],"error":"PBXLP_ENTITY_ID"},"F|^insert!EV to EBITDATTM07/16/2025EURr":{"id":2,"description":null,"headerValues":[],"financialValues":[],"customValues":[],"error":"PBXLP_ENTITY_ID"},"F|^insert!EV to EBITDATTM01/17/2025EURr":{"id":29,"description":null,"headerValues":[],"financialValues":[],"customValues":[],"error":"PBXLP_ENTITY_ID"},"F|^insert!EV to EBITDATTM07/21/2024EURr":{"id":56,"description":null,"headerValues":[],"financialValues":[],"customValues":[],"error":"PBXLP_ENTITY_ID"},"F|^insert!EV to EBITDATTM01/23/2024EURr":{"id":83,"description":null,"headerValues":[],"financialValues":[],"customValues":[],"error":"PBXLP_ENTITY_ID"},"F|^insert!EV to EBITDATTM07/27/2023EURr":{"id":110,"description":null,"headerValues":[],"financialValues":[],"customValues":[],"error":"PBXLP_ENTITY_ID"},"F|^insert!EV to EBITDATTM01/28/2023EURr":{"id":137,"description":null,"headerValues":[],"financialValues":[],"customValues":[],"error":"PBXLP_ENTITY_ID"},"F|^insert!EV to EBITDATTM08/01/2022EURr":{"id":164,"description":null,"headerValues":[],"financialValues":[],"customValues":[],"error":"PBXLP_ENTITY_ID"},"F|^insert!EV to EBITDATTM02/02/2022EURr":{"id":191,"description":null,"headerValues":[],"financialValues":[],"customValues":[],"error":"PBXLP_ENTITY_ID"},"F|^insert!EV to EBITDATTM08/06/2021EURr":{"id":218,"description":null,"headerValues":[],"financialValues":[],"customValues":[],"error":"PBXLP_ENTITY_ID"},"F|^insert!EV to EBITDATTM02/07/2021EURr":{"id":245,"description":null,"headerValues":[],"financialValues":[],"customValues":[],"error":"PBXLP_ENTITY_ID"},"F|^insert!EV to EBITDATTM08/11/2020EURr":{"id":272,"description":null,"headerValues":[],"financialValues":[],"customValues":[],"error":"PBXLP_ENTITY_ID"},"F|^insert!EV to EBITDATTM02/13/2020EURr":{"id":299,"description":null,"headerValues":[],"financialValues":[],"customValues":[],"error":"PBXLP_ENTITY_ID"},"F|^insert!EV to EBITDATTM08/17/2019EURr":{"id":326,"description":null,"headerValues":[],"financialValues":[],"customValues":[],"error":"PBXLP_ENTITY_ID"},"F|^insert!EV to EBITDATTM02/18/2019EURr":{"id":353,"description":null,"headerValues":[],"financialValues":[],"customValues":[],"error":"PBXLP_ENTITY_ID"},"F|^insert!EV to EBITDATTM08/22/2018EURr":{"id":380,"description":null,"headerValues":[],"financialValues":[],"customValues":[],"error":"PBXLP_ENTITY_ID"},"F|^insert!EV to EBITDATTM02/23/2018EURr":{"id":407,"description":null,"headerValues":[],"financialValues":[],"customValues":[],"error":"PBXLP_ENTITY_ID"},"F|^insert!EV to EBITDATTM08/27/2017EURr":{"id":434,"description":null,"headerValues":[],"financialValues":[],"customValues":[],"error":"PBXLP_ENTITY_ID"},"F|^insert!EV to EBITDATTM02/28/2017EURr":{"id":461,"description":null,"headerValues":[],"financialValues":[],"customValues":[],"error":"PBXLP_ENTITY_ID"},"F|^insert!EV to EBITDATTM09/01/2016EURr":{"id":488,"description":null,"headerValues":[],"financialValues":[],"customValues":[],"error":"PBXLP_ENTITY_ID"},"F|^insert!EV to EBITDATTM03/05/2016EURr":{"id":515,"description":null,"headerValues":[],"financialValues":[],"customValues":[],"error":"PBXLP_ENTITY_ID"},"F|^insert!EV to EBITDATTM09/07/2015EURr":{"id":542,"description":null,"headerValues":[],"financialValues":[],"customValues":[],"error":"PBXLP_ENTITY_ID"},"F|^insert!EV to EBITDATTM03/11/2015EURr":{"id":569,"description":null,"headerValues":[],"financialValues":[],"customValues":[],"error":"PBXLP_ENTITY_ID"},"F|^insert!EVTTM07/16/2025EUR":{"id":596,"description":null,"headerValues":[],"financialValues":[],"customValues":[],"error":"PBXLP_ENTITY_ID"},"F|^insert!NET DebtTTM07/16/2025EUR":{"id":597,"description":null,"headerValues":[],"financialValues":[],"customValues":[],"error":"PBXLP_ENTITY_ID"},"F|^insert!Market CapTTM07/16/2025EUR":{"id":598,"description":null,"headerValues":[],"financialValues":[],"customValues":[],"error":"PBXLP_ENTITY_ID"},"F|^insert!EBITFY07/16/2025EUR":{"id":599,"description":null,"headerValues":[],"financialValues":[],"customValues":[],"error":"PBXLP_ENTITY_ID"},"F|^insert!EV to RevenueFY07/16/2025EUR":{"id":602,"description":null,"headerValues":[],"financialValues":[],"customValues":[],"error":"PBXLP_ENTITY_ID"},"F|^insert!EBITDAFY07/16/2025EUR":{"id":604,"description":null,"headerValues":[],"financialValues":[],"customValues":[],"error":"PBXLP_ENTITY_ID"},"F|^insert!EV to Forward EBITFY07/16/2025EUR":{"id":758,"description":null,"headerValues":[],"financialValues":[],"customValues":[],"error":"PBXLP_ENTITY_ID"},"F|^insert!EV to Forward EBITDAFY07/16/2025EUR":{"id":760,"description":null,"headerValues":[],"financialValues":[],"customValues":[],"error":"PBXLP_ENTITY_ID"},"F|^insert!Total Debt to EquityTTM07/16/2025EUR":{"id":764,"description":null,"headerValues":[],"financialValues":[],"customValues":[],"error":"PBXLP_ENTITY_ID"},"F|^insert!EV to Forward RevenueFY07/16/2025EUR":{"id":765,"description":null,"headerValues":[],"financialValues":[],"customValues":[],"error":"PBXLP_ENTITY_ID"},"F|^insert!EV to EBITDATTM07/30/2025EURr":{"id":2,"description":null,"headerValues":[],"financialValues":[],"customValues":[],"error":"PBXLP_ENTITY_ID"},"F|^insert!EV to EBITDATTM01/31/2025EURr":{"id":29,"description":null,"headerValues":[],"financialValues":[],"customValues":[],"error":"PBXLP_ENTITY_ID"},"F|^insert!EV to EBITDATTM08/04/2024EURr":{"id":56,"description":null,"headerValues":[],"financialValues":[],"customValues":[],"error":"PBXLP_ENTITY_ID"},"F|^insert!EV to EBITDATTM02/06/2024EURr":{"id":83,"description":null,"headerValues":[],"financialValues":[],"customValues":[],"error":"PBXLP_ENTITY_ID"},"F|^insert!EV to EBITDATTM08/10/2023EURr":{"id":110,"description":null,"headerValues":[],"financialValues":[],"customValues":[],"error":"PBXLP_ENTITY_ID"},"F|^insert!EV to EBITDATTM02/11/2023EURr":{"id":137,"description":null,"headerValues":[],"financialValues":[],"customValues":[],"error":"PBXLP_ENTITY_ID"},"F|^insert!EV to EBITDATTM08/15/2022EURr":{"id":164,"description":null,"headerValues":[],"financialValues":[],"customValues":[],"error":"PBXLP_ENTITY_ID"},"F|^insert!EV to EBITDATTM02/16/2022EURr":{"id":191,"description":null,"headerValues":[],"financialValues":[],"customValues":[],"error":"PBXLP_ENTITY_ID"},"F|^insert!EV to EBITDATTM08/20/2021EURr":{"id":218,"description":null,"headerValues":[],"financialValues":[],"customValues":[],"error":"PBXLP_ENTITY_ID"},"F|^insert!EV to EBITDATTM02/21/2021EURr":{"id":245,"description":null,"headerValues":[],"financialValues":[],"customValues":[],"error":"PBXLP_ENTITY_ID"},"F|^insert!EV to EBITDATTM08/25/2020EURr":{"id":272,"description":null,"headerValues":[],"financialValues":[],"customValues":[],"error":"PBXLP_ENTITY_ID"},"F|^insert!EV to EBITDATTM02/27/2020EURr":{"id":299,"description":null,"headerValues":[],"financialValues":[],"customValues":[],"error":"PBXLP_ENTITY_ID"},"F|^insert!EV to EBITDATTM08/31/2019EURr":{"id":326,"description":null,"headerValues":[],"financialValues":[],"customValues":[],"error":"PBXLP_ENTITY_ID"},"F|^insert!EV to EBITDATTM03/04/2019EURr":{"id":353,"description":null,"headerValues":[],"financialValues":[],"customValues":[],"error":"PBXLP_ENTITY_ID"},"F|^insert!EV to EBITDATTM09/05/2018EURr":{"id":380,"description":null,"headerValues":[],"financialValues":[],"customValues":[],"error":"PBXLP_ENTITY_ID"},"F|^insert!EV to EBITDATTM03/09/2018EURr":{"id":407,"description":null,"headerValues":[],"financialValues":[],"customValues":[],"error":"PBXLP_ENTITY_ID"},"F|^insert!EV to EBITDATTM09/10/2017EURr":{"id":434,"description":null,"headerValues":[],"financialValues":[],"customValues":[],"error":"PBXLP_ENTITY_ID"},"F|^insert!EV to EBITDATTM03/14/2017EURr":{"id":461,"description":null,"headerValues":[],"financialValues":[],"customValues":[],"error":"PBXLP_ENTITY_ID"},"F|^insert!EV to EBITDATTM09/15/2016EURr":{"id":488,"description":null,"headerValues":[],"financialValues":[],"customValues":[],"error":"PBXLP_ENTITY_ID"},"F|^insert!EV to EBITDATTM03/19/2016EURr":{"id":515,"description":null,"headerValues":[],"financialValues":[],"customValues":[],"error":"PBXLP_ENTITY_ID"},"F|^insert!EV to EBITDATTM09/21/2015EURr":{"id":542,"description":null,"headerValues":[],"financialValues":[],"customValues":[],"error":"PBXLP_ENTITY_ID"},"F|^insert!EV to EBITDATTM03/25/2015EURr":{"id":569,"description":null,"headerValues":[],"financialValues":[],"customValues":[],"error":"PBXLP_ENTITY_ID"},"F|^insert!EVTTM07/30/2025EUR":{"id":596,"description":null,"headerValues":[],"financialValues":[],"customValues":[],"error":"PBXLP_ENTITY_ID"},"F|^insert!NET DebtTTM07/30/2025EUR":{"id":597,"description":null,"headerValues":[],"financialValues":[],"customValues":[],"error":"PBXLP_ENTITY_ID"},"F|^insert!EBITDAFY07/30/2025EUR":{"id":598,"description":null,"headerValues":[],"financialValues":[],"customValues":[],"error":"PBXLP_ENTITY_ID"},"F|^insert!EV to RevenueFY07/30/2025EUR":{"id":599,"description":null,"headerValues":[],"financialValues":[],"customValues":[],"error":"PBXLP_ENTITY_ID"},"F|^insert!EBITFY07/30/2025EUR":{"id":600,"description":null,"headerValues":[],"financialValues":[],"customValues":[],"error":"PBXLP_ENTITY_ID"},"F|^insert!Market CapTTM07/30/2025EUR":{"id":602,"description":null,"headerValues":[],"financialValues":[],"customValues":[],"error":"PBXLP_ENTITY_ID"},"F|^insert!EV to Forward EBITDAFY07/30/2025EUR":{"id":758,"description":null,"headerValues":[],"financialValues":[],"customValues":[],"error":"PBXLP_ENTITY_ID"},"F|^insert!EV to Forward EBITFY07/30/2025EUR":{"id":762,"description":null,"headerValues":[],"financialValues":[],"customValues":[],"error":"PBXLP_ENTITY_ID"},"F|^insert!Total Debt to EquityTTM07/30/2025EUR":{"id":766,"description":null,"headerValues":[],"financialValues":[],"customValues":[],"error":"PBXLP_ENTITY_ID"},"F|^insert!EV to Forward RevenueFY07/30/2025EUR":{"id":769,"description":null,"headerValues":[],"financialValues":[],"customValues":[],"error":"PBXLP_ENTITY_ID"},"F|^insert!EV to EBITDATTM07/31/2025EURr":{"id":2,"description":null,"headerValues":[],"financialValues":[],"customValues":[],"error":"PBXLP_ENTITY_ID"},"F|^insert!EV to EBITDATTM02/01/2025EURr":{"id":29,"description":null,"headerValues":[],"financialValues":[],"customValues":[],"error":"PBXLP_ENTITY_ID"},"F|^insert!EV to EBITDATTM08/05/2024EURr":{"id":56,"description":null,"headerValues":[],"financialValues":[],"customValues":[],"error":"PBXLP_ENTITY_ID"},"F|^insert!EV to EBITDATTM02/07/2024EURr":{"id":83,"description":null,"headerValues":[],"financialValues":[],"customValues":[],"error":"PBXLP_ENTITY_ID"},"F|^insert!EV to EBITDATTM08/11/2023EURr":{"id":110,"description":null,"headerValues":[],"financialValues":[],"customValues":[],"error":"PBXLP_ENTITY_ID"},"F|^insert!EV to EBITDATTM02/12/2023EURr":{"id":137,"description":null,"headerValues":[],"financialValues":[],"customValues":[],"error":"PBXLP_ENTITY_ID"},"F|^insert!EV to EBITDATTM08/16/2022EURr":{"id":164,"description":null,"headerValues":[],"financialValues":[],"customValues":[],"error":"PBXLP_ENTITY_ID"},"F|^insert!EV to EBITDATTM02/17/2022EURr":{"id":191,"description":null,"headerValues":[],"financialValues":[],"customValues":[],"error":"PBXLP_ENTITY_ID"},"F|^insert!EV to EBITDATTM08/21/2021EURr":{"id":218,"description":null,"headerValues":[],"financialValues":[],"customValues":[],"error":"PBXLP_ENTITY_ID"},"F|^insert!EV to EBITDATTM02/22/2021EURr":{"id":245,"description":null,"headerValues":[],"financialValues":[],"customValues":[],"error":"PBXLP_ENTITY_ID"},"F|^insert!EV to EBITDATTM08/26/2020EURr":{"id":272,"description":null,"headerValues":[],"financialValues":[],"customValues":[],"error":"PBXLP_ENTITY_ID"},"F|^insert!EV to EBITDATTM02/28/2020EURr":{"id":299,"description":null,"headerValues":[],"financialValues":[],"customValues":[],"error":"PBXLP_ENTITY_ID"},"F|^insert!EV to EBITDATTM09/01/2019EURr":{"id":326,"description":null,"headerValues":[],"financialValues":[],"customValues":[],"error":"PBXLP_ENTITY_ID"},"F|^insert!EV to EBITDATTM03/05/2019EURr":{"id":353,"description":null,"headerValues":[],"financialValues":[],"customValues":[],"error":"PBXLP_ENTITY_ID"},"F|^insert!EV to EBITDATTM09/06/2018EURr":{"id":380,"description":null,"headerValues":[],"financialValues":[],"customValues":[],"error":"PBXLP_ENTITY_ID"},"F|^insert!EV to EBITDATTM03/10/2018EURr":{"id":407,"description":null,"headerValues":[],"financialValues":[],"customValues":[],"error":"PBXLP_ENTITY_ID"},"F|^insert!EV to EBITDATTM09/11/2017EURr":{"id":434,"description":null,"headerValues":[],"financialValues":[],"customValues":[],"error":"PBXLP_ENTITY_ID"},"F|^insert!EV to EBITDATTM03/15/2017EURr":{"id":461,"description":null,"headerValues":[],"financialValues":[],"customValues":[],"error":"PBXLP_ENTITY_ID"},"F|^insert!EV to EBITDATTM09/16/2016EURr":{"id":488,"description":null,"headerValues":[],"financialValues":[],"customValues":[],"error":"PBXLP_ENTITY_ID"},"F|^insert!EV to EBITDATTM03/20/2016EURr":{"id":515,"description":null,"headerValues":[],"financialValues":[],"customValues":[],"error":"PBXLP_ENTITY_ID"},"F|^insert!EV to EBITDATTM09/22/2015EURr":{"id":542,"description":null,"headerValues":[],"financialValues":[],"customValues":[],"error":"PBXLP_ENTITY_ID"},"F|^insert!EV to EBITDATTM03/26/2015EURr":{"id":569,"description":null,"headerValues":[],"financialValues":[],"customValues":[],"error":"PBXLP_ENTITY_ID"},"F|^insert!EBITDAFY07/31/2025EUR":{"id":596,"description":null,"headerValues":[],"financialValues":[],"customValues":[],"error":"PBXLP_ENTITY_ID"},"F|^insert!EVTTM07/31/2025EUR":{"id":597,"description":null,"headerValues":[],"financialValues":[],"customValues":[],"error":"PBXLP_ENTITY_ID"},"F|^insert!EV to RevenueFY07/31/2025EUR":{"id":598,"description":null,"headerValues":[],"financialValues":[],"customValues":[],"error":"PBXLP_ENTITY_ID"},"F|^insert!NET DebtTTM07/31/2025EUR":{"id":600,"description":null,"headerValues":[],"financialValues":[],"customValues":[],"error":"PBXLP_ENTITY_ID"},"F|^insert!Market CapTTM07/31/2025EUR":{"id":601,"description":null,"headerValues":[],"financialValues":[],"customValues":[],"error":"PBXLP_ENTITY_ID"},"F|^insert!EBITFY07/31/2025EUR":{"id":602,"description":null,"headerValues":[],"financialValues":[],"customValues":[],"error":"PBXLP_ENTITY_ID"},"F|^insert!EV to Forward EBITDAFY07/31/2025EUR":{"id":760,"description":null,"headerValues":[],"financialValues":[],"customValues":[],"error":"PBXLP_ENTITY_ID"},"F|^insert!EV to Forward EBITFY07/31/2025EUR":{"id":764,"description":null,"headerValues":[],"financialValues":[],"customValues":[],"error":"PBXLP_ENTITY_ID"},"F|^insert!EV to Forward RevenueFY07/31/2025EUR":{"id":769,"description":null,"headerValues":[],"financialValues":[],"customValues":[],"error":"PBXLP_ENTITY_ID"},"F|^insert!Total Debt to EquityTTM07/31/2025EUR":{"id":770,"description":null,"headerValues":[],"financialValues":[],"customValues":[],"error":"PBXLP_ENTITY_ID"}}}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</si>
</sst>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7">
    <numFmt numFmtId="164" formatCode="_(&quot;€&quot;* #,##0_);_(&quot;€&quot;* \(#,##0\);_(&quot;€&quot;* &quot;-&quot;_);_(@_)"/>
    <numFmt numFmtId="165" formatCode="&quot;$&quot;#,##0_);\(&quot;$&quot;#,##0\)"/>
    <numFmt numFmtId="166" formatCode="&quot;$&quot;#,##0_);[Red]\(&quot;$&quot;#,##0\)"/>
    <numFmt numFmtId="167" formatCode="&quot;$&quot;#,##0.00_);\(&quot;$&quot;#,##0.00\)"/>
    <numFmt numFmtId="168" formatCode="&quot;$&quot;#,##0.00_);[Red]\(&quot;$&quot;#,##0.00\)"/>
    <numFmt numFmtId="169" formatCode="_(&quot;$&quot;* #,##0_);_(&quot;$&quot;* \(#,##0\);_(&quot;$&quot;* &quot;-&quot;_);_(@_)"/>
    <numFmt numFmtId="170" formatCode="_(* #,##0_);_(* \(#,##0\);_(* &quot;-&quot;_);_(@_)"/>
    <numFmt numFmtId="171" formatCode="_(&quot;$&quot;* #,##0.00_);_(&quot;$&quot;* \(#,##0.00\);_(&quot;$&quot;* &quot;-&quot;??_);_(@_)"/>
    <numFmt numFmtId="172" formatCode="_(* #,##0.00_);_(* \(#,##0.00\);_(* &quot;-&quot;??_);_(@_)"/>
    <numFmt numFmtId="173" formatCode="_(&quot;€&quot;* #,##0.00_);_(&quot;€&quot;* \(#,##0.00\);_(&quot;€&quot;* &quot;-&quot;??_);_(@_)"/>
    <numFmt numFmtId="174" formatCode="_-* #,##0.00\ _€_-;\-* #,##0.00\ _€_-;_-* &quot;-&quot;??\ _€_-;_-@_-"/>
    <numFmt numFmtId="175" formatCode="0.0%"/>
    <numFmt numFmtId="176" formatCode="_-* #,##0.00\ [$€-1]_-;\-* #,##0.00\ [$€-1]_-;_-* &quot;-&quot;??\ [$€-1]_-"/>
    <numFmt numFmtId="177" formatCode="#,##0,"/>
    <numFmt numFmtId="178" formatCode="#,##0\ &quot;€&quot;"/>
    <numFmt numFmtId="179" formatCode="#,##0.0"/>
    <numFmt numFmtId="180" formatCode="0.0"/>
    <numFmt numFmtId="181" formatCode="0.0&quot;x&quot;"/>
    <numFmt numFmtId="182" formatCode="0.0&quot;x &quot;"/>
    <numFmt numFmtId="183" formatCode="0.0000"/>
    <numFmt numFmtId="184" formatCode="&quot;$&quot;#,##0.0_%_);\(&quot;$&quot;#,##0.0\)_%;&quot;$&quot;#,##0.0_%_);@_%_)"/>
    <numFmt numFmtId="185" formatCode="#,##0.000"/>
    <numFmt numFmtId="186" formatCode="#,##0.00%_);\(#,##0.0%\);0.0%_);@_%_)"/>
    <numFmt numFmtId="187" formatCode="_-* #,##0.00\ &quot;DM&quot;_-;\-* #,##0.00\ &quot;DM&quot;_-;_-* &quot;-&quot;??\ &quot;DM&quot;_-;_-@_-"/>
    <numFmt numFmtId="188" formatCode="0.0\x_)_);&quot;NM&quot;_x_)_);0.0\x_)_);@_%_)"/>
    <numFmt numFmtId="189" formatCode="#,##0.0_);\(#,##0.0\)"/>
    <numFmt numFmtId="190" formatCode="#,##0.0\ \x"/>
    <numFmt numFmtId="191" formatCode="#,##0.0_);\(#,##0.0\);@_)"/>
    <numFmt numFmtId="192" formatCode="#,##0.0_);\(#,##0.0\);&quot;-&quot;?_);@_)"/>
    <numFmt numFmtId="193" formatCode="&quot;$&quot;#,##0.0_);\(&quot;$&quot;#,##0.0\);@_)"/>
    <numFmt numFmtId="194" formatCode="&quot;$&quot;#,##0.0_);\(&quot;$&quot;#,##0.0\);&quot;-&quot;?_);@_)"/>
    <numFmt numFmtId="195" formatCode="&quot;$&quot;#,##0.00_)_x_x;\(&quot;$&quot;#,##0.00\)_x_x"/>
    <numFmt numFmtId="196" formatCode="0.0%;\-0.0%;&quot;-&quot;?_);@_)"/>
    <numFmt numFmtId="197" formatCode="#,##0.0_);[Red]\(#,##0.0\)"/>
    <numFmt numFmtId="198" formatCode="#,##0_)_x;\(#,##0\)_x;0_)_x;@_)_x"/>
    <numFmt numFmtId="199" formatCode="0.000000"/>
    <numFmt numFmtId="200" formatCode="\£\ #,##0_);[Red]\(\£\ #,##0\)"/>
    <numFmt numFmtId="201" formatCode="\¥\ #,##0_);[Red]\(\¥\ #,##0\)"/>
    <numFmt numFmtId="202" formatCode="\+#,##0.0_);\(#,##0.0\)"/>
    <numFmt numFmtId="203" formatCode="#,##0.0;\(#,##0.0\);\-"/>
    <numFmt numFmtId="204" formatCode="#,##0.0&quot; F&quot;;\(#,##0.0&quot; F&quot;\);\-"/>
    <numFmt numFmtId="205" formatCode="0.0%;\(0.0%\);\-"/>
    <numFmt numFmtId="206" formatCode="\ "/>
    <numFmt numFmtId="207" formatCode="0.00\x"/>
    <numFmt numFmtId="208" formatCode="0.0\x"/>
    <numFmt numFmtId="209" formatCode="#,##0.0_)_x_x_x;\(#,##0.0\)_x_x_x"/>
    <numFmt numFmtId="210" formatCode="#,##0.00_)_x_x;\(#,##0.00\)_x_x"/>
    <numFmt numFmtId="211" formatCode="#,##0&quot; MF&quot;;\(#,##0&quot; MF&quot;\);\-"/>
    <numFmt numFmtId="212" formatCode="mmmm\-yy"/>
    <numFmt numFmtId="213" formatCode="0.00\ ;\(0.00\)"/>
    <numFmt numFmtId="214" formatCode="_(* #,##0.0_);_(* \(#,##0.0\);_(* &quot;-&quot;?_);_(@_)"/>
    <numFmt numFmtId="215" formatCode="0.000_]"/>
    <numFmt numFmtId="216" formatCode="#,##0.0\ _]"/>
    <numFmt numFmtId="217" formatCode="#,##0;[Red]\(#,##0\)"/>
    <numFmt numFmtId="218" formatCode="0.0_)"/>
    <numFmt numFmtId="219" formatCode="0.00%_);\(0.00%\)"/>
    <numFmt numFmtId="220" formatCode="0.0%_);\(0.0%\)"/>
    <numFmt numFmtId="221" formatCode="_(* #,##0_);_(* \(#,##0\);_(* &quot;-&quot;??_);_(@_)"/>
    <numFmt numFmtId="222" formatCode="&quot;yes&quot;;&quot;no&quot;;&quot;no&quot;"/>
    <numFmt numFmtId="223" formatCode="General_)"/>
    <numFmt numFmtId="224" formatCode="\£#,##0_);\(\£#,##0\)"/>
    <numFmt numFmtId="225" formatCode="\•\ \ @"/>
    <numFmt numFmtId="226" formatCode="0.0%\ ;\(0.0%\);@&quot;    &quot;"/>
    <numFmt numFmtId="227" formatCode="mmmm\ d\,\ yyyy\ \ \ \ h:mm"/>
    <numFmt numFmtId="228" formatCode="&quot;Under&quot;\ 0.0%\ \ \ \ \ \ \ \ \ \ ;\(0.0%\);@&quot;    &quot;"/>
    <numFmt numFmtId="229" formatCode="#,##0.00_%_);\(#,##0.00\)_%;**;@_%_)"/>
    <numFmt numFmtId="230" formatCode="0.00000000000000%"/>
    <numFmt numFmtId="231" formatCode="#,##0.00;\(#,##0.00\)"/>
    <numFmt numFmtId="232" formatCode="#,##0.0\x_);\(#,##0.0\x\)"/>
    <numFmt numFmtId="233" formatCode="0\ "/>
    <numFmt numFmtId="234" formatCode="#,##0.000\ ;\(#,##0.000\)"/>
    <numFmt numFmtId="235" formatCode="0.0%\ \ \ \ \ \ \ \ \ \ ;\(0.0%\);@&quot;    &quot;"/>
    <numFmt numFmtId="236" formatCode="&quot;$&quot;#,##0.00_%_);\(&quot;$&quot;#,##0.00\)_%;**;@_%_)"/>
    <numFmt numFmtId="237" formatCode="#,##0.0000000000000_);\(#,##0.0000000000000\)"/>
    <numFmt numFmtId="238" formatCode="&quot;$&quot;#,##0.00;[Red]\(&quot;$&quot;#,##0.00\)"/>
    <numFmt numFmtId="239" formatCode="&quot;$&quot;#,##0.00_)\ \ ;\(&quot;$&quot;#,##0.00\)\ \ "/>
    <numFmt numFmtId="240" formatCode="0\ &quot;bps&quot;"/>
    <numFmt numFmtId="241" formatCode="m/yy"/>
    <numFmt numFmtId="242" formatCode="&quot;$&quot;#,##0"/>
    <numFmt numFmtId="243" formatCode="_(&quot;$&quot;* #,##0_);_(&quot;$&quot;* \(#,##0\);_(&quot;$&quot;* &quot;-&quot;??_);_(@_)"/>
    <numFmt numFmtId="244" formatCode="0&quot; bps&quot;"/>
    <numFmt numFmtId="245" formatCode="0.000%"/>
    <numFmt numFmtId="246" formatCode="&quot;$&quot;#,##0.00"/>
    <numFmt numFmtId="247" formatCode="0_);\(0\)"/>
    <numFmt numFmtId="248" formatCode="#,##0.0%;\(#,##0.0\)%"/>
    <numFmt numFmtId="249" formatCode="_(* #,##0.0000_);_(* \(#,##0.0000\);_(* &quot;-&quot;??_);_(@_)"/>
    <numFmt numFmtId="250" formatCode="&quot;$&quot;#,##0.0_);&quot;$&quot;\(#,##0.0\)"/>
    <numFmt numFmtId="251" formatCode="&quot;$&quot;#,##0.00_);&quot;$&quot;\(#,##0.00\)"/>
    <numFmt numFmtId="252" formatCode="&quot;$&quot;#,##0.0_);\(&quot;$&quot;#,##0.0\)"/>
    <numFmt numFmtId="253" formatCode="&quot;$&quot;#,##0.0_);[Red]\(&quot;$&quot;#,##0.0\)"/>
    <numFmt numFmtId="254" formatCode="00000"/>
    <numFmt numFmtId="255" formatCode="_(* #,##0.0_);_(* \(#,##0.0\);_(* &quot;-&quot;??_);_(@_)"/>
    <numFmt numFmtId="256" formatCode="mmm\-dd\-yyyy"/>
    <numFmt numFmtId="257" formatCode="#,##0;\(#,##0\);\-\ "/>
    <numFmt numFmtId="258" formatCode="\ \ _•\–\ \ \ \ @"/>
    <numFmt numFmtId="259" formatCode="m/d/yy_%_);;**"/>
    <numFmt numFmtId="260" formatCode="0\ &quot;days&quot;"/>
    <numFmt numFmtId="261" formatCode="#,##0.0;\(#,##0.0\)"/>
    <numFmt numFmtId="262" formatCode="[Blue]&quot;$&quot;#,##0.00_)"/>
    <numFmt numFmtId="263" formatCode="\€\ #,##0.0_);\(\€\ #,##0.0\);&quot;-&quot;?_);@_)"/>
    <numFmt numFmtId="264" formatCode="#,##0.0\ ;\(#,##0.0\);@\ "/>
    <numFmt numFmtId="265" formatCode="#,##0.0;[Red]\(#,##0.0\)"/>
    <numFmt numFmtId="266" formatCode="0_);[Red]\(0\)"/>
    <numFmt numFmtId="267" formatCode="\(0\);\(0\);\(0\)"/>
    <numFmt numFmtId="268" formatCode="0.0%_);[Red]\(0.0%\)"/>
    <numFmt numFmtId="269" formatCode="[Blue]#,##0.000\ ;\(#,##0.000\);[Blue]**"/>
    <numFmt numFmtId="270" formatCode=";;;"/>
    <numFmt numFmtId="271" formatCode="0.00%;\(0.00%\)"/>
    <numFmt numFmtId="272" formatCode="#,##0.0\x;\(#,##0.0\x\)"/>
    <numFmt numFmtId="273" formatCode="#,##0.0000000000_);\(#,##0.0000000000\)"/>
    <numFmt numFmtId="274" formatCode="#,##0\ ;\(#,##0\);**"/>
    <numFmt numFmtId="275" formatCode="&quot;$&quot;#,###;[Red]\(&quot;$&quot;#,###\)"/>
    <numFmt numFmtId="276" formatCode="#,##0.0_____);\(#,##0.00\)"/>
    <numFmt numFmtId="277" formatCode="[Magenta]&quot;$&quot;#,##0_)"/>
    <numFmt numFmtId="278" formatCode="#,##0.0\x"/>
    <numFmt numFmtId="279" formatCode="&quot;$&quot;#,##0.0_)\ \ ;\(&quot;$&quot;#,##0.0\)\ \ "/>
    <numFmt numFmtId="280" formatCode="[Blue]&quot;$&quot;* #,##0\ "/>
    <numFmt numFmtId="281" formatCode="mmm\ dd\ yy"/>
    <numFmt numFmtId="282" formatCode="0.0%_)\ \ ;\(0.0%\)\ \ "/>
    <numFmt numFmtId="283" formatCode="#,##0\ ;@\ "/>
    <numFmt numFmtId="284" formatCode="_-* #,##0_-;_-* #,##0\-;_-* &quot;-&quot;_-;_-@_-"/>
    <numFmt numFmtId="285" formatCode="0.00_)"/>
    <numFmt numFmtId="286" formatCode="0.0\x_);\(0.0\x\)"/>
    <numFmt numFmtId="287" formatCode="#,##0.0&quot; x&quot;_);\(#,##0.0&quot; x&quot;\)"/>
    <numFmt numFmtId="288" formatCode="_(* #,##0.0_);[Red]_(* \(#,##0.0\);&quot;nm &quot;"/>
    <numFmt numFmtId="289" formatCode="#,##0.0&quot;x&quot;"/>
    <numFmt numFmtId="290" formatCode="_-* #,##0\ _P_t_s_-;\-* #,##0\ _P_t_s_-;_-* &quot;-&quot;\ _P_t_s_-;_-@_-"/>
    <numFmt numFmtId="291" formatCode="_-* #,##0.00\ _P_t_s_-;\-* #,##0.00\ _P_t_s_-;_-* &quot;-&quot;??\ _P_t_s_-;_-@_-"/>
    <numFmt numFmtId="292" formatCode="&quot;$&quot;0.0_);\(&quot;$&quot;0.0\)"/>
    <numFmt numFmtId="293" formatCode="_-* #,##0\ &quot;Pts&quot;_-;\-* #,##0\ &quot;Pts&quot;_-;_-* &quot;-&quot;\ &quot;Pts&quot;_-;_-@_-"/>
    <numFmt numFmtId="294" formatCode="_-* #,##0.00\ &quot;Pts&quot;_-;\-* #,##0.00\ &quot;Pts&quot;_-;_-* &quot;-&quot;??\ &quot;Pts&quot;_-;_-@_-"/>
    <numFmt numFmtId="295" formatCode="#,##0.0\x;\-#,##0.0\x;&quot;-&quot;?_);@_)"/>
    <numFmt numFmtId="296" formatCode="#,##0.0_)\x;\(#,##0.0\)\x"/>
    <numFmt numFmtId="297" formatCode="#,##0.00\x_);\(#,##0.00\)\x"/>
    <numFmt numFmtId="298" formatCode="#,##0.00_)\x;\(#,##0.00\)\x"/>
    <numFmt numFmtId="299" formatCode="[Black]#,##0.000\ ;[Black]\(#,##0.000\);[Black]**"/>
    <numFmt numFmtId="300" formatCode="\N\P\ #,##0_);[Red]\(\N\P\ #,##0\)"/>
    <numFmt numFmtId="301" formatCode="&quot;$&quot;#,##0.0000_);\(&quot;$&quot;#,##0.0000\)"/>
    <numFmt numFmtId="302" formatCode="#,##0.00_)\ \ ;\(#,##0.00\)\ \ "/>
    <numFmt numFmtId="303" formatCode="#,##0.000_);\(#,##0.000\)"/>
    <numFmt numFmtId="304" formatCode="#,##0.0000_);\(#,##0.0000\)"/>
    <numFmt numFmtId="305" formatCode="mm/dd/yy"/>
    <numFmt numFmtId="306" formatCode="&quot;Yes&quot;;;&quot;No&quot;"/>
    <numFmt numFmtId="307" formatCode="#,##0.0_);\(#,##0.0_)"/>
    <numFmt numFmtId="308" formatCode="&quot;On&quot;;;&quot;Off&quot;"/>
    <numFmt numFmtId="309" formatCode="\¥#,##0_);\(\¥#,##0\)"/>
    <numFmt numFmtId="310" formatCode="0.0000%"/>
    <numFmt numFmtId="311" formatCode="#,##0.00;\(#,##0.00\);\-"/>
    <numFmt numFmtId="312" formatCode="0.0%;[Red]\(0.0%\)"/>
    <numFmt numFmtId="313" formatCode="#,##0.0\%_);\(#,##0.0\%\);#,##0.0\%_);@_)"/>
    <numFmt numFmtId="314" formatCode="&quot;$&quot;##,#00.00_ ;\(&quot;$&quot;#,##0.00_)"/>
    <numFmt numFmtId="315" formatCode="\£#,##0_);[Red]\(\£#,##0\)"/>
    <numFmt numFmtId="316" formatCode="&quot;$&quot;#,##0.00;\(&quot;$&quot;#,##0.00\)"/>
    <numFmt numFmtId="317" formatCode="0.0&quot;x&quot;;@_)"/>
    <numFmt numFmtId="318" formatCode="0_ ;[Red]\-0\ "/>
    <numFmt numFmtId="319" formatCode="_ * #,##0_ ;_ * \-#,##0_ ;_ * &quot;-&quot;??_ ;_ @_ "/>
    <numFmt numFmtId="320" formatCode="\g\ \=\ 0.0%;\g\ \=\ \-0.0%"/>
    <numFmt numFmtId="321" formatCode="0.000"/>
    <numFmt numFmtId="322" formatCode="#,##0.000000_);[Red]\(#,##0.000000\)"/>
    <numFmt numFmtId="323" formatCode="#,##0.00;\(#,##0.00\);_(* &quot;-&quot;_)"/>
    <numFmt numFmtId="324" formatCode="#,##0;\(#,##0\);_(* &quot;-&quot;_)"/>
    <numFmt numFmtId="325" formatCode="#,##0.0_);\(#,##0.0\);_(* &quot;-&quot;_)"/>
    <numFmt numFmtId="326" formatCode="m/d/yy"/>
    <numFmt numFmtId="327" formatCode="_(&quot;$&quot;* #,##0.00_);_(&quot;$&quot;* \(#,##0.00\);_(* &quot;-&quot;_);_(@_)"/>
    <numFmt numFmtId="328" formatCode="_(&quot;$&quot;* #,##0.000_);_(&quot;$&quot;* \(#,##0.000\);_(* &quot;-&quot;_);_(@_)"/>
    <numFmt numFmtId="329" formatCode="_(&quot;$&quot;* #,##0.0_);_(&quot;$&quot;* \(#,##0.0\);_(* &quot;-&quot;_);_(@_)"/>
    <numFmt numFmtId="330" formatCode="#,##0.00_);\(#,##0.00\);_(* &quot;-&quot;_)"/>
    <numFmt numFmtId="331" formatCode="#,##0_);\(#,##0\);_(* &quot;-&quot;_);_(* &quot;-&quot;_)"/>
    <numFmt numFmtId="332" formatCode="_(###.##%_);\(* &quot;-&quot;_);_(@_)"/>
    <numFmt numFmtId="333" formatCode="#,##0.00\x"/>
    <numFmt numFmtId="334" formatCode="_(* #,##0.0_);_(* \(#,##0.0\);_(* &quot;-&quot;_);_(@_)"/>
    <numFmt numFmtId="335" formatCode="0.0\x\ "/>
    <numFmt numFmtId="336" formatCode="#,##0;\(#,##0\)"/>
    <numFmt numFmtId="337" formatCode="&quot;Over&quot;\ #,##0.0\ \x_)\ \ \ \ \ \ \ \ \ \ \ "/>
    <numFmt numFmtId="338" formatCode="&quot;$&quot;#,##0.0;\(&quot;$&quot;#,##0.0\)"/>
    <numFmt numFmtId="339" formatCode="&quot;Include&quot;;;&quot;Exclude&quot;"/>
    <numFmt numFmtId="340" formatCode="&quot;on&quot;;;&quot;off&quot;"/>
    <numFmt numFmtId="341" formatCode="&quot;$&quot;#,##0.000_);\(&quot;$&quot;#,##0.000\)"/>
    <numFmt numFmtId="342" formatCode="_-&quot;F&quot;\ * #,##0_-;_-&quot;F&quot;\ * #,##0\-;_-&quot;F&quot;\ * &quot;-&quot;_-;_-@_-"/>
    <numFmt numFmtId="343" formatCode="_-&quot;F&quot;\ * #,##0.00_-;_-&quot;F&quot;\ * #,##0.00\-;_-&quot;F&quot;\ * &quot;-&quot;??_-;_-@_-"/>
    <numFmt numFmtId="344" formatCode="[Red]&quot;$&quot;#,##0.000_)"/>
    <numFmt numFmtId="345" formatCode="0.0\ \x"/>
    <numFmt numFmtId="346" formatCode="#,##0.0_x_x"/>
    <numFmt numFmtId="347" formatCode="0.0&quot;x &quot;;@\ "/>
    <numFmt numFmtId="348" formatCode="#,##0.000000_);\(#,##0.000000\)"/>
    <numFmt numFmtId="349" formatCode="dd/mm/yy;@"/>
    <numFmt numFmtId="350" formatCode="0.0&quot; x&quot;"/>
    <numFmt numFmtId="351" formatCode="0.00&quot; x&quot;"/>
    <numFmt numFmtId="352" formatCode="0.0%_);\(0.0%\);0.0%_);@_%_)"/>
    <numFmt numFmtId="353" formatCode="_([$€]* #,##0.00_);_([$€]* \(#,##0.00\);_([$€]* &quot;-&quot;??_);_(@_)"/>
    <numFmt numFmtId="354" formatCode="#,##0.00000"/>
    <numFmt numFmtId="355" formatCode="#,##0.0_ ;\-#,##0.0\ "/>
    <numFmt numFmtId="356" formatCode="_(* #,##0.00_);_(* \(#,##0.00\);_(* &quot;-&quot;_);_(@_)"/>
    <numFmt numFmtId="357" formatCode="dd/mm/yyyy;@"/>
    <numFmt numFmtId="358" formatCode="_-* #,##0\ _€_-;\-* #,##0\ _€_-;_-* &quot;-&quot;\ _€_-;_-@_-"/>
    <numFmt numFmtId="359" formatCode="#,##0.00\ &quot;€&quot;"/>
    <numFmt numFmtId="360" formatCode="[$-409]mmmm\ d\,\ yyyy;@"/>
  </numFmts>
  <fonts count="34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b/>
      <sz val="8"/>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sz val="12"/>
      <name val="Times New Roman"/>
      <family val="1"/>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52"/>
      <name val="Calibri"/>
      <family val="2"/>
    </font>
    <font>
      <sz val="11"/>
      <color indexed="10"/>
      <name val="Calibri"/>
      <family val="2"/>
    </font>
    <font>
      <b/>
      <sz val="11"/>
      <color indexed="9"/>
      <name val="Calibri"/>
      <family val="2"/>
    </font>
    <font>
      <sz val="10"/>
      <color indexed="8"/>
      <name val="Arial"/>
      <family val="2"/>
    </font>
    <font>
      <sz val="10"/>
      <name val="Arial Narrow"/>
      <family val="2"/>
    </font>
    <font>
      <b/>
      <sz val="10"/>
      <name val="Arial Narrow"/>
      <family val="2"/>
    </font>
    <font>
      <sz val="10"/>
      <color indexed="10"/>
      <name val="Arial Narrow"/>
      <family val="2"/>
    </font>
    <font>
      <sz val="8"/>
      <name val="Arial Narrow"/>
      <family val="2"/>
    </font>
    <font>
      <b/>
      <sz val="8"/>
      <color indexed="9"/>
      <name val="Arial"/>
      <family val="2"/>
    </font>
    <font>
      <sz val="8"/>
      <name val="Palatino"/>
      <family val="1"/>
    </font>
    <font>
      <b/>
      <sz val="10"/>
      <name val="Arial"/>
      <family val="2"/>
    </font>
    <font>
      <sz val="7"/>
      <name val="Arial"/>
      <family val="2"/>
    </font>
    <font>
      <sz val="10"/>
      <name val="DKBRHelvetica"/>
      <family val="2"/>
    </font>
    <font>
      <b/>
      <sz val="10"/>
      <color indexed="9"/>
      <name val="Arial"/>
      <family val="2"/>
    </font>
    <font>
      <b/>
      <u/>
      <sz val="10"/>
      <name val="Arial"/>
      <family val="2"/>
    </font>
    <font>
      <b/>
      <sz val="10"/>
      <name val="MS Sans Serif"/>
      <family val="2"/>
    </font>
    <font>
      <sz val="10"/>
      <name val="Times New Roman"/>
      <family val="1"/>
    </font>
    <font>
      <sz val="12"/>
      <color indexed="8"/>
      <name val="Times New Roman"/>
      <family val="1"/>
    </font>
    <font>
      <sz val="10"/>
      <name val="Courier"/>
      <family val="3"/>
    </font>
    <font>
      <b/>
      <sz val="22"/>
      <color indexed="18"/>
      <name val="Arial"/>
      <family val="2"/>
    </font>
    <font>
      <sz val="10"/>
      <name val="Univers Condensed"/>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8"/>
      <name val="Times"/>
      <family val="1"/>
    </font>
    <font>
      <sz val="10"/>
      <name val="Palatino"/>
      <family val="1"/>
    </font>
    <font>
      <sz val="14"/>
      <name val="Tms Rmn"/>
    </font>
    <font>
      <sz val="11"/>
      <name val="Arial"/>
      <family val="2"/>
    </font>
    <font>
      <sz val="8"/>
      <color indexed="12"/>
      <name val="Arial"/>
      <family val="2"/>
    </font>
    <font>
      <sz val="9"/>
      <name val="Arial Narrow"/>
      <family val="2"/>
    </font>
    <font>
      <i/>
      <sz val="8"/>
      <color indexed="16"/>
      <name val="Arial"/>
      <family val="2"/>
    </font>
    <font>
      <i/>
      <sz val="8"/>
      <color indexed="54"/>
      <name val="Arial"/>
      <family val="2"/>
    </font>
    <font>
      <i/>
      <sz val="9"/>
      <color indexed="16"/>
      <name val="Arial"/>
      <family val="2"/>
    </font>
    <font>
      <b/>
      <sz val="9"/>
      <name val="Arial"/>
      <family val="2"/>
    </font>
    <font>
      <sz val="9"/>
      <name val="Arial"/>
      <family val="2"/>
    </font>
    <font>
      <sz val="10"/>
      <color indexed="12"/>
      <name val="Times New Roman"/>
      <family val="1"/>
    </font>
    <font>
      <b/>
      <sz val="10"/>
      <name val="Times New Roman"/>
      <family val="1"/>
    </font>
    <font>
      <sz val="9"/>
      <name val="AGaramond"/>
    </font>
    <font>
      <b/>
      <sz val="10"/>
      <color indexed="39"/>
      <name val="Arial"/>
      <family val="2"/>
    </font>
    <font>
      <sz val="6"/>
      <name val="Arial"/>
      <family val="2"/>
    </font>
    <font>
      <sz val="10"/>
      <color indexed="8"/>
      <name val="Times New Roman"/>
      <family val="1"/>
    </font>
    <font>
      <sz val="12"/>
      <name val="Arial"/>
      <family val="2"/>
    </font>
    <font>
      <sz val="8"/>
      <color indexed="12"/>
      <name val="Helv"/>
    </font>
    <font>
      <sz val="10"/>
      <name val="Geneva"/>
      <family val="2"/>
    </font>
    <font>
      <b/>
      <sz val="12"/>
      <color indexed="55"/>
      <name val="Arial"/>
      <family val="2"/>
    </font>
    <font>
      <sz val="9"/>
      <name val="Times New Roman"/>
      <family val="1"/>
    </font>
    <font>
      <sz val="9"/>
      <color indexed="62"/>
      <name val="Arial Narrow"/>
      <family val="2"/>
    </font>
    <font>
      <sz val="12"/>
      <color indexed="12"/>
      <name val="Arial"/>
      <family val="2"/>
    </font>
    <font>
      <sz val="10"/>
      <color indexed="54"/>
      <name val="Arial Narrow"/>
      <family val="2"/>
    </font>
    <font>
      <sz val="10"/>
      <color indexed="39"/>
      <name val="Arial"/>
      <family val="2"/>
    </font>
    <font>
      <sz val="10"/>
      <color indexed="8"/>
      <name val="Tms Rmn"/>
    </font>
    <font>
      <sz val="10"/>
      <color indexed="12"/>
      <name val="Arial Narrow"/>
      <family val="2"/>
    </font>
    <font>
      <sz val="10"/>
      <color indexed="12"/>
      <name val="DKBRHelvetica"/>
      <family val="2"/>
    </font>
    <font>
      <b/>
      <sz val="12"/>
      <name val="Times New Roman"/>
      <family val="1"/>
    </font>
    <font>
      <sz val="8"/>
      <name val="Times New Roman"/>
      <family val="1"/>
    </font>
    <font>
      <u val="singleAccounting"/>
      <sz val="10"/>
      <name val="Arial"/>
      <family val="2"/>
    </font>
    <font>
      <b/>
      <sz val="8"/>
      <name val="TimesNewRomanPS"/>
      <family val="1"/>
    </font>
    <font>
      <u/>
      <sz val="9"/>
      <name val="Times New Roman"/>
      <family val="1"/>
    </font>
    <font>
      <i/>
      <sz val="9"/>
      <color indexed="10"/>
      <name val="Times New Roman"/>
      <family val="1"/>
    </font>
    <font>
      <b/>
      <sz val="12"/>
      <color indexed="63"/>
      <name val="Arial Narrow"/>
      <family val="2"/>
    </font>
    <font>
      <sz val="10"/>
      <name val="MS Sans Serif"/>
      <family val="2"/>
    </font>
    <font>
      <b/>
      <u val="singleAccounting"/>
      <sz val="8"/>
      <color indexed="8"/>
      <name val="Arial"/>
      <family val="2"/>
    </font>
    <font>
      <sz val="12"/>
      <name val="Helv"/>
    </font>
    <font>
      <sz val="10"/>
      <color indexed="39"/>
      <name val="Century Schoolbook"/>
      <family val="1"/>
    </font>
    <font>
      <sz val="24"/>
      <name val="MS Sans Serif"/>
      <family val="2"/>
    </font>
    <font>
      <sz val="14"/>
      <name val="Palatino"/>
      <family val="1"/>
    </font>
    <font>
      <sz val="16"/>
      <name val="Palatino"/>
      <family val="1"/>
    </font>
    <font>
      <sz val="32"/>
      <name val="Helvetica-Black"/>
    </font>
    <font>
      <sz val="8"/>
      <name val="Helvetica"/>
      <family val="2"/>
    </font>
    <font>
      <sz val="8"/>
      <color indexed="16"/>
      <name val="Palatino"/>
      <family val="1"/>
    </font>
    <font>
      <sz val="10"/>
      <color indexed="17"/>
      <name val="Palatino"/>
      <family val="1"/>
    </font>
    <font>
      <b/>
      <sz val="10"/>
      <color indexed="12"/>
      <name val="Times New Roman"/>
      <family val="1"/>
    </font>
    <font>
      <sz val="10"/>
      <color indexed="17"/>
      <name val="Times New Roman"/>
      <family val="1"/>
    </font>
    <font>
      <sz val="12"/>
      <name val="TimesNewRomanPS"/>
    </font>
    <font>
      <u/>
      <sz val="8"/>
      <color indexed="12"/>
      <name val="Times New Roman"/>
      <family val="1"/>
    </font>
    <font>
      <sz val="8"/>
      <color indexed="12"/>
      <name val="Times New Roman"/>
      <family val="1"/>
    </font>
    <font>
      <u val="doubleAccounting"/>
      <sz val="10"/>
      <name val="Arial"/>
      <family val="2"/>
    </font>
    <font>
      <sz val="10"/>
      <color indexed="47"/>
      <name val="DKBRHelvetica"/>
      <family val="2"/>
    </font>
    <font>
      <sz val="10"/>
      <color indexed="38"/>
      <name val="Arial"/>
      <family val="2"/>
    </font>
    <font>
      <sz val="8"/>
      <color indexed="10"/>
      <name val="Arial"/>
      <family val="2"/>
    </font>
    <font>
      <sz val="6"/>
      <color indexed="23"/>
      <name val="Helvetica-Black"/>
    </font>
    <font>
      <sz val="9.5"/>
      <color indexed="23"/>
      <name val="Helvetica-Black"/>
    </font>
    <font>
      <sz val="7"/>
      <name val="Palatino"/>
      <family val="1"/>
    </font>
    <font>
      <sz val="10"/>
      <color indexed="18"/>
      <name val="Arial"/>
      <family val="2"/>
    </font>
    <font>
      <sz val="9"/>
      <name val="GillSans"/>
    </font>
    <font>
      <sz val="9"/>
      <name val="GillSans Light"/>
    </font>
    <font>
      <b/>
      <sz val="14"/>
      <name val="Arial"/>
      <family val="2"/>
    </font>
    <font>
      <sz val="6"/>
      <color indexed="12"/>
      <name val="Palatino"/>
      <family val="1"/>
    </font>
    <font>
      <sz val="6"/>
      <name val="Palatino"/>
      <family val="1"/>
    </font>
    <font>
      <sz val="6"/>
      <color indexed="16"/>
      <name val="Palatino"/>
      <family val="1"/>
    </font>
    <font>
      <b/>
      <sz val="12"/>
      <name val="Arial"/>
      <family val="2"/>
    </font>
    <font>
      <sz val="10"/>
      <name val="Helvetica-Black"/>
    </font>
    <font>
      <sz val="28"/>
      <name val="Helvetica-Black"/>
    </font>
    <font>
      <sz val="18"/>
      <name val="Palatino"/>
      <family val="1"/>
    </font>
    <font>
      <i/>
      <sz val="14"/>
      <name val="Palatino"/>
      <family val="1"/>
    </font>
    <font>
      <b/>
      <sz val="16"/>
      <name val="Times New Roman"/>
      <family val="1"/>
    </font>
    <font>
      <b/>
      <sz val="1"/>
      <color indexed="8"/>
      <name val="Courier"/>
      <family val="3"/>
    </font>
    <font>
      <b/>
      <i/>
      <sz val="22"/>
      <name val="Times New Roman"/>
      <family val="1"/>
    </font>
    <font>
      <u/>
      <sz val="10"/>
      <color indexed="12"/>
      <name val="Arial"/>
      <family val="2"/>
    </font>
    <font>
      <u/>
      <sz val="10"/>
      <color indexed="8"/>
      <name val="Arial"/>
      <family val="2"/>
    </font>
    <font>
      <sz val="10"/>
      <color indexed="18"/>
      <name val="Palatino"/>
      <family val="1"/>
    </font>
    <font>
      <sz val="10"/>
      <color indexed="12"/>
      <name val="Arial"/>
      <family val="2"/>
    </font>
    <font>
      <sz val="8"/>
      <color indexed="12"/>
      <name val="Palatino"/>
      <family val="1"/>
    </font>
    <font>
      <sz val="1"/>
      <color indexed="9"/>
      <name val="Symbol"/>
      <family val="1"/>
      <charset val="2"/>
    </font>
    <font>
      <sz val="8"/>
      <color indexed="12"/>
      <name val="CG Times (W1)"/>
      <family val="1"/>
    </font>
    <font>
      <i/>
      <sz val="16"/>
      <name val="Times New Roman"/>
      <family val="1"/>
    </font>
    <font>
      <u/>
      <sz val="10"/>
      <color indexed="21"/>
      <name val="Arial"/>
      <family val="2"/>
    </font>
    <font>
      <u/>
      <sz val="10"/>
      <color indexed="23"/>
      <name val="Arial"/>
      <family val="2"/>
    </font>
    <font>
      <sz val="8"/>
      <color indexed="8"/>
      <name val="Helv"/>
    </font>
    <font>
      <sz val="8"/>
      <color indexed="10"/>
      <name val="Times New Roman"/>
      <family val="1"/>
    </font>
    <font>
      <sz val="30"/>
      <name val="Arial"/>
      <family val="2"/>
    </font>
    <font>
      <sz val="26"/>
      <name val="Arial"/>
      <family val="2"/>
    </font>
    <font>
      <sz val="48"/>
      <name val="Arial"/>
      <family val="2"/>
    </font>
    <font>
      <b/>
      <sz val="100"/>
      <name val="Arial"/>
      <family val="2"/>
    </font>
    <font>
      <sz val="10"/>
      <color indexed="20"/>
      <name val="Times New Roman"/>
      <family val="1"/>
    </font>
    <font>
      <sz val="12"/>
      <color indexed="14"/>
      <name val="Arial"/>
      <family val="2"/>
    </font>
    <font>
      <b/>
      <u val="singleAccounting"/>
      <sz val="8"/>
      <color indexed="8"/>
      <name val="Verdana"/>
      <family val="2"/>
    </font>
    <font>
      <b/>
      <sz val="12"/>
      <color indexed="8"/>
      <name val="Verdana"/>
      <family val="2"/>
    </font>
    <font>
      <sz val="7"/>
      <name val="Small Fonts"/>
      <family val="2"/>
    </font>
    <font>
      <i/>
      <sz val="10"/>
      <name val="Helv"/>
      <family val="2"/>
    </font>
    <font>
      <b/>
      <sz val="10"/>
      <color indexed="17"/>
      <name val="Times New Roman"/>
      <family val="1"/>
    </font>
    <font>
      <sz val="10"/>
      <color indexed="10"/>
      <name val="Times New Roman"/>
      <family val="1"/>
    </font>
    <font>
      <sz val="8"/>
      <color indexed="8"/>
      <name val="Times New Roman"/>
      <family val="1"/>
    </font>
    <font>
      <b/>
      <sz val="10"/>
      <color indexed="12"/>
      <name val="Arial Narrow"/>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b/>
      <sz val="26"/>
      <name val="Times New Roman"/>
      <family val="1"/>
    </font>
    <font>
      <b/>
      <sz val="18"/>
      <name val="Times New Roman"/>
      <family val="1"/>
    </font>
    <font>
      <sz val="10"/>
      <color indexed="12"/>
      <name val="Helvetica-Black"/>
    </font>
    <font>
      <b/>
      <u/>
      <sz val="12"/>
      <name val="Arial"/>
      <family val="2"/>
    </font>
    <font>
      <i/>
      <sz val="10"/>
      <name val="Times New Roman"/>
      <family val="1"/>
    </font>
    <font>
      <b/>
      <sz val="14"/>
      <name val="Times New Roman"/>
      <family val="1"/>
    </font>
    <font>
      <sz val="10"/>
      <color indexed="8"/>
      <name val="Tahoma"/>
      <family val="2"/>
    </font>
    <font>
      <sz val="10"/>
      <color indexed="10"/>
      <name val="MS Sans Serif"/>
      <family val="2"/>
    </font>
    <font>
      <sz val="8"/>
      <name val="Univers"/>
      <family val="2"/>
    </font>
    <font>
      <sz val="10"/>
      <name val="Tms Rmn"/>
    </font>
    <font>
      <b/>
      <sz val="8"/>
      <color indexed="9"/>
      <name val="Verdana"/>
      <family val="2"/>
    </font>
    <font>
      <b/>
      <sz val="12"/>
      <name val="MS Sans Serif"/>
      <family val="2"/>
    </font>
    <font>
      <sz val="12"/>
      <name val="Osaka"/>
      <charset val="128"/>
    </font>
    <font>
      <b/>
      <sz val="24"/>
      <name val="Arial"/>
      <family val="2"/>
    </font>
    <font>
      <b/>
      <sz val="18"/>
      <name val="Arial"/>
      <family val="2"/>
    </font>
    <font>
      <b/>
      <sz val="14"/>
      <color indexed="9"/>
      <name val="Arial"/>
      <family val="2"/>
    </font>
    <font>
      <sz val="10"/>
      <name val="Futura UBS Bk"/>
      <family val="2"/>
    </font>
    <font>
      <i/>
      <sz val="10"/>
      <name val="Arial"/>
      <family val="2"/>
    </font>
    <font>
      <sz val="8"/>
      <color indexed="39"/>
      <name val="Arial"/>
      <family val="2"/>
    </font>
    <font>
      <b/>
      <u/>
      <sz val="8"/>
      <name val="Arial"/>
      <family val="2"/>
    </font>
    <font>
      <sz val="10"/>
      <color indexed="9"/>
      <name val="Arial"/>
      <family val="2"/>
    </font>
    <font>
      <i/>
      <sz val="8"/>
      <name val="Arial"/>
      <family val="2"/>
    </font>
    <font>
      <b/>
      <sz val="11"/>
      <color indexed="8"/>
      <name val="Arial"/>
      <family val="2"/>
    </font>
    <font>
      <b/>
      <sz val="11"/>
      <color indexed="39"/>
      <name val="Arial"/>
      <family val="2"/>
    </font>
    <font>
      <b/>
      <sz val="11"/>
      <color indexed="10"/>
      <name val="Arial"/>
      <family val="2"/>
    </font>
    <font>
      <sz val="9"/>
      <color indexed="10"/>
      <name val="Arial"/>
      <family val="2"/>
    </font>
    <font>
      <b/>
      <sz val="11"/>
      <color indexed="33"/>
      <name val="Arial"/>
      <family val="2"/>
    </font>
    <font>
      <sz val="9"/>
      <color indexed="33"/>
      <name val="Arial"/>
      <family val="2"/>
    </font>
    <font>
      <sz val="9"/>
      <color indexed="9"/>
      <name val="Arial"/>
      <family val="2"/>
    </font>
    <font>
      <vertAlign val="subscript"/>
      <sz val="8"/>
      <color indexed="8"/>
      <name val="Arial"/>
      <family val="2"/>
    </font>
    <font>
      <vertAlign val="superscript"/>
      <sz val="8"/>
      <color indexed="8"/>
      <name val="Arial"/>
      <family val="2"/>
    </font>
    <font>
      <b/>
      <sz val="10"/>
      <name val="Palatino"/>
      <family val="1"/>
    </font>
    <font>
      <sz val="9"/>
      <color indexed="21"/>
      <name val="Helvetica-Black"/>
    </font>
    <font>
      <b/>
      <sz val="9"/>
      <name val="Palatino"/>
      <family val="1"/>
    </font>
    <font>
      <sz val="9"/>
      <name val="Palatino"/>
      <family val="1"/>
    </font>
    <font>
      <sz val="7"/>
      <name val="Times New Roman"/>
      <family val="1"/>
    </font>
    <font>
      <sz val="8"/>
      <name val="Helvetica-Narrow"/>
      <family val="2"/>
    </font>
    <font>
      <b/>
      <sz val="7"/>
      <name val="Helvetica-Narrow"/>
      <family val="2"/>
    </font>
    <font>
      <sz val="12"/>
      <color indexed="8"/>
      <name val="Palatino"/>
      <family val="1"/>
    </font>
    <font>
      <sz val="12"/>
      <name val="Palatino"/>
      <family val="1"/>
    </font>
    <font>
      <sz val="11"/>
      <name val="Helvetica-Black"/>
    </font>
    <font>
      <sz val="11"/>
      <color indexed="8"/>
      <name val="Helvetica-Black"/>
    </font>
    <font>
      <b/>
      <sz val="8"/>
      <color indexed="8"/>
      <name val="Arial"/>
      <family val="2"/>
    </font>
    <font>
      <i/>
      <sz val="8"/>
      <color indexed="8"/>
      <name val="Arial"/>
      <family val="2"/>
    </font>
    <font>
      <sz val="8"/>
      <color indexed="8"/>
      <name val="Arial"/>
      <family val="2"/>
    </font>
    <font>
      <sz val="12"/>
      <color indexed="12"/>
      <name val="Arial MT"/>
    </font>
    <font>
      <u/>
      <sz val="8"/>
      <name val="Times New Roman"/>
      <family val="1"/>
    </font>
    <font>
      <b/>
      <sz val="8"/>
      <name val="Times New Roman"/>
      <family val="1"/>
    </font>
    <font>
      <b/>
      <sz val="8"/>
      <name val="Helv"/>
    </font>
    <font>
      <b/>
      <sz val="13"/>
      <color indexed="8"/>
      <name val="Verdana"/>
      <family val="2"/>
    </font>
    <font>
      <sz val="8"/>
      <name val="Helv"/>
    </font>
    <font>
      <b/>
      <i/>
      <sz val="24"/>
      <name val="Arial"/>
      <family val="2"/>
    </font>
    <font>
      <b/>
      <sz val="8"/>
      <name val="Palatino"/>
      <family val="1"/>
    </font>
    <font>
      <u val="double"/>
      <sz val="8"/>
      <color indexed="8"/>
      <name val="Arial"/>
      <family val="2"/>
    </font>
    <font>
      <sz val="10"/>
      <color indexed="62"/>
      <name val="Arial"/>
      <family val="2"/>
    </font>
    <font>
      <b/>
      <i/>
      <sz val="12"/>
      <name val="Times New Roman"/>
      <family val="1"/>
    </font>
    <font>
      <i/>
      <sz val="14"/>
      <name val="Times New Roman"/>
      <family val="1"/>
    </font>
    <font>
      <b/>
      <sz val="10"/>
      <color indexed="12"/>
      <name val="Arial"/>
      <family val="2"/>
    </font>
    <font>
      <sz val="12"/>
      <name val="Osaka"/>
    </font>
    <font>
      <b/>
      <sz val="10"/>
      <color indexed="8"/>
      <name val="Times New Roman"/>
      <family val="1"/>
    </font>
    <font>
      <sz val="7"/>
      <color indexed="10"/>
      <name val="Arial"/>
      <family val="2"/>
    </font>
    <font>
      <i/>
      <sz val="8"/>
      <name val="Times New Roman"/>
      <family val="1"/>
    </font>
    <font>
      <sz val="8"/>
      <name val="Arial"/>
      <family val="2"/>
    </font>
    <font>
      <sz val="10"/>
      <color theme="1"/>
      <name val="Tahoma"/>
      <family val="2"/>
    </font>
    <font>
      <sz val="11"/>
      <color theme="1"/>
      <name val="Calibri"/>
      <family val="2"/>
      <scheme val="minor"/>
    </font>
    <font>
      <sz val="10"/>
      <name val="Calibri"/>
      <family val="2"/>
      <scheme val="minor"/>
    </font>
    <font>
      <b/>
      <sz val="10"/>
      <color indexed="9"/>
      <name val="Calibri"/>
      <family val="2"/>
      <scheme val="minor"/>
    </font>
    <font>
      <sz val="10"/>
      <color indexed="12"/>
      <name val="Calibri"/>
      <family val="2"/>
      <scheme val="minor"/>
    </font>
    <font>
      <b/>
      <u/>
      <sz val="10"/>
      <name val="Calibri"/>
      <family val="2"/>
      <scheme val="minor"/>
    </font>
    <font>
      <b/>
      <sz val="10"/>
      <name val="Calibri"/>
      <family val="2"/>
      <scheme val="minor"/>
    </font>
    <font>
      <b/>
      <sz val="10"/>
      <color indexed="12"/>
      <name val="Calibri"/>
      <family val="2"/>
      <scheme val="minor"/>
    </font>
    <font>
      <b/>
      <sz val="10"/>
      <color indexed="17"/>
      <name val="Calibri"/>
      <family val="2"/>
      <scheme val="minor"/>
    </font>
    <font>
      <sz val="10"/>
      <color indexed="9"/>
      <name val="Calibri"/>
      <family val="2"/>
      <scheme val="minor"/>
    </font>
    <font>
      <sz val="10"/>
      <color rgb="FF00B050"/>
      <name val="Calibri"/>
      <family val="2"/>
      <scheme val="minor"/>
    </font>
    <font>
      <sz val="10"/>
      <color rgb="FF0000FF"/>
      <name val="Calibri"/>
      <family val="2"/>
      <scheme val="minor"/>
    </font>
    <font>
      <i/>
      <sz val="10"/>
      <name val="Calibri"/>
      <family val="2"/>
      <scheme val="minor"/>
    </font>
    <font>
      <b/>
      <sz val="10"/>
      <color rgb="FF0000FF"/>
      <name val="Calibri"/>
      <family val="2"/>
      <scheme val="minor"/>
    </font>
    <font>
      <sz val="10"/>
      <color indexed="17"/>
      <name val="Calibri"/>
      <family val="2"/>
      <scheme val="minor"/>
    </font>
    <font>
      <i/>
      <sz val="10"/>
      <color rgb="FF00B050"/>
      <name val="Calibri"/>
      <family val="2"/>
      <scheme val="minor"/>
    </font>
    <font>
      <b/>
      <sz val="10"/>
      <color rgb="FF00B050"/>
      <name val="Calibri"/>
      <family val="2"/>
      <scheme val="minor"/>
    </font>
    <font>
      <i/>
      <sz val="10"/>
      <color indexed="12"/>
      <name val="Calibri"/>
      <family val="2"/>
      <scheme val="minor"/>
    </font>
    <font>
      <sz val="10"/>
      <color theme="1"/>
      <name val="Calibri"/>
      <family val="2"/>
      <scheme val="minor"/>
    </font>
    <font>
      <b/>
      <sz val="10"/>
      <color indexed="11"/>
      <name val="Calibri"/>
      <family val="2"/>
      <scheme val="minor"/>
    </font>
    <font>
      <sz val="10"/>
      <color indexed="15"/>
      <name val="Calibri"/>
      <family val="2"/>
      <scheme val="minor"/>
    </font>
    <font>
      <sz val="10"/>
      <color indexed="55"/>
      <name val="Calibri"/>
      <family val="2"/>
      <scheme val="minor"/>
    </font>
    <font>
      <u/>
      <sz val="10"/>
      <name val="Calibri"/>
      <family val="2"/>
      <scheme val="minor"/>
    </font>
    <font>
      <sz val="10"/>
      <color indexed="8"/>
      <name val="MS Sans Serif"/>
      <family val="2"/>
    </font>
    <font>
      <b/>
      <sz val="10"/>
      <color theme="1"/>
      <name val="Calibri"/>
      <family val="2"/>
      <scheme val="minor"/>
    </font>
    <font>
      <sz val="10"/>
      <color rgb="FFFFFFFF"/>
      <name val="Calibri"/>
      <family val="2"/>
      <scheme val="minor"/>
    </font>
    <font>
      <b/>
      <sz val="10"/>
      <color theme="0"/>
      <name val="Calibri"/>
      <family val="2"/>
      <scheme val="minor"/>
    </font>
    <font>
      <sz val="10"/>
      <color theme="0"/>
      <name val="Calibri"/>
      <family val="2"/>
      <scheme val="minor"/>
    </font>
    <font>
      <b/>
      <sz val="10"/>
      <color theme="3"/>
      <name val="Calibri"/>
      <family val="2"/>
      <scheme val="minor"/>
    </font>
    <font>
      <sz val="10"/>
      <color theme="3"/>
      <name val="Calibri"/>
      <family val="2"/>
      <scheme val="minor"/>
    </font>
    <font>
      <b/>
      <i/>
      <sz val="10"/>
      <name val="Calibri"/>
      <family val="2"/>
      <scheme val="minor"/>
    </font>
    <font>
      <sz val="8"/>
      <color theme="1"/>
      <name val="Arial"/>
      <family val="2"/>
    </font>
    <font>
      <b/>
      <sz val="12"/>
      <color theme="0"/>
      <name val="Arial"/>
      <family val="2"/>
    </font>
    <font>
      <sz val="10"/>
      <color rgb="FFFF0000"/>
      <name val="Calibri"/>
      <family val="2"/>
      <scheme val="minor"/>
    </font>
    <font>
      <i/>
      <sz val="10"/>
      <color theme="1"/>
      <name val="Calibri"/>
      <family val="2"/>
      <scheme val="minor"/>
    </font>
    <font>
      <i/>
      <sz val="10"/>
      <color rgb="FFFF0000"/>
      <name val="Calibri"/>
      <family val="2"/>
      <scheme val="minor"/>
    </font>
    <font>
      <i/>
      <sz val="10"/>
      <color rgb="FF0000FF"/>
      <name val="Calibri"/>
      <family val="2"/>
      <scheme val="minor"/>
    </font>
    <font>
      <sz val="11"/>
      <color rgb="FF000000"/>
      <name val="Arial"/>
      <family val="2"/>
    </font>
    <font>
      <sz val="8"/>
      <color rgb="FF000000"/>
      <name val="Arial"/>
      <family val="2"/>
    </font>
    <font>
      <sz val="10"/>
      <name val="Arial"/>
      <family val="2"/>
    </font>
    <font>
      <u/>
      <sz val="10"/>
      <color theme="10"/>
      <name val="Arial"/>
      <family val="2"/>
    </font>
    <font>
      <b/>
      <sz val="12"/>
      <color theme="0"/>
      <name val="Arial Narrow"/>
      <family val="2"/>
    </font>
    <font>
      <b/>
      <sz val="12"/>
      <name val="Arial Narrow"/>
      <family val="2"/>
    </font>
    <font>
      <b/>
      <sz val="12"/>
      <color indexed="8"/>
      <name val="Arial Narrow"/>
      <family val="2"/>
    </font>
    <font>
      <b/>
      <sz val="12"/>
      <name val="Calibri"/>
      <family val="2"/>
      <scheme val="minor"/>
    </font>
    <font>
      <b/>
      <sz val="12"/>
      <color indexed="8"/>
      <name val="Calibri"/>
      <family val="2"/>
      <scheme val="minor"/>
    </font>
    <font>
      <sz val="12"/>
      <name val="Calibri"/>
      <family val="2"/>
      <scheme val="minor"/>
    </font>
    <font>
      <sz val="12"/>
      <name val="Arial Narrow"/>
      <family val="2"/>
    </font>
    <font>
      <i/>
      <sz val="12"/>
      <name val="Calibri"/>
      <family val="2"/>
      <scheme val="minor"/>
    </font>
    <font>
      <b/>
      <sz val="11"/>
      <color theme="0"/>
      <name val="Arial"/>
      <family val="2"/>
    </font>
    <font>
      <sz val="11"/>
      <color theme="0"/>
      <name val="Arial"/>
      <family val="2"/>
    </font>
    <font>
      <sz val="10"/>
      <name val="Verdana"/>
      <family val="2"/>
    </font>
    <font>
      <b/>
      <sz val="12"/>
      <color rgb="FF000000"/>
      <name val="Calibri"/>
      <family val="2"/>
    </font>
    <font>
      <i/>
      <sz val="12"/>
      <color rgb="FF000000"/>
      <name val="Calibri"/>
      <family val="2"/>
    </font>
    <font>
      <sz val="12"/>
      <name val="Calibri"/>
      <family val="2"/>
    </font>
    <font>
      <b/>
      <i/>
      <sz val="10"/>
      <name val="Verdana"/>
      <family val="2"/>
    </font>
    <font>
      <sz val="12"/>
      <color rgb="FF000000"/>
      <name val="Calibri"/>
      <family val="2"/>
    </font>
    <font>
      <i/>
      <sz val="10"/>
      <name val="Verdana"/>
      <family val="2"/>
    </font>
    <font>
      <i/>
      <sz val="10"/>
      <color theme="0"/>
      <name val="Calibri"/>
      <family val="2"/>
      <scheme val="minor"/>
    </font>
    <font>
      <b/>
      <sz val="12"/>
      <color theme="0"/>
      <name val="Calibri"/>
      <family val="2"/>
      <scheme val="minor"/>
    </font>
    <font>
      <sz val="10"/>
      <color theme="2"/>
      <name val="Calibri"/>
      <family val="2"/>
      <scheme val="minor"/>
    </font>
    <font>
      <sz val="10"/>
      <name val="Calibri"/>
      <family val="2"/>
    </font>
    <font>
      <b/>
      <sz val="10"/>
      <name val="Calibri"/>
      <family val="2"/>
    </font>
    <font>
      <b/>
      <sz val="10"/>
      <color rgb="FF008000"/>
      <name val="Calibri"/>
      <family val="2"/>
    </font>
    <font>
      <sz val="10"/>
      <color rgb="FF00FFFF"/>
      <name val="Calibri"/>
      <family val="2"/>
    </font>
    <font>
      <i/>
      <sz val="10"/>
      <name val="Calibri"/>
      <family val="2"/>
    </font>
    <font>
      <sz val="10"/>
      <color theme="0" tint="-4.9989318521683403E-2"/>
      <name val="Calibri"/>
      <family val="2"/>
      <scheme val="minor"/>
    </font>
    <font>
      <i/>
      <sz val="10"/>
      <color indexed="9"/>
      <name val="Calibri"/>
      <family val="2"/>
      <scheme val="minor"/>
    </font>
    <font>
      <i/>
      <sz val="10"/>
      <color theme="0" tint="-4.9989318521683403E-2"/>
      <name val="Calibri"/>
      <family val="2"/>
      <scheme val="minor"/>
    </font>
    <font>
      <b/>
      <sz val="10"/>
      <color theme="0" tint="-4.9989318521683403E-2"/>
      <name val="Calibri"/>
      <family val="2"/>
      <scheme val="minor"/>
    </font>
    <font>
      <b/>
      <sz val="14"/>
      <color theme="0"/>
      <name val="Calibri"/>
      <family val="2"/>
      <scheme val="minor"/>
    </font>
    <font>
      <b/>
      <sz val="14"/>
      <name val="Calibri"/>
      <family val="2"/>
      <scheme val="minor"/>
    </font>
    <font>
      <u/>
      <sz val="10"/>
      <name val="Arial"/>
      <family val="2"/>
    </font>
    <font>
      <b/>
      <i/>
      <sz val="10"/>
      <color rgb="FFFF0000"/>
      <name val="Calibri"/>
      <family val="2"/>
      <scheme val="minor"/>
    </font>
    <font>
      <b/>
      <sz val="18"/>
      <color theme="0"/>
      <name val="Calibri"/>
      <family val="2"/>
      <scheme val="minor"/>
    </font>
    <font>
      <b/>
      <sz val="48"/>
      <color theme="0"/>
      <name val="Calibri"/>
      <family val="2"/>
      <scheme val="minor"/>
    </font>
    <font>
      <b/>
      <u/>
      <sz val="14"/>
      <name val="Calibri"/>
      <family val="2"/>
      <scheme val="minor"/>
    </font>
    <font>
      <i/>
      <sz val="10"/>
      <color indexed="17"/>
      <name val="Calibri"/>
      <family val="2"/>
      <scheme val="minor"/>
    </font>
    <font>
      <b/>
      <i/>
      <u/>
      <sz val="14"/>
      <name val="Calibri"/>
      <family val="2"/>
      <scheme val="minor"/>
    </font>
    <font>
      <b/>
      <i/>
      <sz val="10"/>
      <color theme="0"/>
      <name val="Calibri"/>
      <family val="2"/>
      <scheme val="minor"/>
    </font>
    <font>
      <sz val="10"/>
      <color rgb="FF339933"/>
      <name val="Calibri"/>
      <family val="2"/>
      <scheme val="minor"/>
    </font>
    <font>
      <b/>
      <sz val="10"/>
      <color theme="0"/>
      <name val="Arial"/>
      <family val="2"/>
    </font>
    <font>
      <i/>
      <sz val="10"/>
      <color rgb="FF7030A0"/>
      <name val="Calibri"/>
      <family val="2"/>
      <scheme val="minor"/>
    </font>
    <font>
      <sz val="10"/>
      <name val="Arial"/>
      <family val="2"/>
    </font>
    <font>
      <b/>
      <sz val="10"/>
      <color rgb="FF7030A0"/>
      <name val="Calibri"/>
      <family val="2"/>
      <scheme val="minor"/>
    </font>
    <font>
      <sz val="10"/>
      <color theme="5" tint="0.79998168889431442"/>
      <name val="Calibri"/>
      <family val="2"/>
      <scheme val="minor"/>
    </font>
    <font>
      <b/>
      <sz val="8"/>
      <color indexed="9"/>
      <name val="Calibri"/>
      <family val="2"/>
      <scheme val="minor"/>
    </font>
    <font>
      <i/>
      <sz val="8"/>
      <color indexed="9"/>
      <name val="Calibri"/>
      <family val="2"/>
      <scheme val="minor"/>
    </font>
    <font>
      <sz val="8"/>
      <color indexed="9"/>
      <name val="Calibri"/>
      <family val="2"/>
      <scheme val="minor"/>
    </font>
    <font>
      <sz val="8"/>
      <name val="Calibri"/>
      <family val="2"/>
      <scheme val="minor"/>
    </font>
    <font>
      <b/>
      <sz val="8"/>
      <name val="Calibri"/>
      <family val="2"/>
      <scheme val="minor"/>
    </font>
    <font>
      <i/>
      <sz val="8"/>
      <color theme="1" tint="0.34998626667073579"/>
      <name val="Calibri"/>
      <family val="2"/>
      <scheme val="minor"/>
    </font>
    <font>
      <sz val="8"/>
      <color theme="1" tint="0.34998626667073579"/>
      <name val="Calibri"/>
      <family val="2"/>
      <scheme val="minor"/>
    </font>
    <font>
      <sz val="8"/>
      <color theme="3"/>
      <name val="Calibri"/>
      <family val="2"/>
      <scheme val="minor"/>
    </font>
    <font>
      <sz val="8"/>
      <color theme="0"/>
      <name val="Calibri"/>
      <family val="2"/>
      <scheme val="minor"/>
    </font>
    <font>
      <i/>
      <sz val="8"/>
      <name val="Calibri"/>
      <family val="2"/>
      <scheme val="minor"/>
    </font>
    <font>
      <b/>
      <sz val="8"/>
      <color theme="0"/>
      <name val="Calibri"/>
      <family val="2"/>
      <scheme val="minor"/>
    </font>
    <font>
      <u/>
      <sz val="8"/>
      <color theme="0" tint="-4.9989318521683403E-2"/>
      <name val="Arial"/>
      <family val="2"/>
    </font>
    <font>
      <sz val="8"/>
      <color rgb="FF0000FF"/>
      <name val="Calibri"/>
      <family val="2"/>
      <scheme val="minor"/>
    </font>
    <font>
      <b/>
      <sz val="10"/>
      <color rgb="FF339933"/>
      <name val="Calibri"/>
      <family val="2"/>
      <scheme val="minor"/>
    </font>
    <font>
      <b/>
      <i/>
      <sz val="10"/>
      <color theme="6" tint="-0.499984740745262"/>
      <name val="Calibri"/>
      <family val="2"/>
      <scheme val="minor"/>
    </font>
    <font>
      <u/>
      <sz val="10"/>
      <color rgb="FF0000FF"/>
      <name val="Calibri"/>
      <family val="2"/>
      <scheme val="minor"/>
    </font>
    <font>
      <b/>
      <sz val="12"/>
      <color rgb="FF0000FF"/>
      <name val="Calibri"/>
      <family val="2"/>
      <scheme val="minor"/>
    </font>
    <font>
      <sz val="8"/>
      <color theme="1"/>
      <name val="Calibri"/>
      <family val="2"/>
      <scheme val="minor"/>
    </font>
    <font>
      <sz val="10"/>
      <color theme="1"/>
      <name val="Arial"/>
      <family val="2"/>
    </font>
    <font>
      <sz val="10"/>
      <color rgb="FF0000FF"/>
      <name val="Arial"/>
      <family val="2"/>
    </font>
    <font>
      <b/>
      <sz val="10"/>
      <color rgb="FF0000FF"/>
      <name val="Arial"/>
      <family val="2"/>
    </font>
    <font>
      <b/>
      <sz val="10"/>
      <color theme="1"/>
      <name val="Arial"/>
      <family val="2"/>
    </font>
    <font>
      <b/>
      <sz val="8"/>
      <color rgb="FF000000"/>
      <name val="FontAwesome"/>
    </font>
    <font>
      <b/>
      <sz val="11"/>
      <color theme="0"/>
      <name val="Calibri"/>
      <family val="2"/>
      <scheme val="minor"/>
    </font>
    <font>
      <b/>
      <sz val="11"/>
      <color theme="1"/>
      <name val="Calibri"/>
      <family val="2"/>
      <scheme val="minor"/>
    </font>
    <font>
      <sz val="11"/>
      <color theme="0" tint="-0.499984740745262"/>
      <name val="Calibri"/>
      <family val="2"/>
      <scheme val="minor"/>
    </font>
    <font>
      <i/>
      <sz val="11"/>
      <color theme="1"/>
      <name val="Calibri"/>
      <family val="2"/>
      <scheme val="minor"/>
    </font>
    <font>
      <sz val="11"/>
      <name val="Calibri"/>
      <family val="2"/>
      <scheme val="minor"/>
    </font>
    <font>
      <sz val="11"/>
      <color theme="0"/>
      <name val="Calibri"/>
      <family val="2"/>
    </font>
    <font>
      <sz val="8"/>
      <color rgb="FFD6D6D6"/>
      <name val="Arial"/>
      <family val="2"/>
    </font>
    <font>
      <i/>
      <sz val="6"/>
      <name val="Arial"/>
      <family val="2"/>
    </font>
    <font>
      <b/>
      <i/>
      <sz val="8"/>
      <name val="Arial"/>
      <family val="2"/>
    </font>
    <font>
      <b/>
      <sz val="8"/>
      <color theme="0"/>
      <name val="Arial"/>
      <family val="2"/>
    </font>
    <font>
      <b/>
      <i/>
      <sz val="8"/>
      <color theme="0"/>
      <name val="Arial"/>
      <family val="2"/>
    </font>
    <font>
      <i/>
      <sz val="8"/>
      <color rgb="FF00B050"/>
      <name val="Arial"/>
      <family val="2"/>
    </font>
    <font>
      <i/>
      <sz val="8"/>
      <color rgb="FFFF0000"/>
      <name val="Arial"/>
      <family val="2"/>
    </font>
    <font>
      <b/>
      <sz val="9"/>
      <color theme="1"/>
      <name val="Calibri"/>
      <family val="2"/>
    </font>
    <font>
      <sz val="8"/>
      <color rgb="FFFF0000"/>
      <name val="Calibri"/>
      <family val="2"/>
      <scheme val="minor"/>
    </font>
    <font>
      <b/>
      <sz val="11"/>
      <color theme="0"/>
      <name val="Calibri"/>
      <family val="2"/>
    </font>
    <font>
      <b/>
      <sz val="16"/>
      <name val="Calibri"/>
      <family val="2"/>
    </font>
  </fonts>
  <fills count="101">
    <fill>
      <patternFill patternType="none"/>
    </fill>
    <fill>
      <patternFill patternType="gray125"/>
    </fill>
    <fill>
      <patternFill patternType="solid">
        <fgColor indexed="9"/>
        <bgColor indexed="64"/>
      </patternFill>
    </fill>
    <fill>
      <patternFill patternType="solid">
        <fgColor indexed="43"/>
      </patternFill>
    </fill>
    <fill>
      <patternFill patternType="solid">
        <fgColor indexed="22"/>
      </patternFill>
    </fill>
    <fill>
      <patternFill patternType="solid">
        <fgColor indexed="47"/>
      </patternFill>
    </fill>
    <fill>
      <patternFill patternType="solid">
        <fgColor indexed="26"/>
      </patternFill>
    </fill>
    <fill>
      <patternFill patternType="solid">
        <fgColor indexed="27"/>
      </patternFill>
    </fill>
    <fill>
      <patternFill patternType="solid">
        <fgColor indexed="29"/>
      </patternFill>
    </fill>
    <fill>
      <patternFill patternType="solid">
        <fgColor indexed="44"/>
      </patternFill>
    </fill>
    <fill>
      <patternFill patternType="solid">
        <fgColor indexed="49"/>
      </patternFill>
    </fill>
    <fill>
      <patternFill patternType="solid">
        <fgColor indexed="55"/>
      </patternFill>
    </fill>
    <fill>
      <patternFill patternType="solid">
        <fgColor indexed="22"/>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gray125">
        <fgColor indexed="8"/>
      </patternFill>
    </fill>
    <fill>
      <patternFill patternType="solid">
        <fgColor indexed="13"/>
        <bgColor indexed="64"/>
      </patternFill>
    </fill>
    <fill>
      <patternFill patternType="lightGray">
        <fgColor indexed="15"/>
      </patternFill>
    </fill>
    <fill>
      <patternFill patternType="solid">
        <fgColor indexed="16"/>
        <bgColor indexed="64"/>
      </patternFill>
    </fill>
    <fill>
      <patternFill patternType="solid">
        <fgColor indexed="60"/>
        <bgColor indexed="64"/>
      </patternFill>
    </fill>
    <fill>
      <patternFill patternType="lightGray">
        <fgColor indexed="12"/>
      </patternFill>
    </fill>
    <fill>
      <patternFill patternType="solid">
        <fgColor indexed="10"/>
        <bgColor indexed="64"/>
      </patternFill>
    </fill>
    <fill>
      <patternFill patternType="solid">
        <fgColor indexed="9"/>
        <bgColor indexed="9"/>
      </patternFill>
    </fill>
    <fill>
      <patternFill patternType="solid">
        <fgColor indexed="34"/>
      </patternFill>
    </fill>
    <fill>
      <patternFill patternType="solid">
        <fgColor indexed="42"/>
      </patternFill>
    </fill>
    <fill>
      <patternFill patternType="solid">
        <fgColor indexed="26"/>
        <bgColor indexed="64"/>
      </patternFill>
    </fill>
    <fill>
      <patternFill patternType="solid">
        <fgColor indexed="47"/>
        <bgColor indexed="64"/>
      </patternFill>
    </fill>
    <fill>
      <patternFill patternType="gray0625"/>
    </fill>
    <fill>
      <patternFill patternType="solid">
        <fgColor indexed="38"/>
      </patternFill>
    </fill>
    <fill>
      <patternFill patternType="solid">
        <fgColor indexed="30"/>
        <bgColor indexed="64"/>
      </patternFill>
    </fill>
    <fill>
      <patternFill patternType="solid">
        <fgColor indexed="13"/>
      </patternFill>
    </fill>
    <fill>
      <patternFill patternType="mediumGray">
        <fgColor indexed="9"/>
        <bgColor indexed="22"/>
      </patternFill>
    </fill>
    <fill>
      <patternFill patternType="solid">
        <fgColor indexed="62"/>
        <bgColor indexed="64"/>
      </patternFill>
    </fill>
    <fill>
      <patternFill patternType="solid">
        <fgColor indexed="63"/>
        <bgColor indexed="64"/>
      </patternFill>
    </fill>
    <fill>
      <patternFill patternType="solid">
        <fgColor indexed="40"/>
        <bgColor indexed="64"/>
      </patternFill>
    </fill>
    <fill>
      <patternFill patternType="solid">
        <fgColor indexed="15"/>
      </patternFill>
    </fill>
    <fill>
      <patternFill patternType="mediumGray">
        <fgColor indexed="22"/>
      </patternFill>
    </fill>
    <fill>
      <patternFill patternType="solid">
        <fgColor indexed="46"/>
      </patternFill>
    </fill>
    <fill>
      <patternFill patternType="solid">
        <fgColor indexed="56"/>
        <bgColor indexed="64"/>
      </patternFill>
    </fill>
    <fill>
      <patternFill patternType="solid">
        <fgColor indexed="18"/>
        <bgColor indexed="64"/>
      </patternFill>
    </fill>
    <fill>
      <patternFill patternType="solid">
        <fgColor indexed="8"/>
        <bgColor indexed="64"/>
      </patternFill>
    </fill>
    <fill>
      <patternFill patternType="solid">
        <fgColor indexed="41"/>
        <bgColor indexed="64"/>
      </patternFill>
    </fill>
    <fill>
      <patternFill patternType="solid">
        <fgColor indexed="25"/>
      </patternFill>
    </fill>
    <fill>
      <patternFill patternType="solid">
        <fgColor theme="0"/>
        <bgColor indexed="64"/>
      </patternFill>
    </fill>
    <fill>
      <patternFill patternType="solid">
        <fgColor theme="0" tint="-0.499984740745262"/>
        <bgColor indexed="64"/>
      </patternFill>
    </fill>
    <fill>
      <patternFill patternType="solid">
        <fgColor rgb="FF0000FF"/>
        <bgColor indexed="64"/>
      </patternFill>
    </fill>
    <fill>
      <patternFill patternType="solid">
        <fgColor indexed="31"/>
      </patternFill>
    </fill>
    <fill>
      <patternFill patternType="solid">
        <fgColor indexed="45"/>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theme="5"/>
        <bgColor indexed="64"/>
      </patternFill>
    </fill>
    <fill>
      <patternFill patternType="solid">
        <fgColor theme="4"/>
        <bgColor indexed="64"/>
      </patternFill>
    </fill>
    <fill>
      <patternFill patternType="solid">
        <fgColor theme="7"/>
        <bgColor indexed="64"/>
      </patternFill>
    </fill>
    <fill>
      <patternFill patternType="solid">
        <fgColor theme="6"/>
        <bgColor indexed="64"/>
      </patternFill>
    </fill>
    <fill>
      <patternFill patternType="solid">
        <fgColor theme="2" tint="-0.499984740745262"/>
        <bgColor indexed="64"/>
      </patternFill>
    </fill>
    <fill>
      <patternFill patternType="solid">
        <fgColor theme="0" tint="-4.9989318521683403E-2"/>
        <bgColor indexed="64"/>
      </patternFill>
    </fill>
    <fill>
      <patternFill patternType="solid">
        <fgColor theme="1"/>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8"/>
        <bgColor indexed="64"/>
      </patternFill>
    </fill>
    <fill>
      <patternFill patternType="solid">
        <fgColor rgb="FFD9D9D9"/>
        <bgColor rgb="FFD9D9D9"/>
      </patternFill>
    </fill>
    <fill>
      <patternFill patternType="solid">
        <fgColor rgb="FFD9D9D9"/>
        <bgColor rgb="FF000000"/>
      </patternFill>
    </fill>
    <fill>
      <patternFill patternType="solid">
        <fgColor theme="9" tint="0.79998168889431442"/>
        <bgColor theme="9" tint="0.79998168889431442"/>
      </patternFill>
    </fill>
    <fill>
      <patternFill patternType="solid">
        <fgColor theme="5" tint="0.79998168889431442"/>
        <bgColor indexed="64"/>
      </patternFill>
    </fill>
    <fill>
      <patternFill patternType="solid">
        <fgColor rgb="FF002060"/>
        <bgColor indexed="64"/>
      </patternFill>
    </fill>
    <fill>
      <patternFill patternType="solid">
        <fgColor rgb="FFFFFFFF"/>
        <bgColor rgb="FF000000"/>
      </patternFill>
    </fill>
    <fill>
      <patternFill patternType="solid">
        <fgColor rgb="FF92D050"/>
        <bgColor indexed="64"/>
      </patternFill>
    </fill>
    <fill>
      <patternFill patternType="solid">
        <fgColor rgb="FFFFC000"/>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5"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00B050"/>
        <bgColor indexed="64"/>
      </patternFill>
    </fill>
    <fill>
      <patternFill patternType="solid">
        <fgColor rgb="FFF7EDFD"/>
        <bgColor indexed="64"/>
      </patternFill>
    </fill>
    <fill>
      <patternFill patternType="solid">
        <fgColor theme="9"/>
        <bgColor indexed="64"/>
      </patternFill>
    </fill>
    <fill>
      <patternFill patternType="solid">
        <fgColor theme="2"/>
        <bgColor indexed="64"/>
      </patternFill>
    </fill>
    <fill>
      <patternFill patternType="solid">
        <fgColor theme="3" tint="0.499984740745262"/>
        <bgColor indexed="64"/>
      </patternFill>
    </fill>
    <fill>
      <patternFill patternType="solid">
        <fgColor theme="2" tint="-0.749992370372631"/>
        <bgColor indexed="64"/>
      </patternFill>
    </fill>
    <fill>
      <patternFill patternType="solid">
        <fgColor rgb="FFBFBFBF"/>
        <bgColor rgb="FF000000"/>
      </patternFill>
    </fill>
    <fill>
      <patternFill patternType="solid">
        <fgColor theme="1" tint="0.249977111117893"/>
        <bgColor indexed="64"/>
      </patternFill>
    </fill>
    <fill>
      <patternFill patternType="solid">
        <fgColor rgb="FFFFFFFF"/>
        <bgColor indexed="64"/>
      </patternFill>
    </fill>
    <fill>
      <patternFill patternType="solid">
        <fgColor rgb="FF00B0F0"/>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rgb="FFE9D7CF"/>
        <bgColor indexed="64"/>
      </patternFill>
    </fill>
    <fill>
      <patternFill patternType="solid">
        <fgColor rgb="FFFFFF00"/>
        <bgColor indexed="64"/>
      </patternFill>
    </fill>
    <fill>
      <patternFill patternType="solid">
        <fgColor theme="6" tint="0.79998168889431442"/>
        <bgColor indexed="64"/>
      </patternFill>
    </fill>
    <fill>
      <patternFill patternType="solid">
        <fgColor rgb="FFD9D9D9"/>
      </patternFill>
    </fill>
  </fills>
  <borders count="95">
    <border>
      <left/>
      <right/>
      <top/>
      <bottom/>
      <diagonal/>
    </border>
    <border>
      <left style="thin">
        <color indexed="64"/>
      </left>
      <right style="thin">
        <color indexed="64"/>
      </right>
      <top/>
      <bottom/>
      <diagonal/>
    </border>
    <border>
      <left/>
      <right/>
      <top style="hair">
        <color indexed="8"/>
      </top>
      <bottom style="hair">
        <color indexed="8"/>
      </bottom>
      <diagonal/>
    </border>
    <border>
      <left/>
      <right/>
      <top/>
      <bottom style="medium">
        <color indexed="18"/>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bottom style="thick">
        <color indexed="37"/>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top style="thin">
        <color indexed="8"/>
      </top>
      <bottom/>
      <diagonal/>
    </border>
    <border>
      <left style="thin">
        <color indexed="63"/>
      </left>
      <right style="thin">
        <color indexed="63"/>
      </right>
      <top style="thin">
        <color indexed="63"/>
      </top>
      <bottom style="thin">
        <color indexed="63"/>
      </bottom>
      <diagonal/>
    </border>
    <border>
      <left/>
      <right/>
      <top/>
      <bottom style="medium">
        <color indexed="15"/>
      </bottom>
      <diagonal/>
    </border>
    <border>
      <left style="thin">
        <color indexed="23"/>
      </left>
      <right style="thin">
        <color indexed="23"/>
      </right>
      <top style="thin">
        <color indexed="23"/>
      </top>
      <bottom style="thin">
        <color indexed="23"/>
      </bottom>
      <diagonal/>
    </border>
    <border>
      <left/>
      <right/>
      <top/>
      <bottom style="medium">
        <color indexed="64"/>
      </bottom>
      <diagonal/>
    </border>
    <border>
      <left/>
      <right/>
      <top/>
      <bottom style="thin">
        <color indexed="22"/>
      </bottom>
      <diagonal/>
    </border>
    <border>
      <left style="hair">
        <color indexed="64"/>
      </left>
      <right style="hair">
        <color indexed="64"/>
      </right>
      <top/>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top/>
      <bottom style="thick">
        <color indexed="64"/>
      </bottom>
      <diagonal/>
    </border>
    <border>
      <left style="thin">
        <color indexed="8"/>
      </left>
      <right style="thin">
        <color indexed="8"/>
      </right>
      <top style="thin">
        <color indexed="8"/>
      </top>
      <bottom style="thin">
        <color indexed="8"/>
      </bottom>
      <diagonal/>
    </border>
    <border>
      <left style="thin">
        <color indexed="55"/>
      </left>
      <right style="thin">
        <color indexed="55"/>
      </right>
      <top style="thin">
        <color indexed="55"/>
      </top>
      <bottom style="thin">
        <color indexed="55"/>
      </bottom>
      <diagonal/>
    </border>
    <border>
      <left/>
      <right/>
      <top/>
      <bottom style="thin">
        <color indexed="8"/>
      </bottom>
      <diagonal/>
    </border>
    <border>
      <left/>
      <right/>
      <top style="medium">
        <color indexed="23"/>
      </top>
      <bottom style="medium">
        <color indexed="23"/>
      </bottom>
      <diagonal/>
    </border>
    <border>
      <left/>
      <right/>
      <top style="medium">
        <color indexed="64"/>
      </top>
      <bottom style="thin">
        <color indexed="64"/>
      </bottom>
      <diagonal/>
    </border>
    <border>
      <left/>
      <right/>
      <top style="medium">
        <color indexed="15"/>
      </top>
      <bottom style="thin">
        <color indexed="15"/>
      </bottom>
      <diagonal/>
    </border>
    <border>
      <left style="thin">
        <color indexed="8"/>
      </left>
      <right/>
      <top style="thin">
        <color indexed="8"/>
      </top>
      <bottom/>
      <diagonal/>
    </border>
    <border>
      <left/>
      <right/>
      <top/>
      <bottom style="thin">
        <color indexed="15"/>
      </bottom>
      <diagonal/>
    </border>
    <border>
      <left/>
      <right/>
      <top/>
      <bottom style="thick">
        <color indexed="49"/>
      </bottom>
      <diagonal/>
    </border>
    <border>
      <left/>
      <right/>
      <top/>
      <bottom style="medium">
        <color indexed="49"/>
      </bottom>
      <diagonal/>
    </border>
    <border>
      <left/>
      <right/>
      <top/>
      <bottom style="double">
        <color indexed="64"/>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thin">
        <color indexed="9"/>
      </left>
      <right/>
      <top/>
      <bottom/>
      <diagonal/>
    </border>
    <border>
      <left/>
      <right/>
      <top/>
      <bottom style="hair">
        <color indexed="64"/>
      </bottom>
      <diagonal/>
    </border>
    <border>
      <left/>
      <right/>
      <top style="thin">
        <color indexed="62"/>
      </top>
      <bottom style="double">
        <color indexed="62"/>
      </bottom>
      <diagonal/>
    </border>
    <border>
      <left style="medium">
        <color rgb="FFFF0000"/>
      </left>
      <right style="medium">
        <color rgb="FFFF0000"/>
      </right>
      <top style="medium">
        <color rgb="FFFF0000"/>
      </top>
      <bottom style="medium">
        <color rgb="FFFF0000"/>
      </bottom>
      <diagonal/>
    </border>
    <border>
      <left/>
      <right style="thin">
        <color indexed="9"/>
      </right>
      <top/>
      <bottom/>
      <diagonal/>
    </border>
    <border>
      <left/>
      <right/>
      <top style="medium">
        <color indexed="64"/>
      </top>
      <bottom/>
      <diagonal/>
    </border>
    <border>
      <left/>
      <right style="medium">
        <color indexed="64"/>
      </right>
      <top/>
      <bottom/>
      <diagonal/>
    </border>
    <border>
      <left/>
      <right style="thin">
        <color theme="0"/>
      </right>
      <top/>
      <bottom/>
      <diagonal/>
    </border>
    <border>
      <left/>
      <right/>
      <top style="thin">
        <color indexed="64"/>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bottom/>
      <diagonal/>
    </border>
    <border>
      <left style="medium">
        <color indexed="64"/>
      </left>
      <right style="medium">
        <color indexed="64"/>
      </right>
      <top style="medium">
        <color indexed="64"/>
      </top>
      <bottom/>
      <diagonal/>
    </border>
    <border>
      <left/>
      <right style="thin">
        <color indexed="64"/>
      </right>
      <top/>
      <bottom style="medium">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style="hair">
        <color indexed="64"/>
      </top>
      <bottom style="hair">
        <color indexed="64"/>
      </bottom>
      <diagonal/>
    </border>
    <border>
      <left/>
      <right/>
      <top/>
      <bottom style="double">
        <color theme="1"/>
      </bottom>
      <diagonal/>
    </border>
    <border>
      <left style="double">
        <color theme="0"/>
      </left>
      <right/>
      <top style="double">
        <color theme="0"/>
      </top>
      <bottom style="double">
        <color theme="1"/>
      </bottom>
      <diagonal/>
    </border>
    <border>
      <left/>
      <right/>
      <top style="double">
        <color theme="0"/>
      </top>
      <bottom style="double">
        <color theme="1"/>
      </bottom>
      <diagonal/>
    </border>
    <border>
      <left/>
      <right style="double">
        <color theme="0"/>
      </right>
      <top style="double">
        <color theme="0"/>
      </top>
      <bottom style="double">
        <color theme="1"/>
      </bottom>
      <diagonal/>
    </border>
    <border>
      <left/>
      <right/>
      <top/>
      <bottom style="medium">
        <color theme="1"/>
      </bottom>
      <diagonal/>
    </border>
    <border>
      <left style="medium">
        <color indexed="64"/>
      </left>
      <right/>
      <top style="thin">
        <color indexed="64"/>
      </top>
      <bottom style="double">
        <color indexed="64"/>
      </bottom>
      <diagonal/>
    </border>
    <border>
      <left/>
      <right/>
      <top style="double">
        <color indexed="64"/>
      </top>
      <bottom/>
      <diagonal/>
    </border>
    <border>
      <left/>
      <right style="medium">
        <color indexed="64"/>
      </right>
      <top/>
      <bottom style="dotted">
        <color indexed="64"/>
      </bottom>
      <diagonal/>
    </border>
    <border>
      <left/>
      <right/>
      <top style="dotted">
        <color indexed="64"/>
      </top>
      <bottom/>
      <diagonal/>
    </border>
    <border>
      <left/>
      <right style="medium">
        <color indexed="64"/>
      </right>
      <top style="dotted">
        <color indexed="64"/>
      </top>
      <bottom/>
      <diagonal/>
    </border>
    <border>
      <left/>
      <right/>
      <top style="dotted">
        <color indexed="64"/>
      </top>
      <bottom style="dotted">
        <color indexed="64"/>
      </bottom>
      <diagonal/>
    </border>
    <border>
      <left/>
      <right style="medium">
        <color indexed="64"/>
      </right>
      <top style="dotted">
        <color indexed="64"/>
      </top>
      <bottom style="dotted">
        <color indexed="64"/>
      </bottom>
      <diagonal/>
    </border>
    <border>
      <left style="thin">
        <color indexed="9"/>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medium">
        <color indexed="64"/>
      </right>
      <top/>
      <bottom style="double">
        <color theme="1"/>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s>
  <cellStyleXfs count="1407">
    <xf numFmtId="0" fontId="0" fillId="0" borderId="0"/>
    <xf numFmtId="0" fontId="38" fillId="0" borderId="0" applyNumberFormat="0" applyFill="0" applyBorder="0" applyAlignment="0" applyProtection="0"/>
    <xf numFmtId="190" fontId="39" fillId="0" borderId="0"/>
    <xf numFmtId="191" fontId="27" fillId="0" borderId="0" applyFont="0" applyFill="0" applyBorder="0" applyAlignment="0" applyProtection="0"/>
    <xf numFmtId="192" fontId="27" fillId="0" borderId="0" applyFont="0" applyFill="0" applyBorder="0" applyAlignment="0" applyProtection="0"/>
    <xf numFmtId="193" fontId="27" fillId="0" borderId="0" applyFont="0" applyFill="0" applyBorder="0" applyAlignment="0" applyProtection="0"/>
    <xf numFmtId="194" fontId="27" fillId="0" borderId="0" applyFont="0" applyFill="0" applyBorder="0" applyAlignment="0" applyProtection="0"/>
    <xf numFmtId="195" fontId="4" fillId="0" borderId="0"/>
    <xf numFmtId="0" fontId="4" fillId="0" borderId="0"/>
    <xf numFmtId="196" fontId="27" fillId="0" borderId="0" applyFont="0" applyFill="0" applyBorder="0" applyAlignment="0" applyProtection="0"/>
    <xf numFmtId="168" fontId="27" fillId="2" borderId="0"/>
    <xf numFmtId="197" fontId="40" fillId="0" borderId="1">
      <alignment horizontal="right"/>
    </xf>
    <xf numFmtId="0" fontId="4" fillId="0" borderId="0" applyFont="0" applyFill="0" applyBorder="0" applyAlignment="0" applyProtection="0"/>
    <xf numFmtId="0" fontId="4" fillId="0" borderId="0" applyFont="0" applyFill="0" applyBorder="0" applyAlignment="0" applyProtection="0"/>
    <xf numFmtId="0" fontId="41" fillId="0" borderId="0">
      <alignment vertical="center"/>
    </xf>
    <xf numFmtId="0" fontId="41" fillId="0" borderId="0">
      <alignment vertical="center"/>
    </xf>
    <xf numFmtId="0" fontId="4" fillId="0" borderId="0">
      <alignment horizontal="left" wrapText="1"/>
    </xf>
    <xf numFmtId="0" fontId="4" fillId="0" borderId="0"/>
    <xf numFmtId="0" fontId="4" fillId="0" borderId="0"/>
    <xf numFmtId="0" fontId="41" fillId="0" borderId="0">
      <alignment vertical="center"/>
    </xf>
    <xf numFmtId="0"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42" fillId="0" borderId="0" applyNumberFormat="0" applyFill="0" applyBorder="0" applyAlignment="0" applyProtection="0"/>
    <xf numFmtId="0" fontId="4" fillId="3" borderId="0" applyNumberFormat="0" applyFont="0" applyAlignment="0" applyProtection="0"/>
    <xf numFmtId="0" fontId="41" fillId="0" borderId="0">
      <alignment vertical="center"/>
    </xf>
    <xf numFmtId="0" fontId="4" fillId="0" borderId="0" applyFont="0" applyFill="0" applyBorder="0" applyAlignment="0" applyProtection="0"/>
    <xf numFmtId="198" fontId="4" fillId="0" borderId="0" applyFont="0" applyFill="0" applyBorder="0" applyProtection="0">
      <alignment horizontal="right"/>
    </xf>
    <xf numFmtId="0" fontId="43" fillId="0" borderId="0">
      <alignment vertical="top"/>
    </xf>
    <xf numFmtId="0" fontId="44" fillId="0" borderId="0" applyNumberFormat="0" applyFill="0" applyBorder="0" applyProtection="0">
      <alignment vertical="top"/>
    </xf>
    <xf numFmtId="0" fontId="45" fillId="0" borderId="2" applyNumberFormat="0" applyFill="0" applyAlignment="0" applyProtection="0"/>
    <xf numFmtId="0" fontId="46" fillId="0" borderId="3" applyNumberFormat="0" applyFill="0" applyProtection="0">
      <alignment horizontal="center"/>
    </xf>
    <xf numFmtId="0" fontId="46" fillId="0" borderId="0" applyNumberFormat="0" applyFill="0" applyBorder="0" applyProtection="0">
      <alignment horizontal="left"/>
    </xf>
    <xf numFmtId="0" fontId="47" fillId="0" borderId="0" applyNumberFormat="0" applyFill="0" applyBorder="0" applyProtection="0">
      <alignment horizontal="centerContinuous"/>
    </xf>
    <xf numFmtId="0" fontId="43" fillId="0" borderId="0">
      <alignment vertical="top"/>
    </xf>
    <xf numFmtId="0" fontId="4" fillId="0" borderId="0"/>
    <xf numFmtId="199" fontId="4" fillId="0" borderId="0">
      <alignment horizontal="left" wrapText="1"/>
    </xf>
    <xf numFmtId="0" fontId="43" fillId="0" borderId="0">
      <alignment vertical="top"/>
    </xf>
    <xf numFmtId="0" fontId="4" fillId="0" borderId="0">
      <alignment horizontal="left" wrapText="1"/>
    </xf>
    <xf numFmtId="0" fontId="4" fillId="0" borderId="0" applyNumberFormat="0" applyFill="0" applyBorder="0" applyAlignment="0" applyProtection="0"/>
    <xf numFmtId="0" fontId="48" fillId="0" borderId="0"/>
    <xf numFmtId="202" fontId="4" fillId="0" borderId="0" applyFont="0" applyFill="0" applyBorder="0" applyAlignment="0"/>
    <xf numFmtId="0" fontId="4" fillId="0" borderId="0"/>
    <xf numFmtId="200" fontId="18" fillId="0" borderId="0" applyFont="0" applyFill="0" applyBorder="0" applyAlignment="0" applyProtection="0"/>
    <xf numFmtId="201" fontId="18" fillId="0" borderId="0" applyFont="0" applyFill="0" applyBorder="0" applyAlignment="0" applyProtection="0"/>
    <xf numFmtId="203" fontId="49" fillId="0" borderId="0">
      <alignment horizontal="center"/>
    </xf>
    <xf numFmtId="204" fontId="49" fillId="0" borderId="0">
      <alignment horizontal="center"/>
    </xf>
    <xf numFmtId="205" fontId="49" fillId="0" borderId="0">
      <alignment horizontal="center"/>
    </xf>
    <xf numFmtId="206" fontId="18" fillId="0" borderId="0">
      <alignment horizontal="center"/>
    </xf>
    <xf numFmtId="207" fontId="49" fillId="0" borderId="0">
      <alignment horizontal="center"/>
    </xf>
    <xf numFmtId="208" fontId="49" fillId="0" borderId="0">
      <alignment horizontal="center"/>
    </xf>
    <xf numFmtId="209" fontId="4" fillId="0" borderId="0"/>
    <xf numFmtId="210" fontId="4" fillId="2" borderId="0"/>
    <xf numFmtId="38" fontId="39" fillId="0" borderId="4"/>
    <xf numFmtId="211" fontId="49" fillId="0" borderId="0">
      <alignment horizontal="center"/>
    </xf>
    <xf numFmtId="203" fontId="49" fillId="0" borderId="0">
      <alignment horizontal="center"/>
    </xf>
    <xf numFmtId="212" fontId="18" fillId="0" borderId="0">
      <alignment horizontal="center"/>
    </xf>
    <xf numFmtId="0" fontId="6" fillId="0" borderId="0"/>
    <xf numFmtId="213" fontId="50" fillId="0" borderId="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4"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4" fillId="0" borderId="0" applyFont="0"/>
    <xf numFmtId="0" fontId="8" fillId="4"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9" borderId="0" applyNumberFormat="0" applyBorder="0" applyAlignment="0" applyProtection="0"/>
    <xf numFmtId="0" fontId="8" fillId="5" borderId="0" applyNumberFormat="0" applyBorder="0" applyAlignment="0" applyProtection="0"/>
    <xf numFmtId="0" fontId="9" fillId="10" borderId="0" applyNumberFormat="0" applyBorder="0" applyAlignment="0" applyProtection="0"/>
    <xf numFmtId="0" fontId="9" fillId="8" borderId="0" applyNumberFormat="0" applyBorder="0" applyAlignment="0" applyProtection="0"/>
    <xf numFmtId="0" fontId="9" fillId="3" borderId="0" applyNumberFormat="0" applyBorder="0" applyAlignment="0" applyProtection="0"/>
    <xf numFmtId="0" fontId="9" fillId="11"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37" fontId="33" fillId="0" borderId="0"/>
    <xf numFmtId="0" fontId="51" fillId="12" borderId="0" applyFont="0" applyBorder="0"/>
    <xf numFmtId="0" fontId="51" fillId="13" borderId="0" applyNumberFormat="0" applyFont="0" applyBorder="0" applyAlignment="0" applyProtection="0"/>
    <xf numFmtId="0" fontId="41" fillId="14" borderId="0" applyNumberFormat="0" applyFont="0" applyBorder="0" applyAlignment="0" applyProtection="0"/>
    <xf numFmtId="0" fontId="6" fillId="15" borderId="0" applyBorder="0"/>
    <xf numFmtId="0" fontId="4" fillId="0" borderId="5" applyNumberFormat="0" applyBorder="0" applyAlignment="0" applyProtection="0"/>
    <xf numFmtId="0" fontId="52"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6"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175" fontId="54" fillId="0" borderId="0" applyBorder="0">
      <alignment horizontal="right"/>
    </xf>
    <xf numFmtId="175" fontId="55" fillId="0" borderId="5" applyBorder="0">
      <alignment horizontal="right"/>
    </xf>
    <xf numFmtId="0" fontId="55" fillId="0" borderId="5" applyBorder="0">
      <alignment horizontal="right"/>
    </xf>
    <xf numFmtId="0" fontId="55" fillId="0" borderId="5" applyBorder="0">
      <alignment horizontal="right"/>
    </xf>
    <xf numFmtId="0" fontId="55" fillId="0" borderId="5" applyBorder="0">
      <alignment horizontal="right"/>
    </xf>
    <xf numFmtId="0" fontId="54" fillId="0" borderId="0" applyBorder="0">
      <alignment horizontal="right"/>
    </xf>
    <xf numFmtId="0" fontId="54" fillId="0" borderId="0" applyBorder="0">
      <alignment horizontal="right"/>
    </xf>
    <xf numFmtId="0" fontId="54" fillId="0" borderId="0" applyBorder="0">
      <alignment horizontal="right"/>
    </xf>
    <xf numFmtId="0" fontId="56" fillId="0" borderId="0">
      <alignment horizontal="left" indent="1"/>
    </xf>
    <xf numFmtId="0" fontId="51" fillId="16" borderId="5" applyNumberFormat="0" applyFont="0" applyBorder="0" applyAlignment="0" applyProtection="0"/>
    <xf numFmtId="0" fontId="57"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7"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8" fillId="0" borderId="5" applyNumberFormat="0" applyBorder="0" applyAlignment="0" applyProtection="0"/>
    <xf numFmtId="0" fontId="57" fillId="12" borderId="7" applyBorder="0">
      <alignment horizontal="center"/>
    </xf>
    <xf numFmtId="172" fontId="4" fillId="0" borderId="0" applyFont="0" applyFill="0" applyBorder="0" applyAlignment="0" applyProtection="0">
      <alignment vertical="top"/>
    </xf>
    <xf numFmtId="170" fontId="4" fillId="0" borderId="0" applyFont="0" applyFill="0" applyBorder="0" applyAlignment="0" applyProtection="0"/>
    <xf numFmtId="214" fontId="4" fillId="0" borderId="8" applyFont="0" applyFill="0" applyBorder="0" applyAlignment="0" applyProtection="0"/>
    <xf numFmtId="170" fontId="4" fillId="0" borderId="0" applyFont="0" applyFill="0" applyBorder="0" applyAlignment="0" applyProtection="0">
      <alignment vertical="top"/>
    </xf>
    <xf numFmtId="0" fontId="53" fillId="0" borderId="9">
      <alignment horizontal="right"/>
    </xf>
    <xf numFmtId="215" fontId="59" fillId="0" borderId="10"/>
    <xf numFmtId="216" fontId="60" fillId="0" borderId="11"/>
    <xf numFmtId="0" fontId="4" fillId="0" borderId="0"/>
    <xf numFmtId="216" fontId="39" fillId="0" borderId="12" applyBorder="0"/>
    <xf numFmtId="0" fontId="61" fillId="0" borderId="0"/>
    <xf numFmtId="0" fontId="9" fillId="10"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10" borderId="0" applyNumberFormat="0" applyBorder="0" applyAlignment="0" applyProtection="0"/>
    <xf numFmtId="0" fontId="9" fillId="21" borderId="0" applyNumberFormat="0" applyBorder="0" applyAlignment="0" applyProtection="0"/>
    <xf numFmtId="0" fontId="62" fillId="0" borderId="0" applyNumberFormat="0" applyFill="0" applyBorder="0" applyAlignment="0" applyProtection="0"/>
    <xf numFmtId="217" fontId="63" fillId="0" borderId="0"/>
    <xf numFmtId="218" fontId="64" fillId="22" borderId="13"/>
    <xf numFmtId="0" fontId="4" fillId="0" borderId="0" applyNumberFormat="0" applyFill="0" applyBorder="0" applyAlignment="0" applyProtection="0"/>
    <xf numFmtId="0" fontId="65" fillId="0" borderId="0" applyNumberFormat="0" applyFill="0" applyBorder="0" applyAlignment="0" applyProtection="0"/>
    <xf numFmtId="0" fontId="66" fillId="0" borderId="1">
      <protection hidden="1"/>
    </xf>
    <xf numFmtId="0" fontId="67" fillId="4" borderId="1" applyNumberFormat="0" applyFont="0" applyBorder="0" applyAlignment="0" applyProtection="0">
      <protection hidden="1"/>
    </xf>
    <xf numFmtId="37" fontId="68" fillId="0" borderId="0"/>
    <xf numFmtId="0" fontId="69" fillId="0" borderId="0"/>
    <xf numFmtId="38" fontId="33" fillId="23" borderId="0"/>
    <xf numFmtId="214" fontId="4" fillId="0" borderId="0">
      <alignment horizontal="center"/>
    </xf>
    <xf numFmtId="219" fontId="70" fillId="0" borderId="0"/>
    <xf numFmtId="220" fontId="71" fillId="0" borderId="0" applyNumberFormat="0" applyFill="0" applyBorder="0" applyAlignment="0" applyProtection="0"/>
    <xf numFmtId="214" fontId="4" fillId="0" borderId="0">
      <alignment horizontal="center"/>
    </xf>
    <xf numFmtId="214" fontId="4" fillId="0" borderId="0">
      <alignment horizontal="center"/>
    </xf>
    <xf numFmtId="189" fontId="72" fillId="0" borderId="0" applyNumberFormat="0" applyFill="0" applyBorder="0" applyAlignment="0" applyProtection="0"/>
    <xf numFmtId="38" fontId="33" fillId="23" borderId="0"/>
    <xf numFmtId="189" fontId="72" fillId="0" borderId="0" applyNumberFormat="0" applyFill="0" applyBorder="0" applyAlignment="0" applyProtection="0"/>
    <xf numFmtId="189" fontId="72" fillId="0" borderId="0" applyNumberFormat="0" applyFill="0" applyBorder="0" applyAlignment="0" applyProtection="0"/>
    <xf numFmtId="0" fontId="73" fillId="0" borderId="0" applyNumberFormat="0" applyFill="0" applyBorder="0" applyAlignment="0" applyProtection="0"/>
    <xf numFmtId="214" fontId="4" fillId="0" borderId="0">
      <alignment horizontal="center"/>
    </xf>
    <xf numFmtId="0" fontId="4" fillId="0" borderId="15" applyNumberFormat="0" applyFont="0" applyFill="0" applyAlignment="0"/>
    <xf numFmtId="0" fontId="74" fillId="0" borderId="0" applyNumberFormat="0" applyFill="0" applyBorder="0" applyAlignment="0" applyProtection="0"/>
    <xf numFmtId="0" fontId="53" fillId="0" borderId="0" applyNumberFormat="0" applyFont="0" applyAlignment="0"/>
    <xf numFmtId="221" fontId="75" fillId="0" borderId="0" applyNumberFormat="0" applyFill="0" applyBorder="0" applyAlignment="0" applyProtection="0">
      <alignment horizontal="right"/>
    </xf>
    <xf numFmtId="37" fontId="76" fillId="0" borderId="0" applyFill="0" applyBorder="0" applyAlignment="0" applyProtection="0">
      <alignment vertical="top"/>
    </xf>
    <xf numFmtId="167" fontId="59" fillId="0" borderId="0">
      <alignment horizontal="right"/>
      <protection locked="0"/>
    </xf>
    <xf numFmtId="0" fontId="77" fillId="0" borderId="11" applyNumberFormat="0" applyFill="0" applyAlignment="0" applyProtection="0"/>
    <xf numFmtId="222" fontId="4" fillId="0" borderId="0" applyFont="0" applyFill="0" applyBorder="0" applyAlignment="0" applyProtection="0"/>
    <xf numFmtId="0" fontId="78" fillId="0" borderId="17" applyNumberFormat="0" applyFont="0" applyFill="0" applyAlignment="0" applyProtection="0"/>
    <xf numFmtId="223" fontId="4" fillId="0" borderId="18" applyNumberFormat="0" applyFill="0" applyAlignment="0" applyProtection="0"/>
    <xf numFmtId="224" fontId="79" fillId="0" borderId="0" applyFont="0" applyFill="0" applyBorder="0" applyAlignment="0" applyProtection="0"/>
    <xf numFmtId="37" fontId="33" fillId="0" borderId="0"/>
    <xf numFmtId="225" fontId="18" fillId="0" borderId="0" applyFont="0" applyFill="0" applyBorder="0" applyAlignment="0" applyProtection="0"/>
    <xf numFmtId="0" fontId="80" fillId="0" borderId="0"/>
    <xf numFmtId="38" fontId="33" fillId="0" borderId="0" applyFont="0" applyBorder="0" applyAlignment="0">
      <alignment horizontal="centerContinuous"/>
    </xf>
    <xf numFmtId="0" fontId="211" fillId="0" borderId="0"/>
    <xf numFmtId="0" fontId="4" fillId="0" borderId="0" applyFont="0" applyFill="0" applyBorder="0" applyAlignment="0" applyProtection="0"/>
    <xf numFmtId="0" fontId="80" fillId="0" borderId="0"/>
    <xf numFmtId="223" fontId="18" fillId="24" borderId="0" applyNumberFormat="0" applyFont="0" applyBorder="0" applyAlignment="0"/>
    <xf numFmtId="0" fontId="81" fillId="0" borderId="0" applyFill="0" applyBorder="0" applyProtection="0">
      <alignment horizontal="center"/>
    </xf>
    <xf numFmtId="0" fontId="26" fillId="0" borderId="0"/>
    <xf numFmtId="172" fontId="82" fillId="0" borderId="0">
      <alignment horizontal="center"/>
    </xf>
    <xf numFmtId="0" fontId="83" fillId="25" borderId="0">
      <alignment horizontal="left"/>
    </xf>
    <xf numFmtId="0" fontId="28" fillId="0" borderId="0" applyNumberFormat="0" applyFill="0" applyBorder="0">
      <alignment horizontal="center" wrapText="1"/>
    </xf>
    <xf numFmtId="0" fontId="84" fillId="0" borderId="0">
      <alignment horizontal="center" wrapText="1"/>
      <protection hidden="1"/>
    </xf>
    <xf numFmtId="0" fontId="85" fillId="26"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197" fontId="39" fillId="0" borderId="0"/>
    <xf numFmtId="170" fontId="87" fillId="0" borderId="0" applyFont="0" applyBorder="0">
      <alignment horizontal="right"/>
    </xf>
    <xf numFmtId="183" fontId="4" fillId="0" borderId="0" applyFont="0" applyFill="0" applyBorder="0" applyProtection="0">
      <alignment horizontal="right"/>
    </xf>
    <xf numFmtId="226" fontId="39" fillId="0" borderId="0" applyFill="0" applyBorder="0" applyProtection="0"/>
    <xf numFmtId="227" fontId="39" fillId="0" borderId="0" applyFont="0" applyFill="0" applyBorder="0" applyAlignment="0" applyProtection="0"/>
    <xf numFmtId="228" fontId="39" fillId="0" borderId="0" applyFill="0" applyBorder="0" applyProtection="0">
      <alignment horizontal="right"/>
    </xf>
    <xf numFmtId="229" fontId="32" fillId="0" borderId="0" applyFont="0" applyFill="0" applyBorder="0" applyAlignment="0" applyProtection="0"/>
    <xf numFmtId="230" fontId="4" fillId="0" borderId="0" applyFont="0" applyFill="0" applyBorder="0" applyAlignment="0" applyProtection="0"/>
    <xf numFmtId="37" fontId="78" fillId="0" borderId="0" applyFill="0" applyBorder="0" applyAlignment="0" applyProtection="0"/>
    <xf numFmtId="0" fontId="53" fillId="0" borderId="0" applyFont="0" applyFill="0" applyBorder="0" applyAlignment="0" applyProtection="0"/>
    <xf numFmtId="3" fontId="4" fillId="0" borderId="0" applyFont="0" applyFill="0" applyBorder="0" applyAlignment="0" applyProtection="0"/>
    <xf numFmtId="0" fontId="53" fillId="0" borderId="0"/>
    <xf numFmtId="0" fontId="88" fillId="27" borderId="0">
      <alignment horizontal="center" vertical="center" wrapText="1"/>
    </xf>
    <xf numFmtId="232" fontId="4" fillId="0" borderId="0" applyFont="0" applyFill="0" applyBorder="0" applyAlignment="0" applyProtection="0"/>
    <xf numFmtId="0" fontId="89" fillId="0" borderId="0">
      <alignment horizontal="left"/>
    </xf>
    <xf numFmtId="0" fontId="90" fillId="0" borderId="0"/>
    <xf numFmtId="0" fontId="91" fillId="0" borderId="0">
      <alignment horizontal="left"/>
    </xf>
    <xf numFmtId="0" fontId="53" fillId="1" borderId="0" applyFont="0" applyFill="0" applyBorder="0" applyAlignment="0" applyProtection="0">
      <alignment horizontal="right"/>
    </xf>
    <xf numFmtId="3" fontId="4" fillId="0" borderId="19" applyNumberFormat="0" applyAlignment="0">
      <alignment vertical="center"/>
    </xf>
    <xf numFmtId="233" fontId="65" fillId="0" borderId="0" applyFill="0" applyBorder="0">
      <alignment horizontal="right"/>
      <protection locked="0"/>
    </xf>
    <xf numFmtId="165" fontId="34" fillId="0" borderId="0" applyFont="0" applyFill="0" applyBorder="0" applyAlignment="0" applyProtection="0">
      <alignment horizontal="center"/>
    </xf>
    <xf numFmtId="39" fontId="4" fillId="0" borderId="0" applyFont="0" applyFill="0" applyBorder="0" applyAlignment="0" applyProtection="0"/>
    <xf numFmtId="0" fontId="77" fillId="0" borderId="0" applyFont="0" applyFill="0" applyBorder="0" applyAlignment="0">
      <alignment horizontal="center" wrapText="1"/>
    </xf>
    <xf numFmtId="234" fontId="92" fillId="0" borderId="0" applyFont="0" applyFill="0" applyBorder="0" applyAlignment="0" applyProtection="0">
      <alignment horizontal="right"/>
    </xf>
    <xf numFmtId="235" fontId="39" fillId="0" borderId="0" applyFill="0" applyBorder="0" applyProtection="0">
      <alignment horizontal="right"/>
    </xf>
    <xf numFmtId="236" fontId="93" fillId="0" borderId="0" applyFont="0" applyFill="0" applyBorder="0" applyAlignment="0" applyProtection="0"/>
    <xf numFmtId="237" fontId="4" fillId="0" borderId="0" applyFont="0" applyFill="0" applyBorder="0" applyAlignment="0" applyProtection="0"/>
    <xf numFmtId="165" fontId="78" fillId="0" borderId="0" applyFill="0" applyBorder="0" applyAlignment="0" applyProtection="0"/>
    <xf numFmtId="238" fontId="39" fillId="0" borderId="0" applyFill="0" applyBorder="0" applyAlignment="0" applyProtection="0"/>
    <xf numFmtId="0" fontId="4" fillId="0" borderId="0" applyFont="0" applyFill="0" applyBorder="0" applyAlignment="0" applyProtection="0"/>
    <xf numFmtId="239" fontId="32" fillId="0" borderId="0" applyFill="0" applyBorder="0" applyProtection="0">
      <alignment vertical="center"/>
    </xf>
    <xf numFmtId="0" fontId="27" fillId="2" borderId="0"/>
    <xf numFmtId="0" fontId="4" fillId="0" borderId="0" applyFont="0" applyFill="0" applyBorder="0" applyAlignment="0" applyProtection="0"/>
    <xf numFmtId="221" fontId="4" fillId="0" borderId="0" applyFont="0" applyFill="0" applyBorder="0" applyAlignment="0" applyProtection="0"/>
    <xf numFmtId="240" fontId="4" fillId="0" borderId="0" applyFont="0" applyFill="0" applyBorder="0" applyAlignment="0" applyProtection="0"/>
    <xf numFmtId="168" fontId="4" fillId="0" borderId="0" applyFont="0" applyFill="0" applyBorder="0" applyAlignment="0" applyProtection="0"/>
    <xf numFmtId="13" fontId="4" fillId="0" borderId="0" applyFont="0" applyFill="0" applyBorder="0" applyAlignment="0" applyProtection="0"/>
    <xf numFmtId="241" fontId="4" fillId="0" borderId="0" applyFont="0" applyFill="0" applyBorder="0" applyAlignment="0" applyProtection="0"/>
    <xf numFmtId="167" fontId="4" fillId="0" borderId="0" applyFont="0" applyFill="0" applyBorder="0" applyAlignment="0" applyProtection="0"/>
    <xf numFmtId="223" fontId="4" fillId="0" borderId="0" applyFont="0" applyFill="0" applyBorder="0" applyAlignment="0" applyProtection="0"/>
    <xf numFmtId="165" fontId="4" fillId="0" borderId="0" applyFont="0" applyFill="0" applyBorder="0" applyAlignment="0" applyProtection="0"/>
    <xf numFmtId="242" fontId="4" fillId="0" borderId="0" applyFont="0" applyFill="0" applyBorder="0" applyAlignment="0" applyProtection="0"/>
    <xf numFmtId="207" fontId="4" fillId="0" borderId="0" applyFont="0" applyFill="0" applyBorder="0" applyAlignment="0" applyProtection="0"/>
    <xf numFmtId="14" fontId="4" fillId="0" borderId="0" applyFont="0" applyFill="0" applyBorder="0" applyAlignment="0" applyProtection="0"/>
    <xf numFmtId="46" fontId="4" fillId="0" borderId="0" applyFont="0" applyFill="0" applyBorder="0" applyAlignment="0" applyProtection="0"/>
    <xf numFmtId="243" fontId="4" fillId="0" borderId="0" applyFont="0" applyFill="0" applyBorder="0" applyAlignment="0" applyProtection="0"/>
    <xf numFmtId="244" fontId="4" fillId="0" borderId="0" applyFont="0" applyFill="0" applyBorder="0" applyAlignment="0" applyProtection="0"/>
    <xf numFmtId="10" fontId="4" fillId="0" borderId="0" applyFont="0" applyFill="0" applyBorder="0" applyAlignment="0" applyProtection="0"/>
    <xf numFmtId="245" fontId="4" fillId="0" borderId="0" applyFont="0" applyFill="0" applyBorder="0" applyAlignment="0" applyProtection="0"/>
    <xf numFmtId="3" fontId="4" fillId="0" borderId="0" applyFont="0" applyFill="0" applyBorder="0" applyAlignment="0" applyProtection="0"/>
    <xf numFmtId="1" fontId="4" fillId="0" borderId="0" applyFont="0" applyFill="0" applyBorder="0" applyAlignment="0" applyProtection="0"/>
    <xf numFmtId="246" fontId="4" fillId="0" borderId="0" applyFont="0" applyFill="0" applyBorder="0" applyAlignment="0" applyProtection="0"/>
    <xf numFmtId="179" fontId="4" fillId="0" borderId="0" applyFont="0" applyFill="0" applyBorder="0" applyAlignment="0" applyProtection="0"/>
    <xf numFmtId="2" fontId="4" fillId="0" borderId="0" applyFont="0" applyFill="0" applyBorder="0" applyAlignment="0" applyProtection="0"/>
    <xf numFmtId="172" fontId="4" fillId="0" borderId="0" applyFont="0" applyFill="0" applyBorder="0" applyAlignment="0" applyProtection="0"/>
    <xf numFmtId="247" fontId="4" fillId="0" borderId="0" applyFont="0" applyFill="0" applyBorder="0" applyAlignment="0" applyProtection="0"/>
    <xf numFmtId="37" fontId="4" fillId="0" borderId="0" applyFont="0" applyFill="0" applyBorder="0" applyAlignment="0" applyProtection="0"/>
    <xf numFmtId="189" fontId="4" fillId="0" borderId="0" applyFont="0" applyFill="0" applyBorder="0" applyAlignment="0" applyProtection="0"/>
    <xf numFmtId="17" fontId="4" fillId="0" borderId="0" applyFont="0" applyFill="0" applyBorder="0" applyAlignment="0" applyProtection="0"/>
    <xf numFmtId="38" fontId="4" fillId="0" borderId="0" applyFont="0" applyFill="0" applyBorder="0" applyAlignment="0" applyProtection="0"/>
    <xf numFmtId="248" fontId="4" fillId="0" borderId="0" applyFont="0" applyFill="0" applyBorder="0" applyAlignment="0" applyProtection="0"/>
    <xf numFmtId="249" fontId="4" fillId="0" borderId="0" applyFont="0" applyFill="0" applyBorder="0" applyAlignment="0" applyProtection="0"/>
    <xf numFmtId="208" fontId="4" fillId="0" borderId="0" applyFont="0" applyFill="0" applyBorder="0" applyAlignment="0" applyProtection="0"/>
    <xf numFmtId="15" fontId="4" fillId="0" borderId="0" applyFont="0" applyFill="0" applyBorder="0" applyAlignment="0" applyProtection="0"/>
    <xf numFmtId="197" fontId="4" fillId="0" borderId="0" applyFont="0" applyFill="0" applyBorder="0" applyAlignment="0" applyProtection="0"/>
    <xf numFmtId="9" fontId="4" fillId="0" borderId="0" applyFont="0" applyFill="0" applyBorder="0" applyAlignment="0" applyProtection="0"/>
    <xf numFmtId="250" fontId="4" fillId="0" borderId="0" applyFont="0" applyFill="0" applyBorder="0" applyAlignment="0" applyProtection="0"/>
    <xf numFmtId="251" fontId="4" fillId="0" borderId="0" applyFont="0" applyFill="0" applyBorder="0" applyAlignment="0" applyProtection="0"/>
    <xf numFmtId="39" fontId="4" fillId="0" borderId="0" applyFont="0" applyFill="0" applyBorder="0" applyAlignment="0" applyProtection="0"/>
    <xf numFmtId="218" fontId="4" fillId="0" borderId="0" applyFont="0" applyFill="0" applyBorder="0" applyAlignment="0" applyProtection="0"/>
    <xf numFmtId="252" fontId="4" fillId="0" borderId="0" applyFont="0" applyFill="0" applyBorder="0" applyAlignment="0" applyProtection="0"/>
    <xf numFmtId="40" fontId="4" fillId="0" borderId="0" applyFont="0" applyFill="0" applyBorder="0" applyAlignment="0" applyProtection="0"/>
    <xf numFmtId="253" fontId="4" fillId="0" borderId="0" applyFont="0" applyFill="0" applyBorder="0" applyAlignment="0" applyProtection="0"/>
    <xf numFmtId="254" fontId="4" fillId="0" borderId="0" applyFont="0" applyFill="0" applyBorder="0" applyAlignment="0" applyProtection="0"/>
    <xf numFmtId="49" fontId="4" fillId="0" borderId="0" applyFont="0" applyFill="0" applyBorder="0" applyAlignment="0" applyProtection="0"/>
    <xf numFmtId="166" fontId="4" fillId="0" borderId="0" applyFont="0" applyFill="0" applyBorder="0" applyAlignment="0" applyProtection="0"/>
    <xf numFmtId="171" fontId="4" fillId="0" borderId="0" applyFont="0" applyFill="0" applyBorder="0" applyAlignment="0" applyProtection="0"/>
    <xf numFmtId="181" fontId="4" fillId="0" borderId="0" applyFont="0" applyFill="0" applyBorder="0" applyAlignment="0" applyProtection="0"/>
    <xf numFmtId="255" fontId="4" fillId="0" borderId="0" applyFont="0" applyFill="0" applyBorder="0" applyAlignment="0" applyProtection="0"/>
    <xf numFmtId="175" fontId="4" fillId="0" borderId="0" applyFont="0" applyFill="0" applyBorder="0" applyAlignment="0" applyProtection="0"/>
    <xf numFmtId="180" fontId="4" fillId="0" borderId="0" applyFont="0" applyFill="0" applyBorder="0" applyAlignment="0" applyProtection="0"/>
    <xf numFmtId="256" fontId="27" fillId="0" borderId="0" applyFill="0" applyBorder="0" applyAlignment="0" applyProtection="0"/>
    <xf numFmtId="257" fontId="4" fillId="0" borderId="0"/>
    <xf numFmtId="257" fontId="4" fillId="0" borderId="0"/>
    <xf numFmtId="257" fontId="4" fillId="0" borderId="0"/>
    <xf numFmtId="257" fontId="4" fillId="0" borderId="0"/>
    <xf numFmtId="257" fontId="9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0" fontId="4" fillId="0" borderId="0"/>
    <xf numFmtId="0" fontId="4" fillId="0" borderId="0"/>
    <xf numFmtId="0" fontId="4" fillId="0" borderId="0"/>
    <xf numFmtId="0" fontId="4" fillId="0" borderId="0"/>
    <xf numFmtId="0" fontId="4" fillId="0" borderId="0"/>
    <xf numFmtId="0" fontId="9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4" fillId="0" borderId="0"/>
    <xf numFmtId="0" fontId="9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257" fontId="4" fillId="0" borderId="0"/>
    <xf numFmtId="257" fontId="4" fillId="0" borderId="0"/>
    <xf numFmtId="257" fontId="94" fillId="0" borderId="0"/>
    <xf numFmtId="257" fontId="9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7" fontId="4" fillId="0" borderId="0"/>
    <xf numFmtId="258" fontId="18" fillId="0" borderId="0" applyFont="0" applyFill="0" applyBorder="0" applyAlignment="0" applyProtection="0"/>
    <xf numFmtId="223" fontId="78" fillId="0" borderId="0" applyFont="0" applyFill="0" applyBorder="0" applyProtection="0">
      <alignment horizontal="right"/>
    </xf>
    <xf numFmtId="0" fontId="92" fillId="0" borderId="0" applyFont="0" applyFill="0" applyBorder="0" applyAlignment="0" applyProtection="0"/>
    <xf numFmtId="259" fontId="32" fillId="0" borderId="0" applyFont="0" applyFill="0" applyBorder="0" applyAlignment="0" applyProtection="0"/>
    <xf numFmtId="14" fontId="59" fillId="0" borderId="0"/>
    <xf numFmtId="14" fontId="95" fillId="0" borderId="0"/>
    <xf numFmtId="14" fontId="96" fillId="0" borderId="0"/>
    <xf numFmtId="14" fontId="6" fillId="0" borderId="0" applyFont="0" applyFill="0" applyBorder="0" applyAlignment="0" applyProtection="0"/>
    <xf numFmtId="14" fontId="97" fillId="0" borderId="0"/>
    <xf numFmtId="14" fontId="98" fillId="0" borderId="0">
      <alignment horizontal="right"/>
      <protection locked="0"/>
    </xf>
    <xf numFmtId="0" fontId="53" fillId="0" borderId="20" applyFont="0" applyFill="0" applyBorder="0" applyAlignment="0" applyProtection="0">
      <alignment horizontal="right"/>
    </xf>
    <xf numFmtId="15" fontId="49" fillId="0" borderId="0" applyFont="0" applyFill="0" applyBorder="0" applyAlignment="0" applyProtection="0">
      <alignment horizontal="center"/>
    </xf>
    <xf numFmtId="260" fontId="27" fillId="28" borderId="0" applyFont="0" applyFill="0" applyBorder="0" applyAlignment="0" applyProtection="0"/>
    <xf numFmtId="189" fontId="35" fillId="0" borderId="0">
      <alignment horizontal="right"/>
    </xf>
    <xf numFmtId="189" fontId="35" fillId="0" borderId="0">
      <alignment horizontal="right"/>
    </xf>
    <xf numFmtId="175" fontId="35" fillId="0" borderId="0">
      <alignment horizontal="right"/>
    </xf>
    <xf numFmtId="197" fontId="49" fillId="0" borderId="0" applyFont="0" applyFill="0" applyBorder="0" applyAlignment="0" applyProtection="0">
      <alignment horizontal="center"/>
    </xf>
    <xf numFmtId="9" fontId="4" fillId="0" borderId="0" applyNumberFormat="0" applyFill="0" applyBorder="0" applyAlignment="0" applyProtection="0"/>
    <xf numFmtId="40" fontId="84" fillId="0" borderId="0" applyFont="0" applyFill="0" applyBorder="0" applyAlignment="0" applyProtection="0"/>
    <xf numFmtId="174" fontId="4" fillId="0" borderId="0" applyFont="0" applyFill="0" applyBorder="0" applyAlignment="0" applyProtection="0"/>
    <xf numFmtId="261" fontId="4" fillId="0" borderId="0" applyFont="0" applyFill="0" applyBorder="0" applyAlignment="0" applyProtection="0"/>
    <xf numFmtId="168" fontId="78" fillId="0" borderId="0" applyFill="0" applyBorder="0" applyProtection="0"/>
    <xf numFmtId="252" fontId="78" fillId="0" borderId="0"/>
    <xf numFmtId="252" fontId="99" fillId="0" borderId="0">
      <protection locked="0"/>
    </xf>
    <xf numFmtId="167" fontId="78" fillId="0" borderId="0"/>
    <xf numFmtId="262" fontId="92" fillId="0" borderId="21" applyNumberFormat="0" applyFont="0" applyFill="0" applyAlignment="0" applyProtection="0"/>
    <xf numFmtId="169" fontId="100" fillId="0" borderId="0" applyFill="0" applyBorder="0" applyAlignment="0" applyProtection="0"/>
    <xf numFmtId="179" fontId="101" fillId="16" borderId="0"/>
    <xf numFmtId="261" fontId="35" fillId="0" borderId="0"/>
    <xf numFmtId="1" fontId="78" fillId="0" borderId="0"/>
    <xf numFmtId="0" fontId="4" fillId="1" borderId="0" applyNumberFormat="0" applyBorder="0" applyAlignment="0" applyProtection="0"/>
    <xf numFmtId="180" fontId="102" fillId="0" borderId="0"/>
    <xf numFmtId="176" fontId="4" fillId="0" borderId="0" applyFont="0" applyFill="0" applyBorder="0" applyAlignment="0" applyProtection="0"/>
    <xf numFmtId="263" fontId="75" fillId="0" borderId="0" applyFont="0" applyFill="0" applyBorder="0" applyAlignment="0" applyProtection="0"/>
    <xf numFmtId="173" fontId="4" fillId="0" borderId="0" applyFont="0" applyFill="0" applyBorder="0" applyAlignment="0" applyProtection="0"/>
    <xf numFmtId="176" fontId="18" fillId="0" borderId="0" applyFont="0" applyFill="0" applyBorder="0" applyAlignment="0" applyProtection="0"/>
    <xf numFmtId="232" fontId="4" fillId="0" borderId="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264" fontId="65" fillId="29" borderId="9">
      <alignment horizontal="left"/>
    </xf>
    <xf numFmtId="265" fontId="57" fillId="0" borderId="0"/>
    <xf numFmtId="261" fontId="4" fillId="0" borderId="0"/>
    <xf numFmtId="0" fontId="4" fillId="0" borderId="0">
      <protection locked="0"/>
    </xf>
    <xf numFmtId="266" fontId="6" fillId="0" borderId="0" applyFont="0" applyFill="0" applyBorder="0" applyProtection="0"/>
    <xf numFmtId="179" fontId="103" fillId="0" borderId="0" applyNumberFormat="0" applyFill="0" applyBorder="0" applyAlignment="0" applyProtection="0"/>
    <xf numFmtId="0" fontId="104" fillId="0" borderId="0">
      <alignment horizontal="left"/>
    </xf>
    <xf numFmtId="0" fontId="105" fillId="0" borderId="0">
      <alignment horizontal="left"/>
    </xf>
    <xf numFmtId="0" fontId="106" fillId="0" borderId="0" applyFill="0" applyBorder="0" applyProtection="0">
      <alignment vertical="center"/>
    </xf>
    <xf numFmtId="0" fontId="106" fillId="0" borderId="0" applyNumberFormat="0" applyFill="0" applyBorder="0" applyProtection="0">
      <alignment horizontal="left"/>
    </xf>
    <xf numFmtId="267" fontId="39" fillId="0" borderId="0"/>
    <xf numFmtId="180" fontId="107" fillId="30" borderId="0">
      <alignment vertical="center"/>
      <protection hidden="1"/>
    </xf>
    <xf numFmtId="197" fontId="4" fillId="0" borderId="0"/>
    <xf numFmtId="13" fontId="59" fillId="0" borderId="0"/>
    <xf numFmtId="0" fontId="108" fillId="0" borderId="0"/>
    <xf numFmtId="0" fontId="109" fillId="0" borderId="0"/>
    <xf numFmtId="38" fontId="6" fillId="12" borderId="0" applyNumberFormat="0" applyBorder="0" applyAlignment="0" applyProtection="0"/>
    <xf numFmtId="268" fontId="78" fillId="0" borderId="0" applyFill="0" applyBorder="0" applyAlignment="0" applyProtection="0">
      <alignment horizontal="right"/>
    </xf>
    <xf numFmtId="0" fontId="15" fillId="31" borderId="0" applyNumberFormat="0" applyBorder="0" applyAlignment="0" applyProtection="0"/>
    <xf numFmtId="0" fontId="4" fillId="32" borderId="20" applyNumberFormat="0" applyFont="0" applyAlignment="0"/>
    <xf numFmtId="0" fontId="53" fillId="32" borderId="20" applyNumberFormat="0" applyFont="0" applyAlignment="0"/>
    <xf numFmtId="37" fontId="76" fillId="0" borderId="0" applyNumberFormat="0" applyFill="0" applyBorder="0" applyAlignment="0" applyProtection="0">
      <alignment vertical="top"/>
    </xf>
    <xf numFmtId="269" fontId="92" fillId="0" borderId="0" applyFont="0" applyFill="0" applyBorder="0" applyAlignment="0" applyProtection="0">
      <alignment horizontal="right"/>
    </xf>
    <xf numFmtId="180" fontId="110" fillId="33" borderId="22">
      <alignment horizontal="centerContinuous"/>
    </xf>
    <xf numFmtId="0" fontId="111" fillId="0" borderId="0">
      <alignment horizontal="right"/>
    </xf>
    <xf numFmtId="0" fontId="112" fillId="0" borderId="0">
      <alignment horizontal="left"/>
    </xf>
    <xf numFmtId="0" fontId="113" fillId="0" borderId="0" applyProtection="0">
      <alignment horizontal="right"/>
    </xf>
    <xf numFmtId="0" fontId="114" fillId="0" borderId="23" applyNumberFormat="0" applyAlignment="0" applyProtection="0">
      <alignment horizontal="left" vertical="center"/>
    </xf>
    <xf numFmtId="0" fontId="114" fillId="0" borderId="8">
      <alignment horizontal="left" vertical="center"/>
    </xf>
    <xf numFmtId="0" fontId="115" fillId="0" borderId="0">
      <alignment horizontal="left"/>
    </xf>
    <xf numFmtId="0" fontId="116" fillId="0" borderId="9">
      <alignment horizontal="left" vertical="top"/>
    </xf>
    <xf numFmtId="0" fontId="49" fillId="0" borderId="0">
      <alignment horizontal="left"/>
    </xf>
    <xf numFmtId="0" fontId="117" fillId="0" borderId="9">
      <alignment horizontal="left" vertical="top"/>
    </xf>
    <xf numFmtId="0" fontId="118" fillId="0" borderId="0">
      <alignment horizontal="left"/>
    </xf>
    <xf numFmtId="223" fontId="119" fillId="0" borderId="0">
      <alignment horizontal="right"/>
    </xf>
    <xf numFmtId="223" fontId="119" fillId="0" borderId="0">
      <alignment horizontal="left"/>
    </xf>
    <xf numFmtId="0" fontId="120" fillId="0" borderId="0">
      <protection locked="0"/>
    </xf>
    <xf numFmtId="0" fontId="120" fillId="0" borderId="0">
      <protection locked="0"/>
    </xf>
    <xf numFmtId="0" fontId="121" fillId="0" borderId="24" applyNumberFormat="0" applyFill="0" applyBorder="0" applyAlignment="0" applyProtection="0">
      <alignment horizontal="left"/>
    </xf>
    <xf numFmtId="0" fontId="4" fillId="34" borderId="0" applyNumberFormat="0" applyBorder="0" applyAlignment="0" applyProtection="0"/>
    <xf numFmtId="270" fontId="4" fillId="0" borderId="0" applyFont="0" applyFill="0" applyBorder="0" applyAlignment="0"/>
    <xf numFmtId="171" fontId="33" fillId="16" borderId="20" applyNumberFormat="0" applyAlignment="0" applyProtection="0"/>
    <xf numFmtId="180" fontId="107" fillId="35" borderId="0">
      <alignment vertical="center"/>
      <protection hidden="1"/>
    </xf>
    <xf numFmtId="0" fontId="122" fillId="0" borderId="0" applyNumberFormat="0" applyFill="0" applyBorder="0" applyAlignment="0" applyProtection="0">
      <alignment vertical="top"/>
      <protection locked="0"/>
    </xf>
    <xf numFmtId="0" fontId="123" fillId="0" borderId="0" applyNumberFormat="0" applyFill="0" applyBorder="0" applyAlignment="0" applyProtection="0">
      <alignment vertical="top"/>
      <protection locked="0"/>
    </xf>
    <xf numFmtId="197" fontId="78" fillId="0" borderId="0" applyFill="0" applyBorder="0" applyAlignment="0" applyProtection="0"/>
    <xf numFmtId="271" fontId="124" fillId="0" borderId="0"/>
    <xf numFmtId="261" fontId="124" fillId="0" borderId="0"/>
    <xf numFmtId="231" fontId="124" fillId="0" borderId="0"/>
    <xf numFmtId="272" fontId="124" fillId="0" borderId="0"/>
    <xf numFmtId="273" fontId="30" fillId="36" borderId="0" applyNumberFormat="0" applyBorder="0" applyAlignment="0">
      <alignment horizontal="center"/>
      <protection locked="0"/>
    </xf>
    <xf numFmtId="10" fontId="6" fillId="32" borderId="20" applyNumberFormat="0" applyBorder="0" applyAlignment="0" applyProtection="0"/>
    <xf numFmtId="274" fontId="39" fillId="0" borderId="0" applyFill="0" applyBorder="0" applyProtection="0"/>
    <xf numFmtId="235" fontId="39" fillId="0" borderId="0" applyFill="0" applyBorder="0" applyProtection="0"/>
    <xf numFmtId="275" fontId="4" fillId="0" borderId="0" applyFill="0" applyBorder="0" applyProtection="0"/>
    <xf numFmtId="276" fontId="39" fillId="0" borderId="0" applyFill="0" applyBorder="0" applyProtection="0"/>
    <xf numFmtId="277" fontId="39" fillId="0" borderId="0" applyFill="0" applyBorder="0" applyProtection="0"/>
    <xf numFmtId="189" fontId="59" fillId="0" borderId="0" applyFill="0" applyBorder="0" applyAlignment="0" applyProtection="0"/>
    <xf numFmtId="0" fontId="125" fillId="0" borderId="0" applyNumberFormat="0" applyFill="0" applyBorder="0" applyAlignment="0">
      <protection locked="0"/>
    </xf>
    <xf numFmtId="279" fontId="126" fillId="0" borderId="0" applyFill="0" applyBorder="0" applyProtection="0">
      <alignment vertical="center"/>
    </xf>
    <xf numFmtId="239" fontId="126" fillId="0" borderId="0" applyFill="0" applyBorder="0" applyProtection="0">
      <alignment vertical="center"/>
    </xf>
    <xf numFmtId="280" fontId="39" fillId="0" borderId="0" applyFont="0" applyFill="0" applyBorder="0" applyAlignment="0">
      <protection locked="0"/>
    </xf>
    <xf numFmtId="277" fontId="39" fillId="0" borderId="0" applyFont="0" applyFill="0" applyBorder="0" applyAlignment="0">
      <protection locked="0"/>
    </xf>
    <xf numFmtId="281" fontId="39" fillId="0" borderId="0" applyFill="0" applyBorder="0" applyProtection="0">
      <alignment vertical="center"/>
    </xf>
    <xf numFmtId="282" fontId="126" fillId="0" borderId="0" applyFill="0" applyBorder="0" applyProtection="0">
      <alignment vertical="center"/>
    </xf>
    <xf numFmtId="37" fontId="125" fillId="0" borderId="0" applyNumberFormat="0" applyFill="0" applyBorder="0" applyAlignment="0" applyProtection="0"/>
    <xf numFmtId="208" fontId="92" fillId="0" borderId="11" applyFill="0"/>
    <xf numFmtId="0" fontId="127" fillId="0" borderId="0"/>
    <xf numFmtId="283" fontId="65" fillId="0" borderId="0" applyFill="0" applyBorder="0">
      <alignment horizontal="right"/>
      <protection locked="0"/>
    </xf>
    <xf numFmtId="0" fontId="38" fillId="37" borderId="25">
      <alignment horizontal="left" vertical="center" wrapText="1"/>
    </xf>
    <xf numFmtId="284" fontId="4" fillId="0" borderId="0" applyFont="0" applyFill="0" applyBorder="0" applyAlignment="0" applyProtection="0"/>
    <xf numFmtId="285" fontId="78" fillId="0" borderId="0">
      <alignment horizontal="left"/>
    </xf>
    <xf numFmtId="189" fontId="27" fillId="0" borderId="9" applyNumberFormat="0" applyFont="0" applyFill="0" applyAlignment="0" applyProtection="0"/>
    <xf numFmtId="0" fontId="128" fillId="0" borderId="9" applyNumberFormat="0" applyFont="0" applyAlignment="0" applyProtection="0">
      <alignment horizontal="center"/>
      <protection locked="0"/>
    </xf>
    <xf numFmtId="0" fontId="129" fillId="0" borderId="0"/>
    <xf numFmtId="0" fontId="130"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9" fillId="38" borderId="0" applyNumberFormat="0" applyFont="0" applyBorder="0" applyProtection="0"/>
    <xf numFmtId="286" fontId="27" fillId="0" borderId="0" applyFont="0" applyFill="0" applyBorder="0" applyAlignment="0" applyProtection="0"/>
    <xf numFmtId="287" fontId="27" fillId="0" borderId="0" applyFill="0" applyBorder="0" applyAlignment="0" applyProtection="0"/>
    <xf numFmtId="287" fontId="27" fillId="0" borderId="0" applyFill="0" applyBorder="0" applyAlignment="0" applyProtection="0"/>
    <xf numFmtId="287" fontId="27" fillId="0" borderId="0" applyFill="0" applyBorder="0" applyAlignment="0" applyProtection="0"/>
    <xf numFmtId="232" fontId="4" fillId="2" borderId="0" applyFont="0" applyFill="0" applyBorder="0" applyAlignment="0" applyProtection="0">
      <alignment horizontal="right"/>
    </xf>
    <xf numFmtId="0" fontId="132" fillId="0" borderId="1">
      <alignment horizontal="left"/>
      <protection locked="0"/>
    </xf>
    <xf numFmtId="288" fontId="4" fillId="32" borderId="11" applyFont="0" applyFill="0" applyBorder="0" applyAlignment="0" applyProtection="0">
      <alignment horizontal="right"/>
    </xf>
    <xf numFmtId="1" fontId="133" fillId="0" borderId="0"/>
    <xf numFmtId="0" fontId="134" fillId="0" borderId="0" applyNumberFormat="0" applyFill="0" applyBorder="0" applyAlignment="0" applyProtection="0">
      <alignment vertical="center"/>
    </xf>
    <xf numFmtId="0" fontId="135"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7" fillId="0" borderId="0" applyNumberFormat="0" applyFill="0" applyBorder="0" applyAlignment="0" applyProtection="0">
      <alignment vertical="center"/>
    </xf>
    <xf numFmtId="289" fontId="4" fillId="0" borderId="0" applyFont="0" applyFill="0" applyBorder="0" applyProtection="0">
      <alignment horizontal="right"/>
    </xf>
    <xf numFmtId="175" fontId="4" fillId="0" borderId="0" applyFont="0" applyFill="0" applyBorder="0" applyProtection="0">
      <alignment horizontal="right"/>
    </xf>
    <xf numFmtId="268" fontId="78" fillId="0" borderId="0" applyFill="0" applyBorder="0" applyAlignment="0" applyProtection="0">
      <alignment horizontal="right"/>
    </xf>
    <xf numFmtId="265" fontId="57" fillId="0" borderId="0"/>
    <xf numFmtId="38" fontId="34" fillId="0" borderId="0"/>
    <xf numFmtId="211" fontId="49" fillId="0" borderId="0">
      <alignment horizontal="center"/>
    </xf>
    <xf numFmtId="0" fontId="138" fillId="0" borderId="0" applyBorder="0"/>
    <xf numFmtId="185" fontId="39" fillId="0" borderId="0"/>
    <xf numFmtId="290" fontId="4" fillId="0" borderId="0" applyFont="0" applyFill="0" applyBorder="0" applyAlignment="0" applyProtection="0"/>
    <xf numFmtId="291"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75" fillId="0" borderId="0" applyFont="0" applyFill="0" applyBorder="0" applyAlignment="0" applyProtection="0">
      <alignment horizontal="right"/>
    </xf>
    <xf numFmtId="0" fontId="75" fillId="0" borderId="0" applyFill="0" applyProtection="0">
      <alignment horizontal="right"/>
    </xf>
    <xf numFmtId="3" fontId="34" fillId="0" borderId="0" applyFont="0" applyFill="0" applyBorder="0" applyAlignment="0" applyProtection="0">
      <alignment horizontal="center"/>
    </xf>
    <xf numFmtId="292" fontId="4" fillId="0" borderId="0" applyFont="0" applyFill="0" applyBorder="0" applyAlignment="0" applyProtection="0">
      <alignment horizontal="right"/>
    </xf>
    <xf numFmtId="0" fontId="139" fillId="0" borderId="0"/>
    <xf numFmtId="0" fontId="39" fillId="0" borderId="4" applyNumberFormat="0" applyAlignment="0">
      <alignment horizontal="left"/>
    </xf>
    <xf numFmtId="293" fontId="4" fillId="0" borderId="0" applyFont="0" applyFill="0" applyBorder="0" applyAlignment="0" applyProtection="0"/>
    <xf numFmtId="294"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17" fontId="49" fillId="0" borderId="0" applyFont="0" applyFill="0" applyBorder="0" applyAlignment="0" applyProtection="0">
      <alignment horizontal="center"/>
    </xf>
    <xf numFmtId="295" fontId="27" fillId="0" borderId="0" applyFont="0" applyFill="0" applyBorder="0" applyAlignment="0" applyProtection="0"/>
    <xf numFmtId="188" fontId="32" fillId="0" borderId="0" applyFont="0" applyFill="0" applyBorder="0" applyAlignment="0" applyProtection="0">
      <alignment horizontal="right"/>
    </xf>
    <xf numFmtId="296" fontId="39" fillId="0" borderId="0"/>
    <xf numFmtId="296" fontId="59" fillId="0" borderId="0"/>
    <xf numFmtId="296" fontId="96" fillId="0" borderId="0"/>
    <xf numFmtId="297" fontId="4" fillId="0" borderId="0"/>
    <xf numFmtId="298" fontId="39" fillId="0" borderId="0"/>
    <xf numFmtId="298" fontId="60" fillId="0" borderId="0"/>
    <xf numFmtId="286" fontId="4" fillId="0" borderId="0"/>
    <xf numFmtId="281" fontId="39" fillId="0" borderId="0" applyFill="0" applyBorder="0" applyProtection="0">
      <alignment vertical="center"/>
    </xf>
    <xf numFmtId="299" fontId="39" fillId="0" borderId="0" applyFont="0" applyFill="0" applyBorder="0" applyAlignment="0" applyProtection="0">
      <alignment horizontal="right"/>
    </xf>
    <xf numFmtId="232" fontId="4" fillId="0" borderId="0" applyFont="0" applyFill="0" applyBorder="0" applyAlignment="0" applyProtection="0"/>
    <xf numFmtId="189" fontId="27" fillId="0" borderId="0" applyFont="0" applyFill="0" applyBorder="0" applyAlignment="0" applyProtection="0"/>
    <xf numFmtId="0" fontId="4" fillId="0" borderId="0">
      <alignment horizontal="right"/>
    </xf>
    <xf numFmtId="0" fontId="16" fillId="3" borderId="0" applyNumberFormat="0" applyBorder="0" applyAlignment="0" applyProtection="0"/>
    <xf numFmtId="0" fontId="140" fillId="39" borderId="0"/>
    <xf numFmtId="300" fontId="59" fillId="0" borderId="0"/>
    <xf numFmtId="0" fontId="36" fillId="40" borderId="0"/>
    <xf numFmtId="0" fontId="141" fillId="0" borderId="0"/>
    <xf numFmtId="0" fontId="84" fillId="0" borderId="0" applyNumberFormat="0" applyBorder="0" applyAlignment="0"/>
    <xf numFmtId="37" fontId="142" fillId="0" borderId="0"/>
    <xf numFmtId="0" fontId="75" fillId="0" borderId="0"/>
    <xf numFmtId="252" fontId="27" fillId="0" borderId="0"/>
    <xf numFmtId="0" fontId="27" fillId="0" borderId="0" applyNumberFormat="0" applyFont="0" applyBorder="0" applyAlignment="0"/>
    <xf numFmtId="220" fontId="75" fillId="0" borderId="0"/>
    <xf numFmtId="301" fontId="4" fillId="0" borderId="0"/>
    <xf numFmtId="271" fontId="49" fillId="0" borderId="0"/>
    <xf numFmtId="261" fontId="49" fillId="0" borderId="0"/>
    <xf numFmtId="231" fontId="49" fillId="0" borderId="0"/>
    <xf numFmtId="272" fontId="49" fillId="0" borderId="0">
      <alignment horizontal="right"/>
    </xf>
    <xf numFmtId="40" fontId="6" fillId="0" borderId="0" applyFont="0" applyFill="0" applyBorder="0" applyAlignment="0" applyProtection="0"/>
    <xf numFmtId="0" fontId="6" fillId="0" borderId="0" applyFill="0" applyAlignment="0" applyProtection="0"/>
    <xf numFmtId="302" fontId="32" fillId="0" borderId="0" applyFill="0" applyBorder="0" applyProtection="0">
      <alignment vertical="center"/>
    </xf>
    <xf numFmtId="0" fontId="27" fillId="0" borderId="0"/>
    <xf numFmtId="0" fontId="49" fillId="0" borderId="0"/>
    <xf numFmtId="0" fontId="143" fillId="0" borderId="1"/>
    <xf numFmtId="0" fontId="5" fillId="6" borderId="26" applyNumberFormat="0" applyFont="0" applyAlignment="0" applyProtection="0"/>
    <xf numFmtId="0" fontId="4" fillId="0" borderId="0"/>
    <xf numFmtId="37" fontId="39" fillId="0" borderId="0"/>
    <xf numFmtId="37" fontId="60" fillId="0" borderId="0"/>
    <xf numFmtId="170" fontId="59" fillId="0" borderId="0"/>
    <xf numFmtId="37" fontId="96" fillId="0" borderId="0"/>
    <xf numFmtId="37" fontId="144" fillId="0" borderId="0"/>
    <xf numFmtId="189" fontId="39" fillId="0" borderId="0"/>
    <xf numFmtId="189" fontId="39" fillId="0" borderId="11"/>
    <xf numFmtId="189" fontId="39" fillId="0" borderId="6"/>
    <xf numFmtId="189" fontId="60" fillId="0" borderId="0"/>
    <xf numFmtId="189" fontId="59" fillId="0" borderId="0"/>
    <xf numFmtId="189" fontId="59" fillId="0" borderId="11"/>
    <xf numFmtId="189" fontId="95" fillId="0" borderId="0"/>
    <xf numFmtId="189" fontId="96" fillId="0" borderId="0"/>
    <xf numFmtId="189" fontId="96" fillId="0" borderId="11"/>
    <xf numFmtId="189" fontId="145" fillId="0" borderId="0"/>
    <xf numFmtId="39" fontId="39" fillId="0" borderId="0"/>
    <xf numFmtId="39" fontId="59" fillId="0" borderId="0"/>
    <xf numFmtId="303" fontId="39" fillId="0" borderId="0"/>
    <xf numFmtId="303" fontId="39" fillId="0" borderId="11"/>
    <xf numFmtId="303" fontId="59" fillId="0" borderId="0"/>
    <xf numFmtId="304" fontId="78" fillId="0" borderId="0"/>
    <xf numFmtId="0" fontId="78" fillId="0" borderId="0"/>
    <xf numFmtId="14" fontId="6" fillId="0" borderId="0" applyFont="0" applyFill="0" applyBorder="0" applyAlignment="0" applyProtection="0"/>
    <xf numFmtId="1" fontId="99" fillId="0" borderId="0">
      <alignment horizontal="right"/>
      <protection locked="0"/>
    </xf>
    <xf numFmtId="180" fontId="146" fillId="0" borderId="0">
      <alignment horizontal="right"/>
      <protection locked="0"/>
    </xf>
    <xf numFmtId="189" fontId="99" fillId="0" borderId="0">
      <protection locked="0"/>
    </xf>
    <xf numFmtId="2" fontId="146" fillId="0" borderId="0">
      <alignment horizontal="right"/>
      <protection locked="0"/>
    </xf>
    <xf numFmtId="2" fontId="99" fillId="0" borderId="0">
      <alignment horizontal="right"/>
      <protection locked="0"/>
    </xf>
    <xf numFmtId="0" fontId="41" fillId="0" borderId="0">
      <alignment horizontal="center"/>
    </xf>
    <xf numFmtId="0" fontId="6" fillId="0" borderId="0" applyNumberFormat="0" applyFill="0" applyBorder="0" applyAlignment="0" applyProtection="0"/>
    <xf numFmtId="305" fontId="4" fillId="0" borderId="0" applyNumberFormat="0" applyFill="0" applyBorder="0" applyAlignment="0" applyProtection="0"/>
    <xf numFmtId="37" fontId="4" fillId="0" borderId="0" applyFont="0" applyFill="0" applyBorder="0" applyAlignment="0" applyProtection="0"/>
    <xf numFmtId="306" fontId="147" fillId="23" borderId="20"/>
    <xf numFmtId="0" fontId="4" fillId="41" borderId="0" applyNumberFormat="0" applyFont="0" applyBorder="0" applyAlignment="0"/>
    <xf numFmtId="0" fontId="27" fillId="0" borderId="0" applyFill="0" applyBorder="0" applyProtection="0"/>
    <xf numFmtId="307" fontId="27" fillId="0" borderId="0" applyFont="0" applyFill="0" applyBorder="0" applyProtection="0"/>
    <xf numFmtId="308" fontId="147" fillId="23" borderId="20" applyFont="0" applyFill="0" applyBorder="0" applyAlignment="0" applyProtection="0"/>
    <xf numFmtId="40" fontId="148" fillId="2" borderId="0">
      <alignment horizontal="right"/>
    </xf>
    <xf numFmtId="0" fontId="149" fillId="2" borderId="0">
      <alignment horizontal="right"/>
    </xf>
    <xf numFmtId="0" fontId="150" fillId="2" borderId="10"/>
    <xf numFmtId="0" fontId="150" fillId="0" borderId="0" applyBorder="0">
      <alignment horizontal="centerContinuous"/>
    </xf>
    <xf numFmtId="0" fontId="151" fillId="0" borderId="0" applyBorder="0">
      <alignment horizontal="centerContinuous"/>
    </xf>
    <xf numFmtId="189" fontId="64" fillId="0" borderId="0" applyFill="0" applyBorder="0" applyAlignment="0" applyProtection="0"/>
    <xf numFmtId="309" fontId="4" fillId="0" borderId="0"/>
    <xf numFmtId="220" fontId="27" fillId="0" borderId="0" applyFont="0" applyFill="0" applyBorder="0" applyAlignment="0" applyProtection="0"/>
    <xf numFmtId="252" fontId="4" fillId="0" borderId="0"/>
    <xf numFmtId="310" fontId="4" fillId="0" borderId="0"/>
    <xf numFmtId="309" fontId="4" fillId="0" borderId="0"/>
    <xf numFmtId="252" fontId="4" fillId="0" borderId="0"/>
    <xf numFmtId="310" fontId="4" fillId="0" borderId="0"/>
    <xf numFmtId="252" fontId="4" fillId="0" borderId="0"/>
    <xf numFmtId="179" fontId="4" fillId="0" borderId="0"/>
    <xf numFmtId="309" fontId="4" fillId="0" borderId="0"/>
    <xf numFmtId="252" fontId="4" fillId="0" borderId="0"/>
    <xf numFmtId="310" fontId="4" fillId="0" borderId="0"/>
    <xf numFmtId="252" fontId="4" fillId="0" borderId="0"/>
    <xf numFmtId="252" fontId="4" fillId="0" borderId="0"/>
    <xf numFmtId="310" fontId="4" fillId="0" borderId="0"/>
    <xf numFmtId="179" fontId="4" fillId="0" borderId="0"/>
    <xf numFmtId="310" fontId="4" fillId="0" borderId="0"/>
    <xf numFmtId="245" fontId="4" fillId="0" borderId="0"/>
    <xf numFmtId="252" fontId="4" fillId="0" borderId="0"/>
    <xf numFmtId="179" fontId="4" fillId="0" borderId="0"/>
    <xf numFmtId="309" fontId="4" fillId="0" borderId="0"/>
    <xf numFmtId="252" fontId="4" fillId="0" borderId="0"/>
    <xf numFmtId="310" fontId="4" fillId="0" borderId="0"/>
    <xf numFmtId="252" fontId="4" fillId="0" borderId="0"/>
    <xf numFmtId="252" fontId="4" fillId="0" borderId="0"/>
    <xf numFmtId="310" fontId="4" fillId="0" borderId="0"/>
    <xf numFmtId="179" fontId="4" fillId="0" borderId="0"/>
    <xf numFmtId="0" fontId="4" fillId="0" borderId="0" applyFont="0" applyFill="0" applyBorder="0" applyAlignment="0" applyProtection="0"/>
    <xf numFmtId="309" fontId="4" fillId="0" borderId="0"/>
    <xf numFmtId="310" fontId="4" fillId="0" borderId="0"/>
    <xf numFmtId="245" fontId="4" fillId="0" borderId="0"/>
    <xf numFmtId="175" fontId="27" fillId="0" borderId="0" applyFont="0" applyFill="0" applyBorder="0" applyAlignment="0" applyProtection="0"/>
    <xf numFmtId="38" fontId="37" fillId="0" borderId="0"/>
    <xf numFmtId="0" fontId="152" fillId="0" borderId="0" applyProtection="0">
      <alignment horizontal="left"/>
    </xf>
    <xf numFmtId="0" fontId="152" fillId="0" borderId="0" applyFill="0" applyBorder="0" applyProtection="0">
      <alignment horizontal="left"/>
    </xf>
    <xf numFmtId="0" fontId="153" fillId="0" borderId="0" applyFill="0" applyBorder="0" applyProtection="0">
      <alignment horizontal="left"/>
    </xf>
    <xf numFmtId="0" fontId="154" fillId="0" borderId="0"/>
    <xf numFmtId="217" fontId="155" fillId="0" borderId="0"/>
    <xf numFmtId="311" fontId="49" fillId="0" borderId="0">
      <alignment horizontal="center"/>
    </xf>
    <xf numFmtId="179" fontId="6" fillId="42" borderId="0" applyNumberFormat="0" applyFont="0" applyBorder="0" applyAlignment="0" applyProtection="0"/>
    <xf numFmtId="0" fontId="4" fillId="0" borderId="23" applyNumberFormat="0">
      <alignment vertical="center"/>
    </xf>
    <xf numFmtId="0" fontId="4" fillId="0" borderId="0" applyFont="0" applyFill="0" applyBorder="0" applyAlignment="0" applyProtection="0"/>
    <xf numFmtId="2" fontId="78" fillId="0" borderId="0"/>
    <xf numFmtId="175" fontId="78" fillId="0" borderId="0">
      <alignment horizontal="right"/>
    </xf>
    <xf numFmtId="197" fontId="40" fillId="0" borderId="1">
      <alignment horizontal="right"/>
    </xf>
    <xf numFmtId="10" fontId="4" fillId="0" borderId="0" applyFont="0" applyFill="0" applyBorder="0" applyAlignment="0" applyProtection="0"/>
    <xf numFmtId="175" fontId="39" fillId="0" borderId="0">
      <alignment horizontal="right"/>
    </xf>
    <xf numFmtId="175" fontId="59" fillId="0" borderId="0">
      <alignment horizontal="right"/>
    </xf>
    <xf numFmtId="175" fontId="99" fillId="0" borderId="0">
      <alignment horizontal="right"/>
    </xf>
    <xf numFmtId="175" fontId="96" fillId="0" borderId="0">
      <alignment horizontal="right"/>
    </xf>
    <xf numFmtId="10" fontId="39" fillId="0" borderId="0">
      <alignment horizontal="right"/>
    </xf>
    <xf numFmtId="10" fontId="60" fillId="0" borderId="0">
      <alignment horizontal="right"/>
    </xf>
    <xf numFmtId="10" fontId="59" fillId="0" borderId="0">
      <alignment horizontal="right"/>
    </xf>
    <xf numFmtId="245" fontId="39" fillId="0" borderId="0">
      <alignment horizontal="right"/>
    </xf>
    <xf numFmtId="245" fontId="59" fillId="0" borderId="0">
      <alignment horizontal="right"/>
    </xf>
    <xf numFmtId="310" fontId="59" fillId="0" borderId="0">
      <alignment horizontal="right"/>
    </xf>
    <xf numFmtId="312" fontId="49" fillId="0" borderId="0" applyFont="0" applyFill="0" applyBorder="0" applyAlignment="0" applyProtection="0">
      <alignment horizontal="center"/>
    </xf>
    <xf numFmtId="313" fontId="78" fillId="0" borderId="0" applyFont="0" applyFill="0" applyBorder="0" applyProtection="0">
      <alignment horizontal="right"/>
    </xf>
    <xf numFmtId="314" fontId="4" fillId="0" borderId="0" applyFill="0" applyBorder="0" applyAlignment="0" applyProtection="0"/>
    <xf numFmtId="175" fontId="156" fillId="0" borderId="0" applyFill="0" applyBorder="0" applyAlignment="0" applyProtection="0"/>
    <xf numFmtId="282" fontId="32" fillId="0" borderId="0" applyFill="0" applyBorder="0" applyProtection="0">
      <alignment vertical="center"/>
    </xf>
    <xf numFmtId="175" fontId="99" fillId="0" borderId="0"/>
    <xf numFmtId="10" fontId="78" fillId="0" borderId="0"/>
    <xf numFmtId="10" fontId="99" fillId="0" borderId="0">
      <protection locked="0"/>
    </xf>
    <xf numFmtId="305" fontId="4" fillId="0" borderId="0" applyFill="0" applyBorder="0">
      <alignment horizontal="right"/>
      <protection locked="0"/>
    </xf>
    <xf numFmtId="0" fontId="27" fillId="0" borderId="0"/>
    <xf numFmtId="315" fontId="59" fillId="0" borderId="0"/>
    <xf numFmtId="189" fontId="27" fillId="0" borderId="0"/>
    <xf numFmtId="0" fontId="53" fillId="0" borderId="0" applyNumberFormat="0" applyAlignment="0">
      <alignment vertical="center"/>
    </xf>
    <xf numFmtId="316" fontId="78" fillId="0" borderId="0" applyProtection="0">
      <alignment horizontal="right"/>
    </xf>
    <xf numFmtId="316" fontId="99" fillId="0" borderId="0">
      <alignment horizontal="right"/>
      <protection locked="0"/>
    </xf>
    <xf numFmtId="10" fontId="78" fillId="0" borderId="0"/>
    <xf numFmtId="10" fontId="78" fillId="37" borderId="0"/>
    <xf numFmtId="9" fontId="78" fillId="0" borderId="0" applyFont="0" applyFill="0" applyBorder="0" applyAlignment="0" applyProtection="0"/>
    <xf numFmtId="0" fontId="157" fillId="0" borderId="0"/>
    <xf numFmtId="0" fontId="157" fillId="0" borderId="24">
      <alignment horizontal="right"/>
    </xf>
    <xf numFmtId="9" fontId="4" fillId="0" borderId="0" applyFont="0" applyFill="0" applyBorder="0" applyAlignment="0" applyProtection="0"/>
    <xf numFmtId="9" fontId="4" fillId="0" borderId="0" applyFont="0" applyFill="0" applyBorder="0" applyAlignment="0" applyProtection="0"/>
    <xf numFmtId="9" fontId="84" fillId="0" borderId="0" applyFont="0" applyFill="0" applyBorder="0" applyAlignment="0" applyProtection="0"/>
    <xf numFmtId="9" fontId="158" fillId="0" borderId="0" applyFont="0" applyFill="0" applyBorder="0" applyAlignment="0" applyProtection="0"/>
    <xf numFmtId="0" fontId="84" fillId="0" borderId="0" applyNumberFormat="0" applyFont="0" applyFill="0" applyBorder="0" applyAlignment="0" applyProtection="0">
      <alignment horizontal="left"/>
    </xf>
    <xf numFmtId="15" fontId="84" fillId="0" borderId="0" applyFont="0" applyFill="0" applyBorder="0" applyAlignment="0" applyProtection="0"/>
    <xf numFmtId="4" fontId="84" fillId="0" borderId="0" applyFont="0" applyFill="0" applyBorder="0" applyAlignment="0" applyProtection="0"/>
    <xf numFmtId="0" fontId="38" fillId="0" borderId="17">
      <alignment horizontal="center"/>
    </xf>
    <xf numFmtId="3" fontId="84" fillId="0" borderId="0" applyFont="0" applyFill="0" applyBorder="0" applyAlignment="0" applyProtection="0"/>
    <xf numFmtId="0" fontId="84" fillId="43" borderId="0" applyNumberFormat="0" applyFont="0" applyBorder="0" applyAlignment="0" applyProtection="0"/>
    <xf numFmtId="317" fontId="65" fillId="0" borderId="0" applyFont="0" applyFill="0" applyBorder="0" applyAlignment="0" applyProtection="0">
      <alignment horizontal="right"/>
    </xf>
    <xf numFmtId="189" fontId="29" fillId="0" borderId="11" applyNumberFormat="0" applyFill="0" applyBorder="0" applyAlignment="0" applyProtection="0"/>
    <xf numFmtId="0" fontId="159" fillId="0" borderId="1" applyNumberFormat="0" applyFill="0" applyBorder="0" applyAlignment="0" applyProtection="0">
      <protection hidden="1"/>
    </xf>
    <xf numFmtId="0" fontId="119" fillId="0" borderId="0">
      <alignment horizontal="right"/>
    </xf>
    <xf numFmtId="189" fontId="160" fillId="0" borderId="0">
      <alignment horizontal="right"/>
    </xf>
    <xf numFmtId="0" fontId="28" fillId="0" borderId="0" applyNumberFormat="0" applyFill="0" applyBorder="0">
      <alignment vertical="top"/>
    </xf>
    <xf numFmtId="167" fontId="27" fillId="0" borderId="0" applyFont="0" applyFill="0" applyBorder="0" applyAlignment="0" applyProtection="0"/>
    <xf numFmtId="175" fontId="4" fillId="0" borderId="0">
      <alignment horizontal="right"/>
    </xf>
    <xf numFmtId="0" fontId="64" fillId="0" borderId="0"/>
    <xf numFmtId="0" fontId="64" fillId="0" borderId="27">
      <alignment horizontal="centerContinuous"/>
    </xf>
    <xf numFmtId="0" fontId="64" fillId="0" borderId="27">
      <alignment horizontal="centerContinuous"/>
    </xf>
    <xf numFmtId="0" fontId="64" fillId="0" borderId="27">
      <alignment horizontal="centerContinuous"/>
    </xf>
    <xf numFmtId="0" fontId="64" fillId="0" borderId="27">
      <alignment horizontal="centerContinuous"/>
    </xf>
    <xf numFmtId="0" fontId="64" fillId="0" borderId="27">
      <alignment horizontal="centerContinuous"/>
    </xf>
    <xf numFmtId="0" fontId="64" fillId="0" borderId="27">
      <alignment horizontal="centerContinuous"/>
    </xf>
    <xf numFmtId="0" fontId="64" fillId="0" borderId="27">
      <alignment horizontal="centerContinuous"/>
    </xf>
    <xf numFmtId="0" fontId="105" fillId="0" borderId="28">
      <alignment vertical="center"/>
    </xf>
    <xf numFmtId="0" fontId="17" fillId="44" borderId="0" applyNumberFormat="0" applyBorder="0" applyAlignment="0" applyProtection="0"/>
    <xf numFmtId="0" fontId="4" fillId="0" borderId="0"/>
    <xf numFmtId="0" fontId="161" fillId="0" borderId="29"/>
    <xf numFmtId="318" fontId="4" fillId="0" borderId="0" applyFill="0" applyBorder="0">
      <alignment horizontal="right"/>
      <protection hidden="1"/>
    </xf>
    <xf numFmtId="0" fontId="162" fillId="45" borderId="0">
      <alignment vertical="top"/>
    </xf>
    <xf numFmtId="0" fontId="163" fillId="27" borderId="20">
      <alignment horizontal="center" vertical="center" wrapText="1"/>
      <protection hidden="1"/>
    </xf>
    <xf numFmtId="38" fontId="164" fillId="0" borderId="0" applyFont="0" applyFill="0" applyBorder="0" applyAlignment="0" applyProtection="0"/>
    <xf numFmtId="319" fontId="4" fillId="0" borderId="0">
      <alignment horizontal="right"/>
    </xf>
    <xf numFmtId="320" fontId="4" fillId="0" borderId="0">
      <alignment horizontal="right"/>
    </xf>
    <xf numFmtId="0" fontId="39" fillId="40" borderId="0" applyNumberFormat="0" applyFont="0" applyBorder="0" applyAlignment="0" applyProtection="0"/>
    <xf numFmtId="167" fontId="27" fillId="0" borderId="0" applyFont="0" applyFill="0" applyBorder="0" applyAlignment="0" applyProtection="0"/>
    <xf numFmtId="321" fontId="39" fillId="0" borderId="0"/>
    <xf numFmtId="322" fontId="4" fillId="0" borderId="0">
      <alignment horizontal="center"/>
    </xf>
    <xf numFmtId="0" fontId="165" fillId="0" borderId="0" applyNumberFormat="0" applyFill="0" applyBorder="0" applyAlignment="0" applyProtection="0"/>
    <xf numFmtId="0" fontId="166" fillId="0" borderId="0" applyNumberFormat="0" applyFill="0" applyBorder="0" applyAlignment="0" applyProtection="0"/>
    <xf numFmtId="0" fontId="110" fillId="0" borderId="0" applyNumberFormat="0" applyFill="0" applyBorder="0" applyAlignment="0" applyProtection="0"/>
    <xf numFmtId="0" fontId="167" fillId="46" borderId="0" applyNumberFormat="0" applyBorder="0" applyAlignment="0" applyProtection="0">
      <alignment horizontal="center" wrapText="1"/>
    </xf>
    <xf numFmtId="0" fontId="33" fillId="0" borderId="0" applyNumberFormat="0" applyFill="0" applyBorder="0" applyAlignment="0" applyProtection="0"/>
    <xf numFmtId="0" fontId="36" fillId="46" borderId="0" applyNumberFormat="0" applyBorder="0" applyAlignment="0" applyProtection="0"/>
    <xf numFmtId="0" fontId="27" fillId="0" borderId="0"/>
    <xf numFmtId="0" fontId="165" fillId="0" borderId="0" applyNumberFormat="0" applyFill="0" applyBorder="0" applyAlignment="0"/>
    <xf numFmtId="208" fontId="168" fillId="0" borderId="0">
      <alignment horizontal="center"/>
    </xf>
    <xf numFmtId="175" fontId="4" fillId="0" borderId="0">
      <alignment horizontal="right"/>
    </xf>
    <xf numFmtId="169" fontId="79" fillId="0" borderId="0" applyFill="0" applyBorder="0" applyAlignment="0" applyProtection="0"/>
    <xf numFmtId="0" fontId="4" fillId="0" borderId="0"/>
    <xf numFmtId="0" fontId="169" fillId="0" borderId="0"/>
    <xf numFmtId="0" fontId="33" fillId="0" borderId="0" applyNumberFormat="0"/>
    <xf numFmtId="175" fontId="4" fillId="0" borderId="0">
      <alignment horizontal="right"/>
    </xf>
    <xf numFmtId="0" fontId="213" fillId="0" borderId="27"/>
    <xf numFmtId="0" fontId="4" fillId="0" borderId="0"/>
    <xf numFmtId="0" fontId="4" fillId="0" borderId="0"/>
    <xf numFmtId="0" fontId="84" fillId="0" borderId="0"/>
    <xf numFmtId="0" fontId="215" fillId="0" borderId="0"/>
    <xf numFmtId="0" fontId="216" fillId="0" borderId="0"/>
    <xf numFmtId="0" fontId="4" fillId="0" borderId="0"/>
    <xf numFmtId="0" fontId="4" fillId="0" borderId="0"/>
    <xf numFmtId="0" fontId="4" fillId="0" borderId="0"/>
    <xf numFmtId="319" fontId="4" fillId="0" borderId="0">
      <alignment horizontal="right"/>
    </xf>
    <xf numFmtId="0" fontId="4" fillId="0" borderId="0"/>
    <xf numFmtId="0" fontId="48" fillId="0" borderId="0"/>
    <xf numFmtId="0" fontId="33" fillId="0" borderId="0" applyNumberFormat="0" applyFill="0" applyBorder="0" applyAlignment="0" applyProtection="0"/>
    <xf numFmtId="323" fontId="6" fillId="0" borderId="0" applyFill="0" applyBorder="0" applyProtection="0">
      <alignment horizontal="right" wrapText="1"/>
    </xf>
    <xf numFmtId="324" fontId="6" fillId="0" borderId="0" applyFill="0" applyBorder="0" applyProtection="0">
      <alignment horizontal="right" wrapText="1"/>
    </xf>
    <xf numFmtId="325" fontId="6" fillId="0" borderId="0" applyFill="0" applyBorder="0" applyProtection="0">
      <alignment horizontal="right" wrapText="1"/>
    </xf>
    <xf numFmtId="326" fontId="6" fillId="0" borderId="0" applyFill="0" applyBorder="0" applyProtection="0">
      <alignment horizontal="right"/>
    </xf>
    <xf numFmtId="327" fontId="6" fillId="0" borderId="0" applyFill="0" applyBorder="0" applyProtection="0">
      <alignment horizontal="right"/>
    </xf>
    <xf numFmtId="328" fontId="6" fillId="0" borderId="0" applyFill="0" applyBorder="0" applyProtection="0">
      <alignment horizontal="right"/>
    </xf>
    <xf numFmtId="329" fontId="6" fillId="0" borderId="0" applyFill="0" applyBorder="0" applyProtection="0">
      <alignment horizontal="right"/>
    </xf>
    <xf numFmtId="278" fontId="6" fillId="0" borderId="0" applyFill="0" applyBorder="0" applyProtection="0">
      <alignment horizontal="right" wrapText="1"/>
    </xf>
    <xf numFmtId="246" fontId="6" fillId="0" borderId="0" applyFill="0" applyBorder="0" applyProtection="0">
      <alignment horizontal="right" wrapText="1"/>
    </xf>
    <xf numFmtId="0" fontId="58" fillId="0" borderId="0">
      <alignment vertical="top"/>
    </xf>
    <xf numFmtId="4" fontId="6" fillId="0" borderId="0" applyFill="0" applyBorder="0" applyProtection="0">
      <alignment wrapText="1"/>
    </xf>
    <xf numFmtId="0" fontId="6" fillId="0" borderId="0" applyNumberFormat="0" applyFill="0" applyBorder="0" applyProtection="0">
      <alignment horizontal="left" vertical="top" wrapText="1"/>
    </xf>
    <xf numFmtId="0" fontId="7" fillId="0" borderId="0" applyNumberFormat="0" applyFill="0" applyBorder="0" applyProtection="0">
      <alignment horizontal="left" vertical="top" wrapText="1"/>
    </xf>
    <xf numFmtId="330" fontId="170" fillId="0" borderId="0" applyFill="0" applyBorder="0" applyProtection="0">
      <alignment horizontal="center" wrapText="1"/>
    </xf>
    <xf numFmtId="278" fontId="170" fillId="0" borderId="0" applyFill="0" applyBorder="0" applyProtection="0">
      <alignment horizontal="right" wrapText="1"/>
    </xf>
    <xf numFmtId="325" fontId="170" fillId="0" borderId="0" applyFill="0" applyBorder="0" applyProtection="0">
      <alignment horizontal="right" wrapText="1"/>
    </xf>
    <xf numFmtId="331" fontId="170" fillId="0" borderId="0" applyFill="0" applyBorder="0" applyProtection="0">
      <alignment horizontal="right" wrapText="1"/>
    </xf>
    <xf numFmtId="37" fontId="170" fillId="0" borderId="0" applyFill="0" applyBorder="0" applyProtection="0">
      <alignment horizontal="center" wrapText="1"/>
    </xf>
    <xf numFmtId="327" fontId="170" fillId="0" borderId="0" applyFill="0" applyBorder="0" applyProtection="0">
      <alignment horizontal="right"/>
    </xf>
    <xf numFmtId="332" fontId="170" fillId="0" borderId="0" applyFill="0" applyBorder="0" applyProtection="0">
      <alignment horizontal="right"/>
    </xf>
    <xf numFmtId="170" fontId="4" fillId="0" borderId="0" applyFont="0" applyFill="0" applyBorder="0" applyAlignment="0" applyProtection="0"/>
    <xf numFmtId="326" fontId="170" fillId="0" borderId="0" applyFill="0" applyBorder="0" applyProtection="0">
      <alignment horizontal="right"/>
    </xf>
    <xf numFmtId="4" fontId="170" fillId="0" borderId="0" applyFill="0" applyBorder="0" applyProtection="0">
      <alignment wrapText="1"/>
    </xf>
    <xf numFmtId="0" fontId="7" fillId="0" borderId="24" applyNumberFormat="0" applyFill="0" applyProtection="0">
      <alignment wrapText="1"/>
    </xf>
    <xf numFmtId="0" fontId="33" fillId="0" borderId="0" applyNumberFormat="0" applyFill="0" applyBorder="0" applyProtection="0">
      <alignment wrapText="1"/>
    </xf>
    <xf numFmtId="0" fontId="7" fillId="0" borderId="24" applyNumberFormat="0" applyFill="0" applyProtection="0">
      <alignment horizontal="center" wrapText="1"/>
    </xf>
    <xf numFmtId="333" fontId="7" fillId="0" borderId="0" applyFill="0" applyBorder="0" applyProtection="0">
      <alignment horizontal="center" wrapText="1"/>
    </xf>
    <xf numFmtId="0" fontId="114" fillId="0" borderId="0" applyNumberFormat="0" applyFill="0" applyBorder="0" applyProtection="0">
      <alignment horizontal="justify" wrapText="1"/>
    </xf>
    <xf numFmtId="0" fontId="7" fillId="0" borderId="0" applyNumberFormat="0" applyFill="0" applyBorder="0" applyProtection="0">
      <alignment horizontal="centerContinuous" wrapText="1"/>
    </xf>
    <xf numFmtId="0" fontId="6" fillId="0" borderId="0" applyNumberFormat="0" applyFill="0" applyBorder="0" applyProtection="0">
      <alignment horizontal="left"/>
    </xf>
    <xf numFmtId="0" fontId="171" fillId="0" borderId="0" applyNumberFormat="0" applyFill="0" applyBorder="0" applyProtection="0">
      <alignment horizontal="center" vertical="top" wrapText="1"/>
    </xf>
    <xf numFmtId="170" fontId="4" fillId="0" borderId="0" applyFont="0" applyFill="0" applyBorder="0" applyAlignment="0" applyProtection="0"/>
    <xf numFmtId="4" fontId="172" fillId="47" borderId="0" applyProtection="0">
      <alignment horizontal="center" vertical="center"/>
    </xf>
    <xf numFmtId="0" fontId="7" fillId="0" borderId="11" applyNumberFormat="0" applyFill="0" applyProtection="0">
      <alignment horizontal="right" wrapText="1"/>
    </xf>
    <xf numFmtId="0" fontId="173" fillId="0" borderId="0" applyNumberFormat="0" applyFill="0" applyBorder="0" applyProtection="0">
      <alignment horizontal="left" vertical="top" wrapText="1"/>
    </xf>
    <xf numFmtId="0" fontId="173" fillId="0" borderId="0" applyNumberFormat="0" applyFill="0" applyBorder="0" applyProtection="0">
      <alignment horizontal="left" wrapText="1"/>
    </xf>
    <xf numFmtId="0" fontId="173" fillId="0" borderId="0" applyNumberFormat="0" applyFill="0" applyBorder="0" applyProtection="0">
      <alignment horizontal="right" vertical="top" wrapText="1"/>
    </xf>
    <xf numFmtId="0" fontId="173" fillId="0" borderId="0" applyNumberFormat="0" applyFill="0" applyBorder="0" applyProtection="0">
      <alignment horizontal="right" wrapText="1"/>
    </xf>
    <xf numFmtId="0" fontId="174" fillId="2" borderId="0" applyNumberFormat="0" applyProtection="0">
      <alignment horizontal="center" vertical="center"/>
    </xf>
    <xf numFmtId="4" fontId="45" fillId="2" borderId="0" applyProtection="0">
      <alignment horizontal="center" vertical="center"/>
    </xf>
    <xf numFmtId="0" fontId="175" fillId="2" borderId="0" applyNumberFormat="0" applyProtection="0">
      <alignment horizontal="center" vertical="center"/>
    </xf>
    <xf numFmtId="0" fontId="31" fillId="39" borderId="0" applyNumberFormat="0" applyBorder="0" applyProtection="0">
      <alignment horizontal="left" wrapText="1"/>
    </xf>
    <xf numFmtId="170" fontId="4" fillId="0" borderId="0" applyFont="0" applyFill="0" applyBorder="0" applyAlignment="0" applyProtection="0"/>
    <xf numFmtId="0" fontId="176" fillId="40" borderId="0" applyNumberFormat="0" applyProtection="0">
      <alignment horizontal="center" vertical="center"/>
    </xf>
    <xf numFmtId="4" fontId="177" fillId="40" borderId="0" applyProtection="0">
      <alignment horizontal="center" vertical="center"/>
    </xf>
    <xf numFmtId="0" fontId="178" fillId="2" borderId="0" applyNumberFormat="0" applyProtection="0">
      <alignment horizontal="center" vertical="center"/>
    </xf>
    <xf numFmtId="4" fontId="179" fillId="2" borderId="0" applyProtection="0">
      <alignment horizontal="center" vertical="center"/>
    </xf>
    <xf numFmtId="4" fontId="6" fillId="0" borderId="0" applyFill="0" applyBorder="0" applyProtection="0">
      <alignment horizontal="left" vertical="top"/>
    </xf>
    <xf numFmtId="4" fontId="180" fillId="47" borderId="0" applyProtection="0">
      <alignment horizontal="center" vertical="center"/>
    </xf>
    <xf numFmtId="3" fontId="6" fillId="0" borderId="0" applyFill="0" applyBorder="0" applyProtection="0">
      <alignment horizontal="right"/>
    </xf>
    <xf numFmtId="3" fontId="6" fillId="0" borderId="0" applyFill="0" applyBorder="0" applyProtection="0">
      <alignment horizontal="center"/>
    </xf>
    <xf numFmtId="0" fontId="6" fillId="0" borderId="0" applyNumberFormat="0" applyFill="0" applyBorder="0" applyAlignment="0" applyProtection="0"/>
    <xf numFmtId="0" fontId="6" fillId="0" borderId="0" applyNumberFormat="0" applyFill="0" applyBorder="0" applyAlignment="0" applyProtection="0"/>
    <xf numFmtId="170" fontId="4" fillId="0" borderId="0" applyFont="0" applyFill="0" applyBorder="0" applyAlignment="0" applyProtection="0"/>
    <xf numFmtId="179" fontId="173" fillId="0" borderId="0" applyFill="0" applyBorder="0" applyProtection="0">
      <alignment horizontal="right"/>
    </xf>
    <xf numFmtId="0" fontId="6" fillId="0" borderId="0" applyNumberFormat="0" applyFill="0" applyBorder="0" applyAlignment="0" applyProtection="0"/>
    <xf numFmtId="0" fontId="6" fillId="0" borderId="0" applyNumberFormat="0" applyFill="0" applyBorder="0" applyAlignment="0" applyProtection="0"/>
    <xf numFmtId="4" fontId="173" fillId="0" borderId="0" applyFill="0" applyBorder="0" applyProtection="0">
      <alignment horizontal="right"/>
    </xf>
    <xf numFmtId="0" fontId="6" fillId="0" borderId="0" applyNumberFormat="0" applyFill="0" applyBorder="0" applyAlignment="0" applyProtection="0"/>
    <xf numFmtId="0" fontId="6" fillId="0" borderId="0" applyNumberFormat="0" applyFill="0" applyBorder="0" applyAlignment="0" applyProtection="0"/>
    <xf numFmtId="0" fontId="110" fillId="0" borderId="24" applyNumberFormat="0" applyFill="0" applyProtection="0">
      <alignment horizontal="left" vertical="top"/>
    </xf>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334" fontId="6" fillId="0" borderId="0" applyFill="0" applyBorder="0" applyProtection="0">
      <alignment horizontal="right"/>
    </xf>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329" fontId="170" fillId="0" borderId="0" applyFill="0" applyBorder="0" applyProtection="0">
      <alignment horizontal="right"/>
    </xf>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34" fillId="0" borderId="0" applyNumberFormat="0" applyFill="0" applyBorder="0" applyProtection="0">
      <alignment horizontal="left"/>
    </xf>
    <xf numFmtId="0" fontId="6" fillId="0" borderId="0" applyNumberFormat="0" applyFill="0" applyBorder="0" applyAlignment="0" applyProtection="0"/>
    <xf numFmtId="0" fontId="6" fillId="0" borderId="0" applyNumberFormat="0" applyFill="0" applyBorder="0" applyAlignment="0" applyProtection="0"/>
    <xf numFmtId="0" fontId="7" fillId="0" borderId="24" applyNumberFormat="0" applyFill="0" applyProtection="0">
      <alignment horizontal="center" wrapText="1"/>
    </xf>
    <xf numFmtId="0" fontId="6" fillId="0" borderId="0" applyNumberFormat="0" applyFill="0" applyBorder="0" applyAlignment="0" applyProtection="0"/>
    <xf numFmtId="0" fontId="7" fillId="0" borderId="0" applyNumberFormat="0" applyFill="0" applyBorder="0" applyProtection="0"/>
    <xf numFmtId="311" fontId="4" fillId="12" borderId="0">
      <alignment horizontal="center"/>
    </xf>
    <xf numFmtId="203" fontId="4" fillId="12" borderId="0">
      <alignment horizontal="center"/>
    </xf>
    <xf numFmtId="197" fontId="78" fillId="0" borderId="0" applyFill="0" applyBorder="0" applyAlignment="0" applyProtection="0"/>
    <xf numFmtId="0" fontId="181" fillId="0" borderId="0"/>
    <xf numFmtId="0" fontId="153" fillId="0" borderId="0"/>
    <xf numFmtId="37" fontId="4" fillId="0" borderId="6" applyNumberFormat="0" applyFont="0" applyFill="0" applyAlignment="0" applyProtection="0"/>
    <xf numFmtId="0" fontId="182" fillId="0" borderId="0"/>
    <xf numFmtId="335" fontId="4" fillId="0" borderId="0">
      <alignment horizontal="right"/>
    </xf>
    <xf numFmtId="0" fontId="57" fillId="0" borderId="0" applyFill="0" applyBorder="0" applyProtection="0">
      <alignment horizontal="center" vertical="center"/>
    </xf>
    <xf numFmtId="0" fontId="183" fillId="0" borderId="0" applyFill="0" applyBorder="0" applyProtection="0">
      <alignment horizontal="center" vertical="center"/>
    </xf>
    <xf numFmtId="262" fontId="92" fillId="0" borderId="11" applyBorder="0" applyProtection="0">
      <alignment horizontal="right" vertical="center"/>
    </xf>
    <xf numFmtId="0" fontId="184" fillId="25" borderId="0" applyBorder="0" applyProtection="0">
      <alignment horizontal="centerContinuous" vertical="center"/>
    </xf>
    <xf numFmtId="0" fontId="184" fillId="47" borderId="11" applyBorder="0" applyProtection="0">
      <alignment horizontal="centerContinuous" vertical="center"/>
    </xf>
    <xf numFmtId="0" fontId="185" fillId="0" borderId="0" applyBorder="0" applyProtection="0">
      <alignment vertical="center"/>
    </xf>
    <xf numFmtId="1" fontId="37" fillId="0" borderId="0">
      <alignment horizontal="right"/>
    </xf>
    <xf numFmtId="0" fontId="7" fillId="0" borderId="0" applyBorder="0" applyProtection="0">
      <alignment horizontal="left"/>
    </xf>
    <xf numFmtId="0" fontId="106" fillId="0" borderId="0" applyNumberFormat="0" applyFill="0" applyBorder="0" applyProtection="0">
      <alignment horizontal="left"/>
    </xf>
    <xf numFmtId="0" fontId="57" fillId="0" borderId="0" applyFill="0" applyBorder="0" applyProtection="0"/>
    <xf numFmtId="0" fontId="186" fillId="0" borderId="0" applyFill="0" applyBorder="0" applyProtection="0">
      <alignment vertical="center"/>
    </xf>
    <xf numFmtId="0" fontId="33" fillId="0" borderId="0" applyFill="0" applyBorder="0" applyProtection="0">
      <alignment horizontal="left"/>
    </xf>
    <xf numFmtId="0" fontId="187" fillId="0" borderId="0" applyFill="0" applyBorder="0" applyProtection="0">
      <alignment horizontal="left" vertical="top"/>
    </xf>
    <xf numFmtId="0" fontId="60" fillId="0" borderId="0">
      <alignment horizontal="centerContinuous"/>
    </xf>
    <xf numFmtId="223" fontId="188" fillId="0" borderId="0" applyNumberFormat="0" applyFill="0" applyBorder="0">
      <alignment horizontal="left"/>
    </xf>
    <xf numFmtId="223" fontId="188" fillId="0" borderId="0" applyNumberFormat="0" applyFill="0" applyBorder="0">
      <alignment horizontal="right"/>
    </xf>
    <xf numFmtId="223" fontId="189" fillId="0" borderId="0" applyNumberFormat="0" applyFill="0" applyBorder="0">
      <alignment horizontal="right"/>
    </xf>
    <xf numFmtId="1" fontId="37" fillId="0" borderId="0"/>
    <xf numFmtId="0" fontId="4" fillId="48" borderId="30" applyNumberFormat="0" applyFont="0">
      <alignment horizontal="center" vertical="center"/>
    </xf>
    <xf numFmtId="0" fontId="190" fillId="0" borderId="9" applyFill="0" applyBorder="0" applyProtection="0"/>
    <xf numFmtId="0" fontId="190" fillId="0" borderId="0"/>
    <xf numFmtId="0" fontId="191" fillId="0" borderId="0" applyNumberFormat="0" applyFill="0" applyBorder="0" applyProtection="0"/>
    <xf numFmtId="223" fontId="99" fillId="0" borderId="0">
      <alignment horizontal="left"/>
      <protection locked="0"/>
    </xf>
    <xf numFmtId="0" fontId="192" fillId="0" borderId="0" applyFill="0" applyBorder="0" applyProtection="0"/>
    <xf numFmtId="0" fontId="193" fillId="0" borderId="0"/>
    <xf numFmtId="0" fontId="192" fillId="0" borderId="0" applyNumberFormat="0" applyFill="0" applyBorder="0" applyProtection="0"/>
    <xf numFmtId="0" fontId="191" fillId="0" borderId="0" applyNumberFormat="0" applyFill="0" applyBorder="0" applyProtection="0"/>
    <xf numFmtId="0" fontId="191" fillId="0" borderId="0"/>
    <xf numFmtId="0" fontId="194" fillId="0" borderId="0">
      <alignment vertical="top"/>
    </xf>
    <xf numFmtId="0" fontId="195" fillId="0" borderId="0"/>
    <xf numFmtId="0" fontId="196" fillId="0" borderId="0">
      <alignment vertical="top"/>
    </xf>
    <xf numFmtId="0" fontId="33" fillId="0" borderId="0" applyNumberFormat="0" applyFill="0" applyBorder="0" applyAlignment="0" applyProtection="0"/>
    <xf numFmtId="0" fontId="197" fillId="0" borderId="0"/>
    <xf numFmtId="0" fontId="39" fillId="0" borderId="0" applyNumberFormat="0" applyFill="0" applyBorder="0" applyAlignment="0" applyProtection="0"/>
    <xf numFmtId="0" fontId="18" fillId="0" borderId="0" applyNumberFormat="0" applyFill="0" applyBorder="0" applyAlignment="0" applyProtection="0"/>
    <xf numFmtId="40" fontId="4" fillId="0" borderId="0"/>
    <xf numFmtId="285" fontId="60" fillId="0" borderId="0">
      <alignment horizontal="centerContinuous"/>
    </xf>
    <xf numFmtId="285" fontId="198" fillId="0" borderId="31">
      <alignment horizontal="centerContinuous"/>
    </xf>
    <xf numFmtId="285" fontId="199" fillId="0" borderId="0">
      <alignment horizontal="centerContinuous"/>
      <protection locked="0"/>
    </xf>
    <xf numFmtId="285" fontId="199" fillId="0" borderId="0">
      <alignment horizontal="left"/>
    </xf>
    <xf numFmtId="223" fontId="200" fillId="0" borderId="0">
      <alignment horizontal="center"/>
    </xf>
    <xf numFmtId="223" fontId="200" fillId="0" borderId="0">
      <alignment horizontal="left"/>
    </xf>
    <xf numFmtId="0" fontId="201" fillId="0" borderId="0">
      <alignment vertical="top"/>
    </xf>
    <xf numFmtId="0" fontId="84" fillId="0" borderId="0" applyBorder="0"/>
    <xf numFmtId="0" fontId="4" fillId="0" borderId="0" applyNumberFormat="0" applyFill="0" applyBorder="0" applyAlignment="0" applyProtection="0"/>
    <xf numFmtId="0" fontId="4" fillId="0" borderId="0"/>
    <xf numFmtId="0" fontId="192" fillId="0" borderId="0"/>
    <xf numFmtId="0" fontId="191" fillId="0" borderId="0"/>
    <xf numFmtId="336" fontId="4" fillId="0" borderId="0"/>
    <xf numFmtId="0" fontId="202" fillId="4" borderId="1"/>
    <xf numFmtId="0" fontId="203" fillId="0" borderId="0"/>
    <xf numFmtId="274" fontId="39" fillId="0" borderId="0" applyFill="0" applyBorder="0" applyProtection="0"/>
    <xf numFmtId="337" fontId="39" fillId="0" borderId="0" applyFill="0" applyBorder="0" applyProtection="0"/>
    <xf numFmtId="279" fontId="204" fillId="0" borderId="21" applyFill="0" applyBorder="0" applyProtection="0">
      <alignment vertical="center"/>
    </xf>
    <xf numFmtId="180" fontId="107" fillId="49" borderId="0">
      <alignment vertical="center"/>
      <protection hidden="1"/>
    </xf>
    <xf numFmtId="0" fontId="4" fillId="0" borderId="32" applyNumberFormat="0" applyFont="0" applyFill="0" applyAlignment="0"/>
    <xf numFmtId="338" fontId="78" fillId="0" borderId="0">
      <alignment horizontal="right"/>
    </xf>
    <xf numFmtId="0" fontId="212" fillId="0" borderId="0"/>
    <xf numFmtId="339" fontId="27" fillId="0" borderId="0" applyFill="0" applyBorder="0" applyProtection="0"/>
    <xf numFmtId="340" fontId="27" fillId="0" borderId="0" applyFill="0" applyBorder="0" applyProtection="0"/>
    <xf numFmtId="0" fontId="19" fillId="0" borderId="0" applyNumberFormat="0" applyFill="0" applyBorder="0" applyAlignment="0" applyProtection="0"/>
    <xf numFmtId="0" fontId="20" fillId="0" borderId="33" applyNumberFormat="0" applyFill="0" applyAlignment="0" applyProtection="0"/>
    <xf numFmtId="0" fontId="21" fillId="0" borderId="33" applyNumberFormat="0" applyFill="0" applyAlignment="0" applyProtection="0"/>
    <xf numFmtId="0" fontId="22" fillId="0" borderId="34" applyNumberFormat="0" applyFill="0" applyAlignment="0" applyProtection="0"/>
    <xf numFmtId="0" fontId="22" fillId="0" borderId="0" applyNumberFormat="0" applyFill="0" applyBorder="0" applyAlignment="0" applyProtection="0"/>
    <xf numFmtId="189" fontId="27" fillId="0" borderId="11" applyNumberFormat="0" applyFont="0" applyFill="0" applyAlignment="0" applyProtection="0"/>
    <xf numFmtId="0" fontId="205" fillId="0" borderId="0">
      <alignment horizontal="fill"/>
    </xf>
    <xf numFmtId="0" fontId="18" fillId="0" borderId="0"/>
    <xf numFmtId="165" fontId="39" fillId="0" borderId="0"/>
    <xf numFmtId="165" fontId="96" fillId="0" borderId="0"/>
    <xf numFmtId="252" fontId="39" fillId="0" borderId="0"/>
    <xf numFmtId="189" fontId="39" fillId="0" borderId="35"/>
    <xf numFmtId="252" fontId="59" fillId="0" borderId="0"/>
    <xf numFmtId="252" fontId="96" fillId="0" borderId="0"/>
    <xf numFmtId="341" fontId="39" fillId="0" borderId="0"/>
    <xf numFmtId="341" fontId="59" fillId="0" borderId="0"/>
    <xf numFmtId="197" fontId="206" fillId="32" borderId="0">
      <protection locked="0"/>
    </xf>
    <xf numFmtId="342" fontId="4" fillId="0" borderId="0" applyFont="0" applyFill="0" applyBorder="0" applyAlignment="0" applyProtection="0"/>
    <xf numFmtId="343" fontId="4" fillId="0" borderId="0" applyFont="0" applyFill="0" applyBorder="0" applyAlignment="0" applyProtection="0"/>
    <xf numFmtId="0" fontId="23" fillId="0" borderId="36" applyNumberFormat="0" applyFill="0" applyAlignment="0" applyProtection="0"/>
    <xf numFmtId="189" fontId="4" fillId="0" borderId="0" applyFont="0" applyFill="0" applyBorder="0" applyAlignment="0" applyProtection="0"/>
    <xf numFmtId="172" fontId="4" fillId="0" borderId="0" applyFont="0" applyFill="0" applyBorder="0" applyAlignment="0" applyProtection="0"/>
    <xf numFmtId="184" fontId="32" fillId="0" borderId="0" applyFont="0" applyFill="0" applyBorder="0" applyAlignment="0" applyProtection="0">
      <alignment horizontal="right"/>
    </xf>
    <xf numFmtId="187" fontId="4" fillId="0" borderId="0" applyFont="0" applyFill="0" applyBorder="0" applyAlignment="0" applyProtection="0"/>
    <xf numFmtId="344" fontId="39" fillId="0" borderId="0"/>
    <xf numFmtId="0" fontId="99" fillId="0" borderId="0"/>
    <xf numFmtId="1" fontId="99" fillId="0" borderId="0"/>
    <xf numFmtId="1" fontId="207" fillId="0" borderId="0">
      <alignment horizontal="right"/>
    </xf>
    <xf numFmtId="0" fontId="208" fillId="0" borderId="0">
      <alignment horizontal="right"/>
    </xf>
    <xf numFmtId="0" fontId="39" fillId="0" borderId="0">
      <alignment vertical="top" wrapText="1"/>
    </xf>
    <xf numFmtId="0" fontId="53" fillId="0" borderId="0"/>
    <xf numFmtId="208" fontId="39" fillId="0" borderId="0"/>
    <xf numFmtId="345" fontId="39" fillId="0" borderId="0" applyFill="0" applyBorder="0" applyAlignment="0" applyProtection="0"/>
    <xf numFmtId="190" fontId="39"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208" fontId="39" fillId="0" borderId="0">
      <protection locked="0"/>
    </xf>
    <xf numFmtId="346" fontId="39" fillId="0" borderId="0" applyFont="0" applyFill="0" applyBorder="0" applyAlignment="0" applyProtection="0">
      <alignment horizontal="right"/>
    </xf>
    <xf numFmtId="223" fontId="78" fillId="0" borderId="0" applyFont="0" applyFill="0" applyBorder="0" applyProtection="0">
      <alignment horizontal="right"/>
    </xf>
    <xf numFmtId="347" fontId="65" fillId="0" borderId="0"/>
    <xf numFmtId="0" fontId="53" fillId="0" borderId="0" applyFont="0" applyFill="0" applyBorder="0" applyAlignment="0" applyProtection="0">
      <alignment horizontal="right"/>
    </xf>
    <xf numFmtId="309" fontId="79" fillId="0" borderId="0" applyFont="0" applyFill="0" applyBorder="0" applyAlignment="0" applyProtection="0"/>
    <xf numFmtId="306" fontId="39" fillId="0" borderId="0"/>
    <xf numFmtId="306" fontId="209" fillId="23" borderId="0" applyFont="0" applyFill="0" applyBorder="0" applyAlignment="0" applyProtection="0">
      <alignment horizontal="center"/>
    </xf>
    <xf numFmtId="0" fontId="25" fillId="11" borderId="37" applyNumberFormat="0" applyAlignment="0" applyProtection="0"/>
    <xf numFmtId="0" fontId="210" fillId="0" borderId="0"/>
    <xf numFmtId="0" fontId="3" fillId="0" borderId="0"/>
    <xf numFmtId="49" fontId="58" fillId="0" borderId="41">
      <alignment horizontal="left" vertical="top" wrapText="1"/>
    </xf>
    <xf numFmtId="49" fontId="58" fillId="0" borderId="22">
      <alignment horizontal="left" vertical="top" wrapText="1"/>
    </xf>
    <xf numFmtId="0" fontId="4" fillId="0" borderId="0"/>
    <xf numFmtId="352" fontId="32" fillId="0" borderId="0" applyFont="0" applyFill="0" applyBorder="0" applyAlignment="0" applyProtection="0">
      <alignment horizontal="right"/>
    </xf>
    <xf numFmtId="0" fontId="4" fillId="0" borderId="0"/>
    <xf numFmtId="9" fontId="4" fillId="0" borderId="0" applyFont="0" applyFill="0" applyBorder="0" applyAlignment="0" applyProtection="0"/>
    <xf numFmtId="0" fontId="8" fillId="53" borderId="0" applyNumberFormat="0" applyBorder="0" applyAlignment="0" applyProtection="0"/>
    <xf numFmtId="0" fontId="8" fillId="54" borderId="0" applyNumberFormat="0" applyBorder="0" applyAlignment="0" applyProtection="0"/>
    <xf numFmtId="0" fontId="8" fillId="31" borderId="0" applyNumberFormat="0" applyBorder="0" applyAlignment="0" applyProtection="0"/>
    <xf numFmtId="0" fontId="8" fillId="44"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9" borderId="0" applyNumberFormat="0" applyBorder="0" applyAlignment="0" applyProtection="0"/>
    <xf numFmtId="0" fontId="8" fillId="8" borderId="0" applyNumberFormat="0" applyBorder="0" applyAlignment="0" applyProtection="0"/>
    <xf numFmtId="0" fontId="8" fillId="55" borderId="0" applyNumberFormat="0" applyBorder="0" applyAlignment="0" applyProtection="0"/>
    <xf numFmtId="0" fontId="8" fillId="44" borderId="0" applyNumberFormat="0" applyBorder="0" applyAlignment="0" applyProtection="0"/>
    <xf numFmtId="0" fontId="8" fillId="9" borderId="0" applyNumberFormat="0" applyBorder="0" applyAlignment="0" applyProtection="0"/>
    <xf numFmtId="0" fontId="8" fillId="56" borderId="0" applyNumberFormat="0" applyBorder="0" applyAlignment="0" applyProtection="0"/>
    <xf numFmtId="0" fontId="9" fillId="57" borderId="0" applyNumberFormat="0" applyBorder="0" applyAlignment="0" applyProtection="0"/>
    <xf numFmtId="0" fontId="9" fillId="8"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10" borderId="0" applyNumberFormat="0" applyBorder="0" applyAlignment="0" applyProtection="0"/>
    <xf numFmtId="0" fontId="9" fillId="59" borderId="0" applyNumberFormat="0" applyBorder="0" applyAlignment="0" applyProtection="0"/>
    <xf numFmtId="0" fontId="11" fillId="4" borderId="16" applyNumberFormat="0" applyAlignment="0" applyProtection="0"/>
    <xf numFmtId="0" fontId="14" fillId="0" borderId="0" applyNumberFormat="0" applyFill="0" applyBorder="0" applyAlignment="0" applyProtection="0"/>
    <xf numFmtId="0" fontId="12" fillId="5" borderId="16" applyNumberFormat="0" applyAlignment="0" applyProtection="0"/>
    <xf numFmtId="0" fontId="10" fillId="4" borderId="14" applyNumberFormat="0" applyAlignment="0" applyProtection="0"/>
    <xf numFmtId="0" fontId="13" fillId="0" borderId="47" applyNumberFormat="0" applyFill="0" applyAlignment="0" applyProtection="0"/>
    <xf numFmtId="0" fontId="24" fillId="0" borderId="0" applyNumberFormat="0" applyFill="0" applyBorder="0" applyAlignment="0" applyProtection="0"/>
    <xf numFmtId="174" fontId="4" fillId="0" borderId="0" applyFont="0" applyFill="0" applyBorder="0" applyAlignment="0" applyProtection="0"/>
    <xf numFmtId="173" fontId="4" fillId="0" borderId="0" applyFont="0" applyFill="0" applyBorder="0" applyAlignment="0" applyProtection="0"/>
    <xf numFmtId="0" fontId="4" fillId="0" borderId="0"/>
    <xf numFmtId="174" fontId="8" fillId="0" borderId="0" applyFont="0" applyFill="0" applyBorder="0" applyAlignment="0" applyProtection="0"/>
    <xf numFmtId="173" fontId="4" fillId="0" borderId="0" applyFont="0" applyFill="0" applyBorder="0" applyAlignment="0" applyProtection="0"/>
    <xf numFmtId="353" fontId="238" fillId="0" borderId="0" applyFont="0" applyFill="0" applyBorder="0" applyAlignment="0" applyProtection="0"/>
    <xf numFmtId="0" fontId="3" fillId="0" borderId="0"/>
    <xf numFmtId="174" fontId="3" fillId="0" borderId="0" applyFont="0" applyFill="0" applyBorder="0" applyAlignment="0" applyProtection="0"/>
    <xf numFmtId="0" fontId="238" fillId="0" borderId="0"/>
    <xf numFmtId="0" fontId="3" fillId="0" borderId="0"/>
    <xf numFmtId="0" fontId="246" fillId="0" borderId="0"/>
    <xf numFmtId="0" fontId="246" fillId="0" borderId="0"/>
    <xf numFmtId="0" fontId="247" fillId="60" borderId="11" applyBorder="0" applyAlignment="0"/>
    <xf numFmtId="9" fontId="246" fillId="0" borderId="0" applyFont="0" applyFill="0" applyBorder="0" applyAlignment="0" applyProtection="0"/>
    <xf numFmtId="0" fontId="2" fillId="0" borderId="0"/>
    <xf numFmtId="172" fontId="254" fillId="0" borderId="0" applyFont="0" applyFill="0" applyBorder="0" applyAlignment="0" applyProtection="0"/>
    <xf numFmtId="0" fontId="255" fillId="0" borderId="0" applyNumberFormat="0" applyFill="0" applyBorder="0" applyAlignment="0" applyProtection="0"/>
    <xf numFmtId="0" fontId="26" fillId="0" borderId="0"/>
    <xf numFmtId="0" fontId="4" fillId="0" borderId="0"/>
    <xf numFmtId="172" fontId="4" fillId="0" borderId="0" applyFont="0" applyFill="0" applyBorder="0" applyAlignment="0" applyProtection="0"/>
    <xf numFmtId="0" fontId="1" fillId="0" borderId="0"/>
    <xf numFmtId="171" fontId="298" fillId="0" borderId="0" applyFont="0" applyFill="0" applyBorder="0" applyAlignment="0" applyProtection="0"/>
    <xf numFmtId="0" fontId="4" fillId="0" borderId="0"/>
    <xf numFmtId="0" fontId="328" fillId="0" borderId="0"/>
  </cellStyleXfs>
  <cellXfs count="1966">
    <xf numFmtId="0" fontId="0" fillId="0" borderId="0" xfId="0"/>
    <xf numFmtId="0" fontId="217" fillId="0" borderId="0" xfId="0" applyFont="1" applyAlignment="1" applyProtection="1">
      <alignment vertical="center"/>
      <protection locked="0"/>
    </xf>
    <xf numFmtId="4" fontId="217" fillId="0" borderId="0" xfId="0" applyNumberFormat="1" applyFont="1" applyAlignment="1" applyProtection="1">
      <alignment vertical="center"/>
      <protection locked="0"/>
    </xf>
    <xf numFmtId="0" fontId="221" fillId="2" borderId="0" xfId="0" applyFont="1" applyFill="1" applyAlignment="1" applyProtection="1">
      <alignment vertical="center"/>
      <protection locked="0"/>
    </xf>
    <xf numFmtId="0" fontId="227" fillId="0" borderId="0" xfId="0" applyFont="1" applyAlignment="1" applyProtection="1">
      <alignment vertical="center"/>
      <protection locked="0"/>
    </xf>
    <xf numFmtId="0" fontId="217" fillId="2" borderId="0" xfId="0" applyFont="1" applyFill="1" applyAlignment="1" applyProtection="1">
      <alignment vertical="center"/>
      <protection locked="0"/>
    </xf>
    <xf numFmtId="0" fontId="221" fillId="50" borderId="0" xfId="0" applyFont="1" applyFill="1" applyAlignment="1" applyProtection="1">
      <alignment vertical="center"/>
      <protection locked="0"/>
    </xf>
    <xf numFmtId="0" fontId="221" fillId="0" borderId="0" xfId="0" applyFont="1" applyAlignment="1" applyProtection="1">
      <alignment vertical="center"/>
      <protection locked="0"/>
    </xf>
    <xf numFmtId="3" fontId="217" fillId="0" borderId="0" xfId="0" applyNumberFormat="1" applyFont="1" applyAlignment="1" applyProtection="1">
      <alignment vertical="center"/>
      <protection locked="0"/>
    </xf>
    <xf numFmtId="175" fontId="217" fillId="50" borderId="0" xfId="1033" applyNumberFormat="1" applyFont="1" applyFill="1" applyBorder="1" applyAlignment="1" applyProtection="1">
      <alignment horizontal="right" vertical="top"/>
      <protection locked="0"/>
    </xf>
    <xf numFmtId="0" fontId="217" fillId="50" borderId="0" xfId="1385" applyFont="1" applyFill="1" applyAlignment="1" applyProtection="1">
      <alignment vertical="center"/>
      <protection locked="0"/>
    </xf>
    <xf numFmtId="0" fontId="217" fillId="0" borderId="0" xfId="1385" applyFont="1" applyAlignment="1" applyProtection="1">
      <alignment vertical="center"/>
      <protection locked="0"/>
    </xf>
    <xf numFmtId="49" fontId="0" fillId="0" borderId="0" xfId="0" applyNumberFormat="1"/>
    <xf numFmtId="0" fontId="33" fillId="0" borderId="0" xfId="0" applyFont="1"/>
    <xf numFmtId="0" fontId="4" fillId="0" borderId="0" xfId="0" applyFont="1"/>
    <xf numFmtId="3" fontId="0" fillId="0" borderId="0" xfId="0" applyNumberFormat="1"/>
    <xf numFmtId="175" fontId="229" fillId="65" borderId="0" xfId="1033" applyNumberFormat="1" applyFont="1" applyFill="1" applyAlignment="1" applyProtection="1">
      <alignment horizontal="right" vertical="top"/>
    </xf>
    <xf numFmtId="175" fontId="233" fillId="65" borderId="0" xfId="1033" applyNumberFormat="1" applyFont="1" applyFill="1" applyBorder="1" applyAlignment="1" applyProtection="1">
      <alignment horizontal="right" vertical="top"/>
      <protection locked="0"/>
    </xf>
    <xf numFmtId="175" fontId="217" fillId="65" borderId="0" xfId="1033" applyNumberFormat="1" applyFont="1" applyFill="1" applyBorder="1" applyAlignment="1" applyProtection="1">
      <alignment horizontal="right" vertical="top"/>
      <protection locked="0"/>
    </xf>
    <xf numFmtId="37" fontId="221" fillId="50" borderId="0" xfId="1090" applyNumberFormat="1" applyFont="1" applyFill="1" applyAlignment="1" applyProtection="1">
      <alignment vertical="top"/>
      <protection locked="0"/>
    </xf>
    <xf numFmtId="10" fontId="217" fillId="65" borderId="0" xfId="1033" applyNumberFormat="1" applyFont="1" applyFill="1" applyBorder="1" applyAlignment="1" applyProtection="1">
      <alignment horizontal="right" vertical="top"/>
      <protection locked="0"/>
    </xf>
    <xf numFmtId="3" fontId="229" fillId="0" borderId="0" xfId="0" applyNumberFormat="1" applyFont="1" applyAlignment="1" applyProtection="1">
      <alignment vertical="center"/>
      <protection locked="0"/>
    </xf>
    <xf numFmtId="0" fontId="217" fillId="0" borderId="0" xfId="0" applyFont="1" applyAlignment="1" applyProtection="1">
      <alignment horizontal="left" vertical="center" indent="1"/>
      <protection locked="0"/>
    </xf>
    <xf numFmtId="0" fontId="227" fillId="0" borderId="0" xfId="0" applyFont="1" applyAlignment="1" applyProtection="1">
      <alignment horizontal="left" vertical="center" indent="1"/>
      <protection locked="0"/>
    </xf>
    <xf numFmtId="0" fontId="217" fillId="0" borderId="0" xfId="0" applyFont="1" applyAlignment="1" applyProtection="1">
      <alignment horizontal="left" vertical="center" indent="2"/>
      <protection locked="0"/>
    </xf>
    <xf numFmtId="0" fontId="227" fillId="0" borderId="11" xfId="0" applyFont="1" applyBorder="1" applyAlignment="1" applyProtection="1">
      <alignment horizontal="left" vertical="center" indent="1"/>
      <protection locked="0"/>
    </xf>
    <xf numFmtId="49" fontId="217" fillId="0" borderId="0" xfId="0" applyNumberFormat="1" applyFont="1" applyAlignment="1" applyProtection="1">
      <alignment vertical="center"/>
      <protection locked="0"/>
    </xf>
    <xf numFmtId="49" fontId="221" fillId="0" borderId="0" xfId="0" applyNumberFormat="1" applyFont="1" applyAlignment="1" applyProtection="1">
      <alignment vertical="center"/>
      <protection locked="0"/>
    </xf>
    <xf numFmtId="0" fontId="0" fillId="66" borderId="0" xfId="0" applyFill="1"/>
    <xf numFmtId="49" fontId="4" fillId="0" borderId="0" xfId="0" applyNumberFormat="1" applyFont="1"/>
    <xf numFmtId="175" fontId="249" fillId="65" borderId="0" xfId="1033" applyNumberFormat="1" applyFont="1" applyFill="1" applyAlignment="1" applyProtection="1">
      <alignment horizontal="right" vertical="top"/>
    </xf>
    <xf numFmtId="175" fontId="227" fillId="65" borderId="0" xfId="1033" applyNumberFormat="1" applyFont="1" applyFill="1" applyBorder="1" applyAlignment="1" applyProtection="1">
      <alignment horizontal="right" vertical="top"/>
      <protection locked="0"/>
    </xf>
    <xf numFmtId="1" fontId="217" fillId="0" borderId="0" xfId="0" applyNumberFormat="1" applyFont="1" applyAlignment="1" applyProtection="1">
      <alignment vertical="center"/>
      <protection locked="0"/>
    </xf>
    <xf numFmtId="0" fontId="227" fillId="0" borderId="6" xfId="0" applyFont="1" applyBorder="1" applyAlignment="1" applyProtection="1">
      <alignment horizontal="left" vertical="center" indent="1"/>
      <protection locked="0"/>
    </xf>
    <xf numFmtId="0" fontId="256" fillId="69" borderId="54" xfId="0" applyFont="1" applyFill="1" applyBorder="1" applyAlignment="1">
      <alignment horizontal="centerContinuous"/>
    </xf>
    <xf numFmtId="0" fontId="256" fillId="69" borderId="23" xfId="0" applyFont="1" applyFill="1" applyBorder="1" applyAlignment="1">
      <alignment horizontal="centerContinuous"/>
    </xf>
    <xf numFmtId="0" fontId="256" fillId="69" borderId="55" xfId="0" applyFont="1" applyFill="1" applyBorder="1" applyAlignment="1">
      <alignment horizontal="centerContinuous"/>
    </xf>
    <xf numFmtId="0" fontId="256" fillId="69" borderId="50" xfId="1400" applyFont="1" applyFill="1" applyBorder="1" applyAlignment="1">
      <alignment horizontal="center"/>
    </xf>
    <xf numFmtId="0" fontId="258" fillId="50" borderId="0" xfId="1400" applyFont="1" applyFill="1" applyAlignment="1">
      <alignment horizontal="center"/>
    </xf>
    <xf numFmtId="0" fontId="257" fillId="50" borderId="0" xfId="0" applyFont="1" applyFill="1"/>
    <xf numFmtId="0" fontId="259" fillId="50" borderId="0" xfId="0" applyFont="1" applyFill="1"/>
    <xf numFmtId="0" fontId="260" fillId="50" borderId="0" xfId="1400" applyFont="1" applyFill="1" applyAlignment="1">
      <alignment horizontal="left"/>
    </xf>
    <xf numFmtId="0" fontId="262" fillId="0" borderId="0" xfId="0" applyFont="1"/>
    <xf numFmtId="0" fontId="263" fillId="0" borderId="0" xfId="0" applyFont="1"/>
    <xf numFmtId="0" fontId="256" fillId="69" borderId="0" xfId="0" applyFont="1" applyFill="1" applyAlignment="1">
      <alignment horizontal="right"/>
    </xf>
    <xf numFmtId="0" fontId="264" fillId="63" borderId="0" xfId="0" applyFont="1" applyFill="1"/>
    <xf numFmtId="0" fontId="265" fillId="63" borderId="0" xfId="0" applyFont="1" applyFill="1"/>
    <xf numFmtId="0" fontId="266" fillId="0" borderId="43" xfId="0" applyFont="1" applyBorder="1" applyAlignment="1">
      <alignment horizontal="left"/>
    </xf>
    <xf numFmtId="0" fontId="266" fillId="0" borderId="20" xfId="0" applyFont="1" applyBorder="1" applyAlignment="1">
      <alignment horizontal="center"/>
    </xf>
    <xf numFmtId="0" fontId="256" fillId="69" borderId="0" xfId="1400" applyFont="1" applyFill="1" applyAlignment="1">
      <alignment horizontal="center"/>
    </xf>
    <xf numFmtId="0" fontId="256" fillId="69" borderId="0" xfId="0" applyFont="1" applyFill="1" applyAlignment="1">
      <alignment horizontal="centerContinuous"/>
    </xf>
    <xf numFmtId="0" fontId="256" fillId="69" borderId="0" xfId="0" applyFont="1" applyFill="1" applyAlignment="1">
      <alignment horizontal="center"/>
    </xf>
    <xf numFmtId="0" fontId="256" fillId="69" borderId="0" xfId="0" applyFont="1" applyFill="1" applyAlignment="1">
      <alignment horizontal="left" indent="2"/>
    </xf>
    <xf numFmtId="0" fontId="266" fillId="70" borderId="0" xfId="0" applyFont="1" applyFill="1" applyAlignment="1">
      <alignment horizontal="center"/>
    </xf>
    <xf numFmtId="0" fontId="266" fillId="0" borderId="0" xfId="0" applyFont="1" applyAlignment="1">
      <alignment horizontal="center"/>
    </xf>
    <xf numFmtId="0" fontId="266" fillId="0" borderId="11" xfId="0" applyFont="1" applyBorder="1" applyAlignment="1">
      <alignment horizontal="center"/>
    </xf>
    <xf numFmtId="0" fontId="266" fillId="70" borderId="9" xfId="0" applyFont="1" applyFill="1" applyBorder="1"/>
    <xf numFmtId="0" fontId="266" fillId="0" borderId="9" xfId="0" applyFont="1" applyBorder="1"/>
    <xf numFmtId="0" fontId="267" fillId="71" borderId="63" xfId="0" applyFont="1" applyFill="1" applyBorder="1" applyAlignment="1">
      <alignment horizontal="left"/>
    </xf>
    <xf numFmtId="0" fontId="267" fillId="71" borderId="65" xfId="0" applyFont="1" applyFill="1" applyBorder="1" applyAlignment="1">
      <alignment horizontal="left"/>
    </xf>
    <xf numFmtId="0" fontId="267" fillId="71" borderId="66" xfId="0" applyFont="1" applyFill="1" applyBorder="1" applyAlignment="1">
      <alignment horizontal="left"/>
    </xf>
    <xf numFmtId="0" fontId="270" fillId="0" borderId="40" xfId="0" applyFont="1" applyBorder="1"/>
    <xf numFmtId="0" fontId="270" fillId="0" borderId="6" xfId="0" applyFont="1" applyBorder="1" applyAlignment="1">
      <alignment horizontal="center"/>
    </xf>
    <xf numFmtId="0" fontId="270" fillId="0" borderId="38" xfId="0" applyFont="1" applyBorder="1" applyAlignment="1">
      <alignment horizontal="center"/>
    </xf>
    <xf numFmtId="10" fontId="266" fillId="70" borderId="0" xfId="0" applyNumberFormat="1" applyFont="1" applyFill="1" applyAlignment="1">
      <alignment horizontal="center"/>
    </xf>
    <xf numFmtId="10" fontId="266" fillId="70" borderId="10" xfId="0" applyNumberFormat="1" applyFont="1" applyFill="1" applyBorder="1" applyAlignment="1">
      <alignment horizontal="center"/>
    </xf>
    <xf numFmtId="0" fontId="271" fillId="0" borderId="0" xfId="0" applyFont="1"/>
    <xf numFmtId="10" fontId="266" fillId="0" borderId="0" xfId="0" applyNumberFormat="1" applyFont="1" applyAlignment="1">
      <alignment horizontal="center"/>
    </xf>
    <xf numFmtId="10" fontId="266" fillId="0" borderId="10" xfId="0" applyNumberFormat="1" applyFont="1" applyBorder="1" applyAlignment="1">
      <alignment horizontal="center"/>
    </xf>
    <xf numFmtId="0" fontId="266" fillId="0" borderId="12" xfId="0" applyFont="1" applyBorder="1"/>
    <xf numFmtId="10" fontId="266" fillId="0" borderId="11" xfId="0" applyNumberFormat="1" applyFont="1" applyBorder="1" applyAlignment="1">
      <alignment horizontal="center"/>
    </xf>
    <xf numFmtId="0" fontId="271" fillId="0" borderId="0" xfId="0" applyFont="1" applyAlignment="1">
      <alignment horizontal="center"/>
    </xf>
    <xf numFmtId="0" fontId="272" fillId="0" borderId="39" xfId="0" applyFont="1" applyBorder="1" applyAlignment="1">
      <alignment horizontal="left" wrapText="1"/>
    </xf>
    <xf numFmtId="0" fontId="272" fillId="0" borderId="22" xfId="0" applyFont="1" applyBorder="1" applyAlignment="1">
      <alignment horizontal="center" wrapText="1"/>
    </xf>
    <xf numFmtId="0" fontId="272" fillId="0" borderId="12" xfId="0" applyFont="1" applyBorder="1" applyAlignment="1">
      <alignment horizontal="center" wrapText="1"/>
    </xf>
    <xf numFmtId="0" fontId="266" fillId="0" borderId="43" xfId="0" applyFont="1" applyBorder="1" applyAlignment="1">
      <alignment horizontal="left" wrapText="1"/>
    </xf>
    <xf numFmtId="0" fontId="266" fillId="0" borderId="20" xfId="0" applyFont="1" applyBorder="1" applyAlignment="1">
      <alignment horizontal="center" wrapText="1"/>
    </xf>
    <xf numFmtId="0" fontId="266" fillId="0" borderId="42" xfId="0" applyFont="1" applyBorder="1" applyAlignment="1">
      <alignment horizontal="center" wrapText="1"/>
    </xf>
    <xf numFmtId="0" fontId="266" fillId="0" borderId="22" xfId="0" applyFont="1" applyBorder="1" applyAlignment="1">
      <alignment horizontal="center" wrapText="1"/>
    </xf>
    <xf numFmtId="0" fontId="266" fillId="0" borderId="12" xfId="0" applyFont="1" applyBorder="1" applyAlignment="1">
      <alignment horizontal="center" wrapText="1"/>
    </xf>
    <xf numFmtId="0" fontId="266" fillId="0" borderId="42" xfId="0" applyFont="1" applyBorder="1" applyAlignment="1">
      <alignment horizontal="center"/>
    </xf>
    <xf numFmtId="14" fontId="256" fillId="69" borderId="23" xfId="0" applyNumberFormat="1" applyFont="1" applyFill="1" applyBorder="1" applyAlignment="1">
      <alignment horizontal="centerContinuous"/>
    </xf>
    <xf numFmtId="14" fontId="256" fillId="69" borderId="0" xfId="0" applyNumberFormat="1" applyFont="1" applyFill="1"/>
    <xf numFmtId="0" fontId="266" fillId="0" borderId="20" xfId="0" applyFont="1" applyBorder="1" applyAlignment="1">
      <alignment horizontal="left"/>
    </xf>
    <xf numFmtId="0" fontId="271" fillId="0" borderId="20" xfId="0" applyFont="1" applyBorder="1" applyAlignment="1">
      <alignment horizontal="left"/>
    </xf>
    <xf numFmtId="0" fontId="271" fillId="0" borderId="20" xfId="0" applyFont="1" applyBorder="1" applyAlignment="1">
      <alignment horizontal="center"/>
    </xf>
    <xf numFmtId="0" fontId="0" fillId="67" borderId="0" xfId="0" applyFill="1"/>
    <xf numFmtId="0" fontId="4" fillId="67" borderId="0" xfId="0" applyFont="1" applyFill="1"/>
    <xf numFmtId="0" fontId="262" fillId="67" borderId="0" xfId="0" applyFont="1" applyFill="1"/>
    <xf numFmtId="0" fontId="257" fillId="67" borderId="0" xfId="0" applyFont="1" applyFill="1"/>
    <xf numFmtId="14" fontId="256" fillId="69" borderId="23" xfId="0" applyNumberFormat="1" applyFont="1" applyFill="1" applyBorder="1" applyAlignment="1">
      <alignment horizontal="left"/>
    </xf>
    <xf numFmtId="0" fontId="0" fillId="72" borderId="67" xfId="0" applyFill="1" applyBorder="1"/>
    <xf numFmtId="0" fontId="0" fillId="72" borderId="68" xfId="0" applyFill="1" applyBorder="1"/>
    <xf numFmtId="0" fontId="0" fillId="0" borderId="67" xfId="0" applyBorder="1"/>
    <xf numFmtId="0" fontId="0" fillId="0" borderId="68" xfId="0" applyBorder="1"/>
    <xf numFmtId="0" fontId="4" fillId="0" borderId="67" xfId="0" applyFont="1" applyBorder="1"/>
    <xf numFmtId="0" fontId="4" fillId="72" borderId="67" xfId="0" applyFont="1" applyFill="1" applyBorder="1"/>
    <xf numFmtId="0" fontId="4" fillId="0" borderId="69" xfId="0" applyFont="1" applyBorder="1"/>
    <xf numFmtId="0" fontId="4" fillId="0" borderId="68" xfId="0" applyFont="1" applyBorder="1"/>
    <xf numFmtId="1" fontId="0" fillId="0" borderId="0" xfId="0" applyNumberFormat="1"/>
    <xf numFmtId="0" fontId="217" fillId="0" borderId="0" xfId="0" applyFont="1" applyAlignment="1" applyProtection="1">
      <alignment horizontal="left" vertical="center"/>
      <protection locked="0"/>
    </xf>
    <xf numFmtId="2" fontId="0" fillId="0" borderId="0" xfId="0" applyNumberFormat="1"/>
    <xf numFmtId="49" fontId="4" fillId="0" borderId="0" xfId="0" quotePrefix="1" applyNumberFormat="1" applyFont="1"/>
    <xf numFmtId="4" fontId="0" fillId="0" borderId="0" xfId="0" applyNumberFormat="1"/>
    <xf numFmtId="49" fontId="217" fillId="0" borderId="0" xfId="0" applyNumberFormat="1" applyFont="1" applyAlignment="1" applyProtection="1">
      <alignment horizontal="left" vertical="center" indent="1"/>
      <protection locked="0"/>
    </xf>
    <xf numFmtId="175" fontId="229" fillId="65" borderId="6" xfId="1033" applyNumberFormat="1" applyFont="1" applyFill="1" applyBorder="1" applyAlignment="1" applyProtection="1">
      <alignment horizontal="right" vertical="top"/>
    </xf>
    <xf numFmtId="175" fontId="233" fillId="65" borderId="6" xfId="1033" applyNumberFormat="1" applyFont="1" applyFill="1" applyBorder="1" applyAlignment="1" applyProtection="1">
      <alignment horizontal="right" vertical="top"/>
      <protection locked="0"/>
    </xf>
    <xf numFmtId="0" fontId="33" fillId="0" borderId="17" xfId="0" applyFont="1" applyBorder="1"/>
    <xf numFmtId="0" fontId="255" fillId="0" borderId="0" xfId="1399"/>
    <xf numFmtId="0" fontId="291" fillId="0" borderId="0" xfId="0" applyFont="1"/>
    <xf numFmtId="3" fontId="221" fillId="0" borderId="0" xfId="0" applyNumberFormat="1" applyFont="1" applyAlignment="1" applyProtection="1">
      <alignment vertical="center"/>
      <protection locked="0"/>
    </xf>
    <xf numFmtId="2" fontId="4" fillId="0" borderId="0" xfId="0" applyNumberFormat="1" applyFont="1"/>
    <xf numFmtId="4" fontId="217" fillId="0" borderId="56" xfId="0" applyNumberFormat="1" applyFont="1" applyBorder="1" applyAlignment="1" applyProtection="1">
      <alignment vertical="center"/>
      <protection locked="0"/>
    </xf>
    <xf numFmtId="0" fontId="37" fillId="0" borderId="0" xfId="0" applyFont="1"/>
    <xf numFmtId="0" fontId="287" fillId="0" borderId="0" xfId="0" applyFont="1"/>
    <xf numFmtId="0" fontId="291" fillId="0" borderId="0" xfId="0" applyFont="1" applyProtection="1">
      <protection locked="0"/>
    </xf>
    <xf numFmtId="0" fontId="217" fillId="50" borderId="0" xfId="1090" applyFont="1" applyFill="1" applyProtection="1">
      <protection locked="0"/>
    </xf>
    <xf numFmtId="0" fontId="285" fillId="0" borderId="0" xfId="1090" applyFont="1" applyAlignment="1" applyProtection="1">
      <alignment vertical="center"/>
      <protection locked="0"/>
    </xf>
    <xf numFmtId="0" fontId="241" fillId="0" borderId="0" xfId="1090" applyFont="1" applyProtection="1">
      <protection locked="0"/>
    </xf>
    <xf numFmtId="0" fontId="217" fillId="0" borderId="0" xfId="1090" applyFont="1" applyProtection="1">
      <protection locked="0"/>
    </xf>
    <xf numFmtId="0" fontId="217" fillId="0" borderId="0" xfId="1090" applyFont="1" applyAlignment="1" applyProtection="1">
      <alignment horizontal="right"/>
      <protection locked="0"/>
    </xf>
    <xf numFmtId="2" fontId="218" fillId="61" borderId="0" xfId="1094" applyNumberFormat="1" applyFont="1" applyFill="1" applyAlignment="1" applyProtection="1">
      <alignment horizontal="left" vertical="center"/>
      <protection locked="0"/>
    </xf>
    <xf numFmtId="49" fontId="218" fillId="61" borderId="45" xfId="1090" applyNumberFormat="1" applyFont="1" applyFill="1" applyBorder="1" applyAlignment="1" applyProtection="1">
      <alignment horizontal="right" vertical="top"/>
      <protection locked="0"/>
    </xf>
    <xf numFmtId="49" fontId="218" fillId="60" borderId="45" xfId="1090" applyNumberFormat="1" applyFont="1" applyFill="1" applyBorder="1" applyAlignment="1" applyProtection="1">
      <alignment horizontal="right" vertical="top"/>
      <protection locked="0"/>
    </xf>
    <xf numFmtId="0" fontId="221" fillId="0" borderId="0" xfId="1090" applyFont="1" applyProtection="1">
      <protection locked="0"/>
    </xf>
    <xf numFmtId="0" fontId="221" fillId="50" borderId="0" xfId="1090" applyFont="1" applyFill="1" applyProtection="1">
      <protection locked="0"/>
    </xf>
    <xf numFmtId="349" fontId="224" fillId="61" borderId="0" xfId="1094" applyNumberFormat="1" applyFont="1" applyFill="1" applyAlignment="1" applyProtection="1">
      <alignment horizontal="left" vertical="center"/>
      <protection locked="0"/>
    </xf>
    <xf numFmtId="0" fontId="218" fillId="61" borderId="45" xfId="1090" applyFont="1" applyFill="1" applyBorder="1" applyAlignment="1" applyProtection="1">
      <alignment horizontal="right" vertical="top"/>
      <protection locked="0"/>
    </xf>
    <xf numFmtId="0" fontId="218" fillId="60" borderId="45" xfId="1090" applyFont="1" applyFill="1" applyBorder="1" applyAlignment="1" applyProtection="1">
      <alignment horizontal="right" vertical="top"/>
      <protection locked="0"/>
    </xf>
    <xf numFmtId="0" fontId="217" fillId="50" borderId="0" xfId="1090" applyFont="1" applyFill="1" applyAlignment="1" applyProtection="1">
      <alignment horizontal="right"/>
      <protection locked="0"/>
    </xf>
    <xf numFmtId="0" fontId="221" fillId="50" borderId="11" xfId="1090" applyFont="1" applyFill="1" applyBorder="1" applyProtection="1">
      <protection locked="0"/>
    </xf>
    <xf numFmtId="221" fontId="221" fillId="50" borderId="0" xfId="1398" applyNumberFormat="1" applyFont="1" applyFill="1" applyProtection="1">
      <protection locked="0"/>
    </xf>
    <xf numFmtId="0" fontId="217" fillId="50" borderId="11" xfId="1090" applyFont="1" applyFill="1" applyBorder="1" applyProtection="1">
      <protection locked="0"/>
    </xf>
    <xf numFmtId="0" fontId="217" fillId="50" borderId="0" xfId="1090" quotePrefix="1" applyFont="1" applyFill="1" applyAlignment="1" applyProtection="1">
      <alignment horizontal="left" indent="1"/>
      <protection locked="0"/>
    </xf>
    <xf numFmtId="0" fontId="217" fillId="50" borderId="0" xfId="1090" quotePrefix="1" applyFont="1" applyFill="1" applyProtection="1">
      <protection locked="0"/>
    </xf>
    <xf numFmtId="0" fontId="274" fillId="0" borderId="0" xfId="1090" applyFont="1" applyAlignment="1" applyProtection="1">
      <alignment horizontal="center" vertical="center"/>
      <protection locked="0"/>
    </xf>
    <xf numFmtId="0" fontId="259" fillId="0" borderId="0" xfId="1090" applyFont="1" applyAlignment="1" applyProtection="1">
      <alignment horizontal="center" vertical="center"/>
      <protection locked="0"/>
    </xf>
    <xf numFmtId="0" fontId="261" fillId="0" borderId="0" xfId="1090" applyFont="1" applyAlignment="1" applyProtection="1">
      <alignment horizontal="left" vertical="center"/>
      <protection locked="0"/>
    </xf>
    <xf numFmtId="0" fontId="217" fillId="0" borderId="0" xfId="1090" applyFont="1" applyAlignment="1" applyProtection="1">
      <alignment horizontal="left" vertical="center"/>
      <protection locked="0"/>
    </xf>
    <xf numFmtId="221" fontId="217" fillId="50" borderId="0" xfId="1398" applyNumberFormat="1" applyFont="1" applyFill="1" applyProtection="1">
      <protection locked="0"/>
    </xf>
    <xf numFmtId="0" fontId="217" fillId="50" borderId="0" xfId="1090" applyFont="1" applyFill="1" applyAlignment="1" applyProtection="1">
      <alignment horizontal="left" indent="1"/>
      <protection locked="0"/>
    </xf>
    <xf numFmtId="49" fontId="218" fillId="61" borderId="45" xfId="1090" applyNumberFormat="1" applyFont="1" applyFill="1" applyBorder="1" applyAlignment="1">
      <alignment horizontal="right" vertical="top"/>
    </xf>
    <xf numFmtId="1" fontId="218" fillId="61" borderId="45" xfId="1090" applyNumberFormat="1" applyFont="1" applyFill="1" applyBorder="1" applyAlignment="1">
      <alignment horizontal="right" vertical="top"/>
    </xf>
    <xf numFmtId="49" fontId="218" fillId="60" borderId="45" xfId="1090" applyNumberFormat="1" applyFont="1" applyFill="1" applyBorder="1" applyAlignment="1">
      <alignment horizontal="right" vertical="top"/>
    </xf>
    <xf numFmtId="0" fontId="218" fillId="61" borderId="45" xfId="1090" applyFont="1" applyFill="1" applyBorder="1" applyAlignment="1">
      <alignment horizontal="right" vertical="top"/>
    </xf>
    <xf numFmtId="0" fontId="218" fillId="60" borderId="45" xfId="1090" applyFont="1" applyFill="1" applyBorder="1" applyAlignment="1">
      <alignment horizontal="right" vertical="top"/>
    </xf>
    <xf numFmtId="255" fontId="221" fillId="50" borderId="11" xfId="1398" applyNumberFormat="1" applyFont="1" applyFill="1" applyBorder="1" applyProtection="1"/>
    <xf numFmtId="9" fontId="227" fillId="50" borderId="11" xfId="1033" applyFont="1" applyFill="1" applyBorder="1" applyProtection="1"/>
    <xf numFmtId="255" fontId="217" fillId="50" borderId="0" xfId="1398" applyNumberFormat="1" applyFont="1" applyFill="1" applyProtection="1"/>
    <xf numFmtId="172" fontId="217" fillId="50" borderId="0" xfId="1398" applyFont="1" applyFill="1" applyProtection="1"/>
    <xf numFmtId="10" fontId="227" fillId="50" borderId="11" xfId="1033" applyNumberFormat="1" applyFont="1" applyFill="1" applyBorder="1" applyProtection="1"/>
    <xf numFmtId="49" fontId="217" fillId="50" borderId="0" xfId="0" applyNumberFormat="1" applyFont="1" applyFill="1" applyAlignment="1" applyProtection="1">
      <alignment horizontal="left" vertical="center"/>
      <protection locked="0"/>
    </xf>
    <xf numFmtId="49" fontId="241" fillId="50" borderId="0" xfId="0" applyNumberFormat="1" applyFont="1" applyFill="1" applyAlignment="1" applyProtection="1">
      <alignment vertical="center"/>
      <protection locked="0"/>
    </xf>
    <xf numFmtId="49" fontId="218" fillId="50" borderId="0" xfId="0" applyNumberFormat="1" applyFont="1" applyFill="1" applyAlignment="1" applyProtection="1">
      <alignment horizontal="left" vertical="center"/>
      <protection locked="0"/>
    </xf>
    <xf numFmtId="49" fontId="221" fillId="50" borderId="0" xfId="0" applyNumberFormat="1" applyFont="1" applyFill="1" applyAlignment="1" applyProtection="1">
      <alignment horizontal="left" vertical="center"/>
      <protection locked="0"/>
    </xf>
    <xf numFmtId="49" fontId="222" fillId="50" borderId="0" xfId="0" applyNumberFormat="1" applyFont="1" applyFill="1" applyAlignment="1" applyProtection="1">
      <alignment horizontal="left" vertical="center"/>
      <protection locked="0"/>
    </xf>
    <xf numFmtId="49" fontId="242" fillId="52" borderId="73" xfId="0" applyNumberFormat="1" applyFont="1" applyFill="1" applyBorder="1" applyAlignment="1" applyProtection="1">
      <alignment horizontal="right" vertical="center"/>
      <protection locked="0"/>
    </xf>
    <xf numFmtId="49" fontId="219" fillId="50" borderId="0" xfId="0" applyNumberFormat="1" applyFont="1" applyFill="1" applyAlignment="1" applyProtection="1">
      <alignment horizontal="left" vertical="center"/>
      <protection locked="0"/>
    </xf>
    <xf numFmtId="0" fontId="226" fillId="50" borderId="0" xfId="1398" applyNumberFormat="1" applyFont="1" applyFill="1" applyAlignment="1" applyProtection="1">
      <alignment horizontal="right" vertical="center"/>
      <protection locked="0"/>
    </xf>
    <xf numFmtId="270" fontId="217" fillId="50" borderId="0" xfId="1090" applyNumberFormat="1" applyFont="1" applyFill="1" applyAlignment="1" applyProtection="1">
      <alignment horizontal="right"/>
      <protection locked="0"/>
    </xf>
    <xf numFmtId="49" fontId="241" fillId="52" borderId="73" xfId="0" applyNumberFormat="1" applyFont="1" applyFill="1" applyBorder="1" applyAlignment="1" applyProtection="1">
      <alignment horizontal="left" vertical="center"/>
      <protection locked="0"/>
    </xf>
    <xf numFmtId="349" fontId="219" fillId="50" borderId="0" xfId="0" applyNumberFormat="1" applyFont="1" applyFill="1" applyAlignment="1" applyProtection="1">
      <alignment horizontal="left" vertical="center"/>
      <protection locked="0"/>
    </xf>
    <xf numFmtId="10" fontId="221" fillId="73" borderId="0" xfId="1033" applyNumberFormat="1" applyFont="1" applyFill="1" applyBorder="1" applyAlignment="1" applyProtection="1">
      <alignment horizontal="right"/>
      <protection locked="0"/>
    </xf>
    <xf numFmtId="1" fontId="219" fillId="0" borderId="0" xfId="1033" applyNumberFormat="1" applyFont="1" applyFill="1" applyBorder="1" applyAlignment="1" applyProtection="1">
      <alignment horizontal="left"/>
      <protection locked="0"/>
    </xf>
    <xf numFmtId="14" fontId="217" fillId="50" borderId="0" xfId="0" applyNumberFormat="1" applyFont="1" applyFill="1" applyAlignment="1" applyProtection="1">
      <alignment horizontal="left" vertical="center"/>
      <protection locked="0"/>
    </xf>
    <xf numFmtId="1" fontId="242" fillId="52" borderId="73" xfId="1033" applyNumberFormat="1" applyFont="1" applyFill="1" applyBorder="1" applyAlignment="1" applyProtection="1">
      <alignment horizontal="left"/>
      <protection locked="0"/>
    </xf>
    <xf numFmtId="0" fontId="217" fillId="50" borderId="0" xfId="0" applyFont="1" applyFill="1" applyAlignment="1" applyProtection="1">
      <alignment horizontal="left" vertical="center"/>
      <protection locked="0"/>
    </xf>
    <xf numFmtId="10" fontId="219" fillId="50" borderId="0" xfId="1356" applyNumberFormat="1" applyFont="1" applyFill="1" applyBorder="1" applyAlignment="1" applyProtection="1">
      <alignment horizontal="left"/>
      <protection locked="0"/>
    </xf>
    <xf numFmtId="1" fontId="222" fillId="50" borderId="0" xfId="1356" applyNumberFormat="1" applyFont="1" applyFill="1" applyBorder="1" applyAlignment="1" applyProtection="1">
      <alignment horizontal="left"/>
      <protection locked="0"/>
    </xf>
    <xf numFmtId="49" fontId="217" fillId="50" borderId="11" xfId="0" applyNumberFormat="1" applyFont="1" applyFill="1" applyBorder="1" applyAlignment="1" applyProtection="1">
      <alignment horizontal="left" vertical="center"/>
      <protection locked="0"/>
    </xf>
    <xf numFmtId="349" fontId="217" fillId="50" borderId="11" xfId="0" applyNumberFormat="1" applyFont="1" applyFill="1" applyBorder="1" applyAlignment="1" applyProtection="1">
      <alignment horizontal="left" vertical="center"/>
      <protection locked="0"/>
    </xf>
    <xf numFmtId="349" fontId="217" fillId="50" borderId="0" xfId="0" applyNumberFormat="1" applyFont="1" applyFill="1" applyAlignment="1" applyProtection="1">
      <alignment horizontal="left" vertical="center"/>
      <protection locked="0"/>
    </xf>
    <xf numFmtId="0" fontId="220" fillId="50" borderId="0" xfId="1090" applyFont="1" applyFill="1" applyProtection="1">
      <protection locked="0"/>
    </xf>
    <xf numFmtId="0" fontId="221" fillId="50" borderId="0" xfId="1090" applyFont="1" applyFill="1" applyAlignment="1" applyProtection="1">
      <alignment horizontal="left" indent="6"/>
      <protection locked="0"/>
    </xf>
    <xf numFmtId="14" fontId="217" fillId="50" borderId="0" xfId="0" applyNumberFormat="1" applyFont="1" applyFill="1" applyAlignment="1" applyProtection="1">
      <alignment horizontal="center" vertical="center"/>
      <protection locked="0"/>
    </xf>
    <xf numFmtId="14" fontId="217" fillId="73" borderId="0" xfId="0" applyNumberFormat="1" applyFont="1" applyFill="1" applyAlignment="1" applyProtection="1">
      <alignment horizontal="center" vertical="center"/>
      <protection locked="0"/>
    </xf>
    <xf numFmtId="14" fontId="217" fillId="52" borderId="0" xfId="0" applyNumberFormat="1" applyFont="1" applyFill="1" applyAlignment="1" applyProtection="1">
      <alignment horizontal="left" vertical="center"/>
      <protection locked="0"/>
    </xf>
    <xf numFmtId="49" fontId="217" fillId="76" borderId="0" xfId="0" applyNumberFormat="1" applyFont="1" applyFill="1" applyAlignment="1" applyProtection="1">
      <alignment horizontal="left" vertical="center"/>
      <protection locked="0"/>
    </xf>
    <xf numFmtId="49" fontId="217" fillId="77" borderId="0" xfId="0" applyNumberFormat="1" applyFont="1" applyFill="1" applyAlignment="1" applyProtection="1">
      <alignment horizontal="left" vertical="center"/>
      <protection locked="0"/>
    </xf>
    <xf numFmtId="49" fontId="242" fillId="66" borderId="0" xfId="0" applyNumberFormat="1" applyFont="1" applyFill="1" applyAlignment="1" applyProtection="1">
      <alignment horizontal="left" vertical="center"/>
      <protection locked="0"/>
    </xf>
    <xf numFmtId="354" fontId="253" fillId="0" borderId="0" xfId="0" applyNumberFormat="1" applyFont="1" applyAlignment="1" applyProtection="1">
      <alignment horizontal="right" vertical="center" wrapText="1"/>
      <protection locked="0"/>
    </xf>
    <xf numFmtId="0" fontId="252" fillId="0" borderId="0" xfId="0" applyFont="1" applyAlignment="1" applyProtection="1">
      <alignment vertical="center"/>
      <protection locked="0"/>
    </xf>
    <xf numFmtId="14" fontId="221" fillId="50" borderId="0" xfId="0" applyNumberFormat="1" applyFont="1" applyFill="1" applyAlignment="1">
      <alignment horizontal="right" vertical="center"/>
    </xf>
    <xf numFmtId="0" fontId="221" fillId="50" borderId="0" xfId="0" applyFont="1" applyFill="1" applyAlignment="1">
      <alignment horizontal="left" vertical="center"/>
    </xf>
    <xf numFmtId="14" fontId="217" fillId="50" borderId="0" xfId="0" applyNumberFormat="1" applyFont="1" applyFill="1" applyAlignment="1">
      <alignment horizontal="left" vertical="center"/>
    </xf>
    <xf numFmtId="10" fontId="221" fillId="50" borderId="0" xfId="1356" applyNumberFormat="1" applyFont="1" applyFill="1" applyBorder="1" applyAlignment="1" applyProtection="1">
      <alignment horizontal="left"/>
    </xf>
    <xf numFmtId="10" fontId="221" fillId="73" borderId="0" xfId="0" applyNumberFormat="1" applyFont="1" applyFill="1" applyAlignment="1">
      <alignment horizontal="left" vertical="center"/>
    </xf>
    <xf numFmtId="49" fontId="227" fillId="67" borderId="0" xfId="0" applyNumberFormat="1" applyFont="1" applyFill="1" applyAlignment="1">
      <alignment horizontal="left" vertical="center"/>
    </xf>
    <xf numFmtId="49" fontId="217" fillId="50" borderId="0" xfId="0" applyNumberFormat="1" applyFont="1" applyFill="1" applyAlignment="1">
      <alignment horizontal="left" vertical="center"/>
    </xf>
    <xf numFmtId="0" fontId="221" fillId="0" borderId="0" xfId="1385" applyFont="1" applyAlignment="1" applyProtection="1">
      <alignment vertical="center"/>
      <protection locked="0"/>
    </xf>
    <xf numFmtId="175" fontId="217" fillId="0" borderId="0" xfId="1385" applyNumberFormat="1" applyFont="1" applyAlignment="1" applyProtection="1">
      <alignment vertical="center"/>
      <protection locked="0"/>
    </xf>
    <xf numFmtId="175" fontId="217" fillId="50" borderId="0" xfId="1385" applyNumberFormat="1" applyFont="1" applyFill="1" applyAlignment="1" applyProtection="1">
      <alignment vertical="center"/>
      <protection locked="0"/>
    </xf>
    <xf numFmtId="0" fontId="242" fillId="50" borderId="0" xfId="1385" applyFont="1" applyFill="1" applyAlignment="1" applyProtection="1">
      <alignment horizontal="right" vertical="center"/>
      <protection locked="0"/>
    </xf>
    <xf numFmtId="0" fontId="244" fillId="0" borderId="0" xfId="1385" applyFont="1" applyAlignment="1" applyProtection="1">
      <alignment vertical="center"/>
      <protection locked="0"/>
    </xf>
    <xf numFmtId="0" fontId="244" fillId="50" borderId="0" xfId="1385" applyFont="1" applyFill="1" applyAlignment="1" applyProtection="1">
      <alignment vertical="center"/>
      <protection locked="0"/>
    </xf>
    <xf numFmtId="0" fontId="243" fillId="50" borderId="0" xfId="1385" applyFont="1" applyFill="1" applyProtection="1">
      <protection locked="0"/>
    </xf>
    <xf numFmtId="0" fontId="243" fillId="50" borderId="0" xfId="1385" applyFont="1" applyFill="1" applyAlignment="1" applyProtection="1">
      <alignment vertical="center"/>
      <protection locked="0"/>
    </xf>
    <xf numFmtId="0" fontId="243" fillId="50" borderId="0" xfId="1385" applyFont="1" applyFill="1" applyAlignment="1" applyProtection="1">
      <alignment vertical="top"/>
      <protection locked="0"/>
    </xf>
    <xf numFmtId="3" fontId="217" fillId="0" borderId="0" xfId="907" applyNumberFormat="1" applyFont="1" applyFill="1" applyAlignment="1" applyProtection="1">
      <alignment vertical="center"/>
      <protection locked="0"/>
    </xf>
    <xf numFmtId="0" fontId="217" fillId="0" borderId="0" xfId="0" applyFont="1" applyAlignment="1">
      <alignment horizontal="left" vertical="center"/>
    </xf>
    <xf numFmtId="0" fontId="217" fillId="0" borderId="0" xfId="0" applyFont="1" applyAlignment="1">
      <alignment horizontal="left" vertical="center" indent="1"/>
    </xf>
    <xf numFmtId="1" fontId="218" fillId="0" borderId="0" xfId="0" applyNumberFormat="1" applyFont="1" applyAlignment="1" applyProtection="1">
      <alignment horizontal="center" vertical="center"/>
      <protection locked="0"/>
    </xf>
    <xf numFmtId="0" fontId="218" fillId="60" borderId="56" xfId="1090" applyFont="1" applyFill="1" applyBorder="1" applyAlignment="1" applyProtection="1">
      <alignment horizontal="right" vertical="top"/>
      <protection locked="0"/>
    </xf>
    <xf numFmtId="0" fontId="218" fillId="61" borderId="0" xfId="0" applyFont="1" applyFill="1" applyAlignment="1">
      <alignment vertical="center"/>
    </xf>
    <xf numFmtId="1" fontId="218" fillId="60" borderId="56" xfId="1090" applyNumberFormat="1" applyFont="1" applyFill="1" applyBorder="1" applyAlignment="1">
      <alignment horizontal="right" vertical="top"/>
    </xf>
    <xf numFmtId="0" fontId="221" fillId="0" borderId="8" xfId="0" applyFont="1" applyBorder="1" applyAlignment="1">
      <alignment vertical="center"/>
    </xf>
    <xf numFmtId="49" fontId="217" fillId="0" borderId="11" xfId="0" applyNumberFormat="1" applyFont="1" applyBorder="1" applyAlignment="1">
      <alignment horizontal="left" vertical="center" indent="1"/>
    </xf>
    <xf numFmtId="0" fontId="227" fillId="0" borderId="6" xfId="0" applyFont="1" applyBorder="1" applyAlignment="1">
      <alignment horizontal="left" vertical="center" indent="1"/>
    </xf>
    <xf numFmtId="0" fontId="217" fillId="0" borderId="0" xfId="0" applyFont="1" applyAlignment="1">
      <alignment vertical="center"/>
    </xf>
    <xf numFmtId="0" fontId="227" fillId="0" borderId="0" xfId="0" applyFont="1" applyAlignment="1">
      <alignment horizontal="left" vertical="center" indent="1"/>
    </xf>
    <xf numFmtId="0" fontId="217" fillId="0" borderId="0" xfId="0" applyFont="1" applyAlignment="1">
      <alignment horizontal="left" vertical="center" indent="2"/>
    </xf>
    <xf numFmtId="49" fontId="221" fillId="0" borderId="0" xfId="0" applyNumberFormat="1" applyFont="1" applyAlignment="1">
      <alignment vertical="center"/>
    </xf>
    <xf numFmtId="0" fontId="227" fillId="0" borderId="0" xfId="0" applyFont="1" applyAlignment="1">
      <alignment vertical="center"/>
    </xf>
    <xf numFmtId="0" fontId="217" fillId="0" borderId="11" xfId="0" applyFont="1" applyBorder="1" applyAlignment="1">
      <alignment horizontal="left" vertical="center" indent="2"/>
    </xf>
    <xf numFmtId="0" fontId="217" fillId="0" borderId="11" xfId="0" applyFont="1" applyBorder="1" applyAlignment="1">
      <alignment horizontal="left" vertical="center" indent="1"/>
    </xf>
    <xf numFmtId="0" fontId="221" fillId="0" borderId="0" xfId="0" applyFont="1" applyAlignment="1">
      <alignment vertical="center"/>
    </xf>
    <xf numFmtId="0" fontId="217" fillId="0" borderId="6" xfId="0" applyFont="1" applyBorder="1" applyAlignment="1">
      <alignment horizontal="left" vertical="center" indent="1"/>
    </xf>
    <xf numFmtId="10" fontId="217" fillId="0" borderId="0" xfId="0" applyNumberFormat="1" applyFont="1" applyAlignment="1" applyProtection="1">
      <alignment horizontal="right" vertical="center"/>
      <protection locked="0"/>
    </xf>
    <xf numFmtId="0" fontId="217" fillId="50" borderId="0" xfId="0" applyFont="1" applyFill="1" applyAlignment="1" applyProtection="1">
      <alignment vertical="center"/>
      <protection locked="0"/>
    </xf>
    <xf numFmtId="10" fontId="217" fillId="0" borderId="56" xfId="0" applyNumberFormat="1" applyFont="1" applyBorder="1" applyAlignment="1" applyProtection="1">
      <alignment horizontal="right" vertical="center"/>
      <protection locked="0"/>
    </xf>
    <xf numFmtId="3" fontId="221" fillId="50" borderId="0" xfId="0" applyNumberFormat="1" applyFont="1" applyFill="1" applyAlignment="1" applyProtection="1">
      <alignment vertical="center"/>
      <protection locked="0"/>
    </xf>
    <xf numFmtId="0" fontId="221" fillId="0" borderId="0" xfId="0" applyFont="1" applyAlignment="1" applyProtection="1">
      <alignment horizontal="left" vertical="center"/>
      <protection locked="0"/>
    </xf>
    <xf numFmtId="3" fontId="217" fillId="50" borderId="0" xfId="0" applyNumberFormat="1" applyFont="1" applyFill="1" applyAlignment="1" applyProtection="1">
      <alignment vertical="center"/>
      <protection locked="0"/>
    </xf>
    <xf numFmtId="3" fontId="229" fillId="50" borderId="0" xfId="0" applyNumberFormat="1" applyFont="1" applyFill="1" applyAlignment="1" applyProtection="1">
      <alignment vertical="center"/>
      <protection locked="0"/>
    </xf>
    <xf numFmtId="3" fontId="223" fillId="50" borderId="0" xfId="0" applyNumberFormat="1" applyFont="1" applyFill="1" applyAlignment="1" applyProtection="1">
      <alignment vertical="center"/>
      <protection locked="0"/>
    </xf>
    <xf numFmtId="0" fontId="221" fillId="0" borderId="44" xfId="0" applyFont="1" applyBorder="1" applyAlignment="1" applyProtection="1">
      <alignment horizontal="left" vertical="center"/>
      <protection locked="0"/>
    </xf>
    <xf numFmtId="0" fontId="227" fillId="0" borderId="0" xfId="0" applyFont="1" applyAlignment="1" applyProtection="1">
      <alignment horizontal="right" vertical="center"/>
      <protection locked="0"/>
    </xf>
    <xf numFmtId="49" fontId="224" fillId="61" borderId="0" xfId="0" applyNumberFormat="1" applyFont="1" applyFill="1" applyAlignment="1">
      <alignment horizontal="right" vertical="center"/>
    </xf>
    <xf numFmtId="49" fontId="218" fillId="60" borderId="56" xfId="1090" applyNumberFormat="1" applyFont="1" applyFill="1" applyBorder="1" applyAlignment="1">
      <alignment horizontal="right" vertical="top"/>
    </xf>
    <xf numFmtId="0" fontId="221" fillId="0" borderId="11" xfId="0" applyFont="1" applyBorder="1" applyAlignment="1">
      <alignment vertical="center"/>
    </xf>
    <xf numFmtId="0" fontId="241" fillId="0" borderId="11" xfId="0" applyFont="1" applyBorder="1" applyAlignment="1">
      <alignment vertical="center"/>
    </xf>
    <xf numFmtId="0" fontId="241" fillId="0" borderId="0" xfId="0" applyFont="1" applyAlignment="1">
      <alignment vertical="center"/>
    </xf>
    <xf numFmtId="0" fontId="242" fillId="0" borderId="0" xfId="0" applyFont="1" applyAlignment="1">
      <alignment vertical="center"/>
    </xf>
    <xf numFmtId="49" fontId="239" fillId="0" borderId="0" xfId="0" applyNumberFormat="1" applyFont="1" applyAlignment="1">
      <alignment vertical="center"/>
    </xf>
    <xf numFmtId="0" fontId="221" fillId="0" borderId="44" xfId="0" applyFont="1" applyBorder="1" applyAlignment="1">
      <alignment vertical="center"/>
    </xf>
    <xf numFmtId="3" fontId="221" fillId="0" borderId="44" xfId="0" applyNumberFormat="1" applyFont="1" applyBorder="1" applyAlignment="1">
      <alignment vertical="center"/>
    </xf>
    <xf numFmtId="49" fontId="217" fillId="0" borderId="0" xfId="0" applyNumberFormat="1" applyFont="1" applyAlignment="1" applyProtection="1">
      <alignment horizontal="center" vertical="center" wrapText="1"/>
      <protection locked="0"/>
    </xf>
    <xf numFmtId="3" fontId="217" fillId="0" borderId="0" xfId="0" applyNumberFormat="1" applyFont="1" applyAlignment="1" applyProtection="1">
      <alignment horizontal="right" vertical="center" wrapText="1"/>
      <protection locked="0"/>
    </xf>
    <xf numFmtId="0" fontId="217" fillId="0" borderId="0" xfId="0" applyFont="1" applyAlignment="1" applyProtection="1">
      <alignment vertical="center" wrapText="1"/>
      <protection locked="0"/>
    </xf>
    <xf numFmtId="49" fontId="224" fillId="61" borderId="0" xfId="1090" applyNumberFormat="1" applyFont="1" applyFill="1" applyAlignment="1" applyProtection="1">
      <alignment horizontal="left" vertical="top"/>
      <protection locked="0"/>
    </xf>
    <xf numFmtId="49" fontId="224" fillId="61" borderId="52" xfId="1090" applyNumberFormat="1" applyFont="1" applyFill="1" applyBorder="1" applyAlignment="1" applyProtection="1">
      <alignment horizontal="left" vertical="top"/>
      <protection locked="0"/>
    </xf>
    <xf numFmtId="49" fontId="217" fillId="0" borderId="0" xfId="0" applyNumberFormat="1" applyFont="1" applyAlignment="1" applyProtection="1">
      <alignment horizontal="right" vertical="center" wrapText="1"/>
      <protection locked="0"/>
    </xf>
    <xf numFmtId="3" fontId="234" fillId="0" borderId="0" xfId="0" applyNumberFormat="1" applyFont="1" applyAlignment="1" applyProtection="1">
      <alignment horizontal="right" vertical="center" wrapText="1"/>
      <protection locked="0"/>
    </xf>
    <xf numFmtId="0" fontId="221" fillId="0" borderId="0" xfId="0" applyFont="1" applyAlignment="1" applyProtection="1">
      <alignment vertical="center" wrapText="1"/>
      <protection locked="0"/>
    </xf>
    <xf numFmtId="0" fontId="223" fillId="0" borderId="0" xfId="0" applyFont="1" applyAlignment="1" applyProtection="1">
      <alignment vertical="center" wrapText="1"/>
      <protection locked="0"/>
    </xf>
    <xf numFmtId="0" fontId="218" fillId="0" borderId="0" xfId="0" applyFont="1" applyAlignment="1" applyProtection="1">
      <alignment vertical="center" wrapText="1"/>
      <protection locked="0"/>
    </xf>
    <xf numFmtId="0" fontId="217" fillId="0" borderId="0" xfId="0" quotePrefix="1" applyFont="1" applyAlignment="1" applyProtection="1">
      <alignment vertical="center" wrapText="1"/>
      <protection locked="0"/>
    </xf>
    <xf numFmtId="3" fontId="229" fillId="0" borderId="0" xfId="0" applyNumberFormat="1" applyFont="1" applyAlignment="1" applyProtection="1">
      <alignment horizontal="right" vertical="center" wrapText="1"/>
      <protection locked="0"/>
    </xf>
    <xf numFmtId="0" fontId="221" fillId="0" borderId="8" xfId="0" quotePrefix="1" applyFont="1" applyBorder="1" applyAlignment="1" applyProtection="1">
      <alignment vertical="center" wrapText="1"/>
      <protection locked="0"/>
    </xf>
    <xf numFmtId="0" fontId="221" fillId="0" borderId="0" xfId="0" quotePrefix="1" applyFont="1" applyAlignment="1" applyProtection="1">
      <alignment vertical="center" wrapText="1"/>
      <protection locked="0"/>
    </xf>
    <xf numFmtId="3" fontId="221" fillId="0" borderId="0" xfId="0" applyNumberFormat="1" applyFont="1" applyAlignment="1" applyProtection="1">
      <alignment horizontal="right" vertical="center" wrapText="1"/>
      <protection locked="0"/>
    </xf>
    <xf numFmtId="0" fontId="235" fillId="0" borderId="0" xfId="0" quotePrefix="1" applyFont="1" applyAlignment="1" applyProtection="1">
      <alignment vertical="center" wrapText="1"/>
      <protection locked="0"/>
    </xf>
    <xf numFmtId="0" fontId="221" fillId="50" borderId="44" xfId="0" quotePrefix="1" applyFont="1" applyFill="1" applyBorder="1" applyAlignment="1" applyProtection="1">
      <alignment vertical="center" wrapText="1"/>
      <protection locked="0"/>
    </xf>
    <xf numFmtId="49" fontId="218" fillId="61" borderId="0" xfId="1090" applyNumberFormat="1" applyFont="1" applyFill="1" applyAlignment="1">
      <alignment horizontal="left" vertical="top"/>
    </xf>
    <xf numFmtId="49" fontId="218" fillId="61" borderId="52" xfId="1090" applyNumberFormat="1" applyFont="1" applyFill="1" applyBorder="1" applyAlignment="1">
      <alignment horizontal="right" vertical="top"/>
    </xf>
    <xf numFmtId="3" fontId="223" fillId="0" borderId="0" xfId="0" applyNumberFormat="1" applyFont="1" applyAlignment="1">
      <alignment horizontal="right" vertical="center" wrapText="1"/>
    </xf>
    <xf numFmtId="3" fontId="229" fillId="0" borderId="0" xfId="0" applyNumberFormat="1" applyFont="1" applyAlignment="1">
      <alignment horizontal="right" vertical="center" wrapText="1"/>
    </xf>
    <xf numFmtId="3" fontId="221" fillId="0" borderId="8" xfId="0" applyNumberFormat="1" applyFont="1" applyBorder="1" applyAlignment="1">
      <alignment horizontal="right" vertical="center" wrapText="1"/>
    </xf>
    <xf numFmtId="0" fontId="221" fillId="0" borderId="0" xfId="0" applyFont="1" applyAlignment="1">
      <alignment vertical="center" wrapText="1"/>
    </xf>
    <xf numFmtId="0" fontId="227" fillId="0" borderId="0" xfId="0" quotePrefix="1" applyFont="1" applyAlignment="1">
      <alignment vertical="center" wrapText="1"/>
    </xf>
    <xf numFmtId="0" fontId="217" fillId="0" borderId="0" xfId="0" applyFont="1" applyAlignment="1">
      <alignment horizontal="left" vertical="center" wrapText="1" indent="1"/>
    </xf>
    <xf numFmtId="0" fontId="227" fillId="0" borderId="0" xfId="0" applyFont="1" applyAlignment="1">
      <alignment vertical="center" wrapText="1"/>
    </xf>
    <xf numFmtId="0" fontId="221" fillId="0" borderId="8" xfId="0" quotePrefix="1" applyFont="1" applyBorder="1" applyAlignment="1">
      <alignment vertical="center" wrapText="1"/>
    </xf>
    <xf numFmtId="0" fontId="217" fillId="0" borderId="0" xfId="0" quotePrefix="1" applyFont="1" applyAlignment="1">
      <alignment vertical="center" wrapText="1"/>
    </xf>
    <xf numFmtId="0" fontId="221" fillId="0" borderId="0" xfId="0" quotePrefix="1" applyFont="1" applyAlignment="1">
      <alignment vertical="center" wrapText="1"/>
    </xf>
    <xf numFmtId="0" fontId="227" fillId="0" borderId="0" xfId="0" quotePrefix="1" applyFont="1" applyAlignment="1">
      <alignment horizontal="left" vertical="center" wrapText="1"/>
    </xf>
    <xf numFmtId="0" fontId="217" fillId="0" borderId="0" xfId="0" quotePrefix="1" applyFont="1" applyAlignment="1">
      <alignment horizontal="left" vertical="center" wrapText="1" indent="1"/>
    </xf>
    <xf numFmtId="0" fontId="235" fillId="0" borderId="0" xfId="0" quotePrefix="1" applyFont="1" applyAlignment="1">
      <alignment vertical="center" wrapText="1"/>
    </xf>
    <xf numFmtId="0" fontId="221" fillId="50" borderId="44" xfId="0" quotePrefix="1" applyFont="1" applyFill="1" applyBorder="1" applyAlignment="1">
      <alignment vertical="center" wrapText="1"/>
    </xf>
    <xf numFmtId="3" fontId="221" fillId="50" borderId="44" xfId="0" applyNumberFormat="1" applyFont="1" applyFill="1" applyBorder="1" applyAlignment="1">
      <alignment horizontal="right" vertical="center" wrapText="1"/>
    </xf>
    <xf numFmtId="0" fontId="281" fillId="0" borderId="0" xfId="1090" applyFont="1" applyProtection="1">
      <protection locked="0"/>
    </xf>
    <xf numFmtId="0" fontId="218" fillId="61" borderId="0" xfId="1090" applyFont="1" applyFill="1" applyAlignment="1" applyProtection="1">
      <alignment vertical="top"/>
      <protection locked="0"/>
    </xf>
    <xf numFmtId="37" fontId="217" fillId="0" borderId="0" xfId="1090" applyNumberFormat="1" applyFont="1" applyAlignment="1" applyProtection="1">
      <alignment vertical="top"/>
      <protection locked="0"/>
    </xf>
    <xf numFmtId="0" fontId="223" fillId="0" borderId="8" xfId="1090" applyFont="1" applyBorder="1" applyProtection="1">
      <protection locked="0"/>
    </xf>
    <xf numFmtId="0" fontId="223" fillId="0" borderId="0" xfId="1090" applyFont="1" applyProtection="1">
      <protection locked="0"/>
    </xf>
    <xf numFmtId="3" fontId="223" fillId="0" borderId="0" xfId="1090" applyNumberFormat="1" applyFont="1" applyProtection="1">
      <protection locked="0"/>
    </xf>
    <xf numFmtId="0" fontId="241" fillId="50" borderId="0" xfId="0" applyFont="1" applyFill="1" applyAlignment="1" applyProtection="1">
      <alignment vertical="center"/>
      <protection locked="0"/>
    </xf>
    <xf numFmtId="0" fontId="241" fillId="50" borderId="0" xfId="1090" applyFont="1" applyFill="1" applyProtection="1">
      <protection locked="0"/>
    </xf>
    <xf numFmtId="3" fontId="241" fillId="50" borderId="0" xfId="1090" applyNumberFormat="1" applyFont="1" applyFill="1" applyProtection="1">
      <protection locked="0"/>
    </xf>
    <xf numFmtId="3" fontId="241" fillId="83" borderId="0" xfId="1090" applyNumberFormat="1" applyFont="1" applyFill="1" applyProtection="1">
      <protection locked="0"/>
    </xf>
    <xf numFmtId="0" fontId="217" fillId="65" borderId="0" xfId="1090" applyFont="1" applyFill="1" applyProtection="1">
      <protection locked="0"/>
    </xf>
    <xf numFmtId="0" fontId="217" fillId="65" borderId="0" xfId="1090" applyFont="1" applyFill="1" applyAlignment="1" applyProtection="1">
      <alignment horizontal="left" vertical="top" indent="2"/>
      <protection locked="0"/>
    </xf>
    <xf numFmtId="0" fontId="217" fillId="65" borderId="0" xfId="1090" applyFont="1" applyFill="1" applyAlignment="1" applyProtection="1">
      <alignment vertical="top"/>
      <protection locked="0"/>
    </xf>
    <xf numFmtId="175" fontId="229" fillId="65" borderId="0" xfId="1033" applyNumberFormat="1" applyFont="1" applyFill="1" applyAlignment="1" applyProtection="1">
      <alignment horizontal="right" vertical="top"/>
      <protection locked="0"/>
    </xf>
    <xf numFmtId="0" fontId="217" fillId="65" borderId="6" xfId="1090" applyFont="1" applyFill="1" applyBorder="1" applyAlignment="1" applyProtection="1">
      <alignment vertical="top"/>
      <protection locked="0"/>
    </xf>
    <xf numFmtId="0" fontId="217" fillId="50" borderId="0" xfId="1090" applyFont="1" applyFill="1" applyAlignment="1" applyProtection="1">
      <alignment vertical="top"/>
      <protection locked="0"/>
    </xf>
    <xf numFmtId="170" fontId="229" fillId="65" borderId="0" xfId="731" applyNumberFormat="1" applyFont="1" applyFill="1" applyAlignment="1" applyProtection="1">
      <alignment horizontal="right" vertical="top"/>
      <protection locked="0"/>
    </xf>
    <xf numFmtId="37" fontId="229" fillId="65" borderId="11" xfId="731" applyNumberFormat="1" applyFont="1" applyFill="1" applyBorder="1" applyAlignment="1" applyProtection="1">
      <alignment horizontal="right" vertical="top"/>
      <protection locked="0"/>
    </xf>
    <xf numFmtId="37" fontId="217" fillId="65" borderId="0" xfId="731" applyNumberFormat="1" applyFont="1" applyFill="1" applyAlignment="1" applyProtection="1">
      <alignment horizontal="right" vertical="top"/>
      <protection locked="0"/>
    </xf>
    <xf numFmtId="0" fontId="227" fillId="65" borderId="0" xfId="1090" applyFont="1" applyFill="1" applyAlignment="1" applyProtection="1">
      <alignment vertical="top"/>
      <protection locked="0"/>
    </xf>
    <xf numFmtId="175" fontId="249" fillId="65" borderId="0" xfId="1033" applyNumberFormat="1" applyFont="1" applyFill="1" applyAlignment="1" applyProtection="1">
      <alignment horizontal="right" vertical="top"/>
      <protection locked="0"/>
    </xf>
    <xf numFmtId="175" fontId="227" fillId="65" borderId="0" xfId="1033" applyNumberFormat="1" applyFont="1" applyFill="1" applyAlignment="1" applyProtection="1">
      <alignment horizontal="right" vertical="top"/>
      <protection locked="0"/>
    </xf>
    <xf numFmtId="0" fontId="227" fillId="50" borderId="0" xfId="1090" applyFont="1" applyFill="1" applyAlignment="1" applyProtection="1">
      <alignment horizontal="left" vertical="top" indent="2"/>
      <protection locked="0"/>
    </xf>
    <xf numFmtId="0" fontId="227" fillId="50" borderId="0" xfId="1090" applyFont="1" applyFill="1" applyAlignment="1" applyProtection="1">
      <alignment vertical="top"/>
      <protection locked="0"/>
    </xf>
    <xf numFmtId="175" fontId="249" fillId="50" borderId="0" xfId="1033" applyNumberFormat="1" applyFont="1" applyFill="1" applyAlignment="1" applyProtection="1">
      <alignment horizontal="right" vertical="top"/>
      <protection locked="0"/>
    </xf>
    <xf numFmtId="0" fontId="242" fillId="0" borderId="0" xfId="1090" applyFont="1" applyProtection="1">
      <protection locked="0"/>
    </xf>
    <xf numFmtId="0" fontId="227" fillId="65" borderId="6" xfId="1090" applyFont="1" applyFill="1" applyBorder="1" applyAlignment="1" applyProtection="1">
      <alignment vertical="top"/>
      <protection locked="0"/>
    </xf>
    <xf numFmtId="37" fontId="233" fillId="65" borderId="6" xfId="731" applyNumberFormat="1" applyFont="1" applyFill="1" applyBorder="1" applyAlignment="1" applyProtection="1">
      <alignment horizontal="right" vertical="top"/>
      <protection locked="0"/>
    </xf>
    <xf numFmtId="0" fontId="227" fillId="65" borderId="0" xfId="1090" applyFont="1" applyFill="1" applyAlignment="1" applyProtection="1">
      <alignment horizontal="left" vertical="top" indent="2"/>
      <protection locked="0"/>
    </xf>
    <xf numFmtId="0" fontId="227" fillId="50" borderId="0" xfId="1090" applyFont="1" applyFill="1" applyAlignment="1" applyProtection="1">
      <alignment horizontal="left" vertical="top" indent="3"/>
      <protection locked="0"/>
    </xf>
    <xf numFmtId="0" fontId="221" fillId="50" borderId="0" xfId="1090" applyFont="1" applyFill="1" applyAlignment="1" applyProtection="1">
      <alignment horizontal="left" vertical="top" indent="2"/>
      <protection locked="0"/>
    </xf>
    <xf numFmtId="2" fontId="229" fillId="50" borderId="0" xfId="1033" applyNumberFormat="1" applyFont="1" applyFill="1" applyAlignment="1" applyProtection="1">
      <alignment horizontal="right" vertical="top"/>
      <protection locked="0"/>
    </xf>
    <xf numFmtId="0" fontId="281" fillId="50" borderId="0" xfId="1090" applyFont="1" applyFill="1" applyAlignment="1" applyProtection="1">
      <alignment horizontal="left" vertical="top" indent="2"/>
      <protection locked="0"/>
    </xf>
    <xf numFmtId="0" fontId="217" fillId="50" borderId="0" xfId="1090" applyFont="1" applyFill="1" applyAlignment="1" applyProtection="1">
      <alignment horizontal="left" vertical="top" indent="2"/>
      <protection locked="0"/>
    </xf>
    <xf numFmtId="0" fontId="217" fillId="0" borderId="0" xfId="1090" applyFont="1" applyAlignment="1" applyProtection="1">
      <alignment vertical="top"/>
      <protection locked="0"/>
    </xf>
    <xf numFmtId="175" fontId="229" fillId="50" borderId="0" xfId="1033" applyNumberFormat="1" applyFont="1" applyFill="1" applyAlignment="1" applyProtection="1">
      <alignment horizontal="right" vertical="top"/>
      <protection locked="0"/>
    </xf>
    <xf numFmtId="175" fontId="221" fillId="50" borderId="0" xfId="1033" applyNumberFormat="1" applyFont="1" applyFill="1" applyAlignment="1" applyProtection="1">
      <alignment vertical="top"/>
      <protection locked="0"/>
    </xf>
    <xf numFmtId="0" fontId="217" fillId="65" borderId="11" xfId="1090" applyFont="1" applyFill="1" applyBorder="1" applyAlignment="1" applyProtection="1">
      <alignment horizontal="left" indent="2"/>
      <protection locked="0"/>
    </xf>
    <xf numFmtId="0" fontId="217" fillId="65" borderId="11" xfId="1090" applyFont="1" applyFill="1" applyBorder="1" applyProtection="1">
      <protection locked="0"/>
    </xf>
    <xf numFmtId="37" fontId="226" fillId="65" borderId="11" xfId="1090" applyNumberFormat="1" applyFont="1" applyFill="1" applyBorder="1" applyAlignment="1" applyProtection="1">
      <alignment vertical="top"/>
      <protection locked="0"/>
    </xf>
    <xf numFmtId="0" fontId="217" fillId="0" borderId="0" xfId="1090" applyFont="1" applyAlignment="1" applyProtection="1">
      <alignment vertical="center" wrapText="1"/>
      <protection locked="0"/>
    </xf>
    <xf numFmtId="0" fontId="217" fillId="0" borderId="0" xfId="1090" applyFont="1" applyAlignment="1" applyProtection="1">
      <alignment vertical="center"/>
      <protection locked="0"/>
    </xf>
    <xf numFmtId="0" fontId="283" fillId="0" borderId="0" xfId="1090" applyFont="1" applyProtection="1">
      <protection locked="0"/>
    </xf>
    <xf numFmtId="0" fontId="227" fillId="65" borderId="0" xfId="1090" applyFont="1" applyFill="1" applyAlignment="1" applyProtection="1">
      <alignment horizontal="left" indent="3"/>
      <protection locked="0"/>
    </xf>
    <xf numFmtId="0" fontId="227" fillId="0" borderId="0" xfId="1090" applyFont="1" applyProtection="1">
      <protection locked="0"/>
    </xf>
    <xf numFmtId="0" fontId="227" fillId="65" borderId="0" xfId="1090" applyFont="1" applyFill="1" applyProtection="1">
      <protection locked="0"/>
    </xf>
    <xf numFmtId="0" fontId="217" fillId="65" borderId="0" xfId="1090" applyFont="1" applyFill="1" applyAlignment="1" applyProtection="1">
      <alignment horizontal="left" indent="3"/>
      <protection locked="0"/>
    </xf>
    <xf numFmtId="37" fontId="226" fillId="65" borderId="0" xfId="1090" applyNumberFormat="1" applyFont="1" applyFill="1" applyAlignment="1" applyProtection="1">
      <alignment vertical="top"/>
      <protection locked="0"/>
    </xf>
    <xf numFmtId="0" fontId="217" fillId="65" borderId="6" xfId="1090" applyFont="1" applyFill="1" applyBorder="1" applyAlignment="1" applyProtection="1">
      <alignment horizontal="left" indent="2"/>
      <protection locked="0"/>
    </xf>
    <xf numFmtId="0" fontId="217" fillId="65" borderId="6" xfId="1090" applyFont="1" applyFill="1" applyBorder="1" applyProtection="1">
      <protection locked="0"/>
    </xf>
    <xf numFmtId="0" fontId="217" fillId="0" borderId="0" xfId="1090" applyFont="1" applyAlignment="1" applyProtection="1">
      <alignment horizontal="left" indent="2"/>
      <protection locked="0"/>
    </xf>
    <xf numFmtId="37" fontId="225" fillId="0" borderId="0" xfId="1090" applyNumberFormat="1" applyFont="1" applyAlignment="1" applyProtection="1">
      <alignment vertical="top"/>
      <protection locked="0"/>
    </xf>
    <xf numFmtId="0" fontId="284" fillId="0" borderId="0" xfId="1090" applyFont="1" applyAlignment="1" applyProtection="1">
      <alignment vertical="center"/>
      <protection locked="0"/>
    </xf>
    <xf numFmtId="0" fontId="221" fillId="0" borderId="0" xfId="1090" applyFont="1" applyAlignment="1" applyProtection="1">
      <alignment vertical="center"/>
      <protection locked="0"/>
    </xf>
    <xf numFmtId="0" fontId="217" fillId="0" borderId="0" xfId="1090" applyFont="1" applyAlignment="1" applyProtection="1">
      <alignment horizontal="left" indent="1"/>
      <protection locked="0"/>
    </xf>
    <xf numFmtId="175" fontId="229" fillId="65" borderId="0" xfId="1033" applyNumberFormat="1" applyFont="1" applyFill="1" applyBorder="1" applyAlignment="1" applyProtection="1">
      <alignment horizontal="right" vertical="top"/>
      <protection locked="0"/>
    </xf>
    <xf numFmtId="0" fontId="221" fillId="0" borderId="0" xfId="1090" applyFont="1" applyAlignment="1" applyProtection="1">
      <alignment horizontal="center" vertical="center" textRotation="90"/>
      <protection locked="0"/>
    </xf>
    <xf numFmtId="37" fontId="241" fillId="0" borderId="0" xfId="1090" applyNumberFormat="1" applyFont="1" applyAlignment="1" applyProtection="1">
      <alignment vertical="top"/>
      <protection locked="0"/>
    </xf>
    <xf numFmtId="37" fontId="241" fillId="65" borderId="0" xfId="1090" applyNumberFormat="1" applyFont="1" applyFill="1" applyAlignment="1" applyProtection="1">
      <alignment vertical="top"/>
      <protection locked="0"/>
    </xf>
    <xf numFmtId="0" fontId="293" fillId="0" borderId="0" xfId="0" applyFont="1" applyProtection="1">
      <protection locked="0"/>
    </xf>
    <xf numFmtId="0" fontId="218" fillId="61" borderId="0" xfId="1090" applyFont="1" applyFill="1" applyAlignment="1">
      <alignment vertical="top"/>
    </xf>
    <xf numFmtId="49" fontId="224" fillId="61" borderId="0" xfId="1090" applyNumberFormat="1" applyFont="1" applyFill="1" applyAlignment="1">
      <alignment horizontal="right" vertical="top"/>
    </xf>
    <xf numFmtId="170" fontId="223" fillId="0" borderId="8" xfId="1090" applyNumberFormat="1" applyFont="1" applyBorder="1"/>
    <xf numFmtId="170" fontId="223" fillId="0" borderId="0" xfId="1090" applyNumberFormat="1" applyFont="1"/>
    <xf numFmtId="0" fontId="223" fillId="0" borderId="42" xfId="1090" applyFont="1" applyBorder="1"/>
    <xf numFmtId="0" fontId="221" fillId="0" borderId="0" xfId="0" applyFont="1" applyAlignment="1">
      <alignment horizontal="left" vertical="center" indent="1"/>
    </xf>
    <xf numFmtId="0" fontId="220" fillId="83" borderId="0" xfId="1090" applyFont="1" applyFill="1"/>
    <xf numFmtId="0" fontId="217" fillId="65" borderId="0" xfId="1090" applyFont="1" applyFill="1" applyAlignment="1">
      <alignment horizontal="left" vertical="top" indent="2"/>
    </xf>
    <xf numFmtId="0" fontId="217" fillId="65" borderId="6" xfId="1090" applyFont="1" applyFill="1" applyBorder="1" applyAlignment="1">
      <alignment horizontal="left" vertical="top" indent="2"/>
    </xf>
    <xf numFmtId="170" fontId="229" fillId="65" borderId="0" xfId="731" applyNumberFormat="1" applyFont="1" applyFill="1" applyAlignment="1">
      <alignment horizontal="right" vertical="top"/>
    </xf>
    <xf numFmtId="0" fontId="217" fillId="65" borderId="0" xfId="1090" applyFont="1" applyFill="1" applyAlignment="1">
      <alignment horizontal="left" vertical="top" indent="3"/>
    </xf>
    <xf numFmtId="0" fontId="221" fillId="65" borderId="6" xfId="1090" applyFont="1" applyFill="1" applyBorder="1" applyAlignment="1">
      <alignment horizontal="left" vertical="top" indent="2"/>
    </xf>
    <xf numFmtId="37" fontId="217" fillId="65" borderId="6" xfId="731" applyNumberFormat="1" applyFont="1" applyFill="1" applyBorder="1" applyAlignment="1">
      <alignment horizontal="right" vertical="top"/>
    </xf>
    <xf numFmtId="0" fontId="227" fillId="65" borderId="0" xfId="1090" applyFont="1" applyFill="1" applyAlignment="1">
      <alignment horizontal="left" vertical="top" indent="3"/>
    </xf>
    <xf numFmtId="0" fontId="227" fillId="65" borderId="0" xfId="1090" applyFont="1" applyFill="1" applyAlignment="1">
      <alignment vertical="top"/>
    </xf>
    <xf numFmtId="170" fontId="229" fillId="65" borderId="51" xfId="731" applyNumberFormat="1" applyFont="1" applyFill="1" applyBorder="1" applyAlignment="1">
      <alignment horizontal="right" vertical="top"/>
    </xf>
    <xf numFmtId="37" fontId="233" fillId="65" borderId="6" xfId="731" applyNumberFormat="1" applyFont="1" applyFill="1" applyBorder="1" applyAlignment="1">
      <alignment horizontal="right" vertical="top"/>
    </xf>
    <xf numFmtId="0" fontId="227" fillId="65" borderId="0" xfId="1090" applyFont="1" applyFill="1" applyAlignment="1">
      <alignment horizontal="left" vertical="top" indent="2"/>
    </xf>
    <xf numFmtId="175" fontId="227" fillId="65" borderId="0" xfId="1033" applyNumberFormat="1" applyFont="1" applyFill="1" applyBorder="1" applyAlignment="1" applyProtection="1">
      <alignment horizontal="right" vertical="top"/>
    </xf>
    <xf numFmtId="37" fontId="217" fillId="65" borderId="11" xfId="1090" applyNumberFormat="1" applyFont="1" applyFill="1" applyBorder="1" applyAlignment="1">
      <alignment vertical="top"/>
    </xf>
    <xf numFmtId="0" fontId="227" fillId="65" borderId="0" xfId="1090" applyFont="1" applyFill="1" applyAlignment="1">
      <alignment horizontal="left" indent="3"/>
    </xf>
    <xf numFmtId="37" fontId="225" fillId="65" borderId="6" xfId="1090" applyNumberFormat="1" applyFont="1" applyFill="1" applyBorder="1" applyAlignment="1">
      <alignment vertical="top"/>
    </xf>
    <xf numFmtId="37" fontId="227" fillId="65" borderId="0" xfId="1090" applyNumberFormat="1" applyFont="1" applyFill="1" applyAlignment="1">
      <alignment vertical="top"/>
    </xf>
    <xf numFmtId="37" fontId="217" fillId="65" borderId="0" xfId="1090" applyNumberFormat="1" applyFont="1" applyFill="1"/>
    <xf numFmtId="0" fontId="227" fillId="65" borderId="0" xfId="1090" applyFont="1" applyFill="1" applyAlignment="1">
      <alignment horizontal="left" indent="1"/>
    </xf>
    <xf numFmtId="0" fontId="217" fillId="65" borderId="0" xfId="1090" applyFont="1" applyFill="1" applyAlignment="1">
      <alignment horizontal="left" indent="1"/>
    </xf>
    <xf numFmtId="0" fontId="217" fillId="0" borderId="0" xfId="1090" applyFont="1"/>
    <xf numFmtId="0" fontId="221" fillId="65" borderId="0" xfId="1090" applyFont="1" applyFill="1"/>
    <xf numFmtId="0" fontId="217" fillId="65" borderId="0" xfId="1090" applyFont="1" applyFill="1"/>
    <xf numFmtId="0" fontId="217" fillId="50" borderId="0" xfId="0" applyFont="1" applyFill="1" applyAlignment="1" applyProtection="1">
      <alignment vertical="center" wrapText="1"/>
      <protection locked="0"/>
    </xf>
    <xf numFmtId="0" fontId="217" fillId="50" borderId="0" xfId="0" applyFont="1" applyFill="1" applyAlignment="1" applyProtection="1">
      <alignment horizontal="left" vertical="center" wrapText="1"/>
      <protection locked="0"/>
    </xf>
    <xf numFmtId="178" fontId="217" fillId="50" borderId="0" xfId="0" applyNumberFormat="1" applyFont="1" applyFill="1" applyAlignment="1" applyProtection="1">
      <alignment horizontal="right" vertical="center" wrapText="1"/>
      <protection locked="0"/>
    </xf>
    <xf numFmtId="0" fontId="218" fillId="61" borderId="0" xfId="0" applyFont="1" applyFill="1" applyAlignment="1" applyProtection="1">
      <alignment vertical="center" wrapText="1"/>
      <protection locked="0"/>
    </xf>
    <xf numFmtId="49" fontId="224" fillId="61" borderId="0" xfId="0" applyNumberFormat="1" applyFont="1" applyFill="1" applyAlignment="1" applyProtection="1">
      <alignment horizontal="left" vertical="center" wrapText="1"/>
      <protection locked="0"/>
    </xf>
    <xf numFmtId="349" fontId="224" fillId="61" borderId="0" xfId="0" applyNumberFormat="1" applyFont="1" applyFill="1" applyAlignment="1" applyProtection="1">
      <alignment horizontal="left" vertical="center" wrapText="1"/>
      <protection locked="0"/>
    </xf>
    <xf numFmtId="221" fontId="229" fillId="50" borderId="0" xfId="1398" applyNumberFormat="1" applyFont="1" applyFill="1" applyAlignment="1" applyProtection="1">
      <alignment horizontal="right" vertical="center" wrapText="1"/>
      <protection locked="0"/>
    </xf>
    <xf numFmtId="221" fontId="217" fillId="50" borderId="0" xfId="1398" applyNumberFormat="1" applyFont="1" applyFill="1" applyAlignment="1" applyProtection="1">
      <alignment vertical="center" wrapText="1"/>
      <protection locked="0"/>
    </xf>
    <xf numFmtId="0" fontId="227" fillId="50" borderId="0" xfId="0" quotePrefix="1" applyFont="1" applyFill="1" applyAlignment="1" applyProtection="1">
      <alignment vertical="center"/>
      <protection locked="0"/>
    </xf>
    <xf numFmtId="0" fontId="221" fillId="50" borderId="0" xfId="0" applyFont="1" applyFill="1" applyAlignment="1" applyProtection="1">
      <alignment vertical="center" wrapText="1"/>
      <protection locked="0"/>
    </xf>
    <xf numFmtId="49" fontId="221" fillId="50" borderId="6" xfId="0" applyNumberFormat="1" applyFont="1" applyFill="1" applyBorder="1" applyAlignment="1" applyProtection="1">
      <alignment horizontal="left" vertical="center" wrapText="1"/>
      <protection locked="0"/>
    </xf>
    <xf numFmtId="221" fontId="221" fillId="50" borderId="6" xfId="1398" applyNumberFormat="1" applyFont="1" applyFill="1" applyBorder="1" applyAlignment="1" applyProtection="1">
      <alignment horizontal="right" vertical="center" wrapText="1"/>
      <protection locked="0"/>
    </xf>
    <xf numFmtId="49" fontId="221" fillId="50" borderId="44" xfId="0" applyNumberFormat="1" applyFont="1" applyFill="1" applyBorder="1" applyAlignment="1" applyProtection="1">
      <alignment vertical="center" wrapText="1"/>
      <protection locked="0"/>
    </xf>
    <xf numFmtId="49" fontId="221" fillId="50" borderId="44" xfId="0" applyNumberFormat="1" applyFont="1" applyFill="1" applyBorder="1" applyAlignment="1" applyProtection="1">
      <alignment horizontal="left" vertical="center" wrapText="1"/>
      <protection locked="0"/>
    </xf>
    <xf numFmtId="221" fontId="221" fillId="50" borderId="44" xfId="1398" applyNumberFormat="1" applyFont="1" applyFill="1" applyBorder="1" applyAlignment="1" applyProtection="1">
      <alignment horizontal="right" vertical="center" wrapText="1"/>
      <protection locked="0"/>
    </xf>
    <xf numFmtId="49" fontId="221" fillId="50" borderId="0" xfId="0" applyNumberFormat="1" applyFont="1" applyFill="1" applyAlignment="1" applyProtection="1">
      <alignment vertical="center" wrapText="1"/>
      <protection locked="0"/>
    </xf>
    <xf numFmtId="49" fontId="221" fillId="50" borderId="0" xfId="0" applyNumberFormat="1" applyFont="1" applyFill="1" applyAlignment="1" applyProtection="1">
      <alignment horizontal="left" vertical="center" wrapText="1"/>
      <protection locked="0"/>
    </xf>
    <xf numFmtId="1" fontId="221" fillId="50" borderId="0" xfId="0" applyNumberFormat="1" applyFont="1" applyFill="1" applyAlignment="1" applyProtection="1">
      <alignment horizontal="right" vertical="center" wrapText="1"/>
      <protection locked="0"/>
    </xf>
    <xf numFmtId="1" fontId="221" fillId="50" borderId="0" xfId="0" applyNumberFormat="1" applyFont="1" applyFill="1" applyAlignment="1" applyProtection="1">
      <alignment vertical="center" wrapText="1"/>
      <protection locked="0"/>
    </xf>
    <xf numFmtId="49" fontId="221" fillId="50" borderId="46" xfId="0" applyNumberFormat="1" applyFont="1" applyFill="1" applyBorder="1" applyAlignment="1" applyProtection="1">
      <alignment vertical="center" wrapText="1"/>
      <protection locked="0"/>
    </xf>
    <xf numFmtId="49" fontId="221" fillId="50" borderId="46" xfId="0" applyNumberFormat="1" applyFont="1" applyFill="1" applyBorder="1" applyAlignment="1" applyProtection="1">
      <alignment horizontal="left" vertical="center" wrapText="1"/>
      <protection locked="0"/>
    </xf>
    <xf numFmtId="221" fontId="217" fillId="50" borderId="46" xfId="1398" applyNumberFormat="1" applyFont="1" applyFill="1" applyBorder="1" applyAlignment="1" applyProtection="1">
      <alignment vertical="center" wrapText="1"/>
      <protection locked="0"/>
    </xf>
    <xf numFmtId="9" fontId="217" fillId="50" borderId="0" xfId="1033" applyFont="1" applyFill="1" applyAlignment="1" applyProtection="1">
      <alignment vertical="center" wrapText="1"/>
      <protection locked="0"/>
    </xf>
    <xf numFmtId="49" fontId="217" fillId="50" borderId="0" xfId="0" applyNumberFormat="1" applyFont="1" applyFill="1" applyAlignment="1" applyProtection="1">
      <alignment vertical="center" wrapText="1"/>
      <protection locked="0"/>
    </xf>
    <xf numFmtId="1" fontId="217" fillId="50" borderId="0" xfId="0" applyNumberFormat="1" applyFont="1" applyFill="1" applyAlignment="1" applyProtection="1">
      <alignment vertical="center" wrapText="1"/>
      <protection locked="0"/>
    </xf>
    <xf numFmtId="1" fontId="217" fillId="50" borderId="0" xfId="0" applyNumberFormat="1" applyFont="1" applyFill="1" applyAlignment="1" applyProtection="1">
      <alignment horizontal="right" vertical="center" wrapText="1"/>
      <protection locked="0"/>
    </xf>
    <xf numFmtId="178" fontId="217" fillId="50" borderId="0" xfId="0" applyNumberFormat="1" applyFont="1" applyFill="1" applyAlignment="1" applyProtection="1">
      <alignment vertical="center" wrapText="1"/>
      <protection locked="0"/>
    </xf>
    <xf numFmtId="0" fontId="242" fillId="66" borderId="0" xfId="0" applyFont="1" applyFill="1" applyAlignment="1" applyProtection="1">
      <alignment vertical="center" wrapText="1"/>
      <protection locked="0"/>
    </xf>
    <xf numFmtId="0" fontId="217" fillId="66" borderId="0" xfId="0" applyFont="1" applyFill="1" applyAlignment="1" applyProtection="1">
      <alignment vertical="center" wrapText="1"/>
      <protection locked="0"/>
    </xf>
    <xf numFmtId="221" fontId="225" fillId="50" borderId="0" xfId="1398" applyNumberFormat="1" applyFont="1" applyFill="1" applyAlignment="1" applyProtection="1">
      <alignment horizontal="right" vertical="center" wrapText="1"/>
      <protection locked="0"/>
    </xf>
    <xf numFmtId="0" fontId="248" fillId="50" borderId="0" xfId="0" quotePrefix="1" applyFont="1" applyFill="1" applyAlignment="1" applyProtection="1">
      <alignment vertical="center"/>
      <protection locked="0"/>
    </xf>
    <xf numFmtId="0" fontId="248" fillId="50" borderId="0" xfId="0" applyFont="1" applyFill="1" applyAlignment="1" applyProtection="1">
      <alignment vertical="center"/>
      <protection locked="0"/>
    </xf>
    <xf numFmtId="1" fontId="226" fillId="50" borderId="0" xfId="0" applyNumberFormat="1" applyFont="1" applyFill="1" applyAlignment="1" applyProtection="1">
      <alignment horizontal="right" vertical="center" wrapText="1"/>
      <protection locked="0"/>
    </xf>
    <xf numFmtId="0" fontId="248" fillId="50" borderId="0" xfId="0" applyFont="1" applyFill="1" applyAlignment="1">
      <alignment vertical="center" wrapText="1"/>
    </xf>
    <xf numFmtId="0" fontId="217" fillId="50" borderId="0" xfId="0" applyFont="1" applyFill="1" applyAlignment="1">
      <alignment vertical="center" wrapText="1"/>
    </xf>
    <xf numFmtId="0" fontId="233" fillId="50" borderId="0" xfId="0" applyFont="1" applyFill="1" applyAlignment="1">
      <alignment vertical="center" wrapText="1"/>
    </xf>
    <xf numFmtId="49" fontId="217" fillId="50" borderId="0" xfId="0" applyNumberFormat="1" applyFont="1" applyFill="1" applyAlignment="1">
      <alignment vertical="center" wrapText="1"/>
    </xf>
    <xf numFmtId="49" fontId="221" fillId="50" borderId="44" xfId="0" applyNumberFormat="1" applyFont="1" applyFill="1" applyBorder="1" applyAlignment="1">
      <alignment vertical="center" wrapText="1"/>
    </xf>
    <xf numFmtId="49" fontId="221" fillId="50" borderId="44" xfId="0" applyNumberFormat="1" applyFont="1" applyFill="1" applyBorder="1" applyAlignment="1">
      <alignment horizontal="left" vertical="center" wrapText="1"/>
    </xf>
    <xf numFmtId="221" fontId="221" fillId="50" borderId="44" xfId="1398" applyNumberFormat="1" applyFont="1" applyFill="1" applyBorder="1" applyAlignment="1" applyProtection="1">
      <alignment horizontal="right" vertical="center" wrapText="1"/>
    </xf>
    <xf numFmtId="0" fontId="218" fillId="61" borderId="0" xfId="0" applyFont="1" applyFill="1" applyAlignment="1">
      <alignment vertical="center" wrapText="1"/>
    </xf>
    <xf numFmtId="49" fontId="224" fillId="61" borderId="0" xfId="0" applyNumberFormat="1" applyFont="1" applyFill="1" applyAlignment="1">
      <alignment horizontal="left" vertical="center" wrapText="1"/>
    </xf>
    <xf numFmtId="349" fontId="224" fillId="61" borderId="0" xfId="0" applyNumberFormat="1" applyFont="1" applyFill="1" applyAlignment="1">
      <alignment horizontal="left" vertical="center" wrapText="1"/>
    </xf>
    <xf numFmtId="0" fontId="217" fillId="50" borderId="0" xfId="0" applyFont="1" applyFill="1" applyAlignment="1">
      <alignment horizontal="left" vertical="center"/>
    </xf>
    <xf numFmtId="0" fontId="218" fillId="50" borderId="0" xfId="1090" applyFont="1" applyFill="1" applyAlignment="1">
      <alignment horizontal="right" vertical="top"/>
    </xf>
    <xf numFmtId="3" fontId="229" fillId="50" borderId="0" xfId="0" applyNumberFormat="1" applyFont="1" applyFill="1" applyAlignment="1">
      <alignment vertical="center" wrapText="1"/>
    </xf>
    <xf numFmtId="0" fontId="229" fillId="50" borderId="0" xfId="0" applyFont="1" applyFill="1" applyAlignment="1">
      <alignment horizontal="left" vertical="center" wrapText="1"/>
    </xf>
    <xf numFmtId="221" fontId="229" fillId="50" borderId="0" xfId="1398" applyNumberFormat="1" applyFont="1" applyFill="1" applyAlignment="1" applyProtection="1">
      <alignment vertical="center" wrapText="1"/>
    </xf>
    <xf numFmtId="0" fontId="217" fillId="50" borderId="0" xfId="0" applyFont="1" applyFill="1" applyAlignment="1">
      <alignment horizontal="left" vertical="center" wrapText="1"/>
    </xf>
    <xf numFmtId="1" fontId="217" fillId="50" borderId="0" xfId="0" applyNumberFormat="1" applyFont="1" applyFill="1" applyAlignment="1">
      <alignment vertical="center" wrapText="1"/>
    </xf>
    <xf numFmtId="1" fontId="217" fillId="50" borderId="0" xfId="0" applyNumberFormat="1" applyFont="1" applyFill="1" applyAlignment="1">
      <alignment horizontal="right" vertical="center" wrapText="1"/>
    </xf>
    <xf numFmtId="1" fontId="217" fillId="50" borderId="0" xfId="731" applyNumberFormat="1" applyFont="1" applyFill="1" applyAlignment="1">
      <alignment horizontal="right" vertical="center"/>
    </xf>
    <xf numFmtId="178" fontId="217" fillId="50" borderId="0" xfId="0" applyNumberFormat="1" applyFont="1" applyFill="1" applyAlignment="1">
      <alignment horizontal="right" vertical="center" wrapText="1"/>
    </xf>
    <xf numFmtId="0" fontId="217" fillId="50" borderId="6" xfId="0" applyFont="1" applyFill="1" applyBorder="1" applyAlignment="1">
      <alignment horizontal="left" vertical="center"/>
    </xf>
    <xf numFmtId="1" fontId="217" fillId="50" borderId="6" xfId="731" applyNumberFormat="1" applyFont="1" applyFill="1" applyBorder="1" applyAlignment="1">
      <alignment horizontal="right" vertical="center"/>
    </xf>
    <xf numFmtId="0" fontId="227" fillId="50" borderId="0" xfId="1385" applyFont="1" applyFill="1" applyAlignment="1" applyProtection="1">
      <alignment vertical="center"/>
      <protection locked="0"/>
    </xf>
    <xf numFmtId="0" fontId="227" fillId="0" borderId="0" xfId="1385" applyFont="1" applyAlignment="1" applyProtection="1">
      <alignment vertical="center"/>
      <protection locked="0"/>
    </xf>
    <xf numFmtId="0" fontId="227" fillId="50" borderId="0" xfId="1385" applyFont="1" applyFill="1" applyAlignment="1" applyProtection="1">
      <alignment horizontal="right"/>
      <protection locked="0"/>
    </xf>
    <xf numFmtId="0" fontId="227" fillId="50" borderId="0" xfId="1385" applyFont="1" applyFill="1" applyProtection="1">
      <protection locked="0"/>
    </xf>
    <xf numFmtId="0" fontId="294" fillId="66" borderId="0" xfId="1385" applyFont="1" applyFill="1" applyProtection="1">
      <protection locked="0"/>
    </xf>
    <xf numFmtId="49" fontId="245" fillId="50" borderId="0" xfId="1385" applyNumberFormat="1" applyFont="1" applyFill="1" applyProtection="1">
      <protection locked="0"/>
    </xf>
    <xf numFmtId="49" fontId="245" fillId="50" borderId="0" xfId="1385" quotePrefix="1" applyNumberFormat="1" applyFont="1" applyFill="1" applyAlignment="1" applyProtection="1">
      <alignment horizontal="left" indent="1"/>
      <protection locked="0"/>
    </xf>
    <xf numFmtId="0" fontId="227" fillId="50" borderId="0" xfId="1385" applyFont="1" applyFill="1" applyAlignment="1" applyProtection="1">
      <alignment vertical="center" wrapText="1"/>
      <protection locked="0"/>
    </xf>
    <xf numFmtId="4" fontId="227" fillId="50" borderId="0" xfId="1385" applyNumberFormat="1" applyFont="1" applyFill="1" applyAlignment="1" applyProtection="1">
      <alignment horizontal="right" vertical="center" wrapText="1"/>
      <protection locked="0"/>
    </xf>
    <xf numFmtId="0" fontId="245" fillId="50" borderId="0" xfId="1385" quotePrefix="1" applyFont="1" applyFill="1" applyAlignment="1" applyProtection="1">
      <alignment horizontal="left" indent="1"/>
      <protection locked="0"/>
    </xf>
    <xf numFmtId="49" fontId="227" fillId="50" borderId="0" xfId="1385" applyNumberFormat="1" applyFont="1" applyFill="1" applyAlignment="1" applyProtection="1">
      <alignment vertical="center" wrapText="1"/>
      <protection locked="0"/>
    </xf>
    <xf numFmtId="170" fontId="251" fillId="50" borderId="20" xfId="1385" applyNumberFormat="1" applyFont="1" applyFill="1" applyBorder="1" applyAlignment="1" applyProtection="1">
      <alignment horizontal="right" vertical="center" wrapText="1"/>
      <protection locked="0"/>
    </xf>
    <xf numFmtId="170" fontId="250" fillId="50" borderId="20" xfId="1385" applyNumberFormat="1" applyFont="1" applyFill="1" applyBorder="1" applyAlignment="1" applyProtection="1">
      <alignment horizontal="right" vertical="center" wrapText="1"/>
      <protection locked="0"/>
    </xf>
    <xf numFmtId="0" fontId="250" fillId="50" borderId="0" xfId="1385" applyFont="1" applyFill="1" applyProtection="1">
      <protection locked="0"/>
    </xf>
    <xf numFmtId="170" fontId="251" fillId="50" borderId="0" xfId="1385" applyNumberFormat="1" applyFont="1" applyFill="1" applyAlignment="1" applyProtection="1">
      <alignment horizontal="right" vertical="center" wrapText="1"/>
      <protection locked="0"/>
    </xf>
    <xf numFmtId="0" fontId="227" fillId="2" borderId="0" xfId="1391" applyFont="1" applyFill="1" applyAlignment="1" applyProtection="1">
      <alignment vertical="center"/>
      <protection locked="0"/>
    </xf>
    <xf numFmtId="170" fontId="251" fillId="2" borderId="20" xfId="1391" applyNumberFormat="1" applyFont="1" applyFill="1" applyBorder="1" applyAlignment="1" applyProtection="1">
      <alignment horizontal="right" vertical="center" indent="1"/>
      <protection locked="0"/>
    </xf>
    <xf numFmtId="170" fontId="250" fillId="2" borderId="20" xfId="1391" applyNumberFormat="1" applyFont="1" applyFill="1" applyBorder="1" applyAlignment="1" applyProtection="1">
      <alignment horizontal="right" vertical="center" indent="1"/>
      <protection locked="0"/>
    </xf>
    <xf numFmtId="170" fontId="227" fillId="50" borderId="0" xfId="1385" applyNumberFormat="1" applyFont="1" applyFill="1" applyAlignment="1" applyProtection="1">
      <alignment horizontal="right" vertical="center" wrapText="1"/>
      <protection locked="0"/>
    </xf>
    <xf numFmtId="170" fontId="251" fillId="2" borderId="0" xfId="1391" applyNumberFormat="1" applyFont="1" applyFill="1" applyAlignment="1" applyProtection="1">
      <alignment horizontal="right" vertical="center" indent="1"/>
      <protection locked="0"/>
    </xf>
    <xf numFmtId="0" fontId="245" fillId="50" borderId="0" xfId="1385" applyFont="1" applyFill="1" applyProtection="1">
      <protection locked="0"/>
    </xf>
    <xf numFmtId="170" fontId="227" fillId="50" borderId="20" xfId="1385" applyNumberFormat="1" applyFont="1" applyFill="1" applyBorder="1" applyAlignment="1" applyProtection="1">
      <alignment horizontal="right" vertical="center" wrapText="1"/>
      <protection locked="0"/>
    </xf>
    <xf numFmtId="0" fontId="245" fillId="50" borderId="0" xfId="1385" applyFont="1" applyFill="1" applyAlignment="1" applyProtection="1">
      <alignment vertical="center"/>
      <protection locked="0"/>
    </xf>
    <xf numFmtId="180" fontId="227" fillId="50" borderId="0" xfId="1385" applyNumberFormat="1" applyFont="1" applyFill="1" applyAlignment="1" applyProtection="1">
      <alignment horizontal="right"/>
      <protection locked="0"/>
    </xf>
    <xf numFmtId="0" fontId="217" fillId="0" borderId="0" xfId="0" applyFont="1" applyProtection="1">
      <protection locked="0"/>
    </xf>
    <xf numFmtId="0" fontId="217" fillId="68" borderId="9" xfId="0" quotePrefix="1" applyFont="1" applyFill="1" applyBorder="1" applyAlignment="1" applyProtection="1">
      <alignment horizontal="left" indent="1"/>
      <protection locked="0"/>
    </xf>
    <xf numFmtId="0" fontId="217" fillId="68" borderId="0" xfId="0" applyFont="1" applyFill="1" applyProtection="1">
      <protection locked="0"/>
    </xf>
    <xf numFmtId="0" fontId="217" fillId="68" borderId="10" xfId="0" applyFont="1" applyFill="1" applyBorder="1" applyProtection="1">
      <protection locked="0"/>
    </xf>
    <xf numFmtId="0" fontId="217" fillId="68" borderId="12" xfId="0" quotePrefix="1" applyFont="1" applyFill="1" applyBorder="1" applyAlignment="1" applyProtection="1">
      <alignment horizontal="left" indent="1"/>
      <protection locked="0"/>
    </xf>
    <xf numFmtId="0" fontId="217" fillId="68" borderId="11" xfId="0" applyFont="1" applyFill="1" applyBorder="1" applyProtection="1">
      <protection locked="0"/>
    </xf>
    <xf numFmtId="0" fontId="217" fillId="68" borderId="39" xfId="0" applyFont="1" applyFill="1" applyBorder="1" applyProtection="1">
      <protection locked="0"/>
    </xf>
    <xf numFmtId="0" fontId="259" fillId="0" borderId="0" xfId="0" applyFont="1" applyAlignment="1" applyProtection="1">
      <alignment horizontal="center" vertical="center"/>
      <protection locked="0"/>
    </xf>
    <xf numFmtId="0" fontId="217" fillId="0" borderId="0" xfId="0" applyFont="1" applyAlignment="1" applyProtection="1">
      <alignment horizontal="left"/>
      <protection locked="0"/>
    </xf>
    <xf numFmtId="0" fontId="217" fillId="0" borderId="0" xfId="0" applyFont="1" applyAlignment="1" applyProtection="1">
      <alignment horizontal="center"/>
      <protection locked="0"/>
    </xf>
    <xf numFmtId="0" fontId="217" fillId="0" borderId="11" xfId="0" applyFont="1" applyBorder="1" applyProtection="1">
      <protection locked="0"/>
    </xf>
    <xf numFmtId="0" fontId="227" fillId="0" borderId="0" xfId="0" applyFont="1" applyProtection="1">
      <protection locked="0"/>
    </xf>
    <xf numFmtId="0" fontId="221" fillId="0" borderId="0" xfId="0" applyFont="1" applyProtection="1">
      <protection locked="0"/>
    </xf>
    <xf numFmtId="0" fontId="217" fillId="0" borderId="6" xfId="0" applyFont="1" applyBorder="1" applyProtection="1">
      <protection locked="0"/>
    </xf>
    <xf numFmtId="0" fontId="217" fillId="0" borderId="46" xfId="0" applyFont="1" applyBorder="1" applyProtection="1">
      <protection locked="0"/>
    </xf>
    <xf numFmtId="3" fontId="217" fillId="0" borderId="0" xfId="0" applyNumberFormat="1" applyFont="1" applyProtection="1">
      <protection locked="0"/>
    </xf>
    <xf numFmtId="0" fontId="217" fillId="0" borderId="17" xfId="0" applyFont="1" applyBorder="1" applyProtection="1">
      <protection locked="0"/>
    </xf>
    <xf numFmtId="0" fontId="217" fillId="0" borderId="0" xfId="0" applyFont="1" applyAlignment="1" applyProtection="1">
      <alignment horizontal="center" vertical="center"/>
      <protection locked="0"/>
    </xf>
    <xf numFmtId="0" fontId="226" fillId="0" borderId="0" xfId="0" applyFont="1" applyProtection="1">
      <protection locked="0"/>
    </xf>
    <xf numFmtId="0" fontId="217" fillId="0" borderId="0" xfId="0" applyFont="1" applyAlignment="1" applyProtection="1">
      <alignment horizontal="right"/>
      <protection locked="0"/>
    </xf>
    <xf numFmtId="180" fontId="222" fillId="0" borderId="0" xfId="1094" applyNumberFormat="1" applyFont="1" applyAlignment="1" applyProtection="1">
      <alignment horizontal="right" vertical="center" wrapText="1"/>
      <protection locked="0"/>
    </xf>
    <xf numFmtId="180" fontId="221" fillId="0" borderId="0" xfId="1094" applyNumberFormat="1" applyFont="1" applyAlignment="1" applyProtection="1">
      <alignment horizontal="right" vertical="center" wrapText="1"/>
      <protection locked="0"/>
    </xf>
    <xf numFmtId="0" fontId="218" fillId="0" borderId="0" xfId="0" applyFont="1" applyAlignment="1" applyProtection="1">
      <alignment horizontal="left"/>
      <protection locked="0"/>
    </xf>
    <xf numFmtId="349" fontId="224" fillId="61" borderId="0" xfId="1094" applyNumberFormat="1" applyFont="1" applyFill="1" applyAlignment="1" applyProtection="1">
      <alignment horizontal="left" vertical="center" wrapText="1"/>
      <protection locked="0"/>
    </xf>
    <xf numFmtId="0" fontId="218" fillId="61" borderId="0" xfId="1094" applyFont="1" applyFill="1" applyAlignment="1" applyProtection="1">
      <alignment horizontal="center" vertical="center" wrapText="1"/>
      <protection locked="0"/>
    </xf>
    <xf numFmtId="0" fontId="218" fillId="0" borderId="0" xfId="0" applyFont="1" applyAlignment="1" applyProtection="1">
      <alignment horizontal="center"/>
      <protection locked="0"/>
    </xf>
    <xf numFmtId="0" fontId="217" fillId="0" borderId="0" xfId="907" applyFont="1" applyFill="1" applyProtection="1">
      <protection locked="0"/>
    </xf>
    <xf numFmtId="179" fontId="217" fillId="0" borderId="0" xfId="1273" quotePrefix="1" applyNumberFormat="1" applyFont="1" applyFill="1" applyBorder="1" applyAlignment="1" applyProtection="1">
      <alignment vertical="center"/>
      <protection locked="0"/>
    </xf>
    <xf numFmtId="0" fontId="217" fillId="0" borderId="9" xfId="0" applyFont="1" applyBorder="1" applyProtection="1">
      <protection locked="0"/>
    </xf>
    <xf numFmtId="350" fontId="226" fillId="0" borderId="0" xfId="1274" applyNumberFormat="1" applyFont="1" applyFill="1" applyBorder="1" applyAlignment="1" applyProtection="1">
      <protection locked="0"/>
    </xf>
    <xf numFmtId="0" fontId="221" fillId="0" borderId="0" xfId="0" applyFont="1" applyAlignment="1" applyProtection="1">
      <alignment horizontal="center"/>
      <protection locked="0"/>
    </xf>
    <xf numFmtId="0" fontId="217" fillId="0" borderId="10" xfId="0" applyFont="1" applyBorder="1" applyProtection="1">
      <protection locked="0"/>
    </xf>
    <xf numFmtId="0" fontId="221" fillId="0" borderId="0" xfId="907" applyFont="1" applyFill="1" applyAlignment="1" applyProtection="1">
      <protection locked="0"/>
    </xf>
    <xf numFmtId="0" fontId="221" fillId="0" borderId="9" xfId="907" applyFont="1" applyFill="1" applyBorder="1" applyAlignment="1" applyProtection="1">
      <alignment horizontal="left" indent="1"/>
      <protection locked="0"/>
    </xf>
    <xf numFmtId="0" fontId="221" fillId="0" borderId="0" xfId="907" applyFont="1" applyFill="1" applyAlignment="1" applyProtection="1">
      <alignment horizontal="left"/>
      <protection locked="0"/>
    </xf>
    <xf numFmtId="350" fontId="217" fillId="0" borderId="0" xfId="1274" applyNumberFormat="1" applyFont="1" applyFill="1" applyBorder="1" applyAlignment="1" applyProtection="1">
      <protection locked="0"/>
    </xf>
    <xf numFmtId="221" fontId="221" fillId="0" borderId="0" xfId="1398" applyNumberFormat="1" applyFont="1" applyAlignment="1" applyProtection="1">
      <alignment horizontal="center"/>
      <protection locked="0"/>
    </xf>
    <xf numFmtId="221" fontId="217" fillId="0" borderId="0" xfId="0" applyNumberFormat="1" applyFont="1" applyProtection="1">
      <protection locked="0"/>
    </xf>
    <xf numFmtId="221" fontId="217" fillId="0" borderId="10" xfId="0" applyNumberFormat="1" applyFont="1" applyBorder="1" applyProtection="1">
      <protection locked="0"/>
    </xf>
    <xf numFmtId="0" fontId="217" fillId="0" borderId="0" xfId="907" applyFont="1" applyFill="1" applyAlignment="1" applyProtection="1">
      <protection locked="0"/>
    </xf>
    <xf numFmtId="0" fontId="217" fillId="0" borderId="9" xfId="0" applyFont="1" applyBorder="1" applyAlignment="1" applyProtection="1">
      <alignment horizontal="left" indent="1"/>
      <protection locked="0"/>
    </xf>
    <xf numFmtId="0" fontId="221" fillId="0" borderId="6" xfId="907" applyFont="1" applyFill="1" applyBorder="1" applyAlignment="1" applyProtection="1">
      <protection locked="0"/>
    </xf>
    <xf numFmtId="3" fontId="221" fillId="0" borderId="6" xfId="1094" applyNumberFormat="1" applyFont="1" applyBorder="1" applyAlignment="1" applyProtection="1">
      <alignment horizontal="right" vertical="center" wrapText="1"/>
      <protection locked="0"/>
    </xf>
    <xf numFmtId="0" fontId="227" fillId="0" borderId="0" xfId="907" applyFont="1" applyFill="1" applyAlignment="1" applyProtection="1">
      <alignment vertical="center"/>
      <protection locked="0"/>
    </xf>
    <xf numFmtId="0" fontId="227" fillId="0" borderId="0" xfId="1095" applyFont="1" applyAlignment="1" applyProtection="1">
      <alignment vertical="center"/>
      <protection locked="0"/>
    </xf>
    <xf numFmtId="175" fontId="227" fillId="0" borderId="0" xfId="1033" applyNumberFormat="1" applyFont="1" applyFill="1" applyBorder="1" applyAlignment="1" applyProtection="1">
      <alignment horizontal="right" vertical="center" wrapText="1"/>
      <protection locked="0"/>
    </xf>
    <xf numFmtId="221" fontId="217" fillId="0" borderId="0" xfId="1398" applyNumberFormat="1" applyFont="1" applyProtection="1">
      <protection locked="0"/>
    </xf>
    <xf numFmtId="0" fontId="221" fillId="0" borderId="9" xfId="0" applyFont="1" applyBorder="1" applyAlignment="1" applyProtection="1">
      <alignment horizontal="left" indent="1"/>
      <protection locked="0"/>
    </xf>
    <xf numFmtId="0" fontId="221" fillId="0" borderId="9" xfId="907" applyFont="1" applyFill="1" applyBorder="1" applyAlignment="1" applyProtection="1">
      <alignment horizontal="left"/>
      <protection locked="0"/>
    </xf>
    <xf numFmtId="0" fontId="221" fillId="0" borderId="0" xfId="907" applyFont="1" applyFill="1" applyAlignment="1" applyProtection="1">
      <alignment horizontal="center" wrapText="1"/>
      <protection locked="0"/>
    </xf>
    <xf numFmtId="0" fontId="218" fillId="0" borderId="9" xfId="0" applyFont="1" applyBorder="1" applyAlignment="1" applyProtection="1">
      <alignment horizontal="left"/>
      <protection locked="0"/>
    </xf>
    <xf numFmtId="0" fontId="218" fillId="0" borderId="0" xfId="0" applyFont="1" applyAlignment="1" applyProtection="1">
      <alignment horizontal="center" wrapText="1"/>
      <protection locked="0"/>
    </xf>
    <xf numFmtId="3" fontId="218" fillId="0" borderId="0" xfId="1094" applyNumberFormat="1" applyFont="1" applyAlignment="1" applyProtection="1">
      <alignment horizontal="right" vertical="center" wrapText="1"/>
      <protection locked="0"/>
    </xf>
    <xf numFmtId="9" fontId="219" fillId="50" borderId="0" xfId="1033" applyFont="1" applyFill="1" applyBorder="1" applyAlignment="1" applyProtection="1">
      <protection locked="0"/>
    </xf>
    <xf numFmtId="9" fontId="219" fillId="50" borderId="11" xfId="1033" applyFont="1" applyFill="1" applyBorder="1" applyAlignment="1" applyProtection="1">
      <protection locked="0"/>
    </xf>
    <xf numFmtId="9" fontId="217" fillId="0" borderId="0" xfId="0" applyNumberFormat="1" applyFont="1" applyProtection="1">
      <protection locked="0"/>
    </xf>
    <xf numFmtId="0" fontId="219" fillId="0" borderId="0" xfId="0" applyFont="1" applyAlignment="1" applyProtection="1">
      <alignment horizontal="left"/>
      <protection locked="0"/>
    </xf>
    <xf numFmtId="0" fontId="221" fillId="0" borderId="6" xfId="907" applyFont="1" applyFill="1" applyBorder="1" applyAlignment="1" applyProtection="1">
      <alignment horizontal="left"/>
      <protection locked="0"/>
    </xf>
    <xf numFmtId="9" fontId="221" fillId="0" borderId="6" xfId="1033" applyFont="1" applyFill="1" applyBorder="1" applyAlignment="1" applyProtection="1">
      <protection locked="0"/>
    </xf>
    <xf numFmtId="3" fontId="221" fillId="0" borderId="6" xfId="1274" applyNumberFormat="1" applyFont="1" applyFill="1" applyBorder="1" applyAlignment="1" applyProtection="1">
      <protection locked="0"/>
    </xf>
    <xf numFmtId="350" fontId="221" fillId="0" borderId="0" xfId="1274" applyNumberFormat="1" applyFont="1" applyFill="1" applyBorder="1" applyAlignment="1" applyProtection="1">
      <protection locked="0"/>
    </xf>
    <xf numFmtId="0" fontId="217" fillId="0" borderId="12" xfId="0" applyFont="1" applyBorder="1" applyProtection="1">
      <protection locked="0"/>
    </xf>
    <xf numFmtId="0" fontId="221" fillId="0" borderId="11" xfId="907" applyFont="1" applyFill="1" applyBorder="1" applyAlignment="1" applyProtection="1">
      <alignment horizontal="left"/>
      <protection locked="0"/>
    </xf>
    <xf numFmtId="350" fontId="226" fillId="0" borderId="11" xfId="1274" applyNumberFormat="1" applyFont="1" applyFill="1" applyBorder="1" applyAlignment="1" applyProtection="1">
      <protection locked="0"/>
    </xf>
    <xf numFmtId="0" fontId="221" fillId="0" borderId="11" xfId="0" applyFont="1" applyBorder="1" applyProtection="1">
      <protection locked="0"/>
    </xf>
    <xf numFmtId="9" fontId="221" fillId="0" borderId="0" xfId="1033" applyFont="1" applyFill="1" applyBorder="1" applyAlignment="1" applyProtection="1">
      <protection locked="0"/>
    </xf>
    <xf numFmtId="1" fontId="221" fillId="0" borderId="0" xfId="0" applyNumberFormat="1" applyFont="1" applyAlignment="1" applyProtection="1">
      <alignment horizontal="center"/>
      <protection locked="0"/>
    </xf>
    <xf numFmtId="3" fontId="221" fillId="0" borderId="0" xfId="1274" applyNumberFormat="1" applyFont="1" applyFill="1" applyBorder="1" applyAlignment="1" applyProtection="1">
      <protection locked="0"/>
    </xf>
    <xf numFmtId="351" fontId="219" fillId="0" borderId="0" xfId="1274" applyNumberFormat="1" applyFont="1" applyFill="1" applyBorder="1" applyAlignment="1" applyProtection="1">
      <alignment horizontal="left" vertical="center"/>
      <protection locked="0"/>
    </xf>
    <xf numFmtId="1" fontId="221" fillId="0" borderId="0" xfId="0" applyNumberFormat="1" applyFont="1" applyProtection="1">
      <protection locked="0"/>
    </xf>
    <xf numFmtId="1" fontId="217" fillId="0" borderId="0" xfId="0" applyNumberFormat="1" applyFont="1" applyProtection="1">
      <protection locked="0"/>
    </xf>
    <xf numFmtId="0" fontId="221" fillId="0" borderId="0" xfId="0" applyFont="1" applyAlignment="1" applyProtection="1">
      <alignment horizontal="left"/>
      <protection locked="0"/>
    </xf>
    <xf numFmtId="49" fontId="224" fillId="61" borderId="0" xfId="1094" applyNumberFormat="1" applyFont="1" applyFill="1" applyAlignment="1">
      <alignment horizontal="right" vertical="center" wrapText="1"/>
    </xf>
    <xf numFmtId="3" fontId="221" fillId="0" borderId="6" xfId="1094" applyNumberFormat="1" applyFont="1" applyBorder="1" applyAlignment="1">
      <alignment horizontal="right" vertical="center" wrapText="1"/>
    </xf>
    <xf numFmtId="350" fontId="217" fillId="0" borderId="0" xfId="1274" applyNumberFormat="1" applyFont="1" applyFill="1" applyBorder="1" applyAlignment="1" applyProtection="1"/>
    <xf numFmtId="221" fontId="217" fillId="0" borderId="0" xfId="1398" applyNumberFormat="1" applyFont="1" applyBorder="1" applyProtection="1"/>
    <xf numFmtId="221" fontId="217" fillId="0" borderId="0" xfId="0" applyNumberFormat="1" applyFont="1"/>
    <xf numFmtId="221" fontId="217" fillId="0" borderId="10" xfId="0" applyNumberFormat="1" applyFont="1" applyBorder="1"/>
    <xf numFmtId="221" fontId="221" fillId="0" borderId="0" xfId="1398" applyNumberFormat="1" applyFont="1" applyAlignment="1" applyProtection="1">
      <alignment horizontal="center"/>
    </xf>
    <xf numFmtId="221" fontId="217" fillId="0" borderId="0" xfId="1398" applyNumberFormat="1" applyFont="1" applyProtection="1"/>
    <xf numFmtId="350" fontId="217" fillId="0" borderId="11" xfId="1274" applyNumberFormat="1" applyFont="1" applyFill="1" applyBorder="1" applyAlignment="1" applyProtection="1"/>
    <xf numFmtId="221" fontId="217" fillId="0" borderId="11" xfId="1398" applyNumberFormat="1" applyFont="1" applyBorder="1" applyProtection="1"/>
    <xf numFmtId="221" fontId="217" fillId="0" borderId="11" xfId="0" applyNumberFormat="1" applyFont="1" applyBorder="1"/>
    <xf numFmtId="221" fontId="217" fillId="0" borderId="39" xfId="0" applyNumberFormat="1" applyFont="1" applyBorder="1"/>
    <xf numFmtId="9" fontId="217" fillId="0" borderId="0" xfId="0" applyNumberFormat="1" applyFont="1"/>
    <xf numFmtId="221" fontId="221" fillId="0" borderId="11" xfId="1398" applyNumberFormat="1" applyFont="1" applyBorder="1" applyAlignment="1" applyProtection="1">
      <alignment horizontal="center"/>
    </xf>
    <xf numFmtId="3" fontId="221" fillId="0" borderId="6" xfId="1274" applyNumberFormat="1" applyFont="1" applyFill="1" applyBorder="1" applyAlignment="1" applyProtection="1"/>
    <xf numFmtId="0" fontId="217" fillId="0" borderId="0" xfId="1094" applyFont="1" applyAlignment="1" applyProtection="1">
      <alignment vertical="center" wrapText="1"/>
      <protection locked="0"/>
    </xf>
    <xf numFmtId="0" fontId="217" fillId="0" borderId="0" xfId="1094" applyFont="1" applyAlignment="1" applyProtection="1">
      <alignment horizontal="right" vertical="center" wrapText="1"/>
      <protection locked="0"/>
    </xf>
    <xf numFmtId="49" fontId="218" fillId="61" borderId="0" xfId="1094" applyNumberFormat="1" applyFont="1" applyFill="1" applyAlignment="1" applyProtection="1">
      <alignment vertical="center" wrapText="1"/>
      <protection locked="0"/>
    </xf>
    <xf numFmtId="0" fontId="221" fillId="0" borderId="0" xfId="1094" applyFont="1" applyAlignment="1" applyProtection="1">
      <alignment vertical="center" wrapText="1"/>
      <protection locked="0"/>
    </xf>
    <xf numFmtId="0" fontId="224" fillId="61" borderId="0" xfId="1094" applyFont="1" applyFill="1" applyAlignment="1" applyProtection="1">
      <alignment vertical="center" wrapText="1"/>
      <protection locked="0"/>
    </xf>
    <xf numFmtId="0" fontId="224" fillId="61" borderId="49" xfId="1094" applyFont="1" applyFill="1" applyBorder="1" applyAlignment="1" applyProtection="1">
      <alignment vertical="center" wrapText="1"/>
      <protection locked="0"/>
    </xf>
    <xf numFmtId="0" fontId="217" fillId="0" borderId="9" xfId="1094" applyFont="1" applyBorder="1" applyAlignment="1" applyProtection="1">
      <alignment horizontal="right" vertical="center" wrapText="1"/>
      <protection locked="0"/>
    </xf>
    <xf numFmtId="3" fontId="221" fillId="0" borderId="0" xfId="1094" applyNumberFormat="1" applyFont="1" applyAlignment="1" applyProtection="1">
      <alignment horizontal="right" vertical="center" wrapText="1"/>
      <protection locked="0"/>
    </xf>
    <xf numFmtId="3" fontId="217" fillId="0" borderId="0" xfId="1094" applyNumberFormat="1" applyFont="1" applyAlignment="1" applyProtection="1">
      <alignment horizontal="right" vertical="center" wrapText="1"/>
      <protection locked="0"/>
    </xf>
    <xf numFmtId="3" fontId="217" fillId="0" borderId="9" xfId="1094" applyNumberFormat="1" applyFont="1" applyBorder="1" applyAlignment="1" applyProtection="1">
      <alignment horizontal="right" vertical="center" wrapText="1"/>
      <protection locked="0"/>
    </xf>
    <xf numFmtId="0" fontId="227" fillId="0" borderId="0" xfId="1094" applyFont="1" applyAlignment="1" applyProtection="1">
      <alignment horizontal="left" vertical="center" wrapText="1"/>
      <protection locked="0"/>
    </xf>
    <xf numFmtId="9" fontId="227" fillId="0" borderId="0" xfId="1094" applyNumberFormat="1" applyFont="1" applyAlignment="1" applyProtection="1">
      <alignment horizontal="right" vertical="center" wrapText="1"/>
      <protection locked="0"/>
    </xf>
    <xf numFmtId="3" fontId="227" fillId="0" borderId="0" xfId="1094" applyNumberFormat="1" applyFont="1" applyAlignment="1" applyProtection="1">
      <alignment horizontal="right" vertical="center" wrapText="1"/>
      <protection locked="0"/>
    </xf>
    <xf numFmtId="0" fontId="227" fillId="0" borderId="0" xfId="1094" applyFont="1" applyAlignment="1" applyProtection="1">
      <alignment vertical="center" wrapText="1"/>
      <protection locked="0"/>
    </xf>
    <xf numFmtId="3" fontId="217" fillId="0" borderId="10" xfId="1094" applyNumberFormat="1" applyFont="1" applyBorder="1" applyAlignment="1" applyProtection="1">
      <alignment horizontal="right" vertical="center" wrapText="1"/>
      <protection locked="0"/>
    </xf>
    <xf numFmtId="0" fontId="221" fillId="0" borderId="6" xfId="1094" applyFont="1" applyBorder="1" applyAlignment="1" applyProtection="1">
      <alignment vertical="center" wrapText="1"/>
      <protection locked="0"/>
    </xf>
    <xf numFmtId="177" fontId="221" fillId="0" borderId="0" xfId="1094" applyNumberFormat="1" applyFont="1" applyAlignment="1" applyProtection="1">
      <alignment horizontal="right" vertical="center" wrapText="1"/>
      <protection locked="0"/>
    </xf>
    <xf numFmtId="177" fontId="217" fillId="0" borderId="0" xfId="1094" applyNumberFormat="1" applyFont="1" applyAlignment="1" applyProtection="1">
      <alignment horizontal="right" vertical="center" wrapText="1"/>
      <protection locked="0"/>
    </xf>
    <xf numFmtId="49" fontId="217" fillId="0" borderId="0" xfId="1094" applyNumberFormat="1" applyFont="1" applyAlignment="1" applyProtection="1">
      <alignment vertical="center" wrapText="1"/>
      <protection locked="0"/>
    </xf>
    <xf numFmtId="10" fontId="217" fillId="0" borderId="0" xfId="1094" applyNumberFormat="1" applyFont="1" applyAlignment="1" applyProtection="1">
      <alignment horizontal="right" vertical="center" wrapText="1"/>
      <protection locked="0"/>
    </xf>
    <xf numFmtId="49" fontId="224" fillId="61" borderId="49" xfId="1094" applyNumberFormat="1" applyFont="1" applyFill="1" applyBorder="1" applyAlignment="1">
      <alignment horizontal="right" vertical="center" wrapText="1"/>
    </xf>
    <xf numFmtId="3" fontId="221" fillId="0" borderId="0" xfId="1094" applyNumberFormat="1" applyFont="1" applyAlignment="1">
      <alignment horizontal="right" vertical="center" wrapText="1"/>
    </xf>
    <xf numFmtId="3" fontId="221" fillId="0" borderId="9" xfId="1094" applyNumberFormat="1" applyFont="1" applyBorder="1" applyAlignment="1">
      <alignment horizontal="right" vertical="center" wrapText="1"/>
    </xf>
    <xf numFmtId="9" fontId="227" fillId="0" borderId="0" xfId="1094" applyNumberFormat="1" applyFont="1" applyAlignment="1">
      <alignment horizontal="right" vertical="center" wrapText="1"/>
    </xf>
    <xf numFmtId="9" fontId="227" fillId="0" borderId="9" xfId="1094" applyNumberFormat="1" applyFont="1" applyBorder="1" applyAlignment="1">
      <alignment horizontal="right" vertical="center" wrapText="1"/>
    </xf>
    <xf numFmtId="3" fontId="217" fillId="0" borderId="9" xfId="1094" applyNumberFormat="1" applyFont="1" applyBorder="1" applyAlignment="1">
      <alignment horizontal="right" vertical="center" wrapText="1"/>
    </xf>
    <xf numFmtId="3" fontId="217" fillId="0" borderId="0" xfId="1094" applyNumberFormat="1" applyFont="1" applyAlignment="1">
      <alignment horizontal="right" vertical="center" wrapText="1"/>
    </xf>
    <xf numFmtId="9" fontId="231" fillId="0" borderId="0" xfId="1033" applyFont="1" applyFill="1" applyBorder="1" applyAlignment="1" applyProtection="1">
      <alignment horizontal="right" vertical="center" wrapText="1"/>
    </xf>
    <xf numFmtId="3" fontId="221" fillId="0" borderId="40" xfId="1094" applyNumberFormat="1" applyFont="1" applyBorder="1" applyAlignment="1">
      <alignment horizontal="right" vertical="center" wrapText="1"/>
    </xf>
    <xf numFmtId="9" fontId="217" fillId="50" borderId="0" xfId="0" applyNumberFormat="1" applyFont="1" applyFill="1" applyProtection="1">
      <protection locked="0"/>
    </xf>
    <xf numFmtId="0" fontId="217" fillId="50" borderId="0" xfId="0" applyFont="1" applyFill="1" applyProtection="1">
      <protection locked="0"/>
    </xf>
    <xf numFmtId="172" fontId="217" fillId="0" borderId="0" xfId="0" applyNumberFormat="1" applyFont="1" applyProtection="1">
      <protection locked="0"/>
    </xf>
    <xf numFmtId="49" fontId="218" fillId="50" borderId="0" xfId="1094" applyNumberFormat="1" applyFont="1" applyFill="1" applyAlignment="1" applyProtection="1">
      <alignment vertical="center" wrapText="1"/>
      <protection locked="0"/>
    </xf>
    <xf numFmtId="49" fontId="218" fillId="0" borderId="0" xfId="1094" applyNumberFormat="1" applyFont="1" applyAlignment="1" applyProtection="1">
      <alignment vertical="center" wrapText="1"/>
      <protection locked="0"/>
    </xf>
    <xf numFmtId="49" fontId="224" fillId="0" borderId="0" xfId="1094" applyNumberFormat="1" applyFont="1" applyAlignment="1" applyProtection="1">
      <alignment vertical="center" wrapText="1"/>
      <protection locked="0"/>
    </xf>
    <xf numFmtId="0" fontId="217" fillId="0" borderId="0" xfId="1095" applyFont="1" applyAlignment="1" applyProtection="1">
      <alignment vertical="center" wrapText="1"/>
      <protection locked="0"/>
    </xf>
    <xf numFmtId="2" fontId="218" fillId="61" borderId="0" xfId="1094" applyNumberFormat="1" applyFont="1" applyFill="1" applyAlignment="1" applyProtection="1">
      <alignment horizontal="left" vertical="top"/>
      <protection locked="0"/>
    </xf>
    <xf numFmtId="0" fontId="241" fillId="74" borderId="0" xfId="0" applyFont="1" applyFill="1" applyAlignment="1" applyProtection="1">
      <alignment horizontal="right"/>
      <protection locked="0"/>
    </xf>
    <xf numFmtId="0" fontId="224" fillId="0" borderId="0" xfId="0" applyFont="1" applyAlignment="1" applyProtection="1">
      <alignment horizontal="left"/>
      <protection locked="0"/>
    </xf>
    <xf numFmtId="0" fontId="218" fillId="74" borderId="0" xfId="0" applyFont="1" applyFill="1" applyAlignment="1" applyProtection="1">
      <alignment horizontal="center"/>
      <protection locked="0"/>
    </xf>
    <xf numFmtId="0" fontId="217" fillId="50" borderId="0" xfId="1355" applyFont="1" applyFill="1" applyProtection="1">
      <protection locked="0"/>
    </xf>
    <xf numFmtId="0" fontId="217" fillId="0" borderId="0" xfId="1355" applyFont="1" applyProtection="1">
      <protection locked="0"/>
    </xf>
    <xf numFmtId="0" fontId="221" fillId="0" borderId="11" xfId="907" applyFont="1" applyFill="1" applyBorder="1" applyAlignment="1" applyProtection="1">
      <protection locked="0"/>
    </xf>
    <xf numFmtId="0" fontId="221" fillId="0" borderId="11" xfId="1095" applyFont="1" applyBorder="1" applyAlignment="1" applyProtection="1">
      <alignment vertical="center" wrapText="1"/>
      <protection locked="0"/>
    </xf>
    <xf numFmtId="3" fontId="221" fillId="0" borderId="11" xfId="1273" applyNumberFormat="1" applyFont="1" applyFill="1" applyBorder="1" applyAlignment="1" applyProtection="1">
      <alignment horizontal="right" vertical="center"/>
      <protection locked="0"/>
    </xf>
    <xf numFmtId="0" fontId="220" fillId="50" borderId="0" xfId="1355" applyFont="1" applyFill="1" applyProtection="1">
      <protection locked="0"/>
    </xf>
    <xf numFmtId="0" fontId="237" fillId="50" borderId="0" xfId="1355" applyFont="1" applyFill="1" applyProtection="1">
      <protection locked="0"/>
    </xf>
    <xf numFmtId="0" fontId="221" fillId="0" borderId="0" xfId="1095" applyFont="1" applyAlignment="1" applyProtection="1">
      <alignment vertical="center" wrapText="1"/>
      <protection locked="0"/>
    </xf>
    <xf numFmtId="3" fontId="221" fillId="0" borderId="0" xfId="1273" applyNumberFormat="1" applyFont="1" applyFill="1" applyBorder="1" applyAlignment="1" applyProtection="1">
      <alignment horizontal="right" vertical="center"/>
      <protection locked="0"/>
    </xf>
    <xf numFmtId="0" fontId="225" fillId="0" borderId="0" xfId="0" applyFont="1" applyProtection="1">
      <protection locked="0"/>
    </xf>
    <xf numFmtId="0" fontId="217" fillId="0" borderId="0" xfId="907" applyFont="1" applyFill="1" applyAlignment="1" applyProtection="1">
      <alignment horizontal="left"/>
      <protection locked="0"/>
    </xf>
    <xf numFmtId="0" fontId="217" fillId="0" borderId="0" xfId="907" quotePrefix="1" applyFont="1" applyFill="1" applyProtection="1">
      <protection locked="0"/>
    </xf>
    <xf numFmtId="1" fontId="221" fillId="0" borderId="0" xfId="0" applyNumberFormat="1" applyFont="1" applyAlignment="1" applyProtection="1">
      <alignment vertical="center" textRotation="90"/>
      <protection locked="0"/>
    </xf>
    <xf numFmtId="1" fontId="221" fillId="68" borderId="0" xfId="0" applyNumberFormat="1" applyFont="1" applyFill="1" applyAlignment="1" applyProtection="1">
      <alignment horizontal="center"/>
      <protection locked="0"/>
    </xf>
    <xf numFmtId="49" fontId="273" fillId="52" borderId="0" xfId="1355" applyNumberFormat="1" applyFont="1" applyFill="1" applyAlignment="1" applyProtection="1">
      <alignment horizontal="right"/>
      <protection locked="0"/>
    </xf>
    <xf numFmtId="0" fontId="217" fillId="0" borderId="46" xfId="907" applyFont="1" applyFill="1" applyBorder="1" applyProtection="1">
      <protection locked="0"/>
    </xf>
    <xf numFmtId="3" fontId="217" fillId="0" borderId="46" xfId="1094" applyNumberFormat="1" applyFont="1" applyBorder="1" applyAlignment="1" applyProtection="1">
      <alignment horizontal="right" vertical="center" wrapText="1"/>
      <protection locked="0"/>
    </xf>
    <xf numFmtId="0" fontId="217" fillId="0" borderId="0" xfId="907" quotePrefix="1" applyFont="1" applyFill="1" applyAlignment="1" applyProtection="1">
      <alignment horizontal="left" indent="1"/>
      <protection locked="0"/>
    </xf>
    <xf numFmtId="9" fontId="225" fillId="0" borderId="0" xfId="1033" applyFont="1" applyAlignment="1" applyProtection="1">
      <alignment horizontal="right" vertical="center" wrapText="1"/>
      <protection locked="0"/>
    </xf>
    <xf numFmtId="0" fontId="217" fillId="0" borderId="0" xfId="907" quotePrefix="1" applyFont="1" applyFill="1" applyAlignment="1" applyProtection="1">
      <alignment horizontal="left"/>
      <protection locked="0"/>
    </xf>
    <xf numFmtId="0" fontId="217" fillId="50" borderId="0" xfId="1355" applyFont="1" applyFill="1" applyAlignment="1" applyProtection="1">
      <alignment horizontal="right"/>
      <protection locked="0"/>
    </xf>
    <xf numFmtId="3" fontId="217" fillId="50" borderId="0" xfId="1355" applyNumberFormat="1" applyFont="1" applyFill="1" applyAlignment="1" applyProtection="1">
      <alignment horizontal="center"/>
      <protection locked="0"/>
    </xf>
    <xf numFmtId="0" fontId="231" fillId="0" borderId="0" xfId="1355" applyFont="1" applyProtection="1">
      <protection locked="0"/>
    </xf>
    <xf numFmtId="0" fontId="225" fillId="0" borderId="0" xfId="1355" applyFont="1" applyProtection="1">
      <protection locked="0"/>
    </xf>
    <xf numFmtId="3" fontId="217" fillId="50" borderId="0" xfId="1355" applyNumberFormat="1" applyFont="1" applyFill="1" applyAlignment="1" applyProtection="1">
      <alignment horizontal="right"/>
      <protection locked="0"/>
    </xf>
    <xf numFmtId="0" fontId="221" fillId="0" borderId="0" xfId="907" applyFont="1" applyFill="1" applyProtection="1">
      <protection locked="0"/>
    </xf>
    <xf numFmtId="3" fontId="221" fillId="0" borderId="0" xfId="1273" quotePrefix="1" applyNumberFormat="1" applyFont="1" applyFill="1" applyBorder="1" applyAlignment="1" applyProtection="1">
      <alignment vertical="center"/>
      <protection locked="0"/>
    </xf>
    <xf numFmtId="0" fontId="221" fillId="50" borderId="0" xfId="1355" applyFont="1" applyFill="1" applyProtection="1">
      <protection locked="0"/>
    </xf>
    <xf numFmtId="0" fontId="221" fillId="0" borderId="0" xfId="1355" applyFont="1" applyProtection="1">
      <protection locked="0"/>
    </xf>
    <xf numFmtId="10" fontId="221" fillId="50" borderId="0" xfId="1356" applyNumberFormat="1" applyFont="1" applyFill="1" applyBorder="1" applyAlignment="1" applyProtection="1">
      <alignment horizontal="right"/>
      <protection locked="0"/>
    </xf>
    <xf numFmtId="10" fontId="222" fillId="50" borderId="0" xfId="1356" applyNumberFormat="1" applyFont="1" applyFill="1" applyBorder="1" applyAlignment="1" applyProtection="1">
      <alignment horizontal="right"/>
      <protection locked="0"/>
    </xf>
    <xf numFmtId="3" fontId="221" fillId="0" borderId="11" xfId="1273" quotePrefix="1" applyNumberFormat="1" applyFont="1" applyFill="1" applyBorder="1" applyAlignment="1" applyProtection="1">
      <alignment vertical="center"/>
      <protection locked="0"/>
    </xf>
    <xf numFmtId="10" fontId="227" fillId="0" borderId="11" xfId="907" applyNumberFormat="1" applyFont="1" applyFill="1" applyBorder="1" applyProtection="1">
      <protection locked="0"/>
    </xf>
    <xf numFmtId="0" fontId="221" fillId="0" borderId="53" xfId="907" applyFont="1" applyFill="1" applyBorder="1" applyProtection="1">
      <protection locked="0"/>
    </xf>
    <xf numFmtId="3" fontId="221" fillId="0" borderId="53" xfId="1273" quotePrefix="1" applyNumberFormat="1" applyFont="1" applyFill="1" applyBorder="1" applyAlignment="1" applyProtection="1">
      <alignment vertical="center"/>
      <protection locked="0"/>
    </xf>
    <xf numFmtId="10" fontId="221" fillId="0" borderId="0" xfId="1356" applyNumberFormat="1" applyFont="1" applyFill="1" applyBorder="1" applyAlignment="1" applyProtection="1">
      <alignment horizontal="right"/>
      <protection locked="0"/>
    </xf>
    <xf numFmtId="10" fontId="222" fillId="0" borderId="0" xfId="1356" applyNumberFormat="1" applyFont="1" applyFill="1" applyBorder="1" applyAlignment="1" applyProtection="1">
      <alignment horizontal="right"/>
      <protection locked="0"/>
    </xf>
    <xf numFmtId="0" fontId="221" fillId="0" borderId="74" xfId="907" applyFont="1" applyFill="1" applyBorder="1" applyProtection="1">
      <protection locked="0"/>
    </xf>
    <xf numFmtId="3" fontId="221" fillId="0" borderId="74" xfId="1273" quotePrefix="1" applyNumberFormat="1" applyFont="1" applyFill="1" applyBorder="1" applyAlignment="1" applyProtection="1">
      <alignment vertical="center"/>
      <protection locked="0"/>
    </xf>
    <xf numFmtId="10" fontId="219" fillId="0" borderId="0" xfId="1033" applyNumberFormat="1" applyFont="1" applyFill="1" applyBorder="1" applyAlignment="1" applyProtection="1">
      <alignment horizontal="left"/>
      <protection locked="0"/>
    </xf>
    <xf numFmtId="10" fontId="217" fillId="0" borderId="0" xfId="1033" applyNumberFormat="1" applyFont="1" applyFill="1" applyBorder="1" applyAlignment="1" applyProtection="1">
      <alignment horizontal="right"/>
      <protection locked="0"/>
    </xf>
    <xf numFmtId="3" fontId="217" fillId="0" borderId="0" xfId="1273" quotePrefix="1" applyNumberFormat="1" applyFont="1" applyFill="1" applyBorder="1" applyAlignment="1" applyProtection="1">
      <alignment horizontal="right" vertical="center"/>
      <protection locked="0"/>
    </xf>
    <xf numFmtId="185" fontId="217" fillId="0" borderId="0" xfId="1355" applyNumberFormat="1" applyFont="1" applyAlignment="1" applyProtection="1">
      <alignment horizontal="right"/>
      <protection locked="0"/>
    </xf>
    <xf numFmtId="0" fontId="221" fillId="0" borderId="8" xfId="907" applyFont="1" applyFill="1" applyBorder="1" applyProtection="1">
      <protection locked="0"/>
    </xf>
    <xf numFmtId="3" fontId="221" fillId="0" borderId="8" xfId="1273" quotePrefix="1" applyNumberFormat="1" applyFont="1" applyFill="1" applyBorder="1" applyAlignment="1" applyProtection="1">
      <alignment vertical="center"/>
      <protection locked="0"/>
    </xf>
    <xf numFmtId="10" fontId="225" fillId="0" borderId="0" xfId="1033" applyNumberFormat="1" applyFont="1" applyFill="1" applyBorder="1" applyAlignment="1" applyProtection="1">
      <alignment horizontal="left"/>
      <protection locked="0"/>
    </xf>
    <xf numFmtId="3" fontId="221" fillId="0" borderId="0" xfId="907" applyNumberFormat="1" applyFont="1" applyFill="1" applyProtection="1">
      <protection locked="0"/>
    </xf>
    <xf numFmtId="0" fontId="227" fillId="0" borderId="0" xfId="907" applyFont="1" applyFill="1" applyAlignment="1" applyProtection="1">
      <alignment horizontal="left" indent="1"/>
      <protection locked="0"/>
    </xf>
    <xf numFmtId="350" fontId="230" fillId="0" borderId="0" xfId="1274" applyNumberFormat="1" applyFont="1" applyFill="1" applyBorder="1" applyAlignment="1" applyProtection="1">
      <protection locked="0"/>
    </xf>
    <xf numFmtId="3" fontId="217" fillId="0" borderId="0" xfId="907" applyNumberFormat="1" applyFont="1" applyFill="1" applyProtection="1">
      <protection locked="0"/>
    </xf>
    <xf numFmtId="3" fontId="239" fillId="0" borderId="46" xfId="907" applyNumberFormat="1" applyFont="1" applyFill="1" applyBorder="1" applyAlignment="1" applyProtection="1">
      <alignment horizontal="right"/>
      <protection locked="0"/>
    </xf>
    <xf numFmtId="3" fontId="225" fillId="0" borderId="46" xfId="907" applyNumberFormat="1" applyFont="1" applyFill="1" applyBorder="1" applyProtection="1">
      <protection locked="0"/>
    </xf>
    <xf numFmtId="0" fontId="217" fillId="0" borderId="11" xfId="907" applyFont="1" applyFill="1" applyBorder="1" applyAlignment="1" applyProtection="1">
      <alignment horizontal="left" indent="1"/>
      <protection locked="0"/>
    </xf>
    <xf numFmtId="350" fontId="230" fillId="0" borderId="11" xfId="1274" applyNumberFormat="1" applyFont="1" applyFill="1" applyBorder="1" applyAlignment="1" applyProtection="1">
      <protection locked="0"/>
    </xf>
    <xf numFmtId="3" fontId="217" fillId="0" borderId="11" xfId="907" applyNumberFormat="1" applyFont="1" applyFill="1" applyBorder="1" applyProtection="1">
      <protection locked="0"/>
    </xf>
    <xf numFmtId="3" fontId="225" fillId="0" borderId="11" xfId="907" applyNumberFormat="1" applyFont="1" applyFill="1" applyBorder="1" applyProtection="1">
      <protection locked="0"/>
    </xf>
    <xf numFmtId="186" fontId="219" fillId="0" borderId="0" xfId="907" applyNumberFormat="1" applyFont="1" applyFill="1" applyAlignment="1" applyProtection="1">
      <alignment horizontal="left"/>
      <protection locked="0"/>
    </xf>
    <xf numFmtId="186" fontId="217" fillId="0" borderId="0" xfId="907" applyNumberFormat="1" applyFont="1" applyFill="1" applyAlignment="1" applyProtection="1">
      <alignment horizontal="right"/>
      <protection locked="0"/>
    </xf>
    <xf numFmtId="182" fontId="225" fillId="0" borderId="0" xfId="907" applyNumberFormat="1" applyFont="1" applyFill="1" applyAlignment="1" applyProtection="1">
      <alignment horizontal="left"/>
      <protection locked="0"/>
    </xf>
    <xf numFmtId="3" fontId="221" fillId="0" borderId="11" xfId="907" applyNumberFormat="1" applyFont="1" applyFill="1" applyBorder="1" applyProtection="1">
      <protection locked="0"/>
    </xf>
    <xf numFmtId="3" fontId="236" fillId="0" borderId="11" xfId="907" applyNumberFormat="1" applyFont="1" applyFill="1" applyBorder="1" applyProtection="1">
      <protection locked="0"/>
    </xf>
    <xf numFmtId="3" fontId="236" fillId="0" borderId="0" xfId="907" applyNumberFormat="1" applyFont="1" applyFill="1" applyProtection="1">
      <protection locked="0"/>
    </xf>
    <xf numFmtId="182" fontId="219" fillId="0" borderId="0" xfId="907" applyNumberFormat="1" applyFont="1" applyFill="1" applyAlignment="1" applyProtection="1">
      <alignment horizontal="right"/>
      <protection locked="0"/>
    </xf>
    <xf numFmtId="0" fontId="227" fillId="0" borderId="0" xfId="907" applyFont="1" applyFill="1" applyProtection="1">
      <protection locked="0"/>
    </xf>
    <xf numFmtId="182" fontId="232" fillId="0" borderId="0" xfId="907" applyNumberFormat="1" applyFont="1" applyFill="1" applyAlignment="1" applyProtection="1">
      <alignment horizontal="right"/>
      <protection locked="0"/>
    </xf>
    <xf numFmtId="3" fontId="245" fillId="0" borderId="0" xfId="907" applyNumberFormat="1" applyFont="1" applyFill="1" applyProtection="1">
      <protection locked="0"/>
    </xf>
    <xf numFmtId="0" fontId="217" fillId="0" borderId="11" xfId="907" quotePrefix="1" applyFont="1" applyFill="1" applyBorder="1" applyProtection="1">
      <protection locked="0"/>
    </xf>
    <xf numFmtId="221" fontId="217" fillId="0" borderId="11" xfId="1398" quotePrefix="1" applyNumberFormat="1" applyFont="1" applyFill="1" applyBorder="1" applyProtection="1">
      <protection locked="0"/>
    </xf>
    <xf numFmtId="3" fontId="236" fillId="0" borderId="0" xfId="907" applyNumberFormat="1" applyFont="1" applyFill="1" applyAlignment="1" applyProtection="1">
      <alignment vertical="center"/>
      <protection locked="0"/>
    </xf>
    <xf numFmtId="175" fontId="217" fillId="0" borderId="0" xfId="1033" quotePrefix="1" applyNumberFormat="1" applyFont="1" applyFill="1" applyBorder="1" applyAlignment="1" applyProtection="1">
      <alignment vertical="center"/>
      <protection locked="0"/>
    </xf>
    <xf numFmtId="3" fontId="221" fillId="0" borderId="0" xfId="907" applyNumberFormat="1" applyFont="1" applyFill="1" applyAlignment="1" applyProtection="1">
      <alignment vertical="center"/>
      <protection locked="0"/>
    </xf>
    <xf numFmtId="0" fontId="236" fillId="0" borderId="0" xfId="907" applyFont="1" applyFill="1" applyProtection="1">
      <protection locked="0"/>
    </xf>
    <xf numFmtId="0" fontId="281" fillId="0" borderId="0" xfId="0" applyFont="1" applyProtection="1">
      <protection locked="0"/>
    </xf>
    <xf numFmtId="49" fontId="224" fillId="61" borderId="0" xfId="1094" applyNumberFormat="1" applyFont="1" applyFill="1" applyAlignment="1">
      <alignment horizontal="right" vertical="top" wrapText="1"/>
    </xf>
    <xf numFmtId="0" fontId="221" fillId="0" borderId="11" xfId="907" applyFont="1" applyFill="1" applyBorder="1" applyAlignment="1" applyProtection="1"/>
    <xf numFmtId="0" fontId="217" fillId="0" borderId="0" xfId="907" quotePrefix="1" applyFont="1" applyFill="1" applyProtection="1"/>
    <xf numFmtId="10" fontId="217" fillId="68" borderId="0" xfId="1033" applyNumberFormat="1" applyFont="1" applyFill="1" applyProtection="1"/>
    <xf numFmtId="10" fontId="231" fillId="68" borderId="41" xfId="1033" applyNumberFormat="1" applyFont="1" applyFill="1" applyBorder="1" applyProtection="1"/>
    <xf numFmtId="10" fontId="217" fillId="68" borderId="0" xfId="0" applyNumberFormat="1" applyFont="1" applyFill="1"/>
    <xf numFmtId="221" fontId="217" fillId="0" borderId="1" xfId="1398" applyNumberFormat="1" applyFont="1" applyBorder="1" applyProtection="1"/>
    <xf numFmtId="221" fontId="217" fillId="68" borderId="0" xfId="1398" applyNumberFormat="1" applyFont="1" applyFill="1" applyProtection="1"/>
    <xf numFmtId="221" fontId="217" fillId="68" borderId="1" xfId="1398" applyNumberFormat="1" applyFont="1" applyFill="1" applyBorder="1" applyProtection="1"/>
    <xf numFmtId="221" fontId="217" fillId="81" borderId="0" xfId="1398" applyNumberFormat="1" applyFont="1" applyFill="1" applyProtection="1"/>
    <xf numFmtId="221" fontId="217" fillId="81" borderId="1" xfId="1398" applyNumberFormat="1" applyFont="1" applyFill="1" applyBorder="1" applyProtection="1"/>
    <xf numFmtId="10" fontId="231" fillId="68" borderId="42" xfId="0" applyNumberFormat="1" applyFont="1" applyFill="1" applyBorder="1"/>
    <xf numFmtId="221" fontId="217" fillId="0" borderId="8" xfId="1398" applyNumberFormat="1" applyFont="1" applyBorder="1" applyProtection="1"/>
    <xf numFmtId="221" fontId="217" fillId="68" borderId="8" xfId="1398" applyNumberFormat="1" applyFont="1" applyFill="1" applyBorder="1" applyProtection="1"/>
    <xf numFmtId="221" fontId="217" fillId="81" borderId="8" xfId="1398" applyNumberFormat="1" applyFont="1" applyFill="1" applyBorder="1" applyProtection="1"/>
    <xf numFmtId="221" fontId="221" fillId="81" borderId="20" xfId="1398" applyNumberFormat="1" applyFont="1" applyFill="1" applyBorder="1" applyProtection="1"/>
    <xf numFmtId="221" fontId="217" fillId="0" borderId="22" xfId="1398" applyNumberFormat="1" applyFont="1" applyBorder="1" applyProtection="1"/>
    <xf numFmtId="9" fontId="225" fillId="0" borderId="0" xfId="1033" applyFont="1" applyAlignment="1" applyProtection="1">
      <alignment horizontal="right" vertical="center" wrapText="1"/>
    </xf>
    <xf numFmtId="0" fontId="217" fillId="0" borderId="46" xfId="907" quotePrefix="1" applyFont="1" applyFill="1" applyBorder="1" applyProtection="1"/>
    <xf numFmtId="0" fontId="217" fillId="0" borderId="0" xfId="907" quotePrefix="1" applyFont="1" applyFill="1" applyAlignment="1" applyProtection="1">
      <alignment horizontal="left" indent="1"/>
    </xf>
    <xf numFmtId="350" fontId="217" fillId="68" borderId="0" xfId="1033" applyNumberFormat="1" applyFont="1" applyFill="1" applyProtection="1"/>
    <xf numFmtId="350" fontId="231" fillId="68" borderId="41" xfId="1033" applyNumberFormat="1" applyFont="1" applyFill="1" applyBorder="1" applyProtection="1"/>
    <xf numFmtId="10" fontId="230" fillId="0" borderId="11" xfId="907" applyNumberFormat="1" applyFont="1" applyFill="1" applyBorder="1" applyProtection="1"/>
    <xf numFmtId="3" fontId="221" fillId="0" borderId="0" xfId="907" applyNumberFormat="1" applyFont="1" applyFill="1" applyProtection="1"/>
    <xf numFmtId="9" fontId="227" fillId="0" borderId="0" xfId="1033" applyFont="1" applyFill="1" applyProtection="1"/>
    <xf numFmtId="221" fontId="217" fillId="0" borderId="11" xfId="1398" quotePrefix="1" applyNumberFormat="1" applyFont="1" applyFill="1" applyBorder="1" applyProtection="1"/>
    <xf numFmtId="3" fontId="221" fillId="0" borderId="48" xfId="907" applyNumberFormat="1" applyFont="1" applyFill="1" applyBorder="1" applyAlignment="1" applyProtection="1">
      <alignment vertical="center"/>
    </xf>
    <xf numFmtId="0" fontId="218" fillId="78" borderId="0" xfId="1090" applyFont="1" applyFill="1" applyAlignment="1" applyProtection="1">
      <alignment vertical="center"/>
      <protection locked="0"/>
    </xf>
    <xf numFmtId="0" fontId="241" fillId="52" borderId="0" xfId="0" applyFont="1" applyFill="1" applyAlignment="1" applyProtection="1">
      <alignment horizontal="right"/>
      <protection locked="0"/>
    </xf>
    <xf numFmtId="0" fontId="221" fillId="0" borderId="0" xfId="0" applyFont="1" applyAlignment="1" applyProtection="1">
      <alignment horizontal="left" indent="1"/>
      <protection locked="0"/>
    </xf>
    <xf numFmtId="221" fontId="231" fillId="0" borderId="0" xfId="1398" applyNumberFormat="1" applyFont="1" applyProtection="1">
      <protection locked="0"/>
    </xf>
    <xf numFmtId="0" fontId="217" fillId="0" borderId="0" xfId="0" quotePrefix="1" applyFont="1" applyAlignment="1" applyProtection="1">
      <alignment horizontal="left" indent="1"/>
      <protection locked="0"/>
    </xf>
    <xf numFmtId="9" fontId="226" fillId="0" borderId="0" xfId="0" applyNumberFormat="1" applyFont="1" applyProtection="1">
      <protection locked="0"/>
    </xf>
    <xf numFmtId="0" fontId="217" fillId="0" borderId="0" xfId="0" quotePrefix="1" applyFont="1" applyProtection="1">
      <protection locked="0"/>
    </xf>
    <xf numFmtId="10" fontId="226" fillId="0" borderId="0" xfId="0" applyNumberFormat="1" applyFont="1" applyProtection="1">
      <protection locked="0"/>
    </xf>
    <xf numFmtId="0" fontId="218" fillId="0" borderId="0" xfId="1090" applyFont="1" applyAlignment="1" applyProtection="1">
      <alignment vertical="center"/>
      <protection locked="0"/>
    </xf>
    <xf numFmtId="0" fontId="217" fillId="79" borderId="0" xfId="0" applyFont="1" applyFill="1" applyProtection="1">
      <protection locked="0"/>
    </xf>
    <xf numFmtId="0" fontId="226" fillId="0" borderId="0" xfId="0" quotePrefix="1" applyFont="1" applyProtection="1">
      <protection locked="0"/>
    </xf>
    <xf numFmtId="9" fontId="226" fillId="0" borderId="0" xfId="1033" applyFont="1" applyProtection="1">
      <protection locked="0"/>
    </xf>
    <xf numFmtId="9" fontId="217" fillId="79" borderId="0" xfId="1033" applyFont="1" applyFill="1" applyProtection="1">
      <protection locked="0"/>
    </xf>
    <xf numFmtId="0" fontId="217" fillId="0" borderId="0" xfId="0" applyFont="1" applyAlignment="1" applyProtection="1">
      <alignment horizontal="left" indent="1"/>
      <protection locked="0"/>
    </xf>
    <xf numFmtId="221" fontId="221" fillId="0" borderId="0" xfId="0" applyNumberFormat="1" applyFont="1" applyProtection="1">
      <protection locked="0"/>
    </xf>
    <xf numFmtId="0" fontId="221" fillId="0" borderId="42" xfId="0" applyFont="1" applyBorder="1" applyProtection="1">
      <protection locked="0"/>
    </xf>
    <xf numFmtId="0" fontId="221" fillId="0" borderId="8" xfId="0" applyFont="1" applyBorder="1" applyProtection="1">
      <protection locked="0"/>
    </xf>
    <xf numFmtId="0" fontId="241" fillId="61" borderId="0" xfId="0" applyFont="1" applyFill="1" applyAlignment="1" applyProtection="1">
      <alignment vertical="center"/>
      <protection locked="0"/>
    </xf>
    <xf numFmtId="0" fontId="241" fillId="61" borderId="45" xfId="1090" applyFont="1" applyFill="1" applyBorder="1" applyAlignment="1" applyProtection="1">
      <alignment horizontal="right" vertical="top"/>
      <protection locked="0"/>
    </xf>
    <xf numFmtId="0" fontId="241" fillId="60" borderId="45" xfId="1090" applyFont="1" applyFill="1" applyBorder="1" applyAlignment="1" applyProtection="1">
      <alignment horizontal="right" vertical="top"/>
      <protection locked="0"/>
    </xf>
    <xf numFmtId="349" fontId="242" fillId="0" borderId="0" xfId="0" applyNumberFormat="1" applyFont="1" applyAlignment="1" applyProtection="1">
      <alignment vertical="center"/>
      <protection locked="0"/>
    </xf>
    <xf numFmtId="0" fontId="241" fillId="0" borderId="0" xfId="1090" applyFont="1" applyAlignment="1" applyProtection="1">
      <alignment horizontal="right" vertical="top"/>
      <protection locked="0"/>
    </xf>
    <xf numFmtId="349" fontId="242" fillId="0" borderId="17" xfId="0" applyNumberFormat="1" applyFont="1" applyBorder="1" applyAlignment="1" applyProtection="1">
      <alignment vertical="center"/>
      <protection locked="0"/>
    </xf>
    <xf numFmtId="0" fontId="241" fillId="0" borderId="17" xfId="1090" applyFont="1" applyBorder="1" applyAlignment="1" applyProtection="1">
      <alignment horizontal="right" vertical="top"/>
      <protection locked="0"/>
    </xf>
    <xf numFmtId="0" fontId="221" fillId="0" borderId="46" xfId="0" applyFont="1" applyBorder="1" applyProtection="1">
      <protection locked="0"/>
    </xf>
    <xf numFmtId="221" fontId="225" fillId="0" borderId="0" xfId="1398" applyNumberFormat="1" applyFont="1" applyBorder="1" applyAlignment="1" applyProtection="1">
      <alignment horizontal="center"/>
      <protection locked="0"/>
    </xf>
    <xf numFmtId="0" fontId="221" fillId="0" borderId="0" xfId="0" applyFont="1" applyAlignment="1" applyProtection="1">
      <alignment horizontal="left" indent="2"/>
      <protection locked="0"/>
    </xf>
    <xf numFmtId="221" fontId="231" fillId="0" borderId="0" xfId="1398" applyNumberFormat="1" applyFont="1" applyBorder="1" applyAlignment="1" applyProtection="1">
      <alignment horizontal="center"/>
      <protection locked="0"/>
    </xf>
    <xf numFmtId="0" fontId="221" fillId="0" borderId="6" xfId="0" quotePrefix="1" applyFont="1" applyBorder="1" applyProtection="1">
      <protection locked="0"/>
    </xf>
    <xf numFmtId="0" fontId="221" fillId="0" borderId="6" xfId="0" applyFont="1" applyBorder="1" applyProtection="1">
      <protection locked="0"/>
    </xf>
    <xf numFmtId="221" fontId="221" fillId="0" borderId="6" xfId="1398" applyNumberFormat="1" applyFont="1" applyBorder="1" applyAlignment="1" applyProtection="1">
      <alignment horizontal="center"/>
      <protection locked="0"/>
    </xf>
    <xf numFmtId="221" fontId="233" fillId="0" borderId="0" xfId="1398" applyNumberFormat="1" applyFont="1" applyBorder="1" applyAlignment="1" applyProtection="1">
      <alignment horizontal="center"/>
      <protection locked="0"/>
    </xf>
    <xf numFmtId="0" fontId="221" fillId="73" borderId="6" xfId="0" applyFont="1" applyFill="1" applyBorder="1" applyProtection="1">
      <protection locked="0"/>
    </xf>
    <xf numFmtId="221" fontId="239" fillId="0" borderId="6" xfId="1398" applyNumberFormat="1" applyFont="1" applyBorder="1" applyAlignment="1" applyProtection="1">
      <alignment horizontal="center"/>
      <protection locked="0"/>
    </xf>
    <xf numFmtId="0" fontId="221" fillId="67" borderId="0" xfId="0" applyFont="1" applyFill="1" applyProtection="1">
      <protection locked="0"/>
    </xf>
    <xf numFmtId="221" fontId="221" fillId="0" borderId="6" xfId="0" applyNumberFormat="1" applyFont="1" applyBorder="1" applyProtection="1">
      <protection locked="0"/>
    </xf>
    <xf numFmtId="0" fontId="255" fillId="0" borderId="0" xfId="1399" applyBorder="1" applyProtection="1">
      <protection locked="0"/>
    </xf>
    <xf numFmtId="221" fontId="217" fillId="0" borderId="6" xfId="0" applyNumberFormat="1" applyFont="1" applyBorder="1" applyProtection="1">
      <protection locked="0"/>
    </xf>
    <xf numFmtId="0" fontId="221" fillId="0" borderId="40" xfId="0" applyFont="1" applyBorder="1" applyProtection="1">
      <protection locked="0"/>
    </xf>
    <xf numFmtId="0" fontId="221" fillId="0" borderId="9" xfId="0" applyFont="1" applyBorder="1" applyProtection="1">
      <protection locked="0"/>
    </xf>
    <xf numFmtId="0" fontId="221" fillId="0" borderId="12" xfId="0" applyFont="1" applyBorder="1" applyProtection="1">
      <protection locked="0"/>
    </xf>
    <xf numFmtId="1" fontId="241" fillId="0" borderId="45" xfId="1090" applyNumberFormat="1" applyFont="1" applyBorder="1" applyAlignment="1" applyProtection="1">
      <alignment horizontal="right" vertical="top"/>
      <protection locked="0"/>
    </xf>
    <xf numFmtId="181" fontId="217" fillId="0" borderId="10" xfId="0" applyNumberFormat="1" applyFont="1" applyBorder="1" applyProtection="1">
      <protection locked="0"/>
    </xf>
    <xf numFmtId="0" fontId="248" fillId="0" borderId="0" xfId="0" applyFont="1" applyProtection="1">
      <protection locked="0"/>
    </xf>
    <xf numFmtId="9" fontId="217" fillId="0" borderId="38" xfId="0" applyNumberFormat="1" applyFont="1" applyBorder="1" applyProtection="1">
      <protection locked="0"/>
    </xf>
    <xf numFmtId="221" fontId="231" fillId="0" borderId="0" xfId="1398" applyNumberFormat="1" applyFont="1" applyProtection="1"/>
    <xf numFmtId="0" fontId="221" fillId="0" borderId="0" xfId="0" applyFont="1" applyAlignment="1">
      <alignment horizontal="left"/>
    </xf>
    <xf numFmtId="181" fontId="231" fillId="0" borderId="0" xfId="0" applyNumberFormat="1" applyFont="1"/>
    <xf numFmtId="221" fontId="217" fillId="0" borderId="0" xfId="1398" applyNumberFormat="1" applyFont="1" applyAlignment="1" applyProtection="1">
      <alignment horizontal="right"/>
    </xf>
    <xf numFmtId="9" fontId="217" fillId="79" borderId="0" xfId="1033" applyFont="1" applyFill="1" applyProtection="1"/>
    <xf numFmtId="221" fontId="217" fillId="79" borderId="0" xfId="0" applyNumberFormat="1" applyFont="1" applyFill="1"/>
    <xf numFmtId="172" fontId="217" fillId="0" borderId="0" xfId="0" applyNumberFormat="1" applyFont="1"/>
    <xf numFmtId="221" fontId="221" fillId="0" borderId="0" xfId="0" applyNumberFormat="1" applyFont="1"/>
    <xf numFmtId="221" fontId="221" fillId="0" borderId="43" xfId="1398" applyNumberFormat="1" applyFont="1" applyBorder="1" applyProtection="1"/>
    <xf numFmtId="0" fontId="217" fillId="0" borderId="0" xfId="0" applyFont="1" applyAlignment="1">
      <alignment horizontal="left" indent="1"/>
    </xf>
    <xf numFmtId="3" fontId="225" fillId="0" borderId="0" xfId="0" applyNumberFormat="1" applyFont="1"/>
    <xf numFmtId="49" fontId="242" fillId="61" borderId="0" xfId="1033" applyNumberFormat="1" applyFont="1" applyFill="1" applyBorder="1" applyAlignment="1" applyProtection="1">
      <alignment horizontal="right" vertical="center"/>
    </xf>
    <xf numFmtId="1" fontId="241" fillId="61" borderId="45" xfId="1090" applyNumberFormat="1" applyFont="1" applyFill="1" applyBorder="1" applyAlignment="1">
      <alignment horizontal="right" vertical="top"/>
    </xf>
    <xf numFmtId="1" fontId="241" fillId="60" borderId="45" xfId="1090" applyNumberFormat="1" applyFont="1" applyFill="1" applyBorder="1" applyAlignment="1">
      <alignment horizontal="right" vertical="top"/>
    </xf>
    <xf numFmtId="349" fontId="239" fillId="0" borderId="17" xfId="0" applyNumberFormat="1" applyFont="1" applyBorder="1" applyAlignment="1">
      <alignment vertical="center"/>
    </xf>
    <xf numFmtId="221" fontId="231" fillId="0" borderId="46" xfId="1398" applyNumberFormat="1" applyFont="1" applyBorder="1" applyAlignment="1" applyProtection="1">
      <alignment horizontal="center"/>
    </xf>
    <xf numFmtId="221" fontId="225" fillId="0" borderId="0" xfId="1398" applyNumberFormat="1" applyFont="1" applyBorder="1" applyAlignment="1" applyProtection="1">
      <alignment horizontal="center"/>
    </xf>
    <xf numFmtId="221" fontId="221" fillId="0" borderId="0" xfId="1398" applyNumberFormat="1" applyFont="1" applyBorder="1" applyAlignment="1" applyProtection="1">
      <alignment horizontal="center"/>
    </xf>
    <xf numFmtId="221" fontId="217" fillId="0" borderId="40" xfId="1398" applyNumberFormat="1" applyFont="1" applyBorder="1" applyAlignment="1" applyProtection="1">
      <alignment horizontal="center"/>
    </xf>
    <xf numFmtId="221" fontId="217" fillId="0" borderId="6" xfId="1398" applyNumberFormat="1" applyFont="1" applyBorder="1" applyAlignment="1" applyProtection="1">
      <alignment horizontal="center"/>
    </xf>
    <xf numFmtId="221" fontId="217" fillId="0" borderId="38" xfId="1398" applyNumberFormat="1" applyFont="1" applyBorder="1" applyAlignment="1" applyProtection="1">
      <alignment horizontal="center"/>
    </xf>
    <xf numFmtId="221" fontId="231" fillId="0" borderId="0" xfId="1398" applyNumberFormat="1" applyFont="1" applyBorder="1" applyAlignment="1" applyProtection="1">
      <alignment horizontal="center"/>
    </xf>
    <xf numFmtId="221" fontId="221" fillId="0" borderId="9" xfId="1398" applyNumberFormat="1" applyFont="1" applyBorder="1" applyAlignment="1" applyProtection="1">
      <alignment horizontal="center"/>
    </xf>
    <xf numFmtId="221" fontId="221" fillId="0" borderId="10" xfId="1398" applyNumberFormat="1" applyFont="1" applyBorder="1" applyAlignment="1" applyProtection="1">
      <alignment horizontal="center"/>
    </xf>
    <xf numFmtId="221" fontId="221" fillId="0" borderId="12" xfId="1398" applyNumberFormat="1" applyFont="1" applyBorder="1" applyAlignment="1" applyProtection="1">
      <alignment horizontal="center"/>
    </xf>
    <xf numFmtId="221" fontId="221" fillId="0" borderId="39" xfId="1398" applyNumberFormat="1" applyFont="1" applyBorder="1" applyAlignment="1" applyProtection="1">
      <alignment horizontal="center"/>
    </xf>
    <xf numFmtId="0" fontId="221" fillId="0" borderId="46" xfId="0" applyFont="1" applyBorder="1"/>
    <xf numFmtId="0" fontId="221" fillId="0" borderId="0" xfId="0" applyFont="1"/>
    <xf numFmtId="0" fontId="221" fillId="0" borderId="0" xfId="0" applyFont="1" applyAlignment="1">
      <alignment horizontal="left" indent="2"/>
    </xf>
    <xf numFmtId="49" fontId="221" fillId="0" borderId="17" xfId="0" applyNumberFormat="1" applyFont="1" applyBorder="1"/>
    <xf numFmtId="221" fontId="221" fillId="0" borderId="6" xfId="1398" applyNumberFormat="1" applyFont="1" applyBorder="1" applyAlignment="1" applyProtection="1">
      <alignment horizontal="center"/>
    </xf>
    <xf numFmtId="221" fontId="233" fillId="0" borderId="0" xfId="1398" applyNumberFormat="1" applyFont="1" applyBorder="1" applyAlignment="1" applyProtection="1">
      <alignment horizontal="center"/>
    </xf>
    <xf numFmtId="221" fontId="239" fillId="73" borderId="6" xfId="1398" applyNumberFormat="1" applyFont="1" applyFill="1" applyBorder="1" applyAlignment="1" applyProtection="1">
      <alignment horizontal="center"/>
    </xf>
    <xf numFmtId="221" fontId="221" fillId="67" borderId="0" xfId="0" applyNumberFormat="1" applyFont="1" applyFill="1"/>
    <xf numFmtId="221" fontId="221" fillId="0" borderId="6" xfId="0" applyNumberFormat="1" applyFont="1" applyBorder="1"/>
    <xf numFmtId="221" fontId="217" fillId="0" borderId="6" xfId="0" applyNumberFormat="1" applyFont="1" applyBorder="1"/>
    <xf numFmtId="221" fontId="217" fillId="0" borderId="38" xfId="0" applyNumberFormat="1" applyFont="1" applyBorder="1"/>
    <xf numFmtId="181" fontId="217" fillId="0" borderId="0" xfId="0" applyNumberFormat="1" applyFont="1"/>
    <xf numFmtId="175" fontId="221" fillId="0" borderId="6" xfId="1033" applyNumberFormat="1" applyFont="1" applyBorder="1" applyProtection="1"/>
    <xf numFmtId="49" fontId="0" fillId="0" borderId="10" xfId="0" applyNumberFormat="1" applyBorder="1"/>
    <xf numFmtId="49" fontId="33" fillId="0" borderId="0" xfId="0" applyNumberFormat="1" applyFont="1"/>
    <xf numFmtId="49" fontId="33" fillId="0" borderId="17" xfId="0" applyNumberFormat="1" applyFont="1" applyBorder="1"/>
    <xf numFmtId="49" fontId="33" fillId="0" borderId="71" xfId="0" applyNumberFormat="1" applyFont="1" applyBorder="1"/>
    <xf numFmtId="49" fontId="33" fillId="0" borderId="10" xfId="0" applyNumberFormat="1" applyFont="1" applyBorder="1"/>
    <xf numFmtId="0" fontId="4" fillId="0" borderId="70" xfId="0" applyFont="1" applyBorder="1" applyAlignment="1">
      <alignment wrapText="1"/>
    </xf>
    <xf numFmtId="49" fontId="37" fillId="0" borderId="39" xfId="0" applyNumberFormat="1" applyFont="1" applyBorder="1"/>
    <xf numFmtId="49" fontId="4" fillId="0" borderId="5" xfId="0" applyNumberFormat="1" applyFont="1" applyBorder="1"/>
    <xf numFmtId="49" fontId="217" fillId="0" borderId="10" xfId="0" applyNumberFormat="1" applyFont="1" applyBorder="1" applyAlignment="1">
      <alignment horizontal="left" vertical="center" indent="1"/>
    </xf>
    <xf numFmtId="49" fontId="217" fillId="0" borderId="39" xfId="0" applyNumberFormat="1" applyFont="1" applyBorder="1" applyAlignment="1">
      <alignment horizontal="left" vertical="center" indent="1"/>
    </xf>
    <xf numFmtId="49" fontId="227" fillId="0" borderId="10" xfId="0" applyNumberFormat="1" applyFont="1" applyBorder="1" applyAlignment="1">
      <alignment horizontal="left" vertical="center" indent="1"/>
    </xf>
    <xf numFmtId="49" fontId="217" fillId="0" borderId="10" xfId="0" applyNumberFormat="1" applyFont="1" applyBorder="1" applyAlignment="1">
      <alignment vertical="center"/>
    </xf>
    <xf numFmtId="49" fontId="221" fillId="0" borderId="43" xfId="0" applyNumberFormat="1" applyFont="1" applyBorder="1" applyAlignment="1">
      <alignment vertical="center"/>
    </xf>
    <xf numFmtId="49" fontId="227" fillId="0" borderId="10" xfId="0" applyNumberFormat="1" applyFont="1" applyBorder="1" applyAlignment="1">
      <alignment vertical="center"/>
    </xf>
    <xf numFmtId="49" fontId="217" fillId="0" borderId="10" xfId="0" applyNumberFormat="1" applyFont="1" applyBorder="1" applyAlignment="1">
      <alignment horizontal="left" vertical="center" indent="2"/>
    </xf>
    <xf numFmtId="49" fontId="227" fillId="0" borderId="38" xfId="0" applyNumberFormat="1" applyFont="1" applyBorder="1" applyAlignment="1">
      <alignment horizontal="left" vertical="center" indent="1"/>
    </xf>
    <xf numFmtId="49" fontId="217" fillId="0" borderId="39" xfId="0" applyNumberFormat="1" applyFont="1" applyBorder="1" applyAlignment="1">
      <alignment horizontal="left" vertical="center" indent="2"/>
    </xf>
    <xf numFmtId="49" fontId="217" fillId="0" borderId="38" xfId="0" applyNumberFormat="1" applyFont="1" applyBorder="1" applyAlignment="1">
      <alignment horizontal="left" vertical="center" indent="1"/>
    </xf>
    <xf numFmtId="49" fontId="227" fillId="0" borderId="39" xfId="0" applyNumberFormat="1" applyFont="1" applyBorder="1" applyAlignment="1">
      <alignment horizontal="left" vertical="center" indent="1"/>
    </xf>
    <xf numFmtId="49" fontId="221" fillId="0" borderId="10" xfId="0" applyNumberFormat="1" applyFont="1" applyBorder="1" applyAlignment="1">
      <alignment vertical="center"/>
    </xf>
    <xf numFmtId="49" fontId="221" fillId="0" borderId="72" xfId="0" applyNumberFormat="1" applyFont="1" applyBorder="1" applyAlignment="1">
      <alignment vertical="center"/>
    </xf>
    <xf numFmtId="49" fontId="277" fillId="0" borderId="39" xfId="0" applyNumberFormat="1" applyFont="1" applyBorder="1" applyAlignment="1">
      <alignment horizontal="left" vertical="center"/>
    </xf>
    <xf numFmtId="49" fontId="277" fillId="0" borderId="10" xfId="0" applyNumberFormat="1" applyFont="1" applyBorder="1" applyAlignment="1">
      <alignment horizontal="left" vertical="center"/>
    </xf>
    <xf numFmtId="49" fontId="276" fillId="0" borderId="10" xfId="0" applyNumberFormat="1" applyFont="1" applyBorder="1" applyAlignment="1">
      <alignment horizontal="left" vertical="center" indent="1"/>
    </xf>
    <xf numFmtId="49" fontId="276" fillId="0" borderId="10" xfId="0" applyNumberFormat="1" applyFont="1" applyBorder="1" applyAlignment="1">
      <alignment horizontal="left" vertical="center" indent="2"/>
    </xf>
    <xf numFmtId="49" fontId="276" fillId="0" borderId="10" xfId="0" applyNumberFormat="1" applyFont="1" applyBorder="1" applyAlignment="1">
      <alignment vertical="center"/>
    </xf>
    <xf numFmtId="49" fontId="276" fillId="0" borderId="10" xfId="0" applyNumberFormat="1" applyFont="1" applyBorder="1" applyAlignment="1">
      <alignment horizontal="left" vertical="center"/>
    </xf>
    <xf numFmtId="49" fontId="277" fillId="0" borderId="72" xfId="0" applyNumberFormat="1" applyFont="1" applyBorder="1" applyAlignment="1">
      <alignment horizontal="left" vertical="center"/>
    </xf>
    <xf numFmtId="49" fontId="277" fillId="0" borderId="39" xfId="0" applyNumberFormat="1" applyFont="1" applyBorder="1" applyAlignment="1">
      <alignment vertical="center"/>
    </xf>
    <xf numFmtId="49" fontId="277" fillId="0" borderId="10" xfId="0" applyNumberFormat="1" applyFont="1" applyBorder="1" applyAlignment="1">
      <alignment vertical="center"/>
    </xf>
    <xf numFmtId="49" fontId="277" fillId="0" borderId="72" xfId="0" applyNumberFormat="1" applyFont="1" applyBorder="1" applyAlignment="1">
      <alignment vertical="center"/>
    </xf>
    <xf numFmtId="49" fontId="4" fillId="0" borderId="10" xfId="0" applyNumberFormat="1" applyFont="1" applyBorder="1"/>
    <xf numFmtId="49" fontId="278" fillId="0" borderId="10" xfId="0" applyNumberFormat="1" applyFont="1" applyBorder="1" applyAlignment="1">
      <alignment vertical="center" wrapText="1"/>
    </xf>
    <xf numFmtId="49" fontId="277" fillId="0" borderId="10" xfId="0" applyNumberFormat="1" applyFont="1" applyBorder="1" applyAlignment="1">
      <alignment vertical="center" wrapText="1"/>
    </xf>
    <xf numFmtId="49" fontId="277" fillId="0" borderId="43" xfId="0" quotePrefix="1" applyNumberFormat="1" applyFont="1" applyBorder="1" applyAlignment="1">
      <alignment vertical="center" wrapText="1"/>
    </xf>
    <xf numFmtId="49" fontId="277" fillId="0" borderId="10" xfId="0" applyNumberFormat="1" applyFont="1" applyBorder="1" applyAlignment="1">
      <alignment horizontal="left" vertical="center" wrapText="1"/>
    </xf>
    <xf numFmtId="49" fontId="279" fillId="0" borderId="10" xfId="0" applyNumberFormat="1" applyFont="1" applyBorder="1" applyAlignment="1">
      <alignment vertical="center" wrapText="1"/>
    </xf>
    <xf numFmtId="49" fontId="277" fillId="75" borderId="72" xfId="0" quotePrefix="1" applyNumberFormat="1" applyFont="1" applyFill="1" applyBorder="1" applyAlignment="1">
      <alignment vertical="center" wrapText="1"/>
    </xf>
    <xf numFmtId="49" fontId="4" fillId="0" borderId="39" xfId="0" applyNumberFormat="1" applyFont="1" applyBorder="1"/>
    <xf numFmtId="49" fontId="33" fillId="0" borderId="39" xfId="0" applyNumberFormat="1" applyFont="1" applyBorder="1"/>
    <xf numFmtId="49" fontId="33" fillId="0" borderId="72" xfId="0" applyNumberFormat="1" applyFont="1" applyBorder="1"/>
    <xf numFmtId="49" fontId="280" fillId="0" borderId="10" xfId="0" applyNumberFormat="1" applyFont="1" applyBorder="1" applyAlignment="1">
      <alignment vertical="center"/>
    </xf>
    <xf numFmtId="0" fontId="218" fillId="61" borderId="0" xfId="0" applyFont="1" applyFill="1" applyAlignment="1">
      <alignment horizontal="left" vertical="center"/>
    </xf>
    <xf numFmtId="3" fontId="224" fillId="61" borderId="0" xfId="0" applyNumberFormat="1" applyFont="1" applyFill="1" applyAlignment="1">
      <alignment horizontal="right" vertical="center"/>
    </xf>
    <xf numFmtId="0" fontId="241" fillId="0" borderId="11" xfId="0" applyFont="1" applyBorder="1" applyAlignment="1">
      <alignment horizontal="left" vertical="center"/>
    </xf>
    <xf numFmtId="0" fontId="221" fillId="0" borderId="0" xfId="0" applyFont="1" applyAlignment="1">
      <alignment horizontal="left" vertical="center"/>
    </xf>
    <xf numFmtId="0" fontId="242" fillId="0" borderId="0" xfId="0" applyFont="1" applyAlignment="1">
      <alignment horizontal="left" vertical="center" indent="1"/>
    </xf>
    <xf numFmtId="0" fontId="242" fillId="0" borderId="0" xfId="0" applyFont="1" applyAlignment="1">
      <alignment horizontal="left" vertical="center"/>
    </xf>
    <xf numFmtId="0" fontId="242" fillId="0" borderId="6" xfId="0" applyFont="1" applyBorder="1" applyAlignment="1">
      <alignment horizontal="left" vertical="center"/>
    </xf>
    <xf numFmtId="0" fontId="241" fillId="0" borderId="0" xfId="0" applyFont="1" applyAlignment="1">
      <alignment horizontal="left" vertical="center"/>
    </xf>
    <xf numFmtId="0" fontId="221" fillId="0" borderId="11" xfId="0" applyFont="1" applyBorder="1" applyAlignment="1">
      <alignment horizontal="left" vertical="center"/>
    </xf>
    <xf numFmtId="0" fontId="221" fillId="0" borderId="6" xfId="0" applyFont="1" applyBorder="1" applyAlignment="1">
      <alignment horizontal="left" vertical="center"/>
    </xf>
    <xf numFmtId="0" fontId="224" fillId="51" borderId="0" xfId="1090" applyFont="1" applyFill="1" applyAlignment="1" applyProtection="1">
      <alignment horizontal="left" vertical="center"/>
      <protection locked="0"/>
    </xf>
    <xf numFmtId="0" fontId="217" fillId="51" borderId="0" xfId="0" applyFont="1" applyFill="1" applyAlignment="1" applyProtection="1">
      <alignment horizontal="left" vertical="center"/>
      <protection locked="0"/>
    </xf>
    <xf numFmtId="49" fontId="217" fillId="0" borderId="0" xfId="0" applyNumberFormat="1" applyFont="1" applyAlignment="1" applyProtection="1">
      <alignment horizontal="left" vertical="center"/>
      <protection locked="0"/>
    </xf>
    <xf numFmtId="49" fontId="241" fillId="0" borderId="0" xfId="0" applyNumberFormat="1" applyFont="1" applyAlignment="1" applyProtection="1">
      <alignment vertical="center"/>
      <protection locked="0"/>
    </xf>
    <xf numFmtId="0" fontId="241" fillId="0" borderId="0" xfId="0" applyFont="1" applyAlignment="1" applyProtection="1">
      <alignment vertical="center"/>
      <protection locked="0"/>
    </xf>
    <xf numFmtId="49" fontId="217" fillId="69" borderId="0" xfId="0" applyNumberFormat="1" applyFont="1" applyFill="1" applyAlignment="1" applyProtection="1">
      <alignment horizontal="left" vertical="center"/>
      <protection locked="0"/>
    </xf>
    <xf numFmtId="49" fontId="217" fillId="0" borderId="0" xfId="0" applyNumberFormat="1" applyFont="1" applyAlignment="1" applyProtection="1">
      <alignment vertical="center" wrapText="1"/>
      <protection locked="0"/>
    </xf>
    <xf numFmtId="49" fontId="221" fillId="67" borderId="46" xfId="0" applyNumberFormat="1" applyFont="1" applyFill="1" applyBorder="1" applyAlignment="1" applyProtection="1">
      <alignment horizontal="left" vertical="center"/>
      <protection locked="0"/>
    </xf>
    <xf numFmtId="49" fontId="217" fillId="67" borderId="46" xfId="0" applyNumberFormat="1" applyFont="1" applyFill="1" applyBorder="1" applyAlignment="1" applyProtection="1">
      <alignment vertical="center" wrapText="1"/>
      <protection locked="0"/>
    </xf>
    <xf numFmtId="49" fontId="217" fillId="67" borderId="74" xfId="0" applyNumberFormat="1" applyFont="1" applyFill="1" applyBorder="1" applyAlignment="1" applyProtection="1">
      <alignment horizontal="left" vertical="center"/>
      <protection locked="0"/>
    </xf>
    <xf numFmtId="0" fontId="241" fillId="51" borderId="0" xfId="0" quotePrefix="1" applyFont="1" applyFill="1" applyAlignment="1" applyProtection="1">
      <alignment horizontal="left" vertical="center"/>
      <protection locked="0"/>
    </xf>
    <xf numFmtId="49" fontId="221" fillId="76" borderId="0" xfId="0" quotePrefix="1" applyNumberFormat="1" applyFont="1" applyFill="1" applyAlignment="1" applyProtection="1">
      <alignment horizontal="left" vertical="center"/>
      <protection locked="0"/>
    </xf>
    <xf numFmtId="49" fontId="221" fillId="77" borderId="0" xfId="0" quotePrefix="1" applyNumberFormat="1" applyFont="1" applyFill="1" applyAlignment="1" applyProtection="1">
      <alignment horizontal="left" vertical="center"/>
      <protection locked="0"/>
    </xf>
    <xf numFmtId="49" fontId="241" fillId="66" borderId="0" xfId="0" quotePrefix="1" applyNumberFormat="1" applyFont="1" applyFill="1" applyAlignment="1" applyProtection="1">
      <alignment horizontal="left" vertical="center"/>
      <protection locked="0"/>
    </xf>
    <xf numFmtId="0" fontId="245" fillId="65" borderId="0" xfId="1090" applyFont="1" applyFill="1" applyAlignment="1">
      <alignment vertical="top"/>
    </xf>
    <xf numFmtId="49" fontId="218" fillId="61" borderId="52" xfId="1385" applyNumberFormat="1" applyFont="1" applyFill="1" applyBorder="1" applyAlignment="1" applyProtection="1">
      <alignment vertical="center" wrapText="1"/>
      <protection locked="0"/>
    </xf>
    <xf numFmtId="49" fontId="221" fillId="61" borderId="52" xfId="1385" applyNumberFormat="1" applyFont="1" applyFill="1" applyBorder="1" applyAlignment="1" applyProtection="1">
      <alignment vertical="center"/>
      <protection locked="0"/>
    </xf>
    <xf numFmtId="9" fontId="217" fillId="0" borderId="0" xfId="0" applyNumberFormat="1" applyFont="1" applyAlignment="1">
      <alignment horizontal="left"/>
    </xf>
    <xf numFmtId="14" fontId="217" fillId="73" borderId="0" xfId="0" applyNumberFormat="1" applyFont="1" applyFill="1" applyAlignment="1" applyProtection="1">
      <alignment horizontal="left" vertical="center" indent="1"/>
      <protection locked="0"/>
    </xf>
    <xf numFmtId="14" fontId="217" fillId="52" borderId="0" xfId="0" applyNumberFormat="1" applyFont="1" applyFill="1" applyAlignment="1" applyProtection="1">
      <alignment horizontal="left" vertical="center" indent="1"/>
      <protection locked="0"/>
    </xf>
    <xf numFmtId="49" fontId="217" fillId="50" borderId="0" xfId="0" applyNumberFormat="1" applyFont="1" applyFill="1" applyAlignment="1" applyProtection="1">
      <alignment horizontal="left" vertical="center" indent="1"/>
      <protection locked="0"/>
    </xf>
    <xf numFmtId="0" fontId="217" fillId="51" borderId="0" xfId="0" applyFont="1" applyFill="1" applyAlignment="1" applyProtection="1">
      <alignment horizontal="left" vertical="center" indent="1"/>
      <protection locked="0"/>
    </xf>
    <xf numFmtId="49" fontId="217" fillId="76" borderId="0" xfId="0" applyNumberFormat="1" applyFont="1" applyFill="1" applyAlignment="1" applyProtection="1">
      <alignment horizontal="left" vertical="center" indent="1"/>
      <protection locked="0"/>
    </xf>
    <xf numFmtId="49" fontId="217" fillId="77" borderId="0" xfId="0" applyNumberFormat="1" applyFont="1" applyFill="1" applyAlignment="1" applyProtection="1">
      <alignment horizontal="left" vertical="center" indent="1"/>
      <protection locked="0"/>
    </xf>
    <xf numFmtId="49" fontId="242" fillId="66" borderId="0" xfId="0" applyNumberFormat="1" applyFont="1" applyFill="1" applyAlignment="1" applyProtection="1">
      <alignment horizontal="left" vertical="center" indent="1"/>
      <protection locked="0"/>
    </xf>
    <xf numFmtId="0" fontId="241" fillId="69" borderId="0" xfId="0" applyFont="1" applyFill="1" applyAlignment="1" applyProtection="1">
      <alignment horizontal="left" vertical="center" indent="1"/>
      <protection locked="0"/>
    </xf>
    <xf numFmtId="49" fontId="217" fillId="67" borderId="46" xfId="0" applyNumberFormat="1" applyFont="1" applyFill="1" applyBorder="1" applyAlignment="1" applyProtection="1">
      <alignment horizontal="left" vertical="center" wrapText="1" indent="1"/>
      <protection locked="0"/>
    </xf>
    <xf numFmtId="49" fontId="217" fillId="67" borderId="74" xfId="0" applyNumberFormat="1" applyFont="1" applyFill="1" applyBorder="1" applyAlignment="1" applyProtection="1">
      <alignment horizontal="left" vertical="center" indent="1"/>
      <protection locked="0"/>
    </xf>
    <xf numFmtId="0" fontId="217" fillId="67" borderId="74" xfId="0" applyFont="1" applyFill="1" applyBorder="1" applyAlignment="1" applyProtection="1">
      <alignment horizontal="left" vertical="center" indent="1"/>
      <protection locked="0"/>
    </xf>
    <xf numFmtId="49" fontId="241" fillId="69" borderId="0" xfId="0" applyNumberFormat="1" applyFont="1" applyFill="1" applyAlignment="1" applyProtection="1">
      <alignment horizontal="left" vertical="center"/>
      <protection locked="0"/>
    </xf>
    <xf numFmtId="49" fontId="217" fillId="67" borderId="74" xfId="0" applyNumberFormat="1" applyFont="1" applyFill="1" applyBorder="1" applyAlignment="1" applyProtection="1">
      <alignment horizontal="left" vertical="center" indent="2"/>
      <protection locked="0"/>
    </xf>
    <xf numFmtId="0" fontId="217" fillId="67" borderId="74" xfId="0" applyFont="1" applyFill="1" applyBorder="1" applyAlignment="1" applyProtection="1">
      <alignment horizontal="left" vertical="center" indent="2"/>
      <protection locked="0"/>
    </xf>
    <xf numFmtId="0" fontId="221" fillId="73" borderId="0" xfId="1090" applyFont="1" applyFill="1" applyAlignment="1" applyProtection="1">
      <alignment horizontal="left"/>
      <protection locked="0"/>
    </xf>
    <xf numFmtId="0" fontId="241" fillId="52" borderId="0" xfId="1090" applyFont="1" applyFill="1" applyAlignment="1" applyProtection="1">
      <alignment horizontal="left"/>
      <protection locked="0"/>
    </xf>
    <xf numFmtId="0" fontId="222" fillId="50" borderId="0" xfId="1090" applyFont="1" applyFill="1" applyAlignment="1" applyProtection="1">
      <alignment horizontal="left"/>
      <protection locked="0"/>
    </xf>
    <xf numFmtId="0" fontId="223" fillId="50" borderId="0" xfId="1090" applyFont="1" applyFill="1" applyAlignment="1" applyProtection="1">
      <alignment horizontal="left"/>
      <protection locked="0"/>
    </xf>
    <xf numFmtId="0" fontId="221" fillId="50" borderId="0" xfId="1090" applyFont="1" applyFill="1" applyAlignment="1" applyProtection="1">
      <alignment horizontal="left"/>
      <protection locked="0"/>
    </xf>
    <xf numFmtId="0" fontId="217" fillId="76" borderId="0" xfId="1090" applyFont="1" applyFill="1" applyAlignment="1" applyProtection="1">
      <alignment horizontal="left"/>
      <protection locked="0"/>
    </xf>
    <xf numFmtId="255" fontId="221" fillId="50" borderId="0" xfId="1398" applyNumberFormat="1" applyFont="1" applyFill="1" applyProtection="1"/>
    <xf numFmtId="172" fontId="221" fillId="50" borderId="0" xfId="1398" applyFont="1" applyFill="1" applyProtection="1"/>
    <xf numFmtId="255" fontId="221" fillId="50" borderId="0" xfId="1398" applyNumberFormat="1" applyFont="1" applyFill="1" applyBorder="1" applyProtection="1"/>
    <xf numFmtId="255" fontId="221" fillId="0" borderId="0" xfId="1398" applyNumberFormat="1" applyFont="1" applyBorder="1" applyProtection="1"/>
    <xf numFmtId="255" fontId="227" fillId="50" borderId="0" xfId="1398" applyNumberFormat="1" applyFont="1" applyFill="1" applyBorder="1" applyProtection="1"/>
    <xf numFmtId="9" fontId="227" fillId="50" borderId="0" xfId="1033" applyFont="1" applyFill="1" applyBorder="1" applyProtection="1"/>
    <xf numFmtId="0" fontId="221" fillId="50" borderId="6" xfId="1090" applyFont="1" applyFill="1" applyBorder="1" applyProtection="1">
      <protection locked="0"/>
    </xf>
    <xf numFmtId="255" fontId="221" fillId="50" borderId="6" xfId="1398" applyNumberFormat="1" applyFont="1" applyFill="1" applyBorder="1" applyProtection="1"/>
    <xf numFmtId="2" fontId="218" fillId="61" borderId="0" xfId="1094" applyNumberFormat="1" applyFont="1" applyFill="1" applyAlignment="1">
      <alignment horizontal="left" vertical="center"/>
    </xf>
    <xf numFmtId="349" fontId="282" fillId="61" borderId="0" xfId="1094" applyNumberFormat="1" applyFont="1" applyFill="1" applyAlignment="1">
      <alignment horizontal="left" vertical="center"/>
    </xf>
    <xf numFmtId="0" fontId="221" fillId="50" borderId="0" xfId="1090" applyFont="1" applyFill="1"/>
    <xf numFmtId="2" fontId="221" fillId="50" borderId="0" xfId="1090" applyNumberFormat="1" applyFont="1" applyFill="1"/>
    <xf numFmtId="49" fontId="227" fillId="50" borderId="11" xfId="1090" applyNumberFormat="1" applyFont="1" applyFill="1" applyBorder="1" applyAlignment="1">
      <alignment horizontal="left" indent="1"/>
    </xf>
    <xf numFmtId="2" fontId="221" fillId="0" borderId="0" xfId="1090" applyNumberFormat="1" applyFont="1"/>
    <xf numFmtId="0" fontId="221" fillId="50" borderId="6" xfId="1090" applyFont="1" applyFill="1" applyBorder="1"/>
    <xf numFmtId="2" fontId="221" fillId="50" borderId="6" xfId="1090" applyNumberFormat="1" applyFont="1" applyFill="1" applyBorder="1"/>
    <xf numFmtId="49" fontId="227" fillId="50" borderId="0" xfId="1090" applyNumberFormat="1" applyFont="1" applyFill="1" applyAlignment="1">
      <alignment horizontal="left" indent="1"/>
    </xf>
    <xf numFmtId="0" fontId="227" fillId="50" borderId="0" xfId="1090" applyFont="1" applyFill="1" applyAlignment="1">
      <alignment horizontal="left" indent="1"/>
    </xf>
    <xf numFmtId="0" fontId="227" fillId="50" borderId="11" xfId="1090" applyFont="1" applyFill="1" applyBorder="1" applyAlignment="1">
      <alignment horizontal="left" indent="1"/>
    </xf>
    <xf numFmtId="0" fontId="217" fillId="50" borderId="0" xfId="1090" applyFont="1" applyFill="1"/>
    <xf numFmtId="3" fontId="221" fillId="50" borderId="0" xfId="1090" applyNumberFormat="1" applyFont="1" applyFill="1"/>
    <xf numFmtId="0" fontId="221" fillId="0" borderId="0" xfId="1090" applyFont="1" applyAlignment="1">
      <alignment horizontal="left" vertical="center"/>
    </xf>
    <xf numFmtId="0" fontId="217" fillId="0" borderId="0" xfId="1090" applyFont="1" applyAlignment="1">
      <alignment horizontal="left" vertical="center" indent="1"/>
    </xf>
    <xf numFmtId="49" fontId="221" fillId="0" borderId="0" xfId="1090" applyNumberFormat="1" applyFont="1" applyAlignment="1">
      <alignment horizontal="left" vertical="center"/>
    </xf>
    <xf numFmtId="3" fontId="217" fillId="50" borderId="0" xfId="1090" applyNumberFormat="1" applyFont="1" applyFill="1"/>
    <xf numFmtId="49" fontId="221" fillId="50" borderId="0" xfId="1090" applyNumberFormat="1" applyFont="1" applyFill="1"/>
    <xf numFmtId="0" fontId="217" fillId="50" borderId="0" xfId="1090" applyFont="1" applyFill="1" applyAlignment="1">
      <alignment horizontal="left" indent="1"/>
    </xf>
    <xf numFmtId="4" fontId="227" fillId="85" borderId="0" xfId="0" applyNumberFormat="1" applyFont="1" applyFill="1" applyAlignment="1" applyProtection="1">
      <alignment vertical="center"/>
      <protection locked="0"/>
    </xf>
    <xf numFmtId="49" fontId="221" fillId="50" borderId="11" xfId="1090" applyNumberFormat="1" applyFont="1" applyFill="1" applyBorder="1" applyAlignment="1">
      <alignment horizontal="left"/>
    </xf>
    <xf numFmtId="0" fontId="217" fillId="50" borderId="11" xfId="1090" applyFont="1" applyFill="1" applyBorder="1"/>
    <xf numFmtId="49" fontId="217" fillId="50" borderId="0" xfId="1090" applyNumberFormat="1" applyFont="1" applyFill="1" applyAlignment="1">
      <alignment horizontal="left" indent="2"/>
    </xf>
    <xf numFmtId="49" fontId="221" fillId="50" borderId="0" xfId="1090" applyNumberFormat="1" applyFont="1" applyFill="1" applyAlignment="1">
      <alignment horizontal="left" indent="1"/>
    </xf>
    <xf numFmtId="181" fontId="217" fillId="50" borderId="0" xfId="1090" applyNumberFormat="1" applyFont="1" applyFill="1"/>
    <xf numFmtId="181" fontId="217" fillId="50" borderId="0" xfId="1090" applyNumberFormat="1" applyFont="1" applyFill="1" applyProtection="1">
      <protection locked="0"/>
    </xf>
    <xf numFmtId="49" fontId="217" fillId="0" borderId="0" xfId="0" quotePrefix="1" applyNumberFormat="1" applyFont="1" applyAlignment="1">
      <alignment horizontal="left" vertical="center" wrapText="1" indent="1"/>
    </xf>
    <xf numFmtId="49" fontId="227" fillId="0" borderId="0" xfId="0" applyNumberFormat="1" applyFont="1" applyAlignment="1" applyProtection="1">
      <alignment horizontal="right" vertical="center" wrapText="1"/>
      <protection locked="0"/>
    </xf>
    <xf numFmtId="0" fontId="4" fillId="0" borderId="0" xfId="1401"/>
    <xf numFmtId="0" fontId="33" fillId="0" borderId="0" xfId="1401" applyFont="1"/>
    <xf numFmtId="172" fontId="0" fillId="0" borderId="0" xfId="1402" applyFont="1"/>
    <xf numFmtId="172" fontId="33" fillId="0" borderId="0" xfId="1402" applyFont="1"/>
    <xf numFmtId="0" fontId="33" fillId="0" borderId="0" xfId="1401" applyFont="1" applyAlignment="1">
      <alignment horizontal="left" indent="1"/>
    </xf>
    <xf numFmtId="0" fontId="4" fillId="0" borderId="0" xfId="1401" applyAlignment="1">
      <alignment horizontal="left" indent="2"/>
    </xf>
    <xf numFmtId="0" fontId="4" fillId="0" borderId="0" xfId="1401" applyAlignment="1">
      <alignment horizontal="left" vertical="top" wrapText="1" indent="1"/>
    </xf>
    <xf numFmtId="0" fontId="4" fillId="0" borderId="0" xfId="1401" applyAlignment="1">
      <alignment horizontal="left" indent="1"/>
    </xf>
    <xf numFmtId="0" fontId="33" fillId="0" borderId="0" xfId="1401" applyFont="1" applyAlignment="1">
      <alignment horizontal="left" vertical="top" wrapText="1" indent="1"/>
    </xf>
    <xf numFmtId="0" fontId="4" fillId="0" borderId="0" xfId="1401" applyAlignment="1">
      <alignment horizontal="left" vertical="top" wrapText="1" indent="2"/>
    </xf>
    <xf numFmtId="0" fontId="4" fillId="0" borderId="0" xfId="1401" applyAlignment="1">
      <alignment horizontal="left" vertical="top" indent="2"/>
    </xf>
    <xf numFmtId="172" fontId="4" fillId="0" borderId="0" xfId="1401" applyNumberFormat="1"/>
    <xf numFmtId="49" fontId="220" fillId="83" borderId="0" xfId="0" applyNumberFormat="1" applyFont="1" applyFill="1" applyAlignment="1">
      <alignment vertical="center"/>
    </xf>
    <xf numFmtId="10" fontId="227" fillId="65" borderId="0" xfId="1033" applyNumberFormat="1" applyFont="1" applyFill="1" applyBorder="1" applyAlignment="1" applyProtection="1">
      <alignment horizontal="right" vertical="top"/>
    </xf>
    <xf numFmtId="10" fontId="227" fillId="65" borderId="0" xfId="1033" applyNumberFormat="1" applyFont="1" applyFill="1" applyAlignment="1" applyProtection="1">
      <alignment horizontal="right" vertical="top"/>
    </xf>
    <xf numFmtId="0" fontId="297" fillId="83" borderId="0" xfId="1090" applyFont="1" applyFill="1"/>
    <xf numFmtId="49" fontId="217" fillId="65" borderId="0" xfId="1090" applyNumberFormat="1" applyFont="1" applyFill="1" applyAlignment="1">
      <alignment horizontal="left" vertical="top" indent="2"/>
    </xf>
    <xf numFmtId="0" fontId="297" fillId="65" borderId="21" xfId="0" applyFont="1" applyFill="1" applyBorder="1" applyAlignment="1">
      <alignment horizontal="left" vertical="center"/>
    </xf>
    <xf numFmtId="170" fontId="223" fillId="65" borderId="21" xfId="1090" applyNumberFormat="1" applyFont="1" applyFill="1" applyBorder="1"/>
    <xf numFmtId="170" fontId="221" fillId="65" borderId="21" xfId="1090" applyNumberFormat="1" applyFont="1" applyFill="1" applyBorder="1"/>
    <xf numFmtId="170" fontId="223" fillId="65" borderId="82" xfId="1090" applyNumberFormat="1" applyFont="1" applyFill="1" applyBorder="1"/>
    <xf numFmtId="175" fontId="229" fillId="65" borderId="51" xfId="1033" applyNumberFormat="1" applyFont="1" applyFill="1" applyBorder="1" applyAlignment="1" applyProtection="1">
      <alignment horizontal="right" vertical="top"/>
    </xf>
    <xf numFmtId="170" fontId="223" fillId="65" borderId="0" xfId="1090" applyNumberFormat="1" applyFont="1" applyFill="1"/>
    <xf numFmtId="0" fontId="297" fillId="65" borderId="0" xfId="0" applyFont="1" applyFill="1" applyAlignment="1">
      <alignment horizontal="left" vertical="center"/>
    </xf>
    <xf numFmtId="0" fontId="217" fillId="65" borderId="11" xfId="1090" applyFont="1" applyFill="1" applyBorder="1" applyAlignment="1" applyProtection="1">
      <alignment vertical="top"/>
      <protection locked="0"/>
    </xf>
    <xf numFmtId="175" fontId="217" fillId="65" borderId="11" xfId="1033" applyNumberFormat="1" applyFont="1" applyFill="1" applyBorder="1" applyAlignment="1" applyProtection="1">
      <alignment horizontal="right" vertical="top"/>
      <protection locked="0"/>
    </xf>
    <xf numFmtId="0" fontId="217" fillId="65" borderId="6" xfId="1090" applyFont="1" applyFill="1" applyBorder="1" applyAlignment="1">
      <alignment horizontal="left" vertical="top" indent="3"/>
    </xf>
    <xf numFmtId="0" fontId="221" fillId="65" borderId="83" xfId="1090" applyFont="1" applyFill="1" applyBorder="1" applyAlignment="1">
      <alignment horizontal="left" vertical="top" indent="2"/>
    </xf>
    <xf numFmtId="221" fontId="229" fillId="65" borderId="83" xfId="1398" applyNumberFormat="1" applyFont="1" applyFill="1" applyBorder="1" applyAlignment="1" applyProtection="1">
      <alignment horizontal="right" vertical="top"/>
    </xf>
    <xf numFmtId="221" fontId="217" fillId="65" borderId="83" xfId="1398" applyNumberFormat="1" applyFont="1" applyFill="1" applyBorder="1" applyAlignment="1" applyProtection="1">
      <alignment horizontal="right" vertical="top"/>
      <protection locked="0"/>
    </xf>
    <xf numFmtId="170" fontId="221" fillId="65" borderId="11" xfId="1090" applyNumberFormat="1" applyFont="1" applyFill="1" applyBorder="1"/>
    <xf numFmtId="0" fontId="227" fillId="65" borderId="11" xfId="1090" applyFont="1" applyFill="1" applyBorder="1" applyAlignment="1" applyProtection="1">
      <alignment vertical="top"/>
      <protection locked="0"/>
    </xf>
    <xf numFmtId="175" fontId="249" fillId="65" borderId="11" xfId="1033" applyNumberFormat="1" applyFont="1" applyFill="1" applyBorder="1" applyAlignment="1" applyProtection="1">
      <alignment horizontal="right" vertical="top"/>
      <protection locked="0"/>
    </xf>
    <xf numFmtId="170" fontId="229" fillId="65" borderId="83" xfId="1398" applyNumberFormat="1" applyFont="1" applyFill="1" applyBorder="1" applyAlignment="1" applyProtection="1">
      <alignment horizontal="right" vertical="top"/>
    </xf>
    <xf numFmtId="170" fontId="217" fillId="65" borderId="83" xfId="1398" applyNumberFormat="1" applyFont="1" applyFill="1" applyBorder="1" applyAlignment="1" applyProtection="1">
      <alignment horizontal="right" vertical="top"/>
    </xf>
    <xf numFmtId="37" fontId="217" fillId="0" borderId="0" xfId="1090" applyNumberFormat="1" applyFont="1" applyAlignment="1" applyProtection="1">
      <alignment horizontal="right" vertical="top"/>
      <protection locked="0"/>
    </xf>
    <xf numFmtId="170" fontId="239" fillId="0" borderId="8" xfId="1090" applyNumberFormat="1" applyFont="1" applyBorder="1" applyAlignment="1">
      <alignment horizontal="right"/>
    </xf>
    <xf numFmtId="170" fontId="239" fillId="0" borderId="0" xfId="1090" applyNumberFormat="1" applyFont="1" applyAlignment="1">
      <alignment horizontal="right"/>
    </xf>
    <xf numFmtId="3" fontId="239" fillId="0" borderId="0" xfId="1090" applyNumberFormat="1" applyFont="1" applyAlignment="1" applyProtection="1">
      <alignment horizontal="right"/>
      <protection locked="0"/>
    </xf>
    <xf numFmtId="3" fontId="241" fillId="50" borderId="0" xfId="1090" applyNumberFormat="1" applyFont="1" applyFill="1" applyAlignment="1" applyProtection="1">
      <alignment horizontal="right"/>
      <protection locked="0"/>
    </xf>
    <xf numFmtId="3" fontId="241" fillId="83" borderId="0" xfId="1090" applyNumberFormat="1" applyFont="1" applyFill="1" applyAlignment="1" applyProtection="1">
      <alignment horizontal="right"/>
      <protection locked="0"/>
    </xf>
    <xf numFmtId="170" fontId="223" fillId="65" borderId="21" xfId="1090" applyNumberFormat="1" applyFont="1" applyFill="1" applyBorder="1" applyAlignment="1">
      <alignment horizontal="right"/>
    </xf>
    <xf numFmtId="37" fontId="221" fillId="50" borderId="0" xfId="1090" applyNumberFormat="1" applyFont="1" applyFill="1" applyAlignment="1" applyProtection="1">
      <alignment horizontal="right" vertical="top"/>
      <protection locked="0"/>
    </xf>
    <xf numFmtId="37" fontId="217" fillId="65" borderId="11" xfId="1090" applyNumberFormat="1" applyFont="1" applyFill="1" applyBorder="1" applyAlignment="1" applyProtection="1">
      <alignment horizontal="right" vertical="top"/>
      <protection locked="0"/>
    </xf>
    <xf numFmtId="37" fontId="226" fillId="65" borderId="0" xfId="1090" applyNumberFormat="1" applyFont="1" applyFill="1" applyAlignment="1" applyProtection="1">
      <alignment horizontal="right" vertical="top"/>
      <protection locked="0"/>
    </xf>
    <xf numFmtId="37" fontId="217" fillId="65" borderId="6" xfId="1090" applyNumberFormat="1" applyFont="1" applyFill="1" applyBorder="1" applyAlignment="1" applyProtection="1">
      <alignment horizontal="right" vertical="top"/>
      <protection locked="0"/>
    </xf>
    <xf numFmtId="37" fontId="219" fillId="65" borderId="0" xfId="1090" applyNumberFormat="1" applyFont="1" applyFill="1" applyAlignment="1" applyProtection="1">
      <alignment horizontal="right" vertical="top"/>
      <protection locked="0"/>
    </xf>
    <xf numFmtId="37" fontId="227" fillId="65" borderId="0" xfId="1090" applyNumberFormat="1" applyFont="1" applyFill="1" applyAlignment="1">
      <alignment horizontal="right" vertical="top"/>
    </xf>
    <xf numFmtId="37" fontId="217" fillId="65" borderId="0" xfId="1090" applyNumberFormat="1" applyFont="1" applyFill="1" applyAlignment="1">
      <alignment horizontal="right"/>
    </xf>
    <xf numFmtId="37" fontId="241" fillId="0" borderId="0" xfId="1090" applyNumberFormat="1" applyFont="1" applyAlignment="1" applyProtection="1">
      <alignment horizontal="right" vertical="top"/>
      <protection locked="0"/>
    </xf>
    <xf numFmtId="37" fontId="241" fillId="65" borderId="0" xfId="1090" applyNumberFormat="1" applyFont="1" applyFill="1" applyAlignment="1" applyProtection="1">
      <alignment horizontal="right" vertical="top"/>
      <protection locked="0"/>
    </xf>
    <xf numFmtId="0" fontId="281" fillId="50" borderId="0" xfId="1090" applyFont="1" applyFill="1" applyProtection="1">
      <protection locked="0"/>
    </xf>
    <xf numFmtId="170" fontId="223" fillId="50" borderId="0" xfId="1090" applyNumberFormat="1" applyFont="1" applyFill="1"/>
    <xf numFmtId="0" fontId="297" fillId="50" borderId="0" xfId="0" applyFont="1" applyFill="1" applyAlignment="1">
      <alignment horizontal="left" vertical="center"/>
    </xf>
    <xf numFmtId="170" fontId="226" fillId="50" borderId="0" xfId="1090" applyNumberFormat="1" applyFont="1" applyFill="1" applyAlignment="1">
      <alignment horizontal="right"/>
    </xf>
    <xf numFmtId="170" fontId="229" fillId="65" borderId="83" xfId="731" applyNumberFormat="1" applyFont="1" applyFill="1" applyBorder="1" applyAlignment="1">
      <alignment horizontal="right" vertical="top"/>
    </xf>
    <xf numFmtId="221" fontId="229" fillId="65" borderId="83" xfId="1398" applyNumberFormat="1" applyFont="1" applyFill="1" applyBorder="1" applyAlignment="1" applyProtection="1">
      <alignment horizontal="right" vertical="top"/>
      <protection locked="0"/>
    </xf>
    <xf numFmtId="0" fontId="227" fillId="65" borderId="0" xfId="1090" quotePrefix="1" applyFont="1" applyFill="1" applyAlignment="1" applyProtection="1">
      <alignment vertical="top"/>
      <protection locked="0"/>
    </xf>
    <xf numFmtId="0" fontId="227" fillId="65" borderId="83" xfId="1090" quotePrefix="1" applyFont="1" applyFill="1" applyBorder="1" applyAlignment="1" applyProtection="1">
      <alignment vertical="top"/>
      <protection locked="0"/>
    </xf>
    <xf numFmtId="49" fontId="217" fillId="0" borderId="0" xfId="0" applyNumberFormat="1" applyFont="1" applyAlignment="1" applyProtection="1">
      <alignment horizontal="right" vertical="center"/>
      <protection locked="0"/>
    </xf>
    <xf numFmtId="3" fontId="221" fillId="0" borderId="8" xfId="0" applyNumberFormat="1" applyFont="1" applyBorder="1" applyAlignment="1">
      <alignment horizontal="right" vertical="center"/>
    </xf>
    <xf numFmtId="4" fontId="226" fillId="0" borderId="0" xfId="0" applyNumberFormat="1" applyFont="1" applyAlignment="1" applyProtection="1">
      <alignment horizontal="right" vertical="center"/>
      <protection locked="0"/>
    </xf>
    <xf numFmtId="175" fontId="227" fillId="0" borderId="0" xfId="1033" applyNumberFormat="1" applyFont="1" applyFill="1" applyBorder="1" applyAlignment="1" applyProtection="1">
      <alignment horizontal="right" vertical="center"/>
    </xf>
    <xf numFmtId="4" fontId="225" fillId="0" borderId="0" xfId="0" applyNumberFormat="1" applyFont="1" applyAlignment="1" applyProtection="1">
      <alignment horizontal="right" vertical="center"/>
      <protection locked="0"/>
    </xf>
    <xf numFmtId="3" fontId="221" fillId="0" borderId="0" xfId="0" applyNumberFormat="1" applyFont="1" applyAlignment="1">
      <alignment horizontal="right" vertical="center"/>
    </xf>
    <xf numFmtId="4" fontId="217" fillId="0" borderId="0" xfId="0" applyNumberFormat="1" applyFont="1" applyAlignment="1" applyProtection="1">
      <alignment horizontal="right" vertical="center"/>
      <protection locked="0"/>
    </xf>
    <xf numFmtId="175" fontId="227" fillId="0" borderId="11" xfId="1033" applyNumberFormat="1" applyFont="1" applyFill="1" applyBorder="1" applyAlignment="1" applyProtection="1">
      <alignment horizontal="right" vertical="center"/>
    </xf>
    <xf numFmtId="175" fontId="227" fillId="0" borderId="0" xfId="1033" applyNumberFormat="1" applyFont="1" applyFill="1" applyBorder="1" applyAlignment="1" applyProtection="1">
      <alignment horizontal="right" vertical="center"/>
      <protection locked="0"/>
    </xf>
    <xf numFmtId="175" fontId="227" fillId="0" borderId="6" xfId="1033" applyNumberFormat="1" applyFont="1" applyFill="1" applyBorder="1" applyAlignment="1" applyProtection="1">
      <alignment horizontal="right" vertical="center"/>
    </xf>
    <xf numFmtId="10" fontId="227" fillId="0" borderId="11" xfId="1033" applyNumberFormat="1" applyFont="1" applyFill="1" applyBorder="1" applyAlignment="1" applyProtection="1">
      <alignment horizontal="right" vertical="center"/>
    </xf>
    <xf numFmtId="10" fontId="227" fillId="0" borderId="0" xfId="1033" applyNumberFormat="1" applyFont="1" applyFill="1" applyBorder="1" applyAlignment="1" applyProtection="1">
      <alignment horizontal="right" vertical="center"/>
      <protection locked="0"/>
    </xf>
    <xf numFmtId="4" fontId="227" fillId="85" borderId="0" xfId="0" applyNumberFormat="1" applyFont="1" applyFill="1" applyAlignment="1" applyProtection="1">
      <alignment horizontal="right" vertical="center"/>
      <protection locked="0"/>
    </xf>
    <xf numFmtId="0" fontId="217" fillId="0" borderId="0" xfId="0" applyFont="1" applyAlignment="1" applyProtection="1">
      <alignment horizontal="right" vertical="center"/>
      <protection locked="0"/>
    </xf>
    <xf numFmtId="4" fontId="217" fillId="0" borderId="56" xfId="0" applyNumberFormat="1" applyFont="1" applyBorder="1" applyAlignment="1" applyProtection="1">
      <alignment horizontal="right" vertical="center"/>
      <protection locked="0"/>
    </xf>
    <xf numFmtId="175" fontId="217" fillId="0" borderId="0" xfId="1033" applyNumberFormat="1" applyFont="1" applyFill="1" applyBorder="1" applyAlignment="1" applyProtection="1">
      <alignment horizontal="right" vertical="center"/>
      <protection locked="0"/>
    </xf>
    <xf numFmtId="3" fontId="221" fillId="0" borderId="61" xfId="0" applyNumberFormat="1" applyFont="1" applyBorder="1" applyAlignment="1">
      <alignment horizontal="right" vertical="center"/>
    </xf>
    <xf numFmtId="0" fontId="226" fillId="0" borderId="0" xfId="0" applyFont="1" applyAlignment="1" applyProtection="1">
      <alignment horizontal="right" vertical="center"/>
      <protection locked="0"/>
    </xf>
    <xf numFmtId="175" fontId="227" fillId="0" borderId="56" xfId="1033" applyNumberFormat="1" applyFont="1" applyFill="1" applyBorder="1" applyAlignment="1" applyProtection="1">
      <alignment horizontal="right" vertical="center"/>
      <protection locked="0"/>
    </xf>
    <xf numFmtId="3" fontId="221" fillId="0" borderId="56" xfId="0" applyNumberFormat="1" applyFont="1" applyBorder="1" applyAlignment="1">
      <alignment horizontal="right" vertical="center"/>
    </xf>
    <xf numFmtId="175" fontId="227" fillId="0" borderId="56" xfId="1033" applyNumberFormat="1" applyFont="1" applyFill="1" applyBorder="1" applyAlignment="1" applyProtection="1">
      <alignment horizontal="right" vertical="center"/>
    </xf>
    <xf numFmtId="175" fontId="227" fillId="0" borderId="59" xfId="1033" applyNumberFormat="1" applyFont="1" applyFill="1" applyBorder="1" applyAlignment="1" applyProtection="1">
      <alignment horizontal="right" vertical="center"/>
      <protection locked="0"/>
    </xf>
    <xf numFmtId="175" fontId="227" fillId="0" borderId="6" xfId="1033" applyNumberFormat="1" applyFont="1" applyFill="1" applyBorder="1" applyAlignment="1" applyProtection="1">
      <alignment horizontal="right" vertical="center"/>
      <protection locked="0"/>
    </xf>
    <xf numFmtId="0" fontId="221" fillId="0" borderId="0" xfId="0" applyFont="1" applyAlignment="1" applyProtection="1">
      <alignment horizontal="right" vertical="center"/>
      <protection locked="0"/>
    </xf>
    <xf numFmtId="10" fontId="227" fillId="0" borderId="57" xfId="1033" applyNumberFormat="1" applyFont="1" applyFill="1" applyBorder="1" applyAlignment="1" applyProtection="1">
      <alignment horizontal="right" vertical="center"/>
      <protection locked="0"/>
    </xf>
    <xf numFmtId="10" fontId="227" fillId="0" borderId="11" xfId="1033" applyNumberFormat="1" applyFont="1" applyFill="1" applyBorder="1" applyAlignment="1" applyProtection="1">
      <alignment horizontal="right" vertical="center"/>
      <protection locked="0"/>
    </xf>
    <xf numFmtId="10" fontId="227" fillId="0" borderId="56" xfId="1033" applyNumberFormat="1" applyFont="1" applyFill="1" applyBorder="1" applyAlignment="1" applyProtection="1">
      <alignment horizontal="right" vertical="center"/>
      <protection locked="0"/>
    </xf>
    <xf numFmtId="175" fontId="227" fillId="0" borderId="51" xfId="1033" applyNumberFormat="1" applyFont="1" applyFill="1" applyBorder="1" applyAlignment="1" applyProtection="1">
      <alignment horizontal="right" vertical="center"/>
    </xf>
    <xf numFmtId="4" fontId="217" fillId="0" borderId="51" xfId="0" applyNumberFormat="1" applyFont="1" applyBorder="1" applyAlignment="1" applyProtection="1">
      <alignment horizontal="right" vertical="center"/>
      <protection locked="0"/>
    </xf>
    <xf numFmtId="175" fontId="217" fillId="0" borderId="0" xfId="1033" applyNumberFormat="1" applyFont="1" applyBorder="1" applyAlignment="1" applyProtection="1">
      <alignment horizontal="right" vertical="center"/>
      <protection locked="0"/>
    </xf>
    <xf numFmtId="175" fontId="217" fillId="0" borderId="0" xfId="1033" applyNumberFormat="1" applyFont="1" applyAlignment="1" applyProtection="1">
      <alignment horizontal="right" vertical="center"/>
      <protection locked="0"/>
    </xf>
    <xf numFmtId="0" fontId="297" fillId="50" borderId="0" xfId="1385" applyFont="1" applyFill="1" applyProtection="1">
      <protection locked="0"/>
    </xf>
    <xf numFmtId="175" fontId="228" fillId="65" borderId="0" xfId="1033" applyNumberFormat="1" applyFont="1" applyFill="1" applyBorder="1" applyAlignment="1" applyProtection="1">
      <alignment horizontal="right" vertical="top"/>
      <protection locked="0"/>
    </xf>
    <xf numFmtId="49" fontId="217" fillId="65" borderId="6" xfId="1090" applyNumberFormat="1" applyFont="1" applyFill="1" applyBorder="1" applyAlignment="1" applyProtection="1">
      <alignment vertical="top"/>
      <protection locked="0"/>
    </xf>
    <xf numFmtId="49" fontId="217" fillId="65" borderId="0" xfId="1090" applyNumberFormat="1" applyFont="1" applyFill="1" applyAlignment="1" applyProtection="1">
      <alignment vertical="top"/>
      <protection locked="0"/>
    </xf>
    <xf numFmtId="0" fontId="217" fillId="50" borderId="0" xfId="1090" applyFont="1" applyFill="1" applyAlignment="1" applyProtection="1">
      <alignment vertical="center"/>
      <protection locked="0"/>
    </xf>
    <xf numFmtId="0" fontId="227" fillId="65" borderId="21" xfId="1090" applyFont="1" applyFill="1" applyBorder="1" applyAlignment="1" applyProtection="1">
      <alignment vertical="top"/>
      <protection locked="0"/>
    </xf>
    <xf numFmtId="10" fontId="227" fillId="65" borderId="21" xfId="1033" applyNumberFormat="1" applyFont="1" applyFill="1" applyBorder="1" applyAlignment="1" applyProtection="1">
      <alignment horizontal="right" vertical="top"/>
    </xf>
    <xf numFmtId="175" fontId="250" fillId="65" borderId="21" xfId="1033" applyNumberFormat="1" applyFont="1" applyFill="1" applyBorder="1" applyAlignment="1" applyProtection="1">
      <alignment horizontal="right" vertical="top"/>
      <protection locked="0"/>
    </xf>
    <xf numFmtId="175" fontId="227" fillId="65" borderId="21" xfId="1033" applyNumberFormat="1" applyFont="1" applyFill="1" applyBorder="1" applyAlignment="1" applyProtection="1">
      <alignment horizontal="right" vertical="top"/>
      <protection locked="0"/>
    </xf>
    <xf numFmtId="0" fontId="227" fillId="65" borderId="21" xfId="1090" applyFont="1" applyFill="1" applyBorder="1" applyAlignment="1" applyProtection="1">
      <alignment horizontal="left" indent="4"/>
      <protection locked="0"/>
    </xf>
    <xf numFmtId="0" fontId="227" fillId="65" borderId="0" xfId="1090" applyFont="1" applyFill="1" applyAlignment="1" applyProtection="1">
      <alignment horizontal="left" indent="4"/>
      <protection locked="0"/>
    </xf>
    <xf numFmtId="10" fontId="227" fillId="65" borderId="21" xfId="1033" applyNumberFormat="1" applyFont="1" applyFill="1" applyBorder="1" applyAlignment="1" applyProtection="1">
      <alignment horizontal="right" vertical="top"/>
      <protection locked="0"/>
    </xf>
    <xf numFmtId="175" fontId="248" fillId="65" borderId="0" xfId="1033" applyNumberFormat="1" applyFont="1" applyFill="1" applyBorder="1" applyAlignment="1" applyProtection="1">
      <alignment horizontal="right" vertical="top"/>
      <protection locked="0"/>
    </xf>
    <xf numFmtId="175" fontId="288" fillId="65" borderId="0" xfId="1033" applyNumberFormat="1" applyFont="1" applyFill="1" applyBorder="1" applyAlignment="1" applyProtection="1">
      <alignment horizontal="right" vertical="top"/>
      <protection locked="0"/>
    </xf>
    <xf numFmtId="175" fontId="249" fillId="50" borderId="0" xfId="1033" applyNumberFormat="1" applyFont="1" applyFill="1" applyBorder="1" applyAlignment="1" applyProtection="1">
      <alignment horizontal="right" vertical="top"/>
      <protection locked="0"/>
    </xf>
    <xf numFmtId="175" fontId="249" fillId="65" borderId="0" xfId="1033" applyNumberFormat="1" applyFont="1" applyFill="1" applyBorder="1" applyAlignment="1" applyProtection="1">
      <alignment horizontal="right" vertical="top"/>
      <protection locked="0"/>
    </xf>
    <xf numFmtId="175" fontId="248" fillId="50" borderId="0" xfId="1033" applyNumberFormat="1" applyFont="1" applyFill="1" applyBorder="1" applyAlignment="1" applyProtection="1">
      <alignment horizontal="right" vertical="top"/>
      <protection locked="0"/>
    </xf>
    <xf numFmtId="175" fontId="292" fillId="65" borderId="0" xfId="1033" applyNumberFormat="1" applyFont="1" applyFill="1" applyBorder="1" applyAlignment="1" applyProtection="1">
      <alignment horizontal="right" vertical="top"/>
    </xf>
    <xf numFmtId="175" fontId="229" fillId="65" borderId="51" xfId="1033" applyNumberFormat="1" applyFont="1" applyFill="1" applyBorder="1" applyAlignment="1" applyProtection="1">
      <alignment horizontal="right" vertical="top"/>
      <protection locked="0"/>
    </xf>
    <xf numFmtId="175" fontId="229" fillId="65" borderId="60" xfId="1033" applyNumberFormat="1" applyFont="1" applyFill="1" applyBorder="1" applyAlignment="1" applyProtection="1">
      <alignment horizontal="right" vertical="top"/>
    </xf>
    <xf numFmtId="170" fontId="223" fillId="50" borderId="51" xfId="1090" applyNumberFormat="1" applyFont="1" applyFill="1" applyBorder="1"/>
    <xf numFmtId="0" fontId="217" fillId="65" borderId="58" xfId="1090" applyFont="1" applyFill="1" applyBorder="1" applyProtection="1">
      <protection locked="0"/>
    </xf>
    <xf numFmtId="37" fontId="217" fillId="65" borderId="60" xfId="731" applyNumberFormat="1" applyFont="1" applyFill="1" applyBorder="1" applyAlignment="1">
      <alignment horizontal="right" vertical="top"/>
    </xf>
    <xf numFmtId="37" fontId="217" fillId="65" borderId="51" xfId="731" applyNumberFormat="1" applyFont="1" applyFill="1" applyBorder="1" applyAlignment="1" applyProtection="1">
      <alignment horizontal="right" vertical="top"/>
      <protection locked="0"/>
    </xf>
    <xf numFmtId="221" fontId="229" fillId="65" borderId="84" xfId="1398" applyNumberFormat="1" applyFont="1" applyFill="1" applyBorder="1" applyAlignment="1" applyProtection="1">
      <alignment horizontal="right" vertical="top"/>
    </xf>
    <xf numFmtId="175" fontId="249" fillId="65" borderId="51" xfId="1033" applyNumberFormat="1" applyFont="1" applyFill="1" applyBorder="1" applyAlignment="1" applyProtection="1">
      <alignment horizontal="right" vertical="top"/>
    </xf>
    <xf numFmtId="175" fontId="249" fillId="50" borderId="51" xfId="1033" applyNumberFormat="1" applyFont="1" applyFill="1" applyBorder="1" applyAlignment="1" applyProtection="1">
      <alignment horizontal="right" vertical="top"/>
      <protection locked="0"/>
    </xf>
    <xf numFmtId="175" fontId="249" fillId="65" borderId="58" xfId="1033" applyNumberFormat="1" applyFont="1" applyFill="1" applyBorder="1" applyAlignment="1" applyProtection="1">
      <alignment horizontal="right" vertical="top"/>
      <protection locked="0"/>
    </xf>
    <xf numFmtId="37" fontId="233" fillId="65" borderId="60" xfId="731" applyNumberFormat="1" applyFont="1" applyFill="1" applyBorder="1" applyAlignment="1">
      <alignment horizontal="right" vertical="top"/>
    </xf>
    <xf numFmtId="175" fontId="249" fillId="65" borderId="51" xfId="1033" applyNumberFormat="1" applyFont="1" applyFill="1" applyBorder="1" applyAlignment="1" applyProtection="1">
      <alignment horizontal="right" vertical="top"/>
      <protection locked="0"/>
    </xf>
    <xf numFmtId="170" fontId="229" fillId="65" borderId="84" xfId="1398" applyNumberFormat="1" applyFont="1" applyFill="1" applyBorder="1" applyAlignment="1" applyProtection="1">
      <alignment horizontal="right" vertical="top"/>
    </xf>
    <xf numFmtId="170" fontId="229" fillId="65" borderId="84" xfId="731" applyNumberFormat="1" applyFont="1" applyFill="1" applyBorder="1" applyAlignment="1">
      <alignment horizontal="right" vertical="top"/>
    </xf>
    <xf numFmtId="2" fontId="229" fillId="50" borderId="51" xfId="1033" applyNumberFormat="1" applyFont="1" applyFill="1" applyBorder="1" applyAlignment="1" applyProtection="1">
      <alignment horizontal="right" vertical="top"/>
      <protection locked="0"/>
    </xf>
    <xf numFmtId="175" fontId="229" fillId="50" borderId="51" xfId="1033" applyNumberFormat="1" applyFont="1" applyFill="1" applyBorder="1" applyAlignment="1" applyProtection="1">
      <alignment horizontal="right" vertical="top"/>
      <protection locked="0"/>
    </xf>
    <xf numFmtId="0" fontId="221" fillId="50" borderId="51" xfId="1090" applyFont="1" applyFill="1" applyBorder="1" applyProtection="1">
      <protection locked="0"/>
    </xf>
    <xf numFmtId="37" fontId="217" fillId="65" borderId="58" xfId="1090" applyNumberFormat="1" applyFont="1" applyFill="1" applyBorder="1" applyAlignment="1">
      <alignment vertical="top"/>
    </xf>
    <xf numFmtId="175" fontId="227" fillId="65" borderId="51" xfId="1033" applyNumberFormat="1" applyFont="1" applyFill="1" applyBorder="1" applyAlignment="1" applyProtection="1">
      <alignment horizontal="right" vertical="top"/>
    </xf>
    <xf numFmtId="170" fontId="223" fillId="65" borderId="51" xfId="1090" applyNumberFormat="1" applyFont="1" applyFill="1" applyBorder="1"/>
    <xf numFmtId="37" fontId="226" fillId="65" borderId="51" xfId="1090" applyNumberFormat="1" applyFont="1" applyFill="1" applyBorder="1" applyAlignment="1" applyProtection="1">
      <alignment vertical="top"/>
      <protection locked="0"/>
    </xf>
    <xf numFmtId="37" fontId="225" fillId="65" borderId="60" xfId="1090" applyNumberFormat="1" applyFont="1" applyFill="1" applyBorder="1" applyAlignment="1">
      <alignment vertical="top"/>
    </xf>
    <xf numFmtId="37" fontId="225" fillId="0" borderId="51" xfId="1090" applyNumberFormat="1" applyFont="1" applyBorder="1" applyAlignment="1" applyProtection="1">
      <alignment vertical="top"/>
      <protection locked="0"/>
    </xf>
    <xf numFmtId="10" fontId="227" fillId="65" borderId="82" xfId="1033" applyNumberFormat="1" applyFont="1" applyFill="1" applyBorder="1" applyAlignment="1" applyProtection="1">
      <alignment horizontal="right" vertical="top"/>
    </xf>
    <xf numFmtId="37" fontId="226" fillId="65" borderId="58" xfId="1090" applyNumberFormat="1" applyFont="1" applyFill="1" applyBorder="1" applyAlignment="1" applyProtection="1">
      <alignment vertical="top"/>
      <protection locked="0"/>
    </xf>
    <xf numFmtId="2" fontId="248" fillId="65" borderId="83" xfId="1033" applyNumberFormat="1" applyFont="1" applyFill="1" applyBorder="1" applyAlignment="1" applyProtection="1">
      <alignment horizontal="right" vertical="top"/>
      <protection locked="0"/>
    </xf>
    <xf numFmtId="49" fontId="224" fillId="61" borderId="0" xfId="1033" applyNumberFormat="1" applyFont="1" applyFill="1" applyBorder="1" applyAlignment="1" applyProtection="1">
      <alignment horizontal="left" vertical="center"/>
    </xf>
    <xf numFmtId="49" fontId="221" fillId="0" borderId="8" xfId="0" applyNumberFormat="1" applyFont="1" applyBorder="1" applyAlignment="1" applyProtection="1">
      <alignment horizontal="left" vertical="center"/>
      <protection locked="0"/>
    </xf>
    <xf numFmtId="49" fontId="217" fillId="0" borderId="11" xfId="0" applyNumberFormat="1" applyFont="1" applyBorder="1" applyAlignment="1" applyProtection="1">
      <alignment horizontal="left" vertical="center"/>
      <protection locked="0"/>
    </xf>
    <xf numFmtId="49" fontId="227" fillId="0" borderId="6" xfId="0" applyNumberFormat="1" applyFont="1" applyBorder="1" applyAlignment="1" applyProtection="1">
      <alignment horizontal="left" vertical="center"/>
      <protection locked="0"/>
    </xf>
    <xf numFmtId="49" fontId="227" fillId="0" borderId="0" xfId="0" applyNumberFormat="1" applyFont="1" applyAlignment="1" applyProtection="1">
      <alignment horizontal="left" vertical="center"/>
      <protection locked="0"/>
    </xf>
    <xf numFmtId="49" fontId="217" fillId="0" borderId="6" xfId="0" applyNumberFormat="1" applyFont="1" applyBorder="1" applyAlignment="1" applyProtection="1">
      <alignment horizontal="left" vertical="center"/>
      <protection locked="0"/>
    </xf>
    <xf numFmtId="49" fontId="221" fillId="0" borderId="0" xfId="0" applyNumberFormat="1" applyFont="1" applyAlignment="1" applyProtection="1">
      <alignment horizontal="left" vertical="center"/>
      <protection locked="0"/>
    </xf>
    <xf numFmtId="49" fontId="227" fillId="0" borderId="11" xfId="0" applyNumberFormat="1" applyFont="1" applyBorder="1" applyAlignment="1" applyProtection="1">
      <alignment horizontal="left" vertical="center"/>
      <protection locked="0"/>
    </xf>
    <xf numFmtId="0" fontId="227" fillId="0" borderId="6" xfId="0" applyFont="1" applyBorder="1" applyAlignment="1" applyProtection="1">
      <alignment horizontal="left" vertical="center"/>
      <protection locked="0"/>
    </xf>
    <xf numFmtId="170" fontId="226" fillId="86" borderId="21" xfId="1090" applyNumberFormat="1" applyFont="1" applyFill="1" applyBorder="1" applyAlignment="1">
      <alignment horizontal="right"/>
    </xf>
    <xf numFmtId="170" fontId="226" fillId="86" borderId="0" xfId="1090" applyNumberFormat="1" applyFont="1" applyFill="1" applyAlignment="1">
      <alignment horizontal="right"/>
    </xf>
    <xf numFmtId="170" fontId="226" fillId="86" borderId="21" xfId="1090" applyNumberFormat="1" applyFont="1" applyFill="1" applyBorder="1" applyAlignment="1">
      <alignment horizontal="center"/>
    </xf>
    <xf numFmtId="0" fontId="217" fillId="65" borderId="83" xfId="1090" applyFont="1" applyFill="1" applyBorder="1" applyAlignment="1">
      <alignment horizontal="left" indent="1"/>
    </xf>
    <xf numFmtId="0" fontId="242" fillId="52" borderId="83" xfId="1090" applyFont="1" applyFill="1" applyBorder="1" applyProtection="1">
      <protection locked="0"/>
    </xf>
    <xf numFmtId="175" fontId="229" fillId="65" borderId="83" xfId="1033" applyNumberFormat="1" applyFont="1" applyFill="1" applyBorder="1" applyAlignment="1" applyProtection="1">
      <alignment horizontal="right" vertical="top"/>
      <protection locked="0"/>
    </xf>
    <xf numFmtId="175" fontId="217" fillId="65" borderId="83" xfId="1033" applyNumberFormat="1" applyFont="1" applyFill="1" applyBorder="1" applyAlignment="1" applyProtection="1">
      <alignment horizontal="right" vertical="top"/>
      <protection locked="0"/>
    </xf>
    <xf numFmtId="0" fontId="217" fillId="65" borderId="83" xfId="1090" applyFont="1" applyFill="1" applyBorder="1"/>
    <xf numFmtId="0" fontId="297" fillId="65" borderId="83" xfId="0" applyFont="1" applyFill="1" applyBorder="1" applyAlignment="1">
      <alignment horizontal="left" vertical="center"/>
    </xf>
    <xf numFmtId="170" fontId="223" fillId="65" borderId="83" xfId="1090" applyNumberFormat="1" applyFont="1" applyFill="1" applyBorder="1"/>
    <xf numFmtId="0" fontId="217" fillId="65" borderId="83" xfId="1090" applyFont="1" applyFill="1" applyBorder="1" applyProtection="1">
      <protection locked="0"/>
    </xf>
    <xf numFmtId="0" fontId="221" fillId="65" borderId="83" xfId="1090" applyFont="1" applyFill="1" applyBorder="1"/>
    <xf numFmtId="10" fontId="217" fillId="65" borderId="83" xfId="1033" applyNumberFormat="1" applyFont="1" applyFill="1" applyBorder="1" applyAlignment="1" applyProtection="1">
      <alignment horizontal="right" vertical="top"/>
      <protection locked="0"/>
    </xf>
    <xf numFmtId="0" fontId="217" fillId="65" borderId="85" xfId="1090" applyFont="1" applyFill="1" applyBorder="1"/>
    <xf numFmtId="0" fontId="297" fillId="65" borderId="85" xfId="0" applyFont="1" applyFill="1" applyBorder="1" applyAlignment="1">
      <alignment horizontal="left" vertical="center"/>
    </xf>
    <xf numFmtId="170" fontId="223" fillId="65" borderId="85" xfId="1090" applyNumberFormat="1" applyFont="1" applyFill="1" applyBorder="1"/>
    <xf numFmtId="10" fontId="217" fillId="65" borderId="85" xfId="1033" applyNumberFormat="1" applyFont="1" applyFill="1" applyBorder="1" applyAlignment="1" applyProtection="1">
      <alignment horizontal="right" vertical="top"/>
      <protection locked="0"/>
    </xf>
    <xf numFmtId="0" fontId="217" fillId="0" borderId="83" xfId="1090" applyFont="1" applyBorder="1" applyAlignment="1" applyProtection="1">
      <alignment vertical="top"/>
      <protection locked="0"/>
    </xf>
    <xf numFmtId="10" fontId="229" fillId="50" borderId="83" xfId="1033" applyNumberFormat="1" applyFont="1" applyFill="1" applyBorder="1" applyAlignment="1" applyProtection="1">
      <alignment horizontal="right" vertical="top"/>
      <protection locked="0"/>
    </xf>
    <xf numFmtId="10" fontId="217" fillId="50" borderId="83" xfId="1033" applyNumberFormat="1" applyFont="1" applyFill="1" applyBorder="1" applyAlignment="1" applyProtection="1">
      <alignment horizontal="right" vertical="top"/>
      <protection locked="0"/>
    </xf>
    <xf numFmtId="0" fontId="217" fillId="65" borderId="83" xfId="1090" applyFont="1" applyFill="1" applyBorder="1" applyAlignment="1" applyProtection="1">
      <alignment horizontal="right"/>
      <protection locked="0"/>
    </xf>
    <xf numFmtId="0" fontId="221" fillId="65" borderId="83" xfId="1090" applyFont="1" applyFill="1" applyBorder="1" applyAlignment="1">
      <alignment horizontal="left"/>
    </xf>
    <xf numFmtId="170" fontId="223" fillId="65" borderId="84" xfId="1090" applyNumberFormat="1" applyFont="1" applyFill="1" applyBorder="1"/>
    <xf numFmtId="170" fontId="226" fillId="65" borderId="83" xfId="1090" applyNumberFormat="1" applyFont="1" applyFill="1" applyBorder="1" applyAlignment="1" applyProtection="1">
      <alignment horizontal="right"/>
      <protection locked="0"/>
    </xf>
    <xf numFmtId="170" fontId="226" fillId="65" borderId="0" xfId="1090" applyNumberFormat="1" applyFont="1" applyFill="1" applyAlignment="1" applyProtection="1">
      <alignment horizontal="right"/>
      <protection locked="0"/>
    </xf>
    <xf numFmtId="170" fontId="223" fillId="65" borderId="86" xfId="1090" applyNumberFormat="1" applyFont="1" applyFill="1" applyBorder="1"/>
    <xf numFmtId="0" fontId="221" fillId="65" borderId="0" xfId="1090" applyFont="1" applyFill="1" applyAlignment="1">
      <alignment horizontal="left"/>
    </xf>
    <xf numFmtId="0" fontId="217" fillId="65" borderId="83" xfId="1090" applyFont="1" applyFill="1" applyBorder="1" applyAlignment="1" applyProtection="1">
      <alignment horizontal="left" indent="1"/>
      <protection locked="0"/>
    </xf>
    <xf numFmtId="175" fontId="229" fillId="65" borderId="84" xfId="1033" applyNumberFormat="1" applyFont="1" applyFill="1" applyBorder="1" applyAlignment="1" applyProtection="1">
      <alignment horizontal="right" vertical="top"/>
      <protection locked="0"/>
    </xf>
    <xf numFmtId="49" fontId="218" fillId="60" borderId="0" xfId="1090" applyNumberFormat="1" applyFont="1" applyFill="1" applyAlignment="1">
      <alignment horizontal="right" vertical="top"/>
    </xf>
    <xf numFmtId="0" fontId="218" fillId="60" borderId="0" xfId="1090" applyFont="1" applyFill="1" applyAlignment="1" applyProtection="1">
      <alignment horizontal="right" vertical="top"/>
      <protection locked="0"/>
    </xf>
    <xf numFmtId="175" fontId="248" fillId="65" borderId="83" xfId="1033" applyNumberFormat="1" applyFont="1" applyFill="1" applyBorder="1" applyAlignment="1" applyProtection="1">
      <alignment horizontal="right" vertical="top"/>
      <protection locked="0"/>
    </xf>
    <xf numFmtId="175" fontId="248" fillId="50" borderId="83" xfId="1033" applyNumberFormat="1" applyFont="1" applyFill="1" applyBorder="1" applyAlignment="1" applyProtection="1">
      <alignment horizontal="right" vertical="top"/>
      <protection locked="0"/>
    </xf>
    <xf numFmtId="175" fontId="248" fillId="65" borderId="85" xfId="1033" applyNumberFormat="1" applyFont="1" applyFill="1" applyBorder="1" applyAlignment="1" applyProtection="1">
      <alignment horizontal="right" vertical="top"/>
      <protection locked="0"/>
    </xf>
    <xf numFmtId="49" fontId="218" fillId="61" borderId="87" xfId="1090" applyNumberFormat="1" applyFont="1" applyFill="1" applyBorder="1" applyAlignment="1">
      <alignment horizontal="right" vertical="top"/>
    </xf>
    <xf numFmtId="0" fontId="218" fillId="61" borderId="87" xfId="1090" applyFont="1" applyFill="1" applyBorder="1" applyAlignment="1" applyProtection="1">
      <alignment horizontal="right" vertical="top"/>
      <protection locked="0"/>
    </xf>
    <xf numFmtId="37" fontId="217" fillId="0" borderId="51" xfId="1090" applyNumberFormat="1" applyFont="1" applyBorder="1" applyAlignment="1" applyProtection="1">
      <alignment vertical="top"/>
      <protection locked="0"/>
    </xf>
    <xf numFmtId="170" fontId="223" fillId="0" borderId="62" xfId="1090" applyNumberFormat="1" applyFont="1" applyBorder="1"/>
    <xf numFmtId="170" fontId="223" fillId="0" borderId="51" xfId="1090" applyNumberFormat="1" applyFont="1" applyBorder="1"/>
    <xf numFmtId="3" fontId="223" fillId="0" borderId="51" xfId="1090" applyNumberFormat="1" applyFont="1" applyBorder="1" applyProtection="1">
      <protection locked="0"/>
    </xf>
    <xf numFmtId="3" fontId="241" fillId="50" borderId="51" xfId="1090" applyNumberFormat="1" applyFont="1" applyFill="1" applyBorder="1" applyProtection="1">
      <protection locked="0"/>
    </xf>
    <xf numFmtId="3" fontId="241" fillId="83" borderId="51" xfId="1090" applyNumberFormat="1" applyFont="1" applyFill="1" applyBorder="1" applyProtection="1">
      <protection locked="0"/>
    </xf>
    <xf numFmtId="0" fontId="217" fillId="0" borderId="51" xfId="1090" applyFont="1" applyBorder="1" applyProtection="1">
      <protection locked="0"/>
    </xf>
    <xf numFmtId="37" fontId="227" fillId="65" borderId="51" xfId="1090" applyNumberFormat="1" applyFont="1" applyFill="1" applyBorder="1" applyAlignment="1">
      <alignment vertical="top"/>
    </xf>
    <xf numFmtId="37" fontId="217" fillId="65" borderId="51" xfId="1090" applyNumberFormat="1" applyFont="1" applyFill="1" applyBorder="1"/>
    <xf numFmtId="10" fontId="229" fillId="50" borderId="84" xfId="1033" applyNumberFormat="1" applyFont="1" applyFill="1" applyBorder="1" applyAlignment="1" applyProtection="1">
      <alignment horizontal="right" vertical="top"/>
      <protection locked="0"/>
    </xf>
    <xf numFmtId="0" fontId="241" fillId="0" borderId="51" xfId="1090" applyFont="1" applyBorder="1" applyProtection="1">
      <protection locked="0"/>
    </xf>
    <xf numFmtId="0" fontId="241" fillId="65" borderId="51" xfId="1090" applyFont="1" applyFill="1" applyBorder="1" applyProtection="1">
      <protection locked="0"/>
    </xf>
    <xf numFmtId="2" fontId="217" fillId="65" borderId="83" xfId="1033" applyNumberFormat="1" applyFont="1" applyFill="1" applyBorder="1" applyAlignment="1" applyProtection="1">
      <alignment horizontal="right" vertical="top"/>
      <protection locked="0"/>
    </xf>
    <xf numFmtId="0" fontId="242" fillId="0" borderId="0" xfId="1090" applyFont="1"/>
    <xf numFmtId="0" fontId="217" fillId="65" borderId="84" xfId="1090" applyFont="1" applyFill="1" applyBorder="1" applyProtection="1">
      <protection locked="0"/>
    </xf>
    <xf numFmtId="170" fontId="226" fillId="0" borderId="0" xfId="0" applyNumberFormat="1" applyFont="1" applyAlignment="1" applyProtection="1">
      <alignment horizontal="right" vertical="center"/>
      <protection locked="0"/>
    </xf>
    <xf numFmtId="170" fontId="229" fillId="0" borderId="59" xfId="0" applyNumberFormat="1" applyFont="1" applyBorder="1" applyAlignment="1" applyProtection="1">
      <alignment horizontal="right" vertical="center"/>
      <protection locked="0"/>
    </xf>
    <xf numFmtId="170" fontId="229" fillId="0" borderId="0" xfId="0" applyNumberFormat="1" applyFont="1" applyAlignment="1" applyProtection="1">
      <alignment horizontal="right" vertical="center"/>
      <protection locked="0"/>
    </xf>
    <xf numFmtId="170" fontId="229" fillId="0" borderId="56" xfId="0" applyNumberFormat="1" applyFont="1" applyBorder="1" applyAlignment="1" applyProtection="1">
      <alignment horizontal="right" vertical="center"/>
      <protection locked="0"/>
    </xf>
    <xf numFmtId="170" fontId="230" fillId="0" borderId="6" xfId="0" applyNumberFormat="1" applyFont="1" applyBorder="1" applyAlignment="1">
      <alignment horizontal="right" vertical="center"/>
    </xf>
    <xf numFmtId="170" fontId="230" fillId="0" borderId="59" xfId="0" applyNumberFormat="1" applyFont="1" applyBorder="1" applyAlignment="1" applyProtection="1">
      <alignment horizontal="right" vertical="center"/>
      <protection locked="0"/>
    </xf>
    <xf numFmtId="170" fontId="230" fillId="0" borderId="6" xfId="0" applyNumberFormat="1" applyFont="1" applyBorder="1" applyAlignment="1" applyProtection="1">
      <alignment horizontal="right" vertical="center"/>
      <protection locked="0"/>
    </xf>
    <xf numFmtId="170" fontId="233" fillId="0" borderId="0" xfId="0" applyNumberFormat="1" applyFont="1" applyAlignment="1">
      <alignment horizontal="right" vertical="center"/>
    </xf>
    <xf numFmtId="170" fontId="221" fillId="0" borderId="0" xfId="0" applyNumberFormat="1" applyFont="1" applyAlignment="1">
      <alignment horizontal="right" vertical="center"/>
    </xf>
    <xf numFmtId="170" fontId="226" fillId="0" borderId="51" xfId="0" applyNumberFormat="1" applyFont="1" applyBorder="1" applyAlignment="1" applyProtection="1">
      <alignment horizontal="right" vertical="center"/>
      <protection locked="0"/>
    </xf>
    <xf numFmtId="170" fontId="229" fillId="0" borderId="57" xfId="0" applyNumberFormat="1" applyFont="1" applyBorder="1" applyAlignment="1" applyProtection="1">
      <alignment horizontal="right" vertical="center"/>
      <protection locked="0"/>
    </xf>
    <xf numFmtId="170" fontId="229" fillId="0" borderId="11" xfId="0" applyNumberFormat="1" applyFont="1" applyBorder="1" applyAlignment="1" applyProtection="1">
      <alignment horizontal="right" vertical="center"/>
      <protection locked="0"/>
    </xf>
    <xf numFmtId="170" fontId="226" fillId="0" borderId="11" xfId="0" applyNumberFormat="1" applyFont="1" applyBorder="1" applyAlignment="1" applyProtection="1">
      <alignment horizontal="right" vertical="center"/>
      <protection locked="0"/>
    </xf>
    <xf numFmtId="170" fontId="217" fillId="0" borderId="0" xfId="0" applyNumberFormat="1" applyFont="1" applyAlignment="1">
      <alignment horizontal="right" vertical="center"/>
    </xf>
    <xf numFmtId="170" fontId="217" fillId="0" borderId="56" xfId="0" applyNumberFormat="1" applyFont="1" applyBorder="1" applyAlignment="1" applyProtection="1">
      <alignment horizontal="right" vertical="center"/>
      <protection locked="0"/>
    </xf>
    <xf numFmtId="170" fontId="217" fillId="0" borderId="0" xfId="0" applyNumberFormat="1" applyFont="1" applyAlignment="1" applyProtection="1">
      <alignment horizontal="right" vertical="center"/>
      <protection locked="0"/>
    </xf>
    <xf numFmtId="170" fontId="226" fillId="0" borderId="6" xfId="0" applyNumberFormat="1" applyFont="1" applyBorder="1" applyAlignment="1" applyProtection="1">
      <alignment horizontal="right" vertical="center"/>
      <protection locked="0"/>
    </xf>
    <xf numFmtId="170" fontId="229" fillId="0" borderId="6" xfId="0" applyNumberFormat="1" applyFont="1" applyBorder="1" applyAlignment="1" applyProtection="1">
      <alignment horizontal="right" vertical="center"/>
      <protection locked="0"/>
    </xf>
    <xf numFmtId="172" fontId="229" fillId="0" borderId="56" xfId="1404" applyNumberFormat="1" applyFont="1" applyBorder="1" applyAlignment="1" applyProtection="1">
      <alignment horizontal="right" vertical="center"/>
      <protection locked="0"/>
    </xf>
    <xf numFmtId="172" fontId="229" fillId="0" borderId="0" xfId="1404" applyNumberFormat="1" applyFont="1" applyAlignment="1" applyProtection="1">
      <alignment horizontal="right" vertical="center"/>
      <protection locked="0"/>
    </xf>
    <xf numFmtId="170" fontId="225" fillId="0" borderId="56" xfId="0" applyNumberFormat="1" applyFont="1" applyBorder="1" applyAlignment="1" applyProtection="1">
      <alignment horizontal="right" vertical="center"/>
      <protection locked="0"/>
    </xf>
    <xf numFmtId="170" fontId="225" fillId="0" borderId="0" xfId="0" applyNumberFormat="1" applyFont="1" applyAlignment="1" applyProtection="1">
      <alignment horizontal="right" vertical="center"/>
      <protection locked="0"/>
    </xf>
    <xf numFmtId="170" fontId="221" fillId="0" borderId="0" xfId="0" applyNumberFormat="1" applyFont="1" applyAlignment="1" applyProtection="1">
      <alignment vertical="center"/>
      <protection locked="0"/>
    </xf>
    <xf numFmtId="170" fontId="221" fillId="0" borderId="8" xfId="0" applyNumberFormat="1" applyFont="1" applyBorder="1" applyAlignment="1">
      <alignment horizontal="right" vertical="center"/>
    </xf>
    <xf numFmtId="170" fontId="221" fillId="0" borderId="61" xfId="0" applyNumberFormat="1" applyFont="1" applyBorder="1" applyAlignment="1">
      <alignment horizontal="right" vertical="center"/>
    </xf>
    <xf numFmtId="170" fontId="221" fillId="0" borderId="56" xfId="0" applyNumberFormat="1" applyFont="1" applyBorder="1" applyAlignment="1">
      <alignment horizontal="right" vertical="center"/>
    </xf>
    <xf numFmtId="170" fontId="233" fillId="0" borderId="11" xfId="0" applyNumberFormat="1" applyFont="1" applyBorder="1" applyAlignment="1">
      <alignment horizontal="right" vertical="center"/>
    </xf>
    <xf numFmtId="170" fontId="227" fillId="0" borderId="56" xfId="1033" applyNumberFormat="1" applyFont="1" applyFill="1" applyBorder="1" applyAlignment="1" applyProtection="1">
      <alignment horizontal="right" vertical="center"/>
      <protection locked="0"/>
    </xf>
    <xf numFmtId="170" fontId="227" fillId="0" borderId="0" xfId="1033" applyNumberFormat="1" applyFont="1" applyFill="1" applyBorder="1" applyAlignment="1" applyProtection="1">
      <alignment horizontal="right" vertical="center"/>
      <protection locked="0"/>
    </xf>
    <xf numFmtId="170" fontId="221" fillId="0" borderId="11" xfId="0" applyNumberFormat="1" applyFont="1" applyBorder="1" applyAlignment="1">
      <alignment vertical="center"/>
    </xf>
    <xf numFmtId="170" fontId="221" fillId="0" borderId="57" xfId="0" applyNumberFormat="1" applyFont="1" applyBorder="1" applyAlignment="1">
      <alignment vertical="center"/>
    </xf>
    <xf numFmtId="170" fontId="221" fillId="0" borderId="6" xfId="0" applyNumberFormat="1" applyFont="1" applyBorder="1" applyAlignment="1" applyProtection="1">
      <alignment vertical="center"/>
      <protection locked="0"/>
    </xf>
    <xf numFmtId="170" fontId="217" fillId="0" borderId="56" xfId="0" applyNumberFormat="1" applyFont="1" applyBorder="1" applyAlignment="1" applyProtection="1">
      <alignment vertical="center"/>
      <protection locked="0"/>
    </xf>
    <xf numFmtId="170" fontId="217" fillId="0" borderId="0" xfId="0" applyNumberFormat="1" applyFont="1" applyAlignment="1" applyProtection="1">
      <alignment vertical="center"/>
      <protection locked="0"/>
    </xf>
    <xf numFmtId="170" fontId="217" fillId="0" borderId="0" xfId="0" applyNumberFormat="1" applyFont="1" applyAlignment="1">
      <alignment vertical="center"/>
    </xf>
    <xf numFmtId="170" fontId="229" fillId="0" borderId="56" xfId="0" applyNumberFormat="1" applyFont="1" applyBorder="1" applyAlignment="1">
      <alignment vertical="center"/>
    </xf>
    <xf numFmtId="170" fontId="229" fillId="0" borderId="0" xfId="0" applyNumberFormat="1" applyFont="1" applyAlignment="1">
      <alignment vertical="center"/>
    </xf>
    <xf numFmtId="170" fontId="219" fillId="0" borderId="0" xfId="0" applyNumberFormat="1" applyFont="1" applyAlignment="1" applyProtection="1">
      <alignment vertical="center"/>
      <protection locked="0"/>
    </xf>
    <xf numFmtId="170" fontId="229" fillId="0" borderId="56" xfId="0" applyNumberFormat="1" applyFont="1" applyBorder="1" applyAlignment="1" applyProtection="1">
      <alignment vertical="center"/>
      <protection locked="0"/>
    </xf>
    <xf numFmtId="170" fontId="229" fillId="0" borderId="0" xfId="0" applyNumberFormat="1" applyFont="1" applyAlignment="1" applyProtection="1">
      <alignment vertical="center"/>
      <protection locked="0"/>
    </xf>
    <xf numFmtId="170" fontId="217" fillId="0" borderId="56" xfId="0" applyNumberFormat="1" applyFont="1" applyBorder="1" applyAlignment="1">
      <alignment vertical="center"/>
    </xf>
    <xf numFmtId="170" fontId="222" fillId="0" borderId="11" xfId="0" applyNumberFormat="1" applyFont="1" applyBorder="1" applyAlignment="1" applyProtection="1">
      <alignment vertical="center"/>
      <protection locked="0"/>
    </xf>
    <xf numFmtId="170" fontId="223" fillId="0" borderId="57" xfId="0" applyNumberFormat="1" applyFont="1" applyBorder="1" applyAlignment="1">
      <alignment vertical="center"/>
    </xf>
    <xf numFmtId="170" fontId="223" fillId="0" borderId="11" xfId="0" applyNumberFormat="1" applyFont="1" applyBorder="1" applyAlignment="1">
      <alignment vertical="center"/>
    </xf>
    <xf numFmtId="170" fontId="222" fillId="0" borderId="0" xfId="0" applyNumberFormat="1" applyFont="1" applyAlignment="1" applyProtection="1">
      <alignment vertical="center"/>
      <protection locked="0"/>
    </xf>
    <xf numFmtId="170" fontId="223" fillId="0" borderId="59" xfId="0" applyNumberFormat="1" applyFont="1" applyBorder="1" applyAlignment="1">
      <alignment vertical="center"/>
    </xf>
    <xf numFmtId="170" fontId="223" fillId="0" borderId="6" xfId="0" applyNumberFormat="1" applyFont="1" applyBorder="1" applyAlignment="1">
      <alignment vertical="center"/>
    </xf>
    <xf numFmtId="170" fontId="221" fillId="0" borderId="56" xfId="0" applyNumberFormat="1" applyFont="1" applyBorder="1" applyAlignment="1" applyProtection="1">
      <alignment vertical="center"/>
      <protection locked="0"/>
    </xf>
    <xf numFmtId="170" fontId="221" fillId="0" borderId="44" xfId="0" applyNumberFormat="1" applyFont="1" applyBorder="1" applyAlignment="1">
      <alignment vertical="center"/>
    </xf>
    <xf numFmtId="170" fontId="221" fillId="0" borderId="80" xfId="0" applyNumberFormat="1" applyFont="1" applyBorder="1" applyAlignment="1">
      <alignment vertical="center"/>
    </xf>
    <xf numFmtId="170" fontId="217" fillId="0" borderId="81" xfId="0" applyNumberFormat="1" applyFont="1" applyBorder="1" applyAlignment="1" applyProtection="1">
      <alignment vertical="center"/>
      <protection locked="0"/>
    </xf>
    <xf numFmtId="170" fontId="227" fillId="85" borderId="0" xfId="0" applyNumberFormat="1" applyFont="1" applyFill="1" applyAlignment="1" applyProtection="1">
      <alignment vertical="center"/>
      <protection locked="0"/>
    </xf>
    <xf numFmtId="170" fontId="226" fillId="0" borderId="0" xfId="0" applyNumberFormat="1" applyFont="1" applyAlignment="1" applyProtection="1">
      <alignment vertical="center"/>
      <protection locked="0"/>
    </xf>
    <xf numFmtId="170" fontId="225" fillId="0" borderId="56" xfId="0" applyNumberFormat="1" applyFont="1" applyBorder="1" applyAlignment="1">
      <alignment vertical="center"/>
    </xf>
    <xf numFmtId="170" fontId="225" fillId="0" borderId="0" xfId="0" applyNumberFormat="1" applyFont="1" applyAlignment="1">
      <alignment vertical="center"/>
    </xf>
    <xf numFmtId="170" fontId="228" fillId="0" borderId="11" xfId="0" applyNumberFormat="1" applyFont="1" applyBorder="1" applyAlignment="1" applyProtection="1">
      <alignment vertical="center"/>
      <protection locked="0"/>
    </xf>
    <xf numFmtId="170" fontId="231" fillId="0" borderId="57" xfId="0" applyNumberFormat="1" applyFont="1" applyBorder="1" applyAlignment="1">
      <alignment vertical="center"/>
    </xf>
    <xf numFmtId="170" fontId="231" fillId="0" borderId="11" xfId="0" applyNumberFormat="1" applyFont="1" applyBorder="1" applyAlignment="1">
      <alignment vertical="center"/>
    </xf>
    <xf numFmtId="170" fontId="228" fillId="0" borderId="0" xfId="0" applyNumberFormat="1" applyFont="1" applyAlignment="1" applyProtection="1">
      <alignment vertical="center"/>
      <protection locked="0"/>
    </xf>
    <xf numFmtId="170" fontId="231" fillId="0" borderId="56" xfId="0" applyNumberFormat="1" applyFont="1" applyBorder="1" applyAlignment="1">
      <alignment vertical="center"/>
    </xf>
    <xf numFmtId="170" fontId="231" fillId="0" borderId="0" xfId="0" applyNumberFormat="1" applyFont="1" applyAlignment="1">
      <alignment vertical="center"/>
    </xf>
    <xf numFmtId="170" fontId="223" fillId="0" borderId="0" xfId="0" applyNumberFormat="1" applyFont="1" applyAlignment="1">
      <alignment horizontal="right" vertical="center" wrapText="1"/>
    </xf>
    <xf numFmtId="170" fontId="217" fillId="0" borderId="0" xfId="0" applyNumberFormat="1" applyFont="1" applyAlignment="1" applyProtection="1">
      <alignment horizontal="right" vertical="center" wrapText="1"/>
      <protection locked="0"/>
    </xf>
    <xf numFmtId="170" fontId="229" fillId="0" borderId="0" xfId="0" applyNumberFormat="1" applyFont="1" applyAlignment="1">
      <alignment horizontal="right" vertical="center" wrapText="1"/>
    </xf>
    <xf numFmtId="170" fontId="229" fillId="0" borderId="0" xfId="0" applyNumberFormat="1" applyFont="1" applyAlignment="1" applyProtection="1">
      <alignment horizontal="right" vertical="center" wrapText="1"/>
      <protection locked="0"/>
    </xf>
    <xf numFmtId="170" fontId="221" fillId="0" borderId="8" xfId="0" applyNumberFormat="1" applyFont="1" applyBorder="1" applyAlignment="1">
      <alignment horizontal="right" vertical="center" wrapText="1"/>
    </xf>
    <xf numFmtId="170" fontId="221" fillId="0" borderId="0" xfId="0" applyNumberFormat="1" applyFont="1" applyAlignment="1" applyProtection="1">
      <alignment horizontal="right" vertical="center" wrapText="1"/>
      <protection locked="0"/>
    </xf>
    <xf numFmtId="170" fontId="221" fillId="50" borderId="44" xfId="0" applyNumberFormat="1" applyFont="1" applyFill="1" applyBorder="1" applyAlignment="1">
      <alignment horizontal="right" vertical="center" wrapText="1"/>
    </xf>
    <xf numFmtId="170" fontId="217" fillId="0" borderId="0" xfId="0" applyNumberFormat="1" applyFont="1" applyAlignment="1" applyProtection="1">
      <alignment vertical="center" wrapText="1"/>
      <protection locked="0"/>
    </xf>
    <xf numFmtId="170" fontId="217" fillId="0" borderId="0" xfId="907" applyNumberFormat="1" applyFont="1" applyFill="1" applyAlignment="1" applyProtection="1">
      <protection locked="0"/>
    </xf>
    <xf numFmtId="170" fontId="221" fillId="0" borderId="0" xfId="907" applyNumberFormat="1" applyFont="1" applyFill="1" applyAlignment="1" applyProtection="1">
      <protection locked="0"/>
    </xf>
    <xf numFmtId="170" fontId="221" fillId="0" borderId="6" xfId="907" applyNumberFormat="1" applyFont="1" applyFill="1" applyBorder="1" applyAlignment="1" applyProtection="1">
      <protection locked="0"/>
    </xf>
    <xf numFmtId="170" fontId="227" fillId="0" borderId="0" xfId="907" applyNumberFormat="1" applyFont="1" applyFill="1" applyAlignment="1" applyProtection="1">
      <alignment vertical="center"/>
      <protection locked="0"/>
    </xf>
    <xf numFmtId="0" fontId="227" fillId="0" borderId="0" xfId="907" quotePrefix="1" applyFont="1" applyFill="1" applyAlignment="1" applyProtection="1">
      <protection locked="0"/>
    </xf>
    <xf numFmtId="0" fontId="227" fillId="0" borderId="0" xfId="907" applyFont="1" applyFill="1" applyAlignment="1" applyProtection="1">
      <protection locked="0"/>
    </xf>
    <xf numFmtId="0" fontId="227" fillId="0" borderId="6" xfId="907" applyFont="1" applyFill="1" applyBorder="1" applyAlignment="1" applyProtection="1">
      <protection locked="0"/>
    </xf>
    <xf numFmtId="0" fontId="227" fillId="0" borderId="6" xfId="907" quotePrefix="1" applyFont="1" applyFill="1" applyBorder="1" applyAlignment="1" applyProtection="1">
      <protection locked="0"/>
    </xf>
    <xf numFmtId="170" fontId="221" fillId="0" borderId="11" xfId="1274" applyNumberFormat="1" applyFont="1" applyFill="1" applyBorder="1" applyAlignment="1" applyProtection="1"/>
    <xf numFmtId="49" fontId="217" fillId="84" borderId="9" xfId="0" applyNumberFormat="1" applyFont="1" applyFill="1" applyBorder="1" applyAlignment="1" applyProtection="1">
      <alignment horizontal="left" vertical="center"/>
      <protection locked="0"/>
    </xf>
    <xf numFmtId="0" fontId="217" fillId="84" borderId="0" xfId="1090" applyFont="1" applyFill="1" applyProtection="1">
      <protection locked="0"/>
    </xf>
    <xf numFmtId="0" fontId="217" fillId="84" borderId="10" xfId="1090" applyFont="1" applyFill="1" applyBorder="1" applyProtection="1">
      <protection locked="0"/>
    </xf>
    <xf numFmtId="0" fontId="221" fillId="84" borderId="9" xfId="1090" quotePrefix="1" applyFont="1" applyFill="1" applyBorder="1" applyAlignment="1" applyProtection="1">
      <alignment horizontal="left" indent="1"/>
      <protection locked="0"/>
    </xf>
    <xf numFmtId="14" fontId="217" fillId="84" borderId="0" xfId="0" applyNumberFormat="1" applyFont="1" applyFill="1" applyAlignment="1" applyProtection="1">
      <alignment horizontal="center" vertical="center"/>
      <protection locked="0"/>
    </xf>
    <xf numFmtId="14" fontId="217" fillId="84" borderId="0" xfId="0" applyNumberFormat="1" applyFont="1" applyFill="1" applyAlignment="1" applyProtection="1">
      <alignment horizontal="left" vertical="center"/>
      <protection locked="0"/>
    </xf>
    <xf numFmtId="0" fontId="221" fillId="84" borderId="9" xfId="1090" applyFont="1" applyFill="1" applyBorder="1" applyAlignment="1" applyProtection="1">
      <alignment horizontal="left" indent="1"/>
      <protection locked="0"/>
    </xf>
    <xf numFmtId="0" fontId="221" fillId="84" borderId="9" xfId="1090" quotePrefix="1" applyFont="1" applyFill="1" applyBorder="1" applyAlignment="1" applyProtection="1">
      <alignment horizontal="left" indent="3"/>
      <protection locked="0"/>
    </xf>
    <xf numFmtId="49" fontId="221" fillId="84" borderId="9" xfId="0" applyNumberFormat="1" applyFont="1" applyFill="1" applyBorder="1" applyAlignment="1" applyProtection="1">
      <alignment horizontal="left" vertical="center" indent="1"/>
      <protection locked="0"/>
    </xf>
    <xf numFmtId="0" fontId="221" fillId="84" borderId="9" xfId="1090" applyFont="1" applyFill="1" applyBorder="1" applyAlignment="1" applyProtection="1">
      <alignment horizontal="left" vertical="center" indent="1"/>
      <protection locked="0"/>
    </xf>
    <xf numFmtId="0" fontId="217" fillId="84" borderId="0" xfId="0" applyFont="1" applyFill="1" applyAlignment="1" applyProtection="1">
      <alignment horizontal="left" vertical="center"/>
      <protection locked="0"/>
    </xf>
    <xf numFmtId="49" fontId="217" fillId="84" borderId="0" xfId="0" applyNumberFormat="1" applyFont="1" applyFill="1" applyAlignment="1" applyProtection="1">
      <alignment horizontal="left" vertical="center"/>
      <protection locked="0"/>
    </xf>
    <xf numFmtId="49" fontId="217" fillId="84" borderId="10" xfId="0" applyNumberFormat="1" applyFont="1" applyFill="1" applyBorder="1" applyAlignment="1" applyProtection="1">
      <alignment horizontal="left" vertical="center"/>
      <protection locked="0"/>
    </xf>
    <xf numFmtId="49" fontId="221" fillId="84" borderId="9" xfId="0" applyNumberFormat="1" applyFont="1" applyFill="1" applyBorder="1" applyAlignment="1" applyProtection="1">
      <alignment horizontal="left" vertical="center" indent="3"/>
      <protection locked="0"/>
    </xf>
    <xf numFmtId="49" fontId="242" fillId="84" borderId="9" xfId="0" applyNumberFormat="1" applyFont="1" applyFill="1" applyBorder="1" applyAlignment="1" applyProtection="1">
      <alignment horizontal="left" vertical="center"/>
      <protection locked="0"/>
    </xf>
    <xf numFmtId="49" fontId="242" fillId="84" borderId="0" xfId="0" applyNumberFormat="1" applyFont="1" applyFill="1" applyAlignment="1" applyProtection="1">
      <alignment horizontal="left" vertical="center"/>
      <protection locked="0"/>
    </xf>
    <xf numFmtId="49" fontId="217" fillId="84" borderId="12" xfId="0" applyNumberFormat="1" applyFont="1" applyFill="1" applyBorder="1" applyAlignment="1" applyProtection="1">
      <alignment horizontal="left" vertical="center"/>
      <protection locked="0"/>
    </xf>
    <xf numFmtId="49" fontId="217" fillId="84" borderId="11" xfId="0" applyNumberFormat="1" applyFont="1" applyFill="1" applyBorder="1" applyAlignment="1" applyProtection="1">
      <alignment horizontal="left" vertical="center"/>
      <protection locked="0"/>
    </xf>
    <xf numFmtId="49" fontId="217" fillId="84" borderId="39" xfId="0" applyNumberFormat="1" applyFont="1" applyFill="1" applyBorder="1" applyAlignment="1" applyProtection="1">
      <alignment horizontal="left" vertical="center"/>
      <protection locked="0"/>
    </xf>
    <xf numFmtId="49" fontId="299" fillId="50" borderId="0" xfId="0" applyNumberFormat="1" applyFont="1" applyFill="1" applyAlignment="1" applyProtection="1">
      <alignment horizontal="left" vertical="center"/>
      <protection locked="0"/>
    </xf>
    <xf numFmtId="170" fontId="231" fillId="0" borderId="11" xfId="1273" applyNumberFormat="1" applyFont="1" applyFill="1" applyBorder="1" applyAlignment="1" applyProtection="1">
      <alignment horizontal="right" vertical="center"/>
    </xf>
    <xf numFmtId="170" fontId="217" fillId="0" borderId="0" xfId="0" applyNumberFormat="1" applyFont="1" applyProtection="1">
      <protection locked="0"/>
    </xf>
    <xf numFmtId="170" fontId="221" fillId="0" borderId="11" xfId="1398" applyNumberFormat="1" applyFont="1" applyBorder="1" applyProtection="1"/>
    <xf numFmtId="170" fontId="231" fillId="0" borderId="0" xfId="1273" applyNumberFormat="1" applyFont="1" applyFill="1" applyBorder="1" applyAlignment="1" applyProtection="1">
      <alignment horizontal="right" vertical="center"/>
      <protection locked="0"/>
    </xf>
    <xf numFmtId="170" fontId="225" fillId="0" borderId="0" xfId="0" applyNumberFormat="1" applyFont="1" applyProtection="1">
      <protection locked="0"/>
    </xf>
    <xf numFmtId="170" fontId="231" fillId="0" borderId="0" xfId="907" applyNumberFormat="1" applyFont="1" applyFill="1" applyProtection="1">
      <protection locked="0"/>
    </xf>
    <xf numFmtId="170" fontId="225" fillId="0" borderId="0" xfId="1094" applyNumberFormat="1" applyFont="1" applyAlignment="1">
      <alignment horizontal="right" vertical="center" wrapText="1"/>
    </xf>
    <xf numFmtId="170" fontId="221" fillId="0" borderId="0" xfId="1398" applyNumberFormat="1" applyFont="1" applyProtection="1"/>
    <xf numFmtId="170" fontId="225" fillId="0" borderId="0" xfId="1094" applyNumberFormat="1" applyFont="1" applyAlignment="1" applyProtection="1">
      <alignment horizontal="right" vertical="center" wrapText="1"/>
      <protection locked="0"/>
    </xf>
    <xf numFmtId="170" fontId="225" fillId="0" borderId="0" xfId="907" applyNumberFormat="1" applyFont="1" applyFill="1" applyProtection="1">
      <protection locked="0"/>
    </xf>
    <xf numFmtId="170" fontId="217" fillId="0" borderId="46" xfId="1094" applyNumberFormat="1" applyFont="1" applyBorder="1" applyAlignment="1">
      <alignment horizontal="right" vertical="center" wrapText="1"/>
    </xf>
    <xf numFmtId="170" fontId="217" fillId="0" borderId="0" xfId="1094" applyNumberFormat="1" applyFont="1" applyAlignment="1" applyProtection="1">
      <alignment horizontal="right" vertical="center" wrapText="1"/>
      <protection locked="0"/>
    </xf>
    <xf numFmtId="170" fontId="225" fillId="0" borderId="0" xfId="1398" applyNumberFormat="1" applyFont="1" applyAlignment="1" applyProtection="1">
      <alignment horizontal="right" vertical="center" wrapText="1"/>
    </xf>
    <xf numFmtId="170" fontId="225" fillId="0" borderId="0" xfId="1033" applyNumberFormat="1" applyFont="1" applyAlignment="1" applyProtection="1">
      <alignment horizontal="right" vertical="center" wrapText="1"/>
      <protection locked="0"/>
    </xf>
    <xf numFmtId="170" fontId="217" fillId="0" borderId="0" xfId="1398" applyNumberFormat="1" applyFont="1" applyProtection="1">
      <protection locked="0"/>
    </xf>
    <xf numFmtId="170" fontId="225" fillId="0" borderId="0" xfId="1033" applyNumberFormat="1" applyFont="1" applyAlignment="1" applyProtection="1">
      <alignment horizontal="right" vertical="center" wrapText="1"/>
    </xf>
    <xf numFmtId="170" fontId="221" fillId="0" borderId="0" xfId="1398" applyNumberFormat="1" applyFont="1" applyProtection="1">
      <protection locked="0"/>
    </xf>
    <xf numFmtId="170" fontId="221" fillId="0" borderId="11" xfId="1273" applyNumberFormat="1" applyFont="1" applyFill="1" applyBorder="1" applyAlignment="1" applyProtection="1">
      <alignment horizontal="right" vertical="center"/>
      <protection locked="0"/>
    </xf>
    <xf numFmtId="170" fontId="221" fillId="0" borderId="0" xfId="1398" quotePrefix="1" applyNumberFormat="1" applyFont="1" applyFill="1" applyBorder="1" applyAlignment="1" applyProtection="1">
      <alignment vertical="center"/>
    </xf>
    <xf numFmtId="170" fontId="221" fillId="0" borderId="6" xfId="1398" applyNumberFormat="1" applyFont="1" applyBorder="1" applyProtection="1"/>
    <xf numFmtId="170" fontId="221" fillId="0" borderId="0" xfId="1273" quotePrefix="1" applyNumberFormat="1" applyFont="1" applyFill="1" applyBorder="1" applyAlignment="1" applyProtection="1">
      <alignment vertical="center"/>
      <protection locked="0"/>
    </xf>
    <xf numFmtId="170" fontId="221" fillId="0" borderId="11" xfId="1273" quotePrefix="1" applyNumberFormat="1" applyFont="1" applyFill="1" applyBorder="1" applyAlignment="1" applyProtection="1">
      <alignment vertical="center"/>
      <protection locked="0"/>
    </xf>
    <xf numFmtId="170" fontId="217" fillId="0" borderId="11" xfId="0" applyNumberFormat="1" applyFont="1" applyBorder="1" applyProtection="1">
      <protection locked="0"/>
    </xf>
    <xf numFmtId="170" fontId="221" fillId="0" borderId="53" xfId="1273" quotePrefix="1" applyNumberFormat="1" applyFont="1" applyFill="1" applyBorder="1" applyAlignment="1" applyProtection="1">
      <alignment vertical="center"/>
      <protection locked="0"/>
    </xf>
    <xf numFmtId="170" fontId="217" fillId="0" borderId="53" xfId="0" applyNumberFormat="1" applyFont="1" applyBorder="1" applyProtection="1">
      <protection locked="0"/>
    </xf>
    <xf numFmtId="170" fontId="221" fillId="0" borderId="53" xfId="907" applyNumberFormat="1" applyFont="1" applyFill="1" applyBorder="1" applyProtection="1">
      <protection locked="0"/>
    </xf>
    <xf numFmtId="170" fontId="217" fillId="0" borderId="53" xfId="1398" applyNumberFormat="1" applyFont="1" applyBorder="1" applyProtection="1">
      <protection locked="0"/>
    </xf>
    <xf numFmtId="170" fontId="221" fillId="0" borderId="74" xfId="1273" quotePrefix="1" applyNumberFormat="1" applyFont="1" applyFill="1" applyBorder="1" applyAlignment="1" applyProtection="1">
      <alignment vertical="center"/>
    </xf>
    <xf numFmtId="170" fontId="217" fillId="0" borderId="0" xfId="1273" quotePrefix="1" applyNumberFormat="1" applyFont="1" applyFill="1" applyBorder="1" applyAlignment="1" applyProtection="1">
      <alignment vertical="center"/>
      <protection locked="0"/>
    </xf>
    <xf numFmtId="170" fontId="236" fillId="0" borderId="0" xfId="1273" quotePrefix="1" applyNumberFormat="1" applyFont="1" applyFill="1" applyBorder="1" applyAlignment="1" applyProtection="1">
      <alignment vertical="center"/>
      <protection locked="0"/>
    </xf>
    <xf numFmtId="170" fontId="221" fillId="0" borderId="8" xfId="1273" quotePrefix="1" applyNumberFormat="1" applyFont="1" applyFill="1" applyBorder="1" applyAlignment="1" applyProtection="1">
      <alignment vertical="center"/>
    </xf>
    <xf numFmtId="170" fontId="221" fillId="0" borderId="8" xfId="1398" quotePrefix="1" applyNumberFormat="1" applyFont="1" applyFill="1" applyBorder="1" applyAlignment="1" applyProtection="1">
      <alignment vertical="center"/>
    </xf>
    <xf numFmtId="170" fontId="221" fillId="0" borderId="0" xfId="907" applyNumberFormat="1" applyFont="1" applyFill="1" applyProtection="1"/>
    <xf numFmtId="170" fontId="225" fillId="0" borderId="46" xfId="1398" applyNumberFormat="1" applyFont="1" applyBorder="1" applyProtection="1"/>
    <xf numFmtId="170" fontId="217" fillId="0" borderId="11" xfId="1398" applyNumberFormat="1" applyFont="1" applyBorder="1" applyProtection="1"/>
    <xf numFmtId="172" fontId="241" fillId="50" borderId="0" xfId="1355" applyNumberFormat="1" applyFont="1" applyFill="1"/>
    <xf numFmtId="356" fontId="221" fillId="0" borderId="74" xfId="1273" quotePrefix="1" applyNumberFormat="1" applyFont="1" applyFill="1" applyBorder="1" applyAlignment="1" applyProtection="1">
      <alignment vertical="center"/>
    </xf>
    <xf numFmtId="356" fontId="217" fillId="0" borderId="74" xfId="0" applyNumberFormat="1" applyFont="1" applyBorder="1" applyProtection="1">
      <protection locked="0"/>
    </xf>
    <xf numFmtId="356" fontId="221" fillId="0" borderId="74" xfId="1398" applyNumberFormat="1" applyFont="1" applyBorder="1" applyProtection="1"/>
    <xf numFmtId="170" fontId="217" fillId="50" borderId="0" xfId="1355" applyNumberFormat="1" applyFont="1" applyFill="1" applyProtection="1">
      <protection locked="0"/>
    </xf>
    <xf numFmtId="3" fontId="228" fillId="0" borderId="0" xfId="0" applyNumberFormat="1" applyFont="1" applyAlignment="1" applyProtection="1">
      <alignment horizontal="right"/>
      <protection locked="0"/>
    </xf>
    <xf numFmtId="49" fontId="221" fillId="0" borderId="8" xfId="0" applyNumberFormat="1" applyFont="1" applyBorder="1" applyAlignment="1">
      <alignment vertical="center"/>
    </xf>
    <xf numFmtId="0" fontId="221" fillId="0" borderId="0" xfId="1090" applyFont="1" applyAlignment="1">
      <alignment horizontal="left" vertical="center" indent="1"/>
    </xf>
    <xf numFmtId="37" fontId="221" fillId="0" borderId="0" xfId="1090" applyNumberFormat="1" applyFont="1" applyAlignment="1">
      <alignment vertical="center"/>
    </xf>
    <xf numFmtId="37" fontId="221" fillId="0" borderId="51" xfId="1090" applyNumberFormat="1" applyFont="1" applyBorder="1" applyAlignment="1">
      <alignment vertical="center"/>
    </xf>
    <xf numFmtId="37" fontId="221" fillId="0" borderId="0" xfId="1090" applyNumberFormat="1" applyFont="1" applyAlignment="1">
      <alignment horizontal="right" vertical="center"/>
    </xf>
    <xf numFmtId="0" fontId="243" fillId="0" borderId="0" xfId="1385" applyFont="1" applyAlignment="1" applyProtection="1">
      <alignment vertical="center"/>
      <protection locked="0"/>
    </xf>
    <xf numFmtId="170" fontId="217" fillId="50" borderId="0" xfId="1090" applyNumberFormat="1" applyFont="1" applyFill="1"/>
    <xf numFmtId="170" fontId="217" fillId="0" borderId="0" xfId="1398" applyNumberFormat="1" applyFont="1" applyProtection="1"/>
    <xf numFmtId="170" fontId="217" fillId="0" borderId="1" xfId="1398" applyNumberFormat="1" applyFont="1" applyBorder="1" applyProtection="1"/>
    <xf numFmtId="170" fontId="217" fillId="68" borderId="0" xfId="1398" applyNumberFormat="1" applyFont="1" applyFill="1" applyProtection="1"/>
    <xf numFmtId="170" fontId="217" fillId="68" borderId="1" xfId="1398" applyNumberFormat="1" applyFont="1" applyFill="1" applyBorder="1" applyProtection="1"/>
    <xf numFmtId="170" fontId="217" fillId="81" borderId="0" xfId="1398" applyNumberFormat="1" applyFont="1" applyFill="1" applyProtection="1"/>
    <xf numFmtId="170" fontId="217" fillId="81" borderId="1" xfId="1398" applyNumberFormat="1" applyFont="1" applyFill="1" applyBorder="1" applyProtection="1"/>
    <xf numFmtId="170" fontId="217" fillId="0" borderId="8" xfId="1398" applyNumberFormat="1" applyFont="1" applyBorder="1" applyProtection="1"/>
    <xf numFmtId="170" fontId="217" fillId="68" borderId="8" xfId="1398" applyNumberFormat="1" applyFont="1" applyFill="1" applyBorder="1" applyProtection="1"/>
    <xf numFmtId="170" fontId="217" fillId="81" borderId="8" xfId="1398" applyNumberFormat="1" applyFont="1" applyFill="1" applyBorder="1" applyProtection="1"/>
    <xf numFmtId="170" fontId="221" fillId="81" borderId="20" xfId="1398" applyNumberFormat="1" applyFont="1" applyFill="1" applyBorder="1" applyProtection="1"/>
    <xf numFmtId="170" fontId="217" fillId="0" borderId="22" xfId="1398" applyNumberFormat="1" applyFont="1" applyBorder="1" applyProtection="1"/>
    <xf numFmtId="9" fontId="227" fillId="0" borderId="0" xfId="1033" applyFont="1" applyFill="1" applyAlignment="1" applyProtection="1">
      <alignment vertical="center"/>
      <protection locked="0"/>
    </xf>
    <xf numFmtId="350" fontId="217" fillId="0" borderId="0" xfId="1274" applyNumberFormat="1" applyFont="1" applyFill="1" applyBorder="1" applyAlignment="1" applyProtection="1">
      <alignment horizontal="right"/>
    </xf>
    <xf numFmtId="49" fontId="221" fillId="0" borderId="0" xfId="1094" applyNumberFormat="1" applyFont="1" applyAlignment="1" applyProtection="1">
      <alignment vertical="center" wrapText="1"/>
      <protection locked="0"/>
    </xf>
    <xf numFmtId="0" fontId="221" fillId="0" borderId="0" xfId="1094" applyFont="1" applyAlignment="1">
      <alignment horizontal="right" vertical="center" wrapText="1"/>
    </xf>
    <xf numFmtId="0" fontId="217" fillId="0" borderId="10" xfId="1094" applyFont="1" applyBorder="1" applyAlignment="1" applyProtection="1">
      <alignment horizontal="right" vertical="center" wrapText="1"/>
      <protection locked="0"/>
    </xf>
    <xf numFmtId="49" fontId="227" fillId="0" borderId="9" xfId="1094" applyNumberFormat="1" applyFont="1" applyBorder="1" applyAlignment="1" applyProtection="1">
      <alignment horizontal="left" vertical="center" indent="1"/>
      <protection locked="0"/>
    </xf>
    <xf numFmtId="175" fontId="221" fillId="0" borderId="0" xfId="1033" applyNumberFormat="1" applyFont="1" applyFill="1" applyBorder="1" applyAlignment="1" applyProtection="1">
      <alignment vertical="center" wrapText="1"/>
      <protection locked="0"/>
    </xf>
    <xf numFmtId="0" fontId="221" fillId="0" borderId="0" xfId="1094" applyFont="1" applyAlignment="1" applyProtection="1">
      <alignment horizontal="right" vertical="center" wrapText="1"/>
      <protection locked="0"/>
    </xf>
    <xf numFmtId="170" fontId="217" fillId="0" borderId="10" xfId="1094" applyNumberFormat="1" applyFont="1" applyBorder="1" applyAlignment="1" applyProtection="1">
      <alignment horizontal="right" vertical="center" wrapText="1"/>
      <protection locked="0"/>
    </xf>
    <xf numFmtId="175" fontId="221" fillId="0" borderId="11" xfId="1033" applyNumberFormat="1" applyFont="1" applyFill="1" applyBorder="1" applyAlignment="1" applyProtection="1">
      <alignment vertical="center" wrapText="1"/>
      <protection locked="0"/>
    </xf>
    <xf numFmtId="49" fontId="221" fillId="0" borderId="11" xfId="1094" applyNumberFormat="1" applyFont="1" applyBorder="1" applyAlignment="1" applyProtection="1">
      <alignment vertical="center" wrapText="1"/>
      <protection locked="0"/>
    </xf>
    <xf numFmtId="10" fontId="221" fillId="0" borderId="11" xfId="1094" applyNumberFormat="1" applyFont="1" applyBorder="1" applyAlignment="1" applyProtection="1">
      <alignment horizontal="right" vertical="center" wrapText="1"/>
      <protection locked="0"/>
    </xf>
    <xf numFmtId="170" fontId="217" fillId="0" borderId="11" xfId="1094" applyNumberFormat="1" applyFont="1" applyBorder="1" applyAlignment="1" applyProtection="1">
      <alignment horizontal="right" vertical="center" wrapText="1"/>
      <protection locked="0"/>
    </xf>
    <xf numFmtId="3" fontId="217" fillId="0" borderId="11" xfId="1094" applyNumberFormat="1" applyFont="1" applyBorder="1" applyAlignment="1" applyProtection="1">
      <alignment horizontal="right" vertical="center" wrapText="1"/>
      <protection locked="0"/>
    </xf>
    <xf numFmtId="170" fontId="217" fillId="0" borderId="39" xfId="1094" applyNumberFormat="1" applyFont="1" applyBorder="1" applyAlignment="1" applyProtection="1">
      <alignment horizontal="right" vertical="center" wrapText="1"/>
      <protection locked="0"/>
    </xf>
    <xf numFmtId="170" fontId="221" fillId="0" borderId="5" xfId="1094" applyNumberFormat="1" applyFont="1" applyBorder="1" applyAlignment="1" applyProtection="1">
      <alignment horizontal="right" vertical="center" wrapText="1"/>
      <protection locked="0"/>
    </xf>
    <xf numFmtId="170" fontId="221" fillId="0" borderId="88" xfId="1094" applyNumberFormat="1" applyFont="1" applyBorder="1" applyAlignment="1" applyProtection="1">
      <alignment horizontal="right" vertical="center" wrapText="1"/>
      <protection locked="0"/>
    </xf>
    <xf numFmtId="170" fontId="221" fillId="0" borderId="70" xfId="1094" applyNumberFormat="1" applyFont="1" applyBorder="1" applyAlignment="1" applyProtection="1">
      <alignment horizontal="right" vertical="center" wrapText="1"/>
      <protection locked="0"/>
    </xf>
    <xf numFmtId="0" fontId="242" fillId="50" borderId="0" xfId="1385" applyFont="1" applyFill="1" applyAlignment="1" applyProtection="1">
      <alignment horizontal="right" vertical="top"/>
      <protection locked="0"/>
    </xf>
    <xf numFmtId="3" fontId="288" fillId="83" borderId="0" xfId="1090" applyNumberFormat="1" applyFont="1" applyFill="1" applyAlignment="1" applyProtection="1">
      <alignment horizontal="left"/>
      <protection locked="0"/>
    </xf>
    <xf numFmtId="10" fontId="221" fillId="73" borderId="44" xfId="1356" applyNumberFormat="1" applyFont="1" applyFill="1" applyBorder="1" applyAlignment="1" applyProtection="1">
      <alignment horizontal="left"/>
      <protection locked="0"/>
    </xf>
    <xf numFmtId="10" fontId="221" fillId="73" borderId="44" xfId="1033" applyNumberFormat="1" applyFont="1" applyFill="1" applyBorder="1" applyAlignment="1" applyProtection="1">
      <alignment horizontal="right"/>
      <protection locked="0"/>
    </xf>
    <xf numFmtId="172" fontId="227" fillId="85" borderId="0" xfId="0" applyNumberFormat="1" applyFont="1" applyFill="1" applyAlignment="1" applyProtection="1">
      <alignment vertical="center"/>
      <protection locked="0"/>
    </xf>
    <xf numFmtId="10" fontId="241" fillId="50" borderId="0" xfId="1033" applyNumberFormat="1" applyFont="1" applyFill="1"/>
    <xf numFmtId="245" fontId="241" fillId="50" borderId="0" xfId="1033" applyNumberFormat="1" applyFont="1" applyFill="1"/>
    <xf numFmtId="0" fontId="256" fillId="69" borderId="23" xfId="0" applyFont="1" applyFill="1" applyBorder="1" applyAlignment="1">
      <alignment horizontal="centerContinuous" wrapText="1"/>
    </xf>
    <xf numFmtId="0" fontId="256" fillId="69" borderId="0" xfId="0" applyFont="1" applyFill="1" applyAlignment="1">
      <alignment horizontal="left"/>
    </xf>
    <xf numFmtId="0" fontId="264" fillId="63" borderId="0" xfId="0" applyFont="1" applyFill="1" applyAlignment="1">
      <alignment horizontal="left"/>
    </xf>
    <xf numFmtId="0" fontId="265" fillId="63" borderId="0" xfId="0" applyFont="1" applyFill="1" applyAlignment="1">
      <alignment horizontal="left"/>
    </xf>
    <xf numFmtId="0" fontId="256" fillId="69" borderId="23" xfId="0" applyFont="1" applyFill="1" applyBorder="1" applyAlignment="1">
      <alignment horizontal="left"/>
    </xf>
    <xf numFmtId="0" fontId="256" fillId="69" borderId="23" xfId="0" applyFont="1" applyFill="1" applyBorder="1" applyAlignment="1">
      <alignment horizontal="left" wrapText="1"/>
    </xf>
    <xf numFmtId="0" fontId="256" fillId="69" borderId="0" xfId="1400" applyFont="1" applyFill="1" applyAlignment="1">
      <alignment horizontal="left"/>
    </xf>
    <xf numFmtId="0" fontId="0" fillId="0" borderId="0" xfId="0" applyAlignment="1">
      <alignment horizontal="left"/>
    </xf>
    <xf numFmtId="0" fontId="221" fillId="50" borderId="54" xfId="1385" applyFont="1" applyFill="1" applyBorder="1" applyAlignment="1" applyProtection="1">
      <alignment vertical="center"/>
      <protection locked="0"/>
    </xf>
    <xf numFmtId="0" fontId="217" fillId="50" borderId="23" xfId="1385" applyFont="1" applyFill="1" applyBorder="1" applyAlignment="1" applyProtection="1">
      <alignment vertical="center"/>
      <protection locked="0"/>
    </xf>
    <xf numFmtId="0" fontId="217" fillId="50" borderId="23" xfId="1385" applyFont="1" applyFill="1" applyBorder="1" applyAlignment="1" applyProtection="1">
      <alignment horizontal="center" vertical="center"/>
      <protection locked="0"/>
    </xf>
    <xf numFmtId="0" fontId="241" fillId="52" borderId="89" xfId="1385" applyFont="1" applyFill="1" applyBorder="1" applyAlignment="1" applyProtection="1">
      <alignment horizontal="center" vertical="center"/>
      <protection locked="0"/>
    </xf>
    <xf numFmtId="0" fontId="241" fillId="52" borderId="55" xfId="1385" applyFont="1" applyFill="1" applyBorder="1" applyAlignment="1" applyProtection="1">
      <alignment horizontal="center" vertical="center"/>
      <protection locked="0"/>
    </xf>
    <xf numFmtId="1" fontId="221" fillId="0" borderId="0" xfId="0" applyNumberFormat="1" applyFont="1" applyAlignment="1" applyProtection="1">
      <alignment vertical="center" wrapText="1"/>
      <protection locked="0"/>
    </xf>
    <xf numFmtId="1" fontId="221" fillId="50" borderId="54" xfId="0" applyNumberFormat="1" applyFont="1" applyFill="1" applyBorder="1" applyAlignment="1" applyProtection="1">
      <alignment horizontal="left" vertical="center" indent="3"/>
      <protection locked="0"/>
    </xf>
    <xf numFmtId="1" fontId="221" fillId="50" borderId="23" xfId="0" applyNumberFormat="1" applyFont="1" applyFill="1" applyBorder="1" applyAlignment="1" applyProtection="1">
      <alignment horizontal="left" vertical="center" indent="3"/>
      <protection locked="0"/>
    </xf>
    <xf numFmtId="221" fontId="221" fillId="50" borderId="55" xfId="1398" applyNumberFormat="1" applyFont="1" applyFill="1" applyBorder="1" applyAlignment="1" applyProtection="1">
      <alignment horizontal="left" vertical="center" indent="3"/>
      <protection locked="0"/>
    </xf>
    <xf numFmtId="170" fontId="221" fillId="50" borderId="0" xfId="1090" applyNumberFormat="1" applyFont="1" applyFill="1" applyProtection="1">
      <protection locked="0"/>
    </xf>
    <xf numFmtId="170" fontId="217" fillId="0" borderId="0" xfId="1398" applyNumberFormat="1" applyFont="1" applyFill="1" applyProtection="1"/>
    <xf numFmtId="170" fontId="259" fillId="0" borderId="0" xfId="1090" applyNumberFormat="1" applyFont="1" applyAlignment="1" applyProtection="1">
      <alignment horizontal="center" vertical="center"/>
      <protection locked="0"/>
    </xf>
    <xf numFmtId="170" fontId="217" fillId="50" borderId="0" xfId="1090" applyNumberFormat="1" applyFont="1" applyFill="1" applyProtection="1">
      <protection locked="0"/>
    </xf>
    <xf numFmtId="170" fontId="217" fillId="50" borderId="0" xfId="1398" applyNumberFormat="1" applyFont="1" applyFill="1" applyProtection="1"/>
    <xf numFmtId="170" fontId="221" fillId="50" borderId="0" xfId="1090" applyNumberFormat="1" applyFont="1" applyFill="1"/>
    <xf numFmtId="0" fontId="257" fillId="50" borderId="20" xfId="0" applyFont="1" applyFill="1" applyBorder="1" applyAlignment="1">
      <alignment horizontal="centerContinuous"/>
    </xf>
    <xf numFmtId="180" fontId="261" fillId="50" borderId="20" xfId="0" applyNumberFormat="1" applyFont="1" applyFill="1" applyBorder="1" applyAlignment="1">
      <alignment horizontal="center"/>
    </xf>
    <xf numFmtId="0" fontId="293" fillId="0" borderId="0" xfId="0" applyFont="1"/>
    <xf numFmtId="0" fontId="227" fillId="50" borderId="0" xfId="1385" applyFont="1" applyFill="1" applyAlignment="1" applyProtection="1">
      <alignment horizontal="left"/>
      <protection locked="0"/>
    </xf>
    <xf numFmtId="0" fontId="218" fillId="61" borderId="0" xfId="1385" applyFont="1" applyFill="1" applyAlignment="1">
      <alignment vertical="center"/>
    </xf>
    <xf numFmtId="0" fontId="240" fillId="61" borderId="0" xfId="1385" applyFont="1" applyFill="1" applyAlignment="1">
      <alignment horizontal="left" vertical="center"/>
    </xf>
    <xf numFmtId="0" fontId="227" fillId="50" borderId="0" xfId="1385" applyFont="1" applyFill="1" applyAlignment="1" applyProtection="1">
      <alignment horizontal="left" vertical="center" wrapText="1"/>
      <protection locked="0"/>
    </xf>
    <xf numFmtId="0" fontId="245" fillId="50" borderId="0" xfId="1385" applyFont="1" applyFill="1" applyAlignment="1" applyProtection="1">
      <alignment horizontal="left" vertical="center"/>
      <protection locked="0"/>
    </xf>
    <xf numFmtId="170" fontId="230" fillId="0" borderId="59" xfId="0" applyNumberFormat="1" applyFont="1" applyBorder="1" applyAlignment="1">
      <alignment horizontal="right" vertical="center"/>
    </xf>
    <xf numFmtId="170" fontId="217" fillId="0" borderId="11" xfId="0" applyNumberFormat="1" applyFont="1" applyBorder="1" applyAlignment="1">
      <alignment horizontal="right" vertical="center"/>
    </xf>
    <xf numFmtId="175" fontId="217" fillId="0" borderId="0" xfId="0" applyNumberFormat="1" applyFont="1" applyAlignment="1">
      <alignment horizontal="right" vertical="center"/>
    </xf>
    <xf numFmtId="175" fontId="217" fillId="0" borderId="56" xfId="0" applyNumberFormat="1" applyFont="1" applyBorder="1" applyAlignment="1" applyProtection="1">
      <alignment horizontal="right" vertical="center"/>
      <protection locked="0"/>
    </xf>
    <xf numFmtId="175" fontId="217" fillId="0" borderId="0" xfId="0" applyNumberFormat="1" applyFont="1" applyAlignment="1" applyProtection="1">
      <alignment horizontal="right" vertical="center"/>
      <protection locked="0"/>
    </xf>
    <xf numFmtId="170" fontId="226" fillId="0" borderId="58" xfId="0" applyNumberFormat="1" applyFont="1" applyBorder="1" applyAlignment="1" applyProtection="1">
      <alignment horizontal="right" vertical="center"/>
      <protection locked="0"/>
    </xf>
    <xf numFmtId="0" fontId="217" fillId="0" borderId="76" xfId="0" applyFont="1" applyBorder="1" applyAlignment="1">
      <alignment vertical="center"/>
    </xf>
    <xf numFmtId="49" fontId="217" fillId="0" borderId="77" xfId="0" applyNumberFormat="1" applyFont="1" applyBorder="1" applyAlignment="1" applyProtection="1">
      <alignment horizontal="left" vertical="center"/>
      <protection locked="0"/>
    </xf>
    <xf numFmtId="4" fontId="225" fillId="0" borderId="77" xfId="0" applyNumberFormat="1" applyFont="1" applyBorder="1" applyAlignment="1" applyProtection="1">
      <alignment horizontal="right" vertical="center"/>
      <protection locked="0"/>
    </xf>
    <xf numFmtId="4" fontId="229" fillId="0" borderId="77" xfId="0" applyNumberFormat="1" applyFont="1" applyBorder="1" applyAlignment="1" applyProtection="1">
      <alignment horizontal="right" vertical="center"/>
      <protection locked="0"/>
    </xf>
    <xf numFmtId="4" fontId="229" fillId="0" borderId="78" xfId="0" applyNumberFormat="1" applyFont="1" applyBorder="1" applyAlignment="1" applyProtection="1">
      <alignment horizontal="right" vertical="center"/>
      <protection locked="0"/>
    </xf>
    <xf numFmtId="4" fontId="229" fillId="0" borderId="75" xfId="0" applyNumberFormat="1" applyFont="1" applyBorder="1" applyAlignment="1" applyProtection="1">
      <alignment horizontal="right" vertical="center"/>
      <protection locked="0"/>
    </xf>
    <xf numFmtId="3" fontId="221" fillId="0" borderId="0" xfId="0" applyNumberFormat="1" applyFont="1" applyAlignment="1">
      <alignment vertical="center"/>
    </xf>
    <xf numFmtId="170" fontId="221" fillId="0" borderId="51" xfId="0" applyNumberFormat="1" applyFont="1" applyBorder="1" applyAlignment="1">
      <alignment horizontal="right" vertical="center"/>
    </xf>
    <xf numFmtId="0" fontId="217" fillId="0" borderId="90" xfId="0" applyFont="1" applyBorder="1" applyAlignment="1" applyProtection="1">
      <alignment horizontal="right" vertical="center"/>
      <protection locked="0"/>
    </xf>
    <xf numFmtId="0" fontId="221" fillId="50" borderId="0" xfId="1090" quotePrefix="1" applyFont="1" applyFill="1" applyAlignment="1" applyProtection="1">
      <alignment horizontal="left"/>
      <protection locked="0"/>
    </xf>
    <xf numFmtId="0" fontId="255" fillId="0" borderId="0" xfId="1399" applyFill="1"/>
    <xf numFmtId="0" fontId="304" fillId="50" borderId="0" xfId="1385" applyFont="1" applyFill="1" applyAlignment="1" applyProtection="1">
      <alignment vertical="center"/>
      <protection locked="0"/>
    </xf>
    <xf numFmtId="0" fontId="305" fillId="0" borderId="0" xfId="1095" applyFont="1" applyAlignment="1">
      <alignment vertical="center"/>
    </xf>
    <xf numFmtId="49" fontId="305" fillId="0" borderId="0" xfId="1095" applyNumberFormat="1" applyFont="1" applyAlignment="1" applyProtection="1">
      <alignment vertical="center"/>
      <protection locked="0"/>
    </xf>
    <xf numFmtId="214" fontId="304" fillId="0" borderId="0" xfId="1095" applyNumberFormat="1" applyFont="1" applyAlignment="1">
      <alignment vertical="center"/>
    </xf>
    <xf numFmtId="49" fontId="305" fillId="0" borderId="11" xfId="1095" applyNumberFormat="1" applyFont="1" applyBorder="1" applyAlignment="1" applyProtection="1">
      <alignment vertical="center"/>
      <protection locked="0"/>
    </xf>
    <xf numFmtId="0" fontId="304" fillId="0" borderId="0" xfId="1095" applyFont="1" applyAlignment="1">
      <alignment horizontal="left" vertical="center" indent="1"/>
    </xf>
    <xf numFmtId="214" fontId="304" fillId="0" borderId="6" xfId="1095" applyNumberFormat="1" applyFont="1" applyBorder="1" applyAlignment="1">
      <alignment vertical="center"/>
    </xf>
    <xf numFmtId="0" fontId="304" fillId="0" borderId="0" xfId="0" applyFont="1" applyAlignment="1">
      <alignment horizontal="left" vertical="center"/>
    </xf>
    <xf numFmtId="0" fontId="304" fillId="0" borderId="0" xfId="0" applyFont="1" applyAlignment="1" applyProtection="1">
      <alignment horizontal="left" vertical="center"/>
      <protection locked="0"/>
    </xf>
    <xf numFmtId="0" fontId="306" fillId="0" borderId="0" xfId="0" applyFont="1" applyAlignment="1">
      <alignment horizontal="left" vertical="center" indent="1"/>
    </xf>
    <xf numFmtId="0" fontId="307" fillId="0" borderId="0" xfId="0" applyFont="1" applyAlignment="1" applyProtection="1">
      <alignment horizontal="left" vertical="center"/>
      <protection locked="0"/>
    </xf>
    <xf numFmtId="175" fontId="306" fillId="0" borderId="0" xfId="1033" applyNumberFormat="1" applyFont="1" applyFill="1" applyBorder="1" applyAlignment="1" applyProtection="1">
      <alignment horizontal="right" vertical="center"/>
    </xf>
    <xf numFmtId="0" fontId="305" fillId="0" borderId="6" xfId="1095" applyFont="1" applyBorder="1" applyAlignment="1">
      <alignment vertical="center"/>
    </xf>
    <xf numFmtId="0" fontId="305" fillId="0" borderId="6" xfId="1095" applyFont="1" applyBorder="1" applyAlignment="1" applyProtection="1">
      <alignment vertical="center"/>
      <protection locked="0"/>
    </xf>
    <xf numFmtId="214" fontId="305" fillId="0" borderId="6" xfId="1095" applyNumberFormat="1" applyFont="1" applyBorder="1" applyAlignment="1">
      <alignment vertical="center"/>
    </xf>
    <xf numFmtId="214" fontId="305" fillId="0" borderId="0" xfId="1095" applyNumberFormat="1" applyFont="1" applyAlignment="1">
      <alignment vertical="center"/>
    </xf>
    <xf numFmtId="214" fontId="304" fillId="0" borderId="0" xfId="0" applyNumberFormat="1" applyFont="1" applyAlignment="1">
      <alignment horizontal="left" vertical="center"/>
    </xf>
    <xf numFmtId="0" fontId="304" fillId="0" borderId="0" xfId="0" applyFont="1" applyAlignment="1" applyProtection="1">
      <alignment horizontal="left" vertical="center" indent="1"/>
      <protection locked="0"/>
    </xf>
    <xf numFmtId="0" fontId="305" fillId="0" borderId="0" xfId="1095" applyFont="1" applyAlignment="1" applyProtection="1">
      <alignment vertical="center"/>
      <protection locked="0"/>
    </xf>
    <xf numFmtId="0" fontId="306" fillId="0" borderId="0" xfId="0" applyFont="1" applyAlignment="1" applyProtection="1">
      <alignment horizontal="left" vertical="center" indent="1"/>
      <protection locked="0"/>
    </xf>
    <xf numFmtId="0" fontId="306" fillId="0" borderId="0" xfId="0" applyFont="1" applyAlignment="1" applyProtection="1">
      <alignment horizontal="left" vertical="top" indent="1"/>
      <protection locked="0"/>
    </xf>
    <xf numFmtId="0" fontId="306" fillId="0" borderId="0" xfId="0" applyFont="1" applyAlignment="1" applyProtection="1">
      <alignment horizontal="left" vertical="top"/>
      <protection locked="0"/>
    </xf>
    <xf numFmtId="175" fontId="306" fillId="0" borderId="0" xfId="1033" applyNumberFormat="1" applyFont="1" applyFill="1" applyBorder="1" applyAlignment="1" applyProtection="1">
      <alignment horizontal="right" vertical="top"/>
      <protection locked="0"/>
    </xf>
    <xf numFmtId="0" fontId="304" fillId="0" borderId="0" xfId="0" applyFont="1" applyAlignment="1">
      <alignment horizontal="left" vertical="center" indent="1"/>
    </xf>
    <xf numFmtId="0" fontId="304" fillId="0" borderId="79" xfId="0" applyFont="1" applyBorder="1" applyAlignment="1">
      <alignment horizontal="left" vertical="center"/>
    </xf>
    <xf numFmtId="0" fontId="304" fillId="0" borderId="79" xfId="0" applyFont="1" applyBorder="1" applyAlignment="1" applyProtection="1">
      <alignment horizontal="left" vertical="center"/>
      <protection locked="0"/>
    </xf>
    <xf numFmtId="214" fontId="304" fillId="0" borderId="79" xfId="0" applyNumberFormat="1" applyFont="1" applyBorder="1" applyAlignment="1">
      <alignment horizontal="left" vertical="center"/>
    </xf>
    <xf numFmtId="3" fontId="305" fillId="0" borderId="0" xfId="1095" applyNumberFormat="1" applyFont="1" applyAlignment="1">
      <alignment vertical="center"/>
    </xf>
    <xf numFmtId="175" fontId="306" fillId="0" borderId="0" xfId="1033" applyNumberFormat="1" applyFont="1" applyFill="1" applyBorder="1" applyAlignment="1" applyProtection="1">
      <alignment horizontal="right" vertical="center"/>
      <protection locked="0"/>
    </xf>
    <xf numFmtId="0" fontId="304" fillId="50" borderId="0" xfId="1385" applyFont="1" applyFill="1" applyAlignment="1">
      <alignment vertical="center"/>
    </xf>
    <xf numFmtId="0" fontId="308" fillId="50" borderId="35" xfId="1385" applyFont="1" applyFill="1" applyBorder="1" applyAlignment="1" applyProtection="1">
      <alignment vertical="center"/>
      <protection locked="0"/>
    </xf>
    <xf numFmtId="0" fontId="308" fillId="0" borderId="0" xfId="1385" applyFont="1" applyAlignment="1" applyProtection="1">
      <alignment vertical="center"/>
      <protection locked="0"/>
    </xf>
    <xf numFmtId="0" fontId="308" fillId="50" borderId="0" xfId="1385" applyFont="1" applyFill="1" applyAlignment="1" applyProtection="1">
      <alignment vertical="center"/>
      <protection locked="0"/>
    </xf>
    <xf numFmtId="0" fontId="305" fillId="50" borderId="11" xfId="1385" applyFont="1" applyFill="1" applyBorder="1"/>
    <xf numFmtId="214" fontId="305" fillId="0" borderId="11" xfId="0" applyNumberFormat="1" applyFont="1" applyBorder="1" applyAlignment="1">
      <alignment horizontal="left"/>
    </xf>
    <xf numFmtId="0" fontId="304" fillId="50" borderId="0" xfId="1385" applyFont="1" applyFill="1" applyAlignment="1">
      <alignment horizontal="left" vertical="center" indent="1"/>
    </xf>
    <xf numFmtId="0" fontId="304" fillId="50" borderId="0" xfId="1385" applyFont="1" applyFill="1" applyAlignment="1">
      <alignment horizontal="left" vertical="center" indent="2"/>
    </xf>
    <xf numFmtId="0" fontId="305" fillId="50" borderId="11" xfId="1385" applyFont="1" applyFill="1" applyBorder="1" applyAlignment="1">
      <alignment horizontal="left"/>
    </xf>
    <xf numFmtId="3" fontId="305" fillId="50" borderId="0" xfId="1385" applyNumberFormat="1" applyFont="1" applyFill="1" applyAlignment="1">
      <alignment vertical="center"/>
    </xf>
    <xf numFmtId="214" fontId="305" fillId="0" borderId="0" xfId="0" applyNumberFormat="1" applyFont="1" applyAlignment="1">
      <alignment horizontal="left" vertical="center"/>
    </xf>
    <xf numFmtId="3" fontId="305" fillId="0" borderId="0" xfId="1385" applyNumberFormat="1" applyFont="1" applyAlignment="1" applyProtection="1">
      <alignment vertical="center"/>
      <protection locked="0"/>
    </xf>
    <xf numFmtId="214" fontId="305" fillId="0" borderId="0" xfId="0" applyNumberFormat="1" applyFont="1" applyAlignment="1" applyProtection="1">
      <alignment horizontal="left" vertical="center"/>
      <protection locked="0"/>
    </xf>
    <xf numFmtId="0" fontId="304" fillId="50" borderId="0" xfId="1385" applyFont="1" applyFill="1" applyAlignment="1">
      <alignment horizontal="left" vertical="top" indent="1"/>
    </xf>
    <xf numFmtId="0" fontId="305" fillId="50" borderId="11" xfId="1385" applyFont="1" applyFill="1" applyBorder="1" applyAlignment="1">
      <alignment horizontal="left" vertical="top" indent="1"/>
    </xf>
    <xf numFmtId="214" fontId="304" fillId="0" borderId="0" xfId="0" applyNumberFormat="1" applyFont="1" applyAlignment="1">
      <alignment horizontal="left" vertical="top" indent="1"/>
    </xf>
    <xf numFmtId="0" fontId="304" fillId="50" borderId="0" xfId="1385" applyFont="1" applyFill="1" applyAlignment="1">
      <alignment vertical="top"/>
    </xf>
    <xf numFmtId="214" fontId="304" fillId="0" borderId="0" xfId="0" applyNumberFormat="1" applyFont="1" applyAlignment="1">
      <alignment horizontal="left" vertical="top"/>
    </xf>
    <xf numFmtId="49" fontId="308" fillId="50" borderId="0" xfId="1385" applyNumberFormat="1" applyFont="1" applyFill="1" applyAlignment="1" applyProtection="1">
      <alignment horizontal="right" vertical="center" wrapText="1"/>
      <protection locked="0"/>
    </xf>
    <xf numFmtId="0" fontId="304" fillId="0" borderId="0" xfId="1095" applyFont="1" applyAlignment="1">
      <alignment vertical="center"/>
    </xf>
    <xf numFmtId="0" fontId="304" fillId="0" borderId="0" xfId="1095" applyFont="1" applyAlignment="1" applyProtection="1">
      <alignment vertical="center"/>
      <protection locked="0"/>
    </xf>
    <xf numFmtId="0" fontId="310" fillId="50" borderId="0" xfId="1385" quotePrefix="1" applyFont="1" applyFill="1" applyAlignment="1">
      <alignment vertical="center" wrapText="1"/>
    </xf>
    <xf numFmtId="0" fontId="304" fillId="50" borderId="0" xfId="1385" quotePrefix="1" applyFont="1" applyFill="1" applyAlignment="1" applyProtection="1">
      <alignment vertical="center" wrapText="1"/>
      <protection locked="0"/>
    </xf>
    <xf numFmtId="214" fontId="304" fillId="0" borderId="0" xfId="1095" applyNumberFormat="1" applyFont="1" applyAlignment="1" applyProtection="1">
      <alignment vertical="center"/>
      <protection locked="0"/>
    </xf>
    <xf numFmtId="0" fontId="304" fillId="50" borderId="0" xfId="1385" quotePrefix="1" applyFont="1" applyFill="1" applyAlignment="1">
      <alignment horizontal="left" vertical="center" indent="1"/>
    </xf>
    <xf numFmtId="0" fontId="304" fillId="50" borderId="0" xfId="1385" applyFont="1" applyFill="1" applyAlignment="1" applyProtection="1">
      <alignment vertical="center" wrapText="1"/>
      <protection locked="0"/>
    </xf>
    <xf numFmtId="0" fontId="304" fillId="50" borderId="0" xfId="1385" quotePrefix="1" applyFont="1" applyFill="1" applyAlignment="1">
      <alignment horizontal="left" vertical="center" wrapText="1" indent="1"/>
    </xf>
    <xf numFmtId="0" fontId="304" fillId="0" borderId="0" xfId="1385" quotePrefix="1" applyFont="1" applyAlignment="1" applyProtection="1">
      <alignment vertical="center" wrapText="1"/>
      <protection locked="0"/>
    </xf>
    <xf numFmtId="0" fontId="305" fillId="50" borderId="6" xfId="1385" quotePrefix="1" applyFont="1" applyFill="1" applyBorder="1" applyAlignment="1">
      <alignment vertical="center" wrapText="1"/>
    </xf>
    <xf numFmtId="0" fontId="305" fillId="50" borderId="6" xfId="1385" applyFont="1" applyFill="1" applyBorder="1" applyAlignment="1" applyProtection="1">
      <alignment vertical="center" wrapText="1"/>
      <protection locked="0"/>
    </xf>
    <xf numFmtId="0" fontId="304" fillId="50" borderId="0" xfId="1385" quotePrefix="1" applyFont="1" applyFill="1" applyAlignment="1">
      <alignment vertical="center" wrapText="1"/>
    </xf>
    <xf numFmtId="0" fontId="304" fillId="50" borderId="11" xfId="1385" quotePrefix="1" applyFont="1" applyFill="1" applyBorder="1" applyAlignment="1">
      <alignment horizontal="left" vertical="center" indent="1"/>
    </xf>
    <xf numFmtId="0" fontId="304" fillId="50" borderId="11" xfId="1385" quotePrefix="1" applyFont="1" applyFill="1" applyBorder="1" applyAlignment="1" applyProtection="1">
      <alignment vertical="center" wrapText="1"/>
      <protection locked="0"/>
    </xf>
    <xf numFmtId="214" fontId="304" fillId="0" borderId="11" xfId="1095" applyNumberFormat="1" applyFont="1" applyBorder="1" applyAlignment="1">
      <alignment vertical="center"/>
    </xf>
    <xf numFmtId="0" fontId="305" fillId="50" borderId="0" xfId="1385" quotePrefix="1" applyFont="1" applyFill="1" applyAlignment="1">
      <alignment vertical="center"/>
    </xf>
    <xf numFmtId="0" fontId="305" fillId="50" borderId="0" xfId="1385" quotePrefix="1" applyFont="1" applyFill="1" applyAlignment="1" applyProtection="1">
      <alignment vertical="center" wrapText="1"/>
      <protection locked="0"/>
    </xf>
    <xf numFmtId="0" fontId="304" fillId="50" borderId="0" xfId="1385" quotePrefix="1" applyFont="1" applyFill="1" applyAlignment="1">
      <alignment vertical="center"/>
    </xf>
    <xf numFmtId="0" fontId="310" fillId="50" borderId="0" xfId="1385" quotePrefix="1" applyFont="1" applyFill="1" applyAlignment="1">
      <alignment vertical="center"/>
    </xf>
    <xf numFmtId="0" fontId="304" fillId="0" borderId="0" xfId="907" applyFont="1" applyFill="1" applyAlignment="1" applyProtection="1">
      <alignment vertical="center"/>
      <protection locked="0"/>
    </xf>
    <xf numFmtId="0" fontId="304" fillId="50" borderId="11" xfId="1385" applyFont="1" applyFill="1" applyBorder="1" applyAlignment="1" applyProtection="1">
      <alignment vertical="center"/>
      <protection locked="0"/>
    </xf>
    <xf numFmtId="0" fontId="305" fillId="50" borderId="0" xfId="1385" applyFont="1" applyFill="1" applyAlignment="1" applyProtection="1">
      <alignment vertical="center"/>
      <protection locked="0"/>
    </xf>
    <xf numFmtId="0" fontId="311" fillId="69" borderId="0" xfId="1090" applyFont="1" applyFill="1" applyProtection="1">
      <protection locked="0"/>
    </xf>
    <xf numFmtId="0" fontId="311" fillId="0" borderId="0" xfId="1090" applyFont="1" applyProtection="1">
      <protection locked="0"/>
    </xf>
    <xf numFmtId="0" fontId="312" fillId="0" borderId="0" xfId="1399" applyFont="1" applyProtection="1">
      <protection locked="0"/>
    </xf>
    <xf numFmtId="0" fontId="304" fillId="50" borderId="0" xfId="1090" applyFont="1" applyFill="1" applyProtection="1">
      <protection locked="0"/>
    </xf>
    <xf numFmtId="221" fontId="304" fillId="50" borderId="0" xfId="1398" applyNumberFormat="1" applyFont="1" applyFill="1" applyAlignment="1" applyProtection="1">
      <alignment horizontal="right" vertical="center"/>
    </xf>
    <xf numFmtId="9" fontId="313" fillId="50" borderId="0" xfId="1090" applyNumberFormat="1" applyFont="1" applyFill="1" applyAlignment="1" applyProtection="1">
      <alignment horizontal="center"/>
      <protection locked="0"/>
    </xf>
    <xf numFmtId="0" fontId="304" fillId="0" borderId="0" xfId="1090" applyFont="1" applyProtection="1">
      <protection locked="0"/>
    </xf>
    <xf numFmtId="221" fontId="304" fillId="67" borderId="0" xfId="1398" applyNumberFormat="1" applyFont="1" applyFill="1" applyAlignment="1" applyProtection="1">
      <alignment horizontal="right" vertical="center"/>
    </xf>
    <xf numFmtId="9" fontId="304" fillId="50" borderId="0" xfId="1090" applyNumberFormat="1" applyFont="1" applyFill="1" applyAlignment="1" applyProtection="1">
      <alignment horizontal="center"/>
      <protection locked="0"/>
    </xf>
    <xf numFmtId="221" fontId="305" fillId="50" borderId="6" xfId="1398" applyNumberFormat="1" applyFont="1" applyFill="1" applyBorder="1" applyAlignment="1" applyProtection="1">
      <alignment horizontal="right" vertical="center"/>
    </xf>
    <xf numFmtId="0" fontId="304" fillId="50" borderId="6" xfId="1090" applyFont="1" applyFill="1" applyBorder="1" applyAlignment="1" applyProtection="1">
      <alignment horizontal="center"/>
      <protection locked="0"/>
    </xf>
    <xf numFmtId="0" fontId="304" fillId="50" borderId="0" xfId="1090" applyFont="1" applyFill="1" applyAlignment="1" applyProtection="1">
      <alignment horizontal="center"/>
      <protection locked="0"/>
    </xf>
    <xf numFmtId="221" fontId="304" fillId="50" borderId="0" xfId="1398" applyNumberFormat="1" applyFont="1" applyFill="1" applyAlignment="1" applyProtection="1">
      <alignment horizontal="right"/>
    </xf>
    <xf numFmtId="221" fontId="304" fillId="67" borderId="0" xfId="1398" applyNumberFormat="1" applyFont="1" applyFill="1" applyAlignment="1" applyProtection="1">
      <alignment horizontal="right"/>
    </xf>
    <xf numFmtId="221" fontId="305" fillId="50" borderId="6" xfId="1398" applyNumberFormat="1" applyFont="1" applyFill="1" applyBorder="1" applyAlignment="1" applyProtection="1">
      <alignment horizontal="right"/>
    </xf>
    <xf numFmtId="3" fontId="304" fillId="0" borderId="6" xfId="1090" applyNumberFormat="1" applyFont="1" applyBorder="1" applyAlignment="1" applyProtection="1">
      <alignment horizontal="center"/>
      <protection locked="0"/>
    </xf>
    <xf numFmtId="1" fontId="311" fillId="52" borderId="0" xfId="1090" applyNumberFormat="1" applyFont="1" applyFill="1" applyAlignment="1">
      <alignment horizontal="center"/>
    </xf>
    <xf numFmtId="2" fontId="304" fillId="0" borderId="0" xfId="1090" applyNumberFormat="1" applyFont="1" applyProtection="1">
      <protection locked="0"/>
    </xf>
    <xf numFmtId="0" fontId="310" fillId="50" borderId="0" xfId="1090" quotePrefix="1" applyFont="1" applyFill="1" applyProtection="1">
      <protection locked="0"/>
    </xf>
    <xf numFmtId="0" fontId="310" fillId="50" borderId="0" xfId="1090" quotePrefix="1" applyFont="1" applyFill="1" applyAlignment="1" applyProtection="1">
      <alignment horizontal="left" indent="1"/>
      <protection locked="0"/>
    </xf>
    <xf numFmtId="170" fontId="251" fillId="50" borderId="43" xfId="1385" applyNumberFormat="1" applyFont="1" applyFill="1" applyBorder="1" applyAlignment="1" applyProtection="1">
      <alignment horizontal="right" vertical="center" wrapText="1"/>
      <protection locked="0"/>
    </xf>
    <xf numFmtId="170" fontId="250" fillId="50" borderId="43" xfId="1385" applyNumberFormat="1" applyFont="1" applyFill="1" applyBorder="1" applyAlignment="1" applyProtection="1">
      <alignment horizontal="right" vertical="center" wrapText="1"/>
      <protection locked="0"/>
    </xf>
    <xf numFmtId="170" fontId="251" fillId="2" borderId="43" xfId="1391" applyNumberFormat="1" applyFont="1" applyFill="1" applyBorder="1" applyAlignment="1" applyProtection="1">
      <alignment horizontal="right" vertical="center" indent="1"/>
      <protection locked="0"/>
    </xf>
    <xf numFmtId="170" fontId="227" fillId="50" borderId="43" xfId="1385" applyNumberFormat="1" applyFont="1" applyFill="1" applyBorder="1" applyAlignment="1" applyProtection="1">
      <alignment horizontal="right" vertical="center" wrapText="1"/>
      <protection locked="0"/>
    </xf>
    <xf numFmtId="4" fontId="227" fillId="50" borderId="51" xfId="1385" applyNumberFormat="1" applyFont="1" applyFill="1" applyBorder="1" applyAlignment="1" applyProtection="1">
      <alignment horizontal="right" vertical="center" wrapText="1"/>
      <protection locked="0"/>
    </xf>
    <xf numFmtId="170" fontId="251" fillId="50" borderId="91" xfId="1385" applyNumberFormat="1" applyFont="1" applyFill="1" applyBorder="1" applyAlignment="1" applyProtection="1">
      <alignment horizontal="right" vertical="center" wrapText="1"/>
      <protection locked="0"/>
    </xf>
    <xf numFmtId="170" fontId="250" fillId="50" borderId="91" xfId="1385" applyNumberFormat="1" applyFont="1" applyFill="1" applyBorder="1" applyAlignment="1" applyProtection="1">
      <alignment horizontal="right" vertical="center" wrapText="1"/>
      <protection locked="0"/>
    </xf>
    <xf numFmtId="170" fontId="251" fillId="50" borderId="51" xfId="1385" applyNumberFormat="1" applyFont="1" applyFill="1" applyBorder="1" applyAlignment="1" applyProtection="1">
      <alignment horizontal="right" vertical="center" wrapText="1"/>
      <protection locked="0"/>
    </xf>
    <xf numFmtId="170" fontId="251" fillId="2" borderId="91" xfId="1391" applyNumberFormat="1" applyFont="1" applyFill="1" applyBorder="1" applyAlignment="1" applyProtection="1">
      <alignment horizontal="right" vertical="center" indent="1"/>
      <protection locked="0"/>
    </xf>
    <xf numFmtId="170" fontId="227" fillId="50" borderId="51" xfId="1385" applyNumberFormat="1" applyFont="1" applyFill="1" applyBorder="1" applyAlignment="1" applyProtection="1">
      <alignment horizontal="right" vertical="center" wrapText="1"/>
      <protection locked="0"/>
    </xf>
    <xf numFmtId="170" fontId="251" fillId="2" borderId="51" xfId="1391" applyNumberFormat="1" applyFont="1" applyFill="1" applyBorder="1" applyAlignment="1" applyProtection="1">
      <alignment horizontal="right" vertical="center" indent="1"/>
      <protection locked="0"/>
    </xf>
    <xf numFmtId="170" fontId="227" fillId="50" borderId="91" xfId="1385" applyNumberFormat="1" applyFont="1" applyFill="1" applyBorder="1" applyAlignment="1" applyProtection="1">
      <alignment horizontal="right" vertical="center" wrapText="1"/>
      <protection locked="0"/>
    </xf>
    <xf numFmtId="0" fontId="218" fillId="60" borderId="0" xfId="1090" applyFont="1" applyFill="1" applyAlignment="1">
      <alignment horizontal="right" vertical="top"/>
    </xf>
    <xf numFmtId="0" fontId="218" fillId="61" borderId="87" xfId="1090" applyFont="1" applyFill="1" applyBorder="1" applyAlignment="1">
      <alignment horizontal="right" vertical="top"/>
    </xf>
    <xf numFmtId="170" fontId="294" fillId="82" borderId="44" xfId="1385" applyNumberFormat="1" applyFont="1" applyFill="1" applyBorder="1" applyAlignment="1">
      <alignment horizontal="right" vertical="center"/>
    </xf>
    <xf numFmtId="0" fontId="241" fillId="82" borderId="0" xfId="0" applyFont="1" applyFill="1" applyAlignment="1">
      <alignment vertical="center"/>
    </xf>
    <xf numFmtId="0" fontId="241" fillId="82" borderId="0" xfId="1090" applyFont="1" applyFill="1" applyProtection="1">
      <protection locked="0"/>
    </xf>
    <xf numFmtId="3" fontId="241" fillId="82" borderId="0" xfId="1090" applyNumberFormat="1" applyFont="1" applyFill="1" applyProtection="1">
      <protection locked="0"/>
    </xf>
    <xf numFmtId="3" fontId="241" fillId="82" borderId="51" xfId="1090" applyNumberFormat="1" applyFont="1" applyFill="1" applyBorder="1" applyProtection="1">
      <protection locked="0"/>
    </xf>
    <xf numFmtId="3" fontId="241" fillId="82" borderId="0" xfId="1090" applyNumberFormat="1" applyFont="1" applyFill="1" applyAlignment="1" applyProtection="1">
      <alignment horizontal="right"/>
      <protection locked="0"/>
    </xf>
    <xf numFmtId="0" fontId="241" fillId="82" borderId="0" xfId="1090" applyFont="1" applyFill="1"/>
    <xf numFmtId="37" fontId="241" fillId="82" borderId="0" xfId="1090" applyNumberFormat="1" applyFont="1" applyFill="1" applyAlignment="1" applyProtection="1">
      <alignment vertical="top"/>
      <protection locked="0"/>
    </xf>
    <xf numFmtId="0" fontId="241" fillId="82" borderId="51" xfId="1090" applyFont="1" applyFill="1" applyBorder="1" applyProtection="1">
      <protection locked="0"/>
    </xf>
    <xf numFmtId="37" fontId="241" fillId="82" borderId="0" xfId="1090" applyNumberFormat="1" applyFont="1" applyFill="1" applyAlignment="1" applyProtection="1">
      <alignment horizontal="right" vertical="top"/>
      <protection locked="0"/>
    </xf>
    <xf numFmtId="0" fontId="245" fillId="88" borderId="0" xfId="1385" applyFont="1" applyFill="1" applyAlignment="1">
      <alignment horizontal="left" vertical="center"/>
    </xf>
    <xf numFmtId="0" fontId="245" fillId="88" borderId="0" xfId="1385" applyFont="1" applyFill="1" applyAlignment="1" applyProtection="1">
      <alignment vertical="center"/>
      <protection locked="0"/>
    </xf>
    <xf numFmtId="170" fontId="245" fillId="88" borderId="0" xfId="1385" applyNumberFormat="1" applyFont="1" applyFill="1" applyAlignment="1">
      <alignment horizontal="right" vertical="center"/>
    </xf>
    <xf numFmtId="170" fontId="245" fillId="88" borderId="51" xfId="1385" applyNumberFormat="1" applyFont="1" applyFill="1" applyBorder="1" applyAlignment="1">
      <alignment horizontal="right" vertical="center"/>
    </xf>
    <xf numFmtId="0" fontId="245" fillId="88" borderId="0" xfId="1391" applyFont="1" applyFill="1" applyAlignment="1" applyProtection="1">
      <alignment vertical="center"/>
      <protection locked="0"/>
    </xf>
    <xf numFmtId="170" fontId="245" fillId="88" borderId="0" xfId="1391" applyNumberFormat="1" applyFont="1" applyFill="1" applyAlignment="1">
      <alignment horizontal="right" vertical="center" indent="1"/>
    </xf>
    <xf numFmtId="170" fontId="245" fillId="88" borderId="51" xfId="1391" applyNumberFormat="1" applyFont="1" applyFill="1" applyBorder="1" applyAlignment="1">
      <alignment horizontal="right" vertical="center" indent="1"/>
    </xf>
    <xf numFmtId="0" fontId="245" fillId="88" borderId="0" xfId="1385" applyFont="1" applyFill="1" applyAlignment="1" applyProtection="1">
      <alignment horizontal="left" vertical="center"/>
      <protection locked="0"/>
    </xf>
    <xf numFmtId="2" fontId="218" fillId="82" borderId="0" xfId="1094" applyNumberFormat="1" applyFont="1" applyFill="1" applyAlignment="1" applyProtection="1">
      <alignment horizontal="left" vertical="center"/>
      <protection locked="0"/>
    </xf>
    <xf numFmtId="1" fontId="218" fillId="82" borderId="0" xfId="1094" applyNumberFormat="1" applyFont="1" applyFill="1" applyAlignment="1" applyProtection="1">
      <alignment horizontal="left" vertical="center"/>
      <protection locked="0"/>
    </xf>
    <xf numFmtId="2" fontId="218" fillId="82" borderId="0" xfId="1094" applyNumberFormat="1" applyFont="1" applyFill="1" applyAlignment="1" applyProtection="1">
      <alignment horizontal="center" vertical="center"/>
      <protection locked="0"/>
    </xf>
    <xf numFmtId="2" fontId="218" fillId="82" borderId="10" xfId="1094" applyNumberFormat="1" applyFont="1" applyFill="1" applyBorder="1" applyAlignment="1" applyProtection="1">
      <alignment horizontal="left" vertical="center"/>
      <protection locked="0"/>
    </xf>
    <xf numFmtId="2" fontId="218" fillId="82" borderId="40" xfId="1094" applyNumberFormat="1" applyFont="1" applyFill="1" applyBorder="1" applyAlignment="1" applyProtection="1">
      <alignment horizontal="left" vertical="center"/>
      <protection locked="0"/>
    </xf>
    <xf numFmtId="2" fontId="218" fillId="82" borderId="6" xfId="1094" applyNumberFormat="1" applyFont="1" applyFill="1" applyBorder="1" applyAlignment="1" applyProtection="1">
      <alignment horizontal="left" vertical="center"/>
      <protection locked="0"/>
    </xf>
    <xf numFmtId="2" fontId="218" fillId="82" borderId="6" xfId="1094" applyNumberFormat="1" applyFont="1" applyFill="1" applyBorder="1" applyAlignment="1" applyProtection="1">
      <alignment horizontal="center" vertical="center"/>
      <protection locked="0"/>
    </xf>
    <xf numFmtId="2" fontId="218" fillId="82" borderId="38" xfId="1094" applyNumberFormat="1" applyFont="1" applyFill="1" applyBorder="1" applyAlignment="1" applyProtection="1">
      <alignment horizontal="left" vertical="center"/>
      <protection locked="0"/>
    </xf>
    <xf numFmtId="2" fontId="218" fillId="82" borderId="9" xfId="1094" applyNumberFormat="1" applyFont="1" applyFill="1" applyBorder="1" applyAlignment="1" applyProtection="1">
      <alignment horizontal="left" vertical="center"/>
      <protection locked="0"/>
    </xf>
    <xf numFmtId="221" fontId="218" fillId="82" borderId="0" xfId="1398" applyNumberFormat="1" applyFont="1" applyFill="1" applyAlignment="1" applyProtection="1">
      <alignment horizontal="center" vertical="center"/>
      <protection locked="0"/>
    </xf>
    <xf numFmtId="0" fontId="241" fillId="82" borderId="0" xfId="1094" applyFont="1" applyFill="1" applyAlignment="1" applyProtection="1">
      <alignment vertical="center" wrapText="1"/>
      <protection locked="0"/>
    </xf>
    <xf numFmtId="0" fontId="300" fillId="88" borderId="0" xfId="1094" applyFont="1" applyFill="1" applyAlignment="1" applyProtection="1">
      <alignment vertical="center" wrapText="1"/>
      <protection locked="0"/>
    </xf>
    <xf numFmtId="0" fontId="217" fillId="88" borderId="0" xfId="1094" applyFont="1" applyFill="1" applyAlignment="1" applyProtection="1">
      <alignment vertical="center" wrapText="1"/>
      <protection locked="0"/>
    </xf>
    <xf numFmtId="0" fontId="217" fillId="88" borderId="0" xfId="1094" applyFont="1" applyFill="1" applyAlignment="1" applyProtection="1">
      <alignment horizontal="right" vertical="center" wrapText="1"/>
      <protection locked="0"/>
    </xf>
    <xf numFmtId="2" fontId="221" fillId="88" borderId="0" xfId="1094" applyNumberFormat="1" applyFont="1" applyFill="1" applyAlignment="1" applyProtection="1">
      <alignment horizontal="right" vertical="center" wrapText="1"/>
      <protection locked="0"/>
    </xf>
    <xf numFmtId="2" fontId="221" fillId="88" borderId="0" xfId="1094" applyNumberFormat="1" applyFont="1" applyFill="1" applyAlignment="1">
      <alignment horizontal="right" vertical="center" wrapText="1"/>
    </xf>
    <xf numFmtId="0" fontId="217" fillId="88" borderId="0" xfId="1355" applyFont="1" applyFill="1" applyProtection="1">
      <protection locked="0"/>
    </xf>
    <xf numFmtId="10" fontId="225" fillId="88" borderId="0" xfId="1356" applyNumberFormat="1" applyFont="1" applyFill="1" applyBorder="1" applyAlignment="1" applyProtection="1">
      <alignment horizontal="right"/>
    </xf>
    <xf numFmtId="0" fontId="227" fillId="88" borderId="0" xfId="1355" applyFont="1" applyFill="1" applyProtection="1">
      <protection locked="0"/>
    </xf>
    <xf numFmtId="2" fontId="232" fillId="88" borderId="0" xfId="1356" applyNumberFormat="1" applyFont="1" applyFill="1" applyBorder="1" applyAlignment="1" applyProtection="1">
      <alignment horizontal="right"/>
      <protection locked="0"/>
    </xf>
    <xf numFmtId="9" fontId="232" fillId="88" borderId="0" xfId="1356" applyNumberFormat="1" applyFont="1" applyFill="1" applyBorder="1" applyAlignment="1" applyProtection="1">
      <alignment horizontal="right"/>
      <protection locked="0"/>
    </xf>
    <xf numFmtId="2" fontId="217" fillId="88" borderId="0" xfId="1356" applyNumberFormat="1" applyFont="1" applyFill="1" applyBorder="1" applyAlignment="1" applyProtection="1">
      <alignment horizontal="right"/>
    </xf>
    <xf numFmtId="0" fontId="217" fillId="88" borderId="6" xfId="1355" applyFont="1" applyFill="1" applyBorder="1" applyProtection="1">
      <protection locked="0"/>
    </xf>
    <xf numFmtId="10" fontId="217" fillId="88" borderId="6" xfId="1033" applyNumberFormat="1" applyFont="1" applyFill="1" applyBorder="1" applyAlignment="1" applyProtection="1">
      <alignment horizontal="right"/>
    </xf>
    <xf numFmtId="0" fontId="217" fillId="88" borderId="0" xfId="1355" applyFont="1" applyFill="1" applyAlignment="1" applyProtection="1">
      <alignment horizontal="right"/>
      <protection locked="0"/>
    </xf>
    <xf numFmtId="170" fontId="217" fillId="88" borderId="0" xfId="1398" applyNumberFormat="1" applyFont="1" applyFill="1" applyAlignment="1" applyProtection="1">
      <alignment horizontal="right"/>
      <protection locked="0"/>
    </xf>
    <xf numFmtId="0" fontId="227" fillId="88" borderId="0" xfId="1355" applyFont="1" applyFill="1" applyAlignment="1" applyProtection="1">
      <alignment horizontal="left" indent="1"/>
      <protection locked="0"/>
    </xf>
    <xf numFmtId="10" fontId="295" fillId="88" borderId="0" xfId="1356" applyNumberFormat="1" applyFont="1" applyFill="1" applyBorder="1" applyAlignment="1" applyProtection="1">
      <alignment horizontal="right"/>
    </xf>
    <xf numFmtId="10" fontId="217" fillId="88" borderId="0" xfId="1356" applyNumberFormat="1" applyFont="1" applyFill="1" applyBorder="1" applyAlignment="1" applyProtection="1">
      <alignment horizontal="right"/>
    </xf>
    <xf numFmtId="3" fontId="225" fillId="88" borderId="0" xfId="1356" applyNumberFormat="1" applyFont="1" applyFill="1" applyBorder="1" applyAlignment="1" applyProtection="1">
      <alignment horizontal="right"/>
    </xf>
    <xf numFmtId="179" fontId="219" fillId="88" borderId="0" xfId="1356" applyNumberFormat="1" applyFont="1" applyFill="1" applyBorder="1" applyAlignment="1" applyProtection="1">
      <alignment horizontal="right"/>
      <protection locked="0"/>
    </xf>
    <xf numFmtId="3" fontId="217" fillId="88" borderId="0" xfId="1355" applyNumberFormat="1" applyFont="1" applyFill="1" applyAlignment="1">
      <alignment horizontal="right"/>
    </xf>
    <xf numFmtId="0" fontId="241" fillId="82" borderId="0" xfId="1355" applyFont="1" applyFill="1" applyProtection="1">
      <protection locked="0"/>
    </xf>
    <xf numFmtId="0" fontId="242" fillId="82" borderId="0" xfId="1355" applyFont="1" applyFill="1" applyProtection="1">
      <protection locked="0"/>
    </xf>
    <xf numFmtId="49" fontId="218" fillId="66" borderId="0" xfId="1094" applyNumberFormat="1" applyFont="1" applyFill="1" applyAlignment="1" applyProtection="1">
      <alignment vertical="center"/>
      <protection locked="0"/>
    </xf>
    <xf numFmtId="49" fontId="282" fillId="66" borderId="0" xfId="1094" applyNumberFormat="1" applyFont="1" applyFill="1" applyAlignment="1" applyProtection="1">
      <alignment vertical="center"/>
      <protection locked="0"/>
    </xf>
    <xf numFmtId="49" fontId="218" fillId="66" borderId="0" xfId="1094" applyNumberFormat="1" applyFont="1" applyFill="1" applyAlignment="1" applyProtection="1">
      <alignment horizontal="right" vertical="center"/>
      <protection locked="0"/>
    </xf>
    <xf numFmtId="1" fontId="314" fillId="66" borderId="0" xfId="1094" applyNumberFormat="1" applyFont="1" applyFill="1" applyAlignment="1">
      <alignment horizontal="left" vertical="center"/>
    </xf>
    <xf numFmtId="49" fontId="218" fillId="82" borderId="0" xfId="1094" applyNumberFormat="1" applyFont="1" applyFill="1" applyAlignment="1" applyProtection="1">
      <alignment vertical="center" wrapText="1"/>
      <protection locked="0"/>
    </xf>
    <xf numFmtId="49" fontId="218" fillId="66" borderId="0" xfId="1094" applyNumberFormat="1" applyFont="1" applyFill="1" applyAlignment="1" applyProtection="1">
      <alignment vertical="center" wrapText="1"/>
      <protection locked="0"/>
    </xf>
    <xf numFmtId="49" fontId="224" fillId="66" borderId="0" xfId="1094" applyNumberFormat="1" applyFont="1" applyFill="1" applyAlignment="1" applyProtection="1">
      <alignment vertical="center" wrapText="1"/>
      <protection locked="0"/>
    </xf>
    <xf numFmtId="0" fontId="217" fillId="66" borderId="0" xfId="1095" applyFont="1" applyFill="1" applyAlignment="1" applyProtection="1">
      <alignment vertical="center" wrapText="1"/>
      <protection locked="0"/>
    </xf>
    <xf numFmtId="0" fontId="241" fillId="82" borderId="0" xfId="907" applyFont="1" applyFill="1" applyProtection="1">
      <protection locked="0"/>
    </xf>
    <xf numFmtId="182" fontId="219" fillId="82" borderId="0" xfId="907" applyNumberFormat="1" applyFont="1" applyFill="1" applyAlignment="1" applyProtection="1">
      <alignment horizontal="right"/>
      <protection locked="0"/>
    </xf>
    <xf numFmtId="3" fontId="241" fillId="82" borderId="0" xfId="907" applyNumberFormat="1" applyFont="1" applyFill="1" applyProtection="1">
      <protection locked="0"/>
    </xf>
    <xf numFmtId="0" fontId="241" fillId="66" borderId="0" xfId="1094" applyFont="1" applyFill="1" applyAlignment="1" applyProtection="1">
      <alignment vertical="center" wrapText="1"/>
      <protection locked="0"/>
    </xf>
    <xf numFmtId="0" fontId="275" fillId="88" borderId="0" xfId="1094" applyFont="1" applyFill="1" applyAlignment="1" applyProtection="1">
      <alignment vertical="center" wrapText="1"/>
      <protection locked="0"/>
    </xf>
    <xf numFmtId="0" fontId="218" fillId="82" borderId="0" xfId="1090" applyFont="1" applyFill="1" applyAlignment="1" applyProtection="1">
      <alignment vertical="center"/>
      <protection locked="0"/>
    </xf>
    <xf numFmtId="0" fontId="217" fillId="82" borderId="0" xfId="0" applyFont="1" applyFill="1" applyProtection="1">
      <protection locked="0"/>
    </xf>
    <xf numFmtId="49" fontId="242" fillId="52" borderId="0" xfId="0" applyNumberFormat="1" applyFont="1" applyFill="1" applyAlignment="1" applyProtection="1">
      <alignment horizontal="left" vertical="center"/>
      <protection locked="0"/>
    </xf>
    <xf numFmtId="49" fontId="242" fillId="52" borderId="0" xfId="0" applyNumberFormat="1" applyFont="1" applyFill="1" applyAlignment="1" applyProtection="1">
      <alignment horizontal="left" vertical="center" indent="1"/>
      <protection locked="0"/>
    </xf>
    <xf numFmtId="49" fontId="241" fillId="52" borderId="0" xfId="0" quotePrefix="1" applyNumberFormat="1" applyFont="1" applyFill="1" applyAlignment="1" applyProtection="1">
      <alignment horizontal="left" vertical="center"/>
      <protection locked="0"/>
    </xf>
    <xf numFmtId="0" fontId="241" fillId="0" borderId="0" xfId="1385" applyFont="1" applyAlignment="1" applyProtection="1">
      <alignment vertical="center"/>
      <protection locked="0"/>
    </xf>
    <xf numFmtId="49" fontId="217" fillId="61" borderId="73" xfId="0" applyNumberFormat="1" applyFont="1" applyFill="1" applyBorder="1" applyAlignment="1" applyProtection="1">
      <alignment horizontal="left" vertical="center"/>
      <protection locked="0"/>
    </xf>
    <xf numFmtId="49" fontId="217" fillId="60" borderId="73" xfId="0" applyNumberFormat="1" applyFont="1" applyFill="1" applyBorder="1" applyAlignment="1" applyProtection="1">
      <alignment horizontal="left" vertical="center"/>
      <protection locked="0"/>
    </xf>
    <xf numFmtId="49" fontId="217" fillId="63" borderId="73" xfId="0" applyNumberFormat="1" applyFont="1" applyFill="1" applyBorder="1" applyAlignment="1" applyProtection="1">
      <alignment horizontal="left" vertical="center"/>
      <protection locked="0"/>
    </xf>
    <xf numFmtId="49" fontId="217" fillId="62" borderId="73" xfId="0" applyNumberFormat="1" applyFont="1" applyFill="1" applyBorder="1" applyAlignment="1" applyProtection="1">
      <alignment horizontal="left" vertical="center"/>
      <protection locked="0"/>
    </xf>
    <xf numFmtId="0" fontId="242" fillId="69" borderId="73" xfId="1385" applyFont="1" applyFill="1" applyBorder="1" applyAlignment="1" applyProtection="1">
      <alignment vertical="center"/>
      <protection locked="0"/>
    </xf>
    <xf numFmtId="0" fontId="217" fillId="87" borderId="73" xfId="1385" applyFont="1" applyFill="1" applyBorder="1" applyAlignment="1" applyProtection="1">
      <alignment vertical="center"/>
      <protection locked="0"/>
    </xf>
    <xf numFmtId="0" fontId="227" fillId="0" borderId="0" xfId="1385" quotePrefix="1" applyFont="1" applyAlignment="1" applyProtection="1">
      <alignment horizontal="left" vertical="center"/>
      <protection locked="0"/>
    </xf>
    <xf numFmtId="175" fontId="227" fillId="0" borderId="0" xfId="1385" quotePrefix="1" applyNumberFormat="1" applyFont="1" applyAlignment="1" applyProtection="1">
      <alignment horizontal="left" vertical="center" indent="1"/>
      <protection locked="0"/>
    </xf>
    <xf numFmtId="2" fontId="301" fillId="61" borderId="0" xfId="1094" applyNumberFormat="1" applyFont="1" applyFill="1" applyAlignment="1">
      <alignment horizontal="left" vertical="center"/>
    </xf>
    <xf numFmtId="2" fontId="301" fillId="61" borderId="0" xfId="1094" applyNumberFormat="1" applyFont="1" applyFill="1" applyAlignment="1" applyProtection="1">
      <alignment horizontal="left" vertical="center"/>
      <protection locked="0"/>
    </xf>
    <xf numFmtId="49" fontId="301" fillId="61" borderId="45" xfId="1090" applyNumberFormat="1" applyFont="1" applyFill="1" applyBorder="1" applyAlignment="1">
      <alignment horizontal="right" vertical="top"/>
    </xf>
    <xf numFmtId="1" fontId="301" fillId="61" borderId="45" xfId="1090" applyNumberFormat="1" applyFont="1" applyFill="1" applyBorder="1" applyAlignment="1">
      <alignment horizontal="right" vertical="top"/>
    </xf>
    <xf numFmtId="349" fontId="302" fillId="61" borderId="0" xfId="1094" applyNumberFormat="1" applyFont="1" applyFill="1" applyAlignment="1">
      <alignment horizontal="left" vertical="center"/>
    </xf>
    <xf numFmtId="349" fontId="303" fillId="61" borderId="0" xfId="1094" applyNumberFormat="1" applyFont="1" applyFill="1" applyAlignment="1" applyProtection="1">
      <alignment horizontal="left" vertical="center"/>
      <protection locked="0"/>
    </xf>
    <xf numFmtId="0" fontId="301" fillId="61" borderId="45" xfId="1090" applyFont="1" applyFill="1" applyBorder="1" applyAlignment="1" applyProtection="1">
      <alignment horizontal="right" vertical="top"/>
      <protection locked="0"/>
    </xf>
    <xf numFmtId="49" fontId="301" fillId="60" borderId="45" xfId="1090" applyNumberFormat="1" applyFont="1" applyFill="1" applyBorder="1" applyAlignment="1">
      <alignment horizontal="right" vertical="top"/>
    </xf>
    <xf numFmtId="0" fontId="301" fillId="60" borderId="45" xfId="1090" applyFont="1" applyFill="1" applyBorder="1" applyAlignment="1" applyProtection="1">
      <alignment horizontal="right" vertical="top"/>
      <protection locked="0"/>
    </xf>
    <xf numFmtId="0" fontId="311" fillId="63" borderId="0" xfId="1090" applyFont="1" applyFill="1" applyProtection="1">
      <protection locked="0"/>
    </xf>
    <xf numFmtId="1" fontId="241" fillId="69" borderId="45" xfId="1090" applyNumberFormat="1" applyFont="1" applyFill="1" applyBorder="1" applyAlignment="1">
      <alignment horizontal="right" vertical="top"/>
    </xf>
    <xf numFmtId="0" fontId="241" fillId="69" borderId="45" xfId="1090" applyFont="1" applyFill="1" applyBorder="1" applyAlignment="1">
      <alignment horizontal="right" vertical="top"/>
    </xf>
    <xf numFmtId="1" fontId="311" fillId="69" borderId="45" xfId="1090" applyNumberFormat="1" applyFont="1" applyFill="1" applyBorder="1" applyAlignment="1">
      <alignment horizontal="right" vertical="top"/>
    </xf>
    <xf numFmtId="0" fontId="311" fillId="69" borderId="45" xfId="1090" applyFont="1" applyFill="1" applyBorder="1" applyAlignment="1">
      <alignment horizontal="right" vertical="top"/>
    </xf>
    <xf numFmtId="1" fontId="241" fillId="69" borderId="0" xfId="1090" applyNumberFormat="1" applyFont="1" applyFill="1" applyAlignment="1" applyProtection="1">
      <alignment horizontal="right" vertical="top"/>
      <protection locked="0"/>
    </xf>
    <xf numFmtId="0" fontId="241" fillId="69" borderId="0" xfId="1090" applyFont="1" applyFill="1" applyAlignment="1" applyProtection="1">
      <alignment horizontal="right" vertical="top"/>
      <protection locked="0"/>
    </xf>
    <xf numFmtId="1" fontId="241" fillId="69" borderId="45" xfId="1090" applyNumberFormat="1" applyFont="1" applyFill="1" applyBorder="1" applyAlignment="1" applyProtection="1">
      <alignment horizontal="right" vertical="top"/>
      <protection locked="0"/>
    </xf>
    <xf numFmtId="0" fontId="241" fillId="69" borderId="45" xfId="1090" applyFont="1" applyFill="1" applyBorder="1" applyAlignment="1" applyProtection="1">
      <alignment horizontal="right" vertical="top"/>
      <protection locked="0"/>
    </xf>
    <xf numFmtId="9" fontId="311" fillId="69" borderId="0" xfId="1090" applyNumberFormat="1" applyFont="1" applyFill="1" applyAlignment="1" applyProtection="1">
      <alignment horizontal="center"/>
      <protection locked="0"/>
    </xf>
    <xf numFmtId="0" fontId="311" fillId="69" borderId="0" xfId="1090" applyFont="1" applyFill="1" applyAlignment="1" applyProtection="1">
      <alignment horizontal="center"/>
      <protection locked="0"/>
    </xf>
    <xf numFmtId="0" fontId="311" fillId="69" borderId="6" xfId="1090" applyFont="1" applyFill="1" applyBorder="1" applyProtection="1">
      <protection locked="0"/>
    </xf>
    <xf numFmtId="221" fontId="304" fillId="0" borderId="0" xfId="1398" applyNumberFormat="1" applyFont="1" applyFill="1" applyAlignment="1" applyProtection="1">
      <alignment horizontal="right"/>
    </xf>
    <xf numFmtId="0" fontId="311" fillId="62" borderId="0" xfId="1090" applyFont="1" applyFill="1" applyProtection="1">
      <protection locked="0"/>
    </xf>
    <xf numFmtId="0" fontId="241" fillId="66" borderId="0" xfId="1090" applyFont="1" applyFill="1"/>
    <xf numFmtId="0" fontId="241" fillId="66" borderId="0" xfId="1090" applyFont="1" applyFill="1" applyProtection="1">
      <protection locked="0"/>
    </xf>
    <xf numFmtId="175" fontId="241" fillId="66" borderId="0" xfId="1033" applyNumberFormat="1" applyFont="1" applyFill="1" applyAlignment="1" applyProtection="1">
      <alignment vertical="top"/>
      <protection locked="0"/>
    </xf>
    <xf numFmtId="37" fontId="241" fillId="66" borderId="0" xfId="1090" applyNumberFormat="1" applyFont="1" applyFill="1" applyAlignment="1" applyProtection="1">
      <alignment vertical="top"/>
      <protection locked="0"/>
    </xf>
    <xf numFmtId="0" fontId="241" fillId="66" borderId="51" xfId="1090" applyFont="1" applyFill="1" applyBorder="1" applyProtection="1">
      <protection locked="0"/>
    </xf>
    <xf numFmtId="37" fontId="241" fillId="66" borderId="0" xfId="1090" applyNumberFormat="1" applyFont="1" applyFill="1" applyAlignment="1" applyProtection="1">
      <alignment horizontal="right" vertical="top"/>
      <protection locked="0"/>
    </xf>
    <xf numFmtId="0" fontId="242" fillId="89" borderId="83" xfId="1090" applyFont="1" applyFill="1" applyBorder="1" applyAlignment="1" applyProtection="1">
      <alignment horizontal="left" indent="3"/>
      <protection locked="0"/>
    </xf>
    <xf numFmtId="0" fontId="242" fillId="89" borderId="83" xfId="1090" applyFont="1" applyFill="1" applyBorder="1" applyProtection="1">
      <protection locked="0"/>
    </xf>
    <xf numFmtId="37" fontId="242" fillId="89" borderId="83" xfId="1090" applyNumberFormat="1" applyFont="1" applyFill="1" applyBorder="1" applyAlignment="1">
      <alignment vertical="top"/>
    </xf>
    <xf numFmtId="37" fontId="242" fillId="89" borderId="84" xfId="1090" applyNumberFormat="1" applyFont="1" applyFill="1" applyBorder="1" applyAlignment="1">
      <alignment vertical="top"/>
    </xf>
    <xf numFmtId="37" fontId="242" fillId="89" borderId="83" xfId="1090" applyNumberFormat="1" applyFont="1" applyFill="1" applyBorder="1" applyAlignment="1" applyProtection="1">
      <alignment horizontal="right" vertical="top"/>
      <protection locked="0"/>
    </xf>
    <xf numFmtId="37" fontId="242" fillId="64" borderId="83" xfId="1090" applyNumberFormat="1" applyFont="1" applyFill="1" applyBorder="1" applyAlignment="1" applyProtection="1">
      <alignment horizontal="left" vertical="top" indent="3"/>
      <protection locked="0"/>
    </xf>
    <xf numFmtId="37" fontId="242" fillId="64" borderId="83" xfId="1090" applyNumberFormat="1" applyFont="1" applyFill="1" applyBorder="1" applyAlignment="1" applyProtection="1">
      <alignment vertical="top"/>
      <protection locked="0"/>
    </xf>
    <xf numFmtId="37" fontId="242" fillId="64" borderId="83" xfId="1090" applyNumberFormat="1" applyFont="1" applyFill="1" applyBorder="1" applyAlignment="1">
      <alignment vertical="top"/>
    </xf>
    <xf numFmtId="37" fontId="242" fillId="64" borderId="84" xfId="1090" applyNumberFormat="1" applyFont="1" applyFill="1" applyBorder="1" applyAlignment="1">
      <alignment vertical="top"/>
    </xf>
    <xf numFmtId="37" fontId="242" fillId="64" borderId="83" xfId="1090" applyNumberFormat="1" applyFont="1" applyFill="1" applyBorder="1" applyAlignment="1" applyProtection="1">
      <alignment horizontal="right" vertical="top"/>
      <protection locked="0"/>
    </xf>
    <xf numFmtId="0" fontId="273" fillId="89" borderId="83" xfId="1090" applyFont="1" applyFill="1" applyBorder="1" applyProtection="1">
      <protection locked="0"/>
    </xf>
    <xf numFmtId="0" fontId="241" fillId="82" borderId="0" xfId="1090" applyFont="1" applyFill="1" applyAlignment="1">
      <alignment horizontal="left" vertical="center" indent="1"/>
    </xf>
    <xf numFmtId="0" fontId="241" fillId="82" borderId="0" xfId="1090" applyFont="1" applyFill="1" applyAlignment="1" applyProtection="1">
      <alignment vertical="center"/>
      <protection locked="0"/>
    </xf>
    <xf numFmtId="37" fontId="241" fillId="82" borderId="0" xfId="1090" applyNumberFormat="1" applyFont="1" applyFill="1" applyAlignment="1">
      <alignment vertical="center"/>
    </xf>
    <xf numFmtId="37" fontId="241" fillId="82" borderId="51" xfId="1090" applyNumberFormat="1" applyFont="1" applyFill="1" applyBorder="1" applyAlignment="1">
      <alignment vertical="center"/>
    </xf>
    <xf numFmtId="37" fontId="241" fillId="82" borderId="0" xfId="1090" applyNumberFormat="1" applyFont="1" applyFill="1" applyAlignment="1">
      <alignment horizontal="right" vertical="center"/>
    </xf>
    <xf numFmtId="170" fontId="241" fillId="82" borderId="0" xfId="1398" applyNumberFormat="1" applyFont="1" applyFill="1" applyAlignment="1" applyProtection="1">
      <alignment horizontal="right"/>
      <protection locked="0"/>
    </xf>
    <xf numFmtId="49" fontId="218" fillId="82" borderId="45" xfId="1090" applyNumberFormat="1" applyFont="1" applyFill="1" applyBorder="1" applyAlignment="1" applyProtection="1">
      <alignment horizontal="right" vertical="top"/>
      <protection locked="0"/>
    </xf>
    <xf numFmtId="0" fontId="218" fillId="82" borderId="45" xfId="1090" applyFont="1" applyFill="1" applyBorder="1" applyAlignment="1" applyProtection="1">
      <alignment horizontal="right" vertical="top"/>
      <protection locked="0"/>
    </xf>
    <xf numFmtId="49" fontId="218" fillId="82" borderId="40" xfId="1094" applyNumberFormat="1" applyFont="1" applyFill="1" applyBorder="1" applyAlignment="1" applyProtection="1">
      <alignment vertical="center" wrapText="1"/>
      <protection locked="0"/>
    </xf>
    <xf numFmtId="49" fontId="218" fillId="82" borderId="6" xfId="1094" applyNumberFormat="1" applyFont="1" applyFill="1" applyBorder="1" applyAlignment="1" applyProtection="1">
      <alignment horizontal="right" vertical="center" wrapText="1"/>
      <protection locked="0"/>
    </xf>
    <xf numFmtId="9" fontId="218" fillId="82" borderId="6" xfId="1094" quotePrefix="1" applyNumberFormat="1" applyFont="1" applyFill="1" applyBorder="1" applyAlignment="1" applyProtection="1">
      <alignment vertical="center"/>
      <protection locked="0"/>
    </xf>
    <xf numFmtId="9" fontId="218" fillId="82" borderId="38" xfId="1094" quotePrefix="1" applyNumberFormat="1" applyFont="1" applyFill="1" applyBorder="1" applyAlignment="1" applyProtection="1">
      <alignment horizontal="center" vertical="center"/>
      <protection locked="0"/>
    </xf>
    <xf numFmtId="49" fontId="241" fillId="0" borderId="45" xfId="1090" applyNumberFormat="1" applyFont="1" applyBorder="1" applyAlignment="1" applyProtection="1">
      <alignment horizontal="right" vertical="top"/>
      <protection locked="0"/>
    </xf>
    <xf numFmtId="0" fontId="241" fillId="0" borderId="45" xfId="1090" applyFont="1" applyBorder="1" applyAlignment="1" applyProtection="1">
      <alignment horizontal="right" vertical="top"/>
      <protection locked="0"/>
    </xf>
    <xf numFmtId="0" fontId="217" fillId="62" borderId="0" xfId="0" applyFont="1" applyFill="1"/>
    <xf numFmtId="0" fontId="290" fillId="62" borderId="0" xfId="0" applyFont="1" applyFill="1" applyAlignment="1">
      <alignment horizontal="center"/>
    </xf>
    <xf numFmtId="0" fontId="289" fillId="62" borderId="0" xfId="0" applyFont="1" applyFill="1"/>
    <xf numFmtId="221" fontId="304" fillId="0" borderId="0" xfId="1398" applyNumberFormat="1" applyFont="1" applyFill="1" applyBorder="1" applyAlignment="1" applyProtection="1">
      <alignment horizontal="right"/>
    </xf>
    <xf numFmtId="221" fontId="305" fillId="0" borderId="6" xfId="1398" applyNumberFormat="1" applyFont="1" applyFill="1" applyBorder="1" applyAlignment="1" applyProtection="1">
      <alignment horizontal="right"/>
    </xf>
    <xf numFmtId="221" fontId="311" fillId="62" borderId="0" xfId="1398" applyNumberFormat="1" applyFont="1" applyFill="1" applyBorder="1" applyAlignment="1" applyProtection="1">
      <alignment horizontal="right"/>
    </xf>
    <xf numFmtId="1" fontId="301" fillId="69" borderId="45" xfId="1090" applyNumberFormat="1" applyFont="1" applyFill="1" applyBorder="1" applyAlignment="1">
      <alignment horizontal="right" vertical="top"/>
    </xf>
    <xf numFmtId="0" fontId="301" fillId="69" borderId="45" xfId="1090" applyFont="1" applyFill="1" applyBorder="1" applyAlignment="1">
      <alignment horizontal="right" vertical="top"/>
    </xf>
    <xf numFmtId="0" fontId="241" fillId="82" borderId="0" xfId="1090" applyFont="1" applyFill="1" applyAlignment="1">
      <alignment horizontal="left" indent="1"/>
    </xf>
    <xf numFmtId="348" fontId="242" fillId="82" borderId="0" xfId="1090" applyNumberFormat="1" applyFont="1" applyFill="1" applyProtection="1">
      <protection locked="0"/>
    </xf>
    <xf numFmtId="0" fontId="242" fillId="82" borderId="51" xfId="1090" applyFont="1" applyFill="1" applyBorder="1" applyProtection="1">
      <protection locked="0"/>
    </xf>
    <xf numFmtId="348" fontId="273" fillId="82" borderId="0" xfId="1090" applyNumberFormat="1" applyFont="1" applyFill="1" applyAlignment="1" applyProtection="1">
      <alignment horizontal="right"/>
      <protection locked="0"/>
    </xf>
    <xf numFmtId="348" fontId="242" fillId="82" borderId="0" xfId="1090" applyNumberFormat="1" applyFont="1" applyFill="1" applyAlignment="1" applyProtection="1">
      <alignment horizontal="right"/>
      <protection locked="0"/>
    </xf>
    <xf numFmtId="0" fontId="242" fillId="90" borderId="0" xfId="1090" applyFont="1" applyFill="1" applyAlignment="1" applyProtection="1">
      <alignment horizontal="left" indent="3"/>
      <protection locked="0"/>
    </xf>
    <xf numFmtId="0" fontId="242" fillId="90" borderId="0" xfId="1090" applyFont="1" applyFill="1" applyProtection="1">
      <protection locked="0"/>
    </xf>
    <xf numFmtId="37" fontId="242" fillId="90" borderId="0" xfId="1090" applyNumberFormat="1" applyFont="1" applyFill="1" applyAlignment="1">
      <alignment vertical="top"/>
    </xf>
    <xf numFmtId="37" fontId="242" fillId="90" borderId="51" xfId="1090" applyNumberFormat="1" applyFont="1" applyFill="1" applyBorder="1" applyAlignment="1">
      <alignment vertical="top"/>
    </xf>
    <xf numFmtId="37" fontId="242" fillId="90" borderId="0" xfId="1090" applyNumberFormat="1" applyFont="1" applyFill="1" applyAlignment="1" applyProtection="1">
      <alignment horizontal="right" vertical="top"/>
      <protection locked="0"/>
    </xf>
    <xf numFmtId="172" fontId="315" fillId="50" borderId="0" xfId="1398" applyFont="1" applyFill="1" applyBorder="1" applyAlignment="1" applyProtection="1">
      <alignment horizontal="right"/>
    </xf>
    <xf numFmtId="0" fontId="227" fillId="0" borderId="0" xfId="1094" applyFont="1" applyAlignment="1" applyProtection="1">
      <alignment vertical="center"/>
      <protection locked="0"/>
    </xf>
    <xf numFmtId="49" fontId="221" fillId="0" borderId="9" xfId="1094" applyNumberFormat="1" applyFont="1" applyBorder="1" applyAlignment="1" applyProtection="1">
      <alignment horizontal="center" vertical="center"/>
      <protection locked="0"/>
    </xf>
    <xf numFmtId="3" fontId="230" fillId="0" borderId="0" xfId="907" applyNumberFormat="1" applyFont="1" applyFill="1" applyProtection="1">
      <protection locked="0"/>
    </xf>
    <xf numFmtId="9" fontId="228" fillId="0" borderId="9" xfId="1094" quotePrefix="1" applyNumberFormat="1" applyFont="1" applyBorder="1" applyAlignment="1" applyProtection="1">
      <alignment horizontal="center" vertical="center" wrapText="1"/>
      <protection locked="0"/>
    </xf>
    <xf numFmtId="9" fontId="228" fillId="0" borderId="12" xfId="1094" quotePrefix="1" applyNumberFormat="1" applyFont="1" applyBorder="1" applyAlignment="1" applyProtection="1">
      <alignment horizontal="center" vertical="center" wrapText="1"/>
      <protection locked="0"/>
    </xf>
    <xf numFmtId="0" fontId="221" fillId="50" borderId="6" xfId="0" applyFont="1" applyFill="1" applyBorder="1" applyAlignment="1" applyProtection="1">
      <alignment vertical="center" wrapText="1"/>
      <protection locked="0"/>
    </xf>
    <xf numFmtId="170" fontId="221" fillId="50" borderId="23" xfId="1398" applyNumberFormat="1" applyFont="1" applyFill="1" applyBorder="1" applyAlignment="1" applyProtection="1">
      <alignment horizontal="left" vertical="center"/>
      <protection locked="0"/>
    </xf>
    <xf numFmtId="221" fontId="217" fillId="0" borderId="0" xfId="1398" applyNumberFormat="1" applyFont="1" applyAlignment="1" applyProtection="1">
      <alignment horizontal="right" vertical="center" wrapText="1"/>
      <protection locked="0"/>
    </xf>
    <xf numFmtId="10" fontId="230" fillId="0" borderId="0" xfId="907" applyNumberFormat="1" applyFont="1" applyFill="1" applyProtection="1"/>
    <xf numFmtId="0" fontId="304" fillId="50" borderId="0" xfId="1090" applyFont="1" applyFill="1" applyAlignment="1" applyProtection="1">
      <alignment horizontal="left" indent="1"/>
      <protection locked="0"/>
    </xf>
    <xf numFmtId="170" fontId="217" fillId="65" borderId="0" xfId="1090" applyNumberFormat="1" applyFont="1" applyFill="1" applyAlignment="1" applyProtection="1">
      <alignment horizontal="right"/>
      <protection locked="0"/>
    </xf>
    <xf numFmtId="0" fontId="274" fillId="0" borderId="0" xfId="1090" applyFont="1" applyAlignment="1" applyProtection="1">
      <alignment vertical="center"/>
      <protection locked="0"/>
    </xf>
    <xf numFmtId="9" fontId="217" fillId="0" borderId="0" xfId="1090" applyNumberFormat="1" applyFont="1" applyProtection="1">
      <protection locked="0"/>
    </xf>
    <xf numFmtId="9" fontId="217" fillId="0" borderId="0" xfId="1090" applyNumberFormat="1" applyFont="1" applyAlignment="1" applyProtection="1">
      <alignment horizontal="right"/>
      <protection locked="0"/>
    </xf>
    <xf numFmtId="9" fontId="275" fillId="0" borderId="0" xfId="1090" applyNumberFormat="1" applyFont="1" applyProtection="1">
      <protection locked="0"/>
    </xf>
    <xf numFmtId="0" fontId="275" fillId="0" borderId="0" xfId="1090" applyFont="1" applyAlignment="1" applyProtection="1">
      <alignment horizontal="right"/>
      <protection locked="0"/>
    </xf>
    <xf numFmtId="9" fontId="275" fillId="0" borderId="0" xfId="1090" applyNumberFormat="1" applyFont="1" applyAlignment="1" applyProtection="1">
      <alignment horizontal="right"/>
      <protection locked="0"/>
    </xf>
    <xf numFmtId="49" fontId="227" fillId="50" borderId="0" xfId="0" applyNumberFormat="1" applyFont="1" applyFill="1" applyAlignment="1">
      <alignment horizontal="left" vertical="center"/>
    </xf>
    <xf numFmtId="10" fontId="316" fillId="50" borderId="0" xfId="1399" applyNumberFormat="1" applyFont="1" applyFill="1" applyBorder="1" applyAlignment="1" applyProtection="1">
      <alignment horizontal="left"/>
      <protection locked="0"/>
    </xf>
    <xf numFmtId="0" fontId="274" fillId="0" borderId="0" xfId="0" applyFont="1" applyAlignment="1" applyProtection="1">
      <alignment horizontal="center" vertical="center"/>
      <protection locked="0"/>
    </xf>
    <xf numFmtId="0" fontId="241" fillId="0" borderId="0" xfId="0" applyFont="1" applyProtection="1">
      <protection locked="0"/>
    </xf>
    <xf numFmtId="0" fontId="239" fillId="0" borderId="0" xfId="0" applyFont="1" applyProtection="1">
      <protection locked="0"/>
    </xf>
    <xf numFmtId="0" fontId="239" fillId="0" borderId="0" xfId="0" applyFont="1" applyAlignment="1" applyProtection="1">
      <alignment horizontal="left"/>
      <protection locked="0"/>
    </xf>
    <xf numFmtId="0" fontId="239" fillId="0" borderId="0" xfId="0" applyFont="1" applyAlignment="1" applyProtection="1">
      <alignment horizontal="center"/>
      <protection locked="0"/>
    </xf>
    <xf numFmtId="0" fontId="217" fillId="0" borderId="0" xfId="0" applyFont="1" applyAlignment="1">
      <alignment horizontal="left"/>
    </xf>
    <xf numFmtId="3" fontId="217" fillId="0" borderId="0" xfId="0" applyNumberFormat="1" applyFont="1" applyAlignment="1">
      <alignment horizontal="right"/>
    </xf>
    <xf numFmtId="3" fontId="217" fillId="0" borderId="0" xfId="0" applyNumberFormat="1" applyFont="1" applyAlignment="1" applyProtection="1">
      <alignment horizontal="right"/>
      <protection locked="0"/>
    </xf>
    <xf numFmtId="0" fontId="228" fillId="0" borderId="0" xfId="0" applyFont="1" applyAlignment="1" applyProtection="1">
      <alignment horizontal="right"/>
      <protection locked="0"/>
    </xf>
    <xf numFmtId="0" fontId="228" fillId="0" borderId="0" xfId="0" applyFont="1" applyProtection="1">
      <protection locked="0"/>
    </xf>
    <xf numFmtId="0" fontId="228" fillId="0" borderId="0" xfId="0" applyFont="1" applyAlignment="1" applyProtection="1">
      <alignment horizontal="center"/>
      <protection locked="0"/>
    </xf>
    <xf numFmtId="0" fontId="217" fillId="0" borderId="0" xfId="0" applyFont="1"/>
    <xf numFmtId="164" fontId="217" fillId="0" borderId="0" xfId="0" applyNumberFormat="1" applyFont="1" applyAlignment="1" applyProtection="1">
      <alignment horizontal="center"/>
      <protection locked="0"/>
    </xf>
    <xf numFmtId="179" fontId="239" fillId="0" borderId="0" xfId="0" applyNumberFormat="1" applyFont="1" applyAlignment="1" applyProtection="1">
      <alignment horizontal="right"/>
      <protection locked="0"/>
    </xf>
    <xf numFmtId="355" fontId="239" fillId="0" borderId="0" xfId="0" applyNumberFormat="1" applyFont="1" applyAlignment="1" applyProtection="1">
      <alignment horizontal="center"/>
      <protection locked="0"/>
    </xf>
    <xf numFmtId="179" fontId="217" fillId="0" borderId="0" xfId="0" applyNumberFormat="1" applyFont="1" applyAlignment="1">
      <alignment horizontal="right"/>
    </xf>
    <xf numFmtId="179" fontId="217" fillId="0" borderId="0" xfId="0" applyNumberFormat="1" applyFont="1" applyAlignment="1" applyProtection="1">
      <alignment horizontal="right"/>
      <protection locked="0"/>
    </xf>
    <xf numFmtId="14" fontId="217" fillId="0" borderId="0" xfId="0" applyNumberFormat="1" applyFont="1" applyAlignment="1">
      <alignment horizontal="right"/>
    </xf>
    <xf numFmtId="0" fontId="274" fillId="0" borderId="0" xfId="0" applyFont="1" applyAlignment="1" applyProtection="1">
      <alignment vertical="center"/>
      <protection locked="0"/>
    </xf>
    <xf numFmtId="208" fontId="228" fillId="0" borderId="0" xfId="0" applyNumberFormat="1" applyFont="1" applyAlignment="1" applyProtection="1">
      <alignment horizontal="center" vertical="center"/>
      <protection locked="0"/>
    </xf>
    <xf numFmtId="208" fontId="221" fillId="0" borderId="0" xfId="0" applyNumberFormat="1" applyFont="1" applyAlignment="1">
      <alignment horizontal="center" vertical="center"/>
    </xf>
    <xf numFmtId="208" fontId="228" fillId="0" borderId="0" xfId="0" applyNumberFormat="1" applyFont="1" applyAlignment="1">
      <alignment horizontal="center" vertical="center"/>
    </xf>
    <xf numFmtId="0" fontId="251" fillId="0" borderId="0" xfId="0" applyFont="1" applyProtection="1">
      <protection locked="0"/>
    </xf>
    <xf numFmtId="1" fontId="239" fillId="0" borderId="0" xfId="0" applyNumberFormat="1" applyFont="1" applyAlignment="1" applyProtection="1">
      <alignment horizontal="left"/>
      <protection locked="0"/>
    </xf>
    <xf numFmtId="0" fontId="227" fillId="0" borderId="0" xfId="0" quotePrefix="1" applyFont="1" applyAlignment="1" applyProtection="1">
      <alignment horizontal="left" vertical="center"/>
      <protection locked="0"/>
    </xf>
    <xf numFmtId="0" fontId="217" fillId="0" borderId="0" xfId="0" applyFont="1" applyAlignment="1" applyProtection="1">
      <alignment horizontal="left" indent="3"/>
      <protection locked="0"/>
    </xf>
    <xf numFmtId="14" fontId="217" fillId="0" borderId="0" xfId="0" applyNumberFormat="1" applyFont="1" applyAlignment="1" applyProtection="1">
      <alignment horizontal="center"/>
      <protection locked="0"/>
    </xf>
    <xf numFmtId="0" fontId="239" fillId="0" borderId="0" xfId="0" applyFont="1" applyAlignment="1" applyProtection="1">
      <alignment horizontal="left" vertical="center"/>
      <protection locked="0"/>
    </xf>
    <xf numFmtId="14" fontId="217" fillId="0" borderId="0" xfId="0" applyNumberFormat="1" applyFont="1" applyAlignment="1">
      <alignment horizontal="left" vertical="center"/>
    </xf>
    <xf numFmtId="14" fontId="217" fillId="0" borderId="0" xfId="0" applyNumberFormat="1" applyFont="1" applyAlignment="1" applyProtection="1">
      <alignment horizontal="left" vertical="center"/>
      <protection locked="0"/>
    </xf>
    <xf numFmtId="0" fontId="286" fillId="0" borderId="0" xfId="0" applyFont="1" applyAlignment="1" applyProtection="1">
      <alignment vertical="center"/>
      <protection locked="0"/>
    </xf>
    <xf numFmtId="0" fontId="239" fillId="0" borderId="0" xfId="0" applyFont="1" applyAlignment="1" applyProtection="1">
      <alignment horizontal="left" indent="3"/>
      <protection locked="0"/>
    </xf>
    <xf numFmtId="14" fontId="217" fillId="0" borderId="0" xfId="0" applyNumberFormat="1" applyFont="1" applyAlignment="1">
      <alignment horizontal="left" vertical="center" indent="3"/>
    </xf>
    <xf numFmtId="14" fontId="217" fillId="0" borderId="0" xfId="0" applyNumberFormat="1" applyFont="1" applyAlignment="1" applyProtection="1">
      <alignment horizontal="left" vertical="center" indent="1"/>
      <protection locked="0"/>
    </xf>
    <xf numFmtId="14" fontId="217" fillId="0" borderId="0" xfId="0" applyNumberFormat="1" applyFont="1" applyAlignment="1" applyProtection="1">
      <alignment horizontal="left" indent="1"/>
      <protection locked="0"/>
    </xf>
    <xf numFmtId="181" fontId="217" fillId="0" borderId="0" xfId="0" applyNumberFormat="1" applyFont="1" applyAlignment="1" applyProtection="1">
      <alignment horizontal="left" vertical="center"/>
      <protection locked="0"/>
    </xf>
    <xf numFmtId="181" fontId="217" fillId="0" borderId="0" xfId="0" applyNumberFormat="1" applyFont="1" applyProtection="1">
      <protection locked="0"/>
    </xf>
    <xf numFmtId="1" fontId="239" fillId="0" borderId="6" xfId="0" applyNumberFormat="1" applyFont="1" applyBorder="1" applyAlignment="1" applyProtection="1">
      <alignment horizontal="left"/>
      <protection locked="0"/>
    </xf>
    <xf numFmtId="181" fontId="217" fillId="0" borderId="6" xfId="0" applyNumberFormat="1" applyFont="1" applyBorder="1" applyAlignment="1" applyProtection="1">
      <alignment horizontal="left" vertical="center"/>
      <protection locked="0"/>
    </xf>
    <xf numFmtId="181" fontId="217" fillId="0" borderId="6" xfId="0" applyNumberFormat="1" applyFont="1" applyBorder="1" applyProtection="1">
      <protection locked="0"/>
    </xf>
    <xf numFmtId="1" fontId="239" fillId="0" borderId="11" xfId="0" applyNumberFormat="1" applyFont="1" applyBorder="1" applyAlignment="1" applyProtection="1">
      <alignment horizontal="left"/>
      <protection locked="0"/>
    </xf>
    <xf numFmtId="181" fontId="217" fillId="0" borderId="11" xfId="0" applyNumberFormat="1" applyFont="1" applyBorder="1" applyAlignment="1" applyProtection="1">
      <alignment horizontal="left" vertical="center"/>
      <protection locked="0"/>
    </xf>
    <xf numFmtId="181" fontId="217" fillId="0" borderId="11" xfId="0" applyNumberFormat="1" applyFont="1" applyBorder="1" applyProtection="1">
      <protection locked="0"/>
    </xf>
    <xf numFmtId="181" fontId="217" fillId="0" borderId="0" xfId="0" applyNumberFormat="1" applyFont="1" applyAlignment="1">
      <alignment horizontal="left" vertical="center"/>
    </xf>
    <xf numFmtId="181" fontId="226" fillId="0" borderId="0" xfId="0" applyNumberFormat="1" applyFont="1" applyAlignment="1">
      <alignment horizontal="center" vertical="center"/>
    </xf>
    <xf numFmtId="181" fontId="217" fillId="0" borderId="11" xfId="0" applyNumberFormat="1" applyFont="1" applyBorder="1" applyAlignment="1">
      <alignment horizontal="left" vertical="center"/>
    </xf>
    <xf numFmtId="181" fontId="226" fillId="0" borderId="11" xfId="0" applyNumberFormat="1" applyFont="1" applyBorder="1" applyAlignment="1">
      <alignment horizontal="center" vertical="center"/>
    </xf>
    <xf numFmtId="181" fontId="217" fillId="0" borderId="6" xfId="0" applyNumberFormat="1" applyFont="1" applyBorder="1" applyAlignment="1">
      <alignment horizontal="left" vertical="center"/>
    </xf>
    <xf numFmtId="181" fontId="226" fillId="0" borderId="6" xfId="0" applyNumberFormat="1" applyFont="1" applyBorder="1" applyAlignment="1">
      <alignment horizontal="center" vertical="center"/>
    </xf>
    <xf numFmtId="0" fontId="241" fillId="92" borderId="40" xfId="0" applyFont="1" applyFill="1" applyBorder="1" applyProtection="1">
      <protection locked="0"/>
    </xf>
    <xf numFmtId="0" fontId="242" fillId="92" borderId="6" xfId="0" applyFont="1" applyFill="1" applyBorder="1" applyProtection="1">
      <protection locked="0"/>
    </xf>
    <xf numFmtId="0" fontId="242" fillId="92" borderId="38" xfId="0" applyFont="1" applyFill="1" applyBorder="1" applyProtection="1">
      <protection locked="0"/>
    </xf>
    <xf numFmtId="0" fontId="317" fillId="0" borderId="0" xfId="0" applyFont="1" applyAlignment="1" applyProtection="1">
      <alignment vertical="center"/>
      <protection locked="0"/>
    </xf>
    <xf numFmtId="0" fontId="317" fillId="0" borderId="0" xfId="0" applyFont="1" applyAlignment="1" applyProtection="1">
      <alignment horizontal="center" vertical="center"/>
      <protection locked="0"/>
    </xf>
    <xf numFmtId="0" fontId="251" fillId="0" borderId="0" xfId="0" applyFont="1" applyAlignment="1" applyProtection="1">
      <alignment horizontal="left"/>
      <protection locked="0"/>
    </xf>
    <xf numFmtId="1" fontId="228" fillId="0" borderId="0" xfId="0" applyNumberFormat="1" applyFont="1" applyAlignment="1">
      <alignment horizontal="center"/>
    </xf>
    <xf numFmtId="0" fontId="226" fillId="0" borderId="0" xfId="0" applyFont="1" applyAlignment="1" applyProtection="1">
      <alignment horizontal="center"/>
      <protection locked="0"/>
    </xf>
    <xf numFmtId="3" fontId="226" fillId="0" borderId="0" xfId="0" applyNumberFormat="1" applyFont="1" applyAlignment="1">
      <alignment horizontal="center"/>
    </xf>
    <xf numFmtId="164" fontId="226" fillId="0" borderId="0" xfId="0" applyNumberFormat="1" applyFont="1" applyAlignment="1" applyProtection="1">
      <alignment horizontal="center"/>
      <protection locked="0"/>
    </xf>
    <xf numFmtId="355" fontId="228" fillId="0" borderId="0" xfId="0" applyNumberFormat="1" applyFont="1" applyAlignment="1" applyProtection="1">
      <alignment horizontal="center"/>
      <protection locked="0"/>
    </xf>
    <xf numFmtId="355" fontId="226" fillId="0" borderId="0" xfId="0" applyNumberFormat="1" applyFont="1" applyAlignment="1" applyProtection="1">
      <alignment horizontal="center"/>
      <protection locked="0"/>
    </xf>
    <xf numFmtId="3" fontId="226" fillId="0" borderId="0" xfId="0" applyNumberFormat="1" applyFont="1" applyAlignment="1" applyProtection="1">
      <alignment horizontal="center"/>
      <protection locked="0"/>
    </xf>
    <xf numFmtId="0" fontId="228" fillId="0" borderId="6" xfId="0" applyFont="1" applyBorder="1" applyProtection="1">
      <protection locked="0"/>
    </xf>
    <xf numFmtId="0" fontId="239" fillId="68" borderId="0" xfId="0" applyFont="1" applyFill="1" applyAlignment="1" applyProtection="1">
      <alignment horizontal="left"/>
      <protection locked="0"/>
    </xf>
    <xf numFmtId="0" fontId="274" fillId="0" borderId="0" xfId="0" applyFont="1" applyAlignment="1" applyProtection="1">
      <alignment vertical="center" textRotation="90"/>
      <protection locked="0"/>
    </xf>
    <xf numFmtId="14" fontId="221" fillId="0" borderId="0" xfId="0" applyNumberFormat="1" applyFont="1" applyProtection="1">
      <protection locked="0"/>
    </xf>
    <xf numFmtId="0" fontId="233" fillId="0" borderId="0" xfId="0" applyFont="1" applyProtection="1">
      <protection locked="0"/>
    </xf>
    <xf numFmtId="358" fontId="233" fillId="0" borderId="0" xfId="0" applyNumberFormat="1" applyFont="1" applyProtection="1">
      <protection locked="0"/>
    </xf>
    <xf numFmtId="0" fontId="233" fillId="0" borderId="6" xfId="0" applyFont="1" applyBorder="1" applyAlignment="1" applyProtection="1">
      <alignment horizontal="left"/>
      <protection locked="0"/>
    </xf>
    <xf numFmtId="0" fontId="239" fillId="0" borderId="0" xfId="0" applyFont="1" applyAlignment="1" applyProtection="1">
      <alignment horizontal="right"/>
      <protection locked="0"/>
    </xf>
    <xf numFmtId="0" fontId="221" fillId="0" borderId="0" xfId="0" applyFont="1" applyAlignment="1" applyProtection="1">
      <alignment horizontal="right"/>
      <protection locked="0"/>
    </xf>
    <xf numFmtId="0" fontId="233" fillId="0" borderId="6" xfId="0" applyFont="1" applyBorder="1" applyAlignment="1" applyProtection="1">
      <alignment horizontal="right"/>
      <protection locked="0"/>
    </xf>
    <xf numFmtId="358" fontId="233" fillId="0" borderId="6" xfId="0" applyNumberFormat="1" applyFont="1" applyBorder="1" applyAlignment="1" applyProtection="1">
      <alignment horizontal="right"/>
      <protection locked="0"/>
    </xf>
    <xf numFmtId="0" fontId="217" fillId="0" borderId="11" xfId="0" applyFont="1" applyBorder="1" applyAlignment="1" applyProtection="1">
      <alignment horizontal="right"/>
      <protection locked="0"/>
    </xf>
    <xf numFmtId="208" fontId="233" fillId="0" borderId="6" xfId="0" applyNumberFormat="1" applyFont="1" applyBorder="1" applyAlignment="1" applyProtection="1">
      <alignment horizontal="right"/>
      <protection locked="0"/>
    </xf>
    <xf numFmtId="208" fontId="233" fillId="0" borderId="0" xfId="0" applyNumberFormat="1" applyFont="1" applyProtection="1">
      <protection locked="0"/>
    </xf>
    <xf numFmtId="0" fontId="233" fillId="0" borderId="0" xfId="0" applyFont="1" applyAlignment="1" applyProtection="1">
      <alignment horizontal="right"/>
      <protection locked="0"/>
    </xf>
    <xf numFmtId="358" fontId="233" fillId="0" borderId="0" xfId="0" applyNumberFormat="1" applyFont="1" applyAlignment="1" applyProtection="1">
      <alignment horizontal="right"/>
      <protection locked="0"/>
    </xf>
    <xf numFmtId="170" fontId="233" fillId="0" borderId="6" xfId="0" applyNumberFormat="1" applyFont="1" applyBorder="1" applyAlignment="1" applyProtection="1">
      <alignment horizontal="right"/>
      <protection locked="0"/>
    </xf>
    <xf numFmtId="170" fontId="233" fillId="0" borderId="0" xfId="0" applyNumberFormat="1" applyFont="1" applyAlignment="1" applyProtection="1">
      <alignment horizontal="right"/>
      <protection locked="0"/>
    </xf>
    <xf numFmtId="170" fontId="233" fillId="0" borderId="0" xfId="0" applyNumberFormat="1" applyFont="1" applyProtection="1">
      <protection locked="0"/>
    </xf>
    <xf numFmtId="0" fontId="249" fillId="0" borderId="11" xfId="0" applyFont="1" applyBorder="1" applyProtection="1">
      <protection locked="0"/>
    </xf>
    <xf numFmtId="208" fontId="233" fillId="0" borderId="0" xfId="0" applyNumberFormat="1" applyFont="1" applyAlignment="1" applyProtection="1">
      <alignment horizontal="right"/>
      <protection locked="0"/>
    </xf>
    <xf numFmtId="0" fontId="217" fillId="68" borderId="0" xfId="0" applyFont="1" applyFill="1" applyAlignment="1" applyProtection="1">
      <alignment horizontal="right"/>
      <protection locked="0"/>
    </xf>
    <xf numFmtId="0" fontId="221" fillId="65" borderId="0" xfId="0" applyFont="1" applyFill="1" applyProtection="1">
      <protection locked="0"/>
    </xf>
    <xf numFmtId="0" fontId="217" fillId="65" borderId="0" xfId="0" applyFont="1" applyFill="1" applyProtection="1">
      <protection locked="0"/>
    </xf>
    <xf numFmtId="0" fontId="217" fillId="65" borderId="0" xfId="0" applyFont="1" applyFill="1" applyAlignment="1" applyProtection="1">
      <alignment horizontal="right"/>
      <protection locked="0"/>
    </xf>
    <xf numFmtId="0" fontId="233" fillId="0" borderId="0" xfId="0" applyFont="1" applyAlignment="1" applyProtection="1">
      <alignment horizontal="left"/>
      <protection locked="0"/>
    </xf>
    <xf numFmtId="170" fontId="233" fillId="65" borderId="0" xfId="0" applyNumberFormat="1" applyFont="1" applyFill="1" applyAlignment="1" applyProtection="1">
      <alignment horizontal="right" vertical="center"/>
      <protection locked="0"/>
    </xf>
    <xf numFmtId="208" fontId="233" fillId="65" borderId="0" xfId="0" applyNumberFormat="1" applyFont="1" applyFill="1" applyAlignment="1" applyProtection="1">
      <alignment horizontal="right" vertical="center"/>
      <protection locked="0"/>
    </xf>
    <xf numFmtId="170" fontId="233" fillId="68" borderId="0" xfId="0" applyNumberFormat="1" applyFont="1" applyFill="1" applyAlignment="1" applyProtection="1">
      <alignment horizontal="right" vertical="center"/>
      <protection locked="0"/>
    </xf>
    <xf numFmtId="208" fontId="233" fillId="68" borderId="0" xfId="0" applyNumberFormat="1" applyFont="1" applyFill="1" applyAlignment="1" applyProtection="1">
      <alignment horizontal="right" vertical="center"/>
      <protection locked="0"/>
    </xf>
    <xf numFmtId="170" fontId="233" fillId="0" borderId="0" xfId="0" applyNumberFormat="1" applyFont="1" applyAlignment="1" applyProtection="1">
      <alignment horizontal="right" vertical="center"/>
      <protection locked="0"/>
    </xf>
    <xf numFmtId="0" fontId="239" fillId="0" borderId="0" xfId="0" applyFont="1" applyAlignment="1" applyProtection="1">
      <alignment horizontal="right" vertical="center"/>
      <protection locked="0"/>
    </xf>
    <xf numFmtId="14" fontId="217" fillId="0" borderId="0" xfId="0" applyNumberFormat="1" applyFont="1" applyAlignment="1" applyProtection="1">
      <alignment horizontal="right" vertical="center"/>
      <protection locked="0"/>
    </xf>
    <xf numFmtId="170" fontId="233" fillId="0" borderId="6" xfId="0" applyNumberFormat="1" applyFont="1" applyBorder="1" applyAlignment="1" applyProtection="1">
      <alignment horizontal="right" vertical="center"/>
      <protection locked="0"/>
    </xf>
    <xf numFmtId="358" fontId="233" fillId="0" borderId="0" xfId="0" applyNumberFormat="1" applyFont="1" applyAlignment="1" applyProtection="1">
      <alignment horizontal="right" vertical="center"/>
      <protection locked="0"/>
    </xf>
    <xf numFmtId="208" fontId="233" fillId="0" borderId="6" xfId="0" applyNumberFormat="1" applyFont="1" applyBorder="1" applyAlignment="1" applyProtection="1">
      <alignment horizontal="right" vertical="center"/>
      <protection locked="0"/>
    </xf>
    <xf numFmtId="208" fontId="233" fillId="0" borderId="0" xfId="0" applyNumberFormat="1" applyFont="1" applyAlignment="1" applyProtection="1">
      <alignment horizontal="right" vertical="center"/>
      <protection locked="0"/>
    </xf>
    <xf numFmtId="15" fontId="233" fillId="0" borderId="0" xfId="0" applyNumberFormat="1" applyFont="1" applyAlignment="1" applyProtection="1">
      <alignment horizontal="right"/>
      <protection locked="0"/>
    </xf>
    <xf numFmtId="2" fontId="233" fillId="0" borderId="0" xfId="0" applyNumberFormat="1" applyFont="1" applyAlignment="1" applyProtection="1">
      <alignment horizontal="right"/>
      <protection locked="0"/>
    </xf>
    <xf numFmtId="0" fontId="239" fillId="0" borderId="6" xfId="0" applyFont="1" applyBorder="1" applyAlignment="1" applyProtection="1">
      <alignment horizontal="right" vertical="center"/>
      <protection locked="0"/>
    </xf>
    <xf numFmtId="170" fontId="233" fillId="0" borderId="11" xfId="0" applyNumberFormat="1" applyFont="1" applyBorder="1" applyAlignment="1" applyProtection="1">
      <alignment horizontal="right" vertical="center"/>
      <protection locked="0"/>
    </xf>
    <xf numFmtId="356" fontId="233" fillId="0" borderId="0" xfId="0" applyNumberFormat="1" applyFont="1" applyAlignment="1" applyProtection="1">
      <alignment horizontal="right" vertical="center"/>
      <protection locked="0"/>
    </xf>
    <xf numFmtId="334" fontId="233" fillId="65" borderId="0" xfId="0" applyNumberFormat="1" applyFont="1" applyFill="1" applyAlignment="1" applyProtection="1">
      <alignment horizontal="right" vertical="center"/>
      <protection locked="0"/>
    </xf>
    <xf numFmtId="334" fontId="233" fillId="68" borderId="0" xfId="0" applyNumberFormat="1" applyFont="1" applyFill="1" applyAlignment="1" applyProtection="1">
      <alignment horizontal="right" vertical="center"/>
      <protection locked="0"/>
    </xf>
    <xf numFmtId="334" fontId="233" fillId="0" borderId="11" xfId="0" applyNumberFormat="1" applyFont="1" applyBorder="1" applyAlignment="1" applyProtection="1">
      <alignment horizontal="right" vertical="center"/>
      <protection locked="0"/>
    </xf>
    <xf numFmtId="334" fontId="217" fillId="0" borderId="0" xfId="0" applyNumberFormat="1" applyFont="1" applyAlignment="1" applyProtection="1">
      <alignment horizontal="right" vertical="center"/>
      <protection locked="0"/>
    </xf>
    <xf numFmtId="208" fontId="217" fillId="0" borderId="0" xfId="0" applyNumberFormat="1" applyFont="1" applyAlignment="1" applyProtection="1">
      <alignment horizontal="right" vertical="center"/>
      <protection locked="0"/>
    </xf>
    <xf numFmtId="14" fontId="217" fillId="0" borderId="11" xfId="0" applyNumberFormat="1" applyFont="1" applyBorder="1" applyAlignment="1" applyProtection="1">
      <alignment horizontal="right"/>
      <protection locked="0"/>
    </xf>
    <xf numFmtId="0" fontId="217" fillId="0" borderId="11" xfId="0" applyFont="1" applyBorder="1" applyAlignment="1" applyProtection="1">
      <alignment horizontal="center" vertical="center"/>
      <protection locked="0"/>
    </xf>
    <xf numFmtId="208" fontId="233" fillId="0" borderId="11" xfId="0" applyNumberFormat="1" applyFont="1" applyBorder="1" applyAlignment="1" applyProtection="1">
      <alignment horizontal="right" vertical="center"/>
      <protection locked="0"/>
    </xf>
    <xf numFmtId="14" fontId="233" fillId="0" borderId="0" xfId="0" applyNumberFormat="1" applyFont="1" applyAlignment="1" applyProtection="1">
      <alignment horizontal="center"/>
      <protection locked="0"/>
    </xf>
    <xf numFmtId="335" fontId="233" fillId="0" borderId="0" xfId="0" applyNumberFormat="1" applyFont="1" applyAlignment="1" applyProtection="1">
      <alignment horizontal="center"/>
      <protection locked="0"/>
    </xf>
    <xf numFmtId="335" fontId="233" fillId="0" borderId="6" xfId="0" applyNumberFormat="1" applyFont="1" applyBorder="1" applyAlignment="1" applyProtection="1">
      <alignment horizontal="center"/>
      <protection locked="0"/>
    </xf>
    <xf numFmtId="0" fontId="228" fillId="0" borderId="11" xfId="0" applyFont="1" applyBorder="1" applyProtection="1">
      <protection locked="0"/>
    </xf>
    <xf numFmtId="0" fontId="217" fillId="0" borderId="11" xfId="0" applyFont="1" applyBorder="1" applyAlignment="1" applyProtection="1">
      <alignment horizontal="left"/>
      <protection locked="0"/>
    </xf>
    <xf numFmtId="14" fontId="217" fillId="0" borderId="11" xfId="0" applyNumberFormat="1" applyFont="1" applyBorder="1" applyAlignment="1" applyProtection="1">
      <alignment horizontal="right" vertical="center"/>
      <protection locked="0"/>
    </xf>
    <xf numFmtId="0" fontId="217" fillId="0" borderId="11" xfId="0" applyFont="1" applyBorder="1" applyAlignment="1" applyProtection="1">
      <alignment horizontal="right" vertical="center"/>
      <protection locked="0"/>
    </xf>
    <xf numFmtId="15" fontId="233" fillId="0" borderId="0" xfId="0" applyNumberFormat="1" applyFont="1" applyProtection="1">
      <protection locked="0"/>
    </xf>
    <xf numFmtId="175" fontId="233" fillId="0" borderId="0" xfId="1033" applyNumberFormat="1" applyFont="1" applyProtection="1">
      <protection locked="0"/>
    </xf>
    <xf numFmtId="335" fontId="233" fillId="0" borderId="0" xfId="0" applyNumberFormat="1" applyFont="1" applyProtection="1">
      <protection locked="0"/>
    </xf>
    <xf numFmtId="0" fontId="233" fillId="0" borderId="11" xfId="0" applyFont="1" applyBorder="1" applyProtection="1">
      <protection locked="0"/>
    </xf>
    <xf numFmtId="9" fontId="217" fillId="0" borderId="0" xfId="1033" applyFont="1" applyBorder="1" applyAlignment="1" applyProtection="1">
      <alignment horizontal="right" vertical="center"/>
      <protection locked="0"/>
    </xf>
    <xf numFmtId="9" fontId="233" fillId="65" borderId="0" xfId="1033" applyFont="1" applyFill="1" applyBorder="1" applyAlignment="1" applyProtection="1">
      <alignment horizontal="right" vertical="center"/>
      <protection locked="0"/>
    </xf>
    <xf numFmtId="9" fontId="233" fillId="68" borderId="0" xfId="1033" applyFont="1" applyFill="1" applyBorder="1" applyAlignment="1" applyProtection="1">
      <alignment horizontal="right" vertical="center"/>
      <protection locked="0"/>
    </xf>
    <xf numFmtId="9" fontId="233" fillId="0" borderId="11" xfId="1033" applyFont="1" applyFill="1" applyBorder="1" applyAlignment="1" applyProtection="1">
      <alignment horizontal="right" vertical="center"/>
      <protection locked="0"/>
    </xf>
    <xf numFmtId="357" fontId="242" fillId="50" borderId="0" xfId="1090" applyNumberFormat="1" applyFont="1" applyFill="1" applyProtection="1">
      <protection locked="0"/>
    </xf>
    <xf numFmtId="0" fontId="241" fillId="52" borderId="20" xfId="0" applyFont="1" applyFill="1" applyBorder="1" applyAlignment="1" applyProtection="1">
      <alignment horizontal="left" vertical="center" wrapText="1"/>
      <protection locked="0"/>
    </xf>
    <xf numFmtId="0" fontId="241" fillId="52" borderId="20" xfId="0" applyFont="1" applyFill="1" applyBorder="1" applyAlignment="1" applyProtection="1">
      <alignment horizontal="left" vertical="center"/>
      <protection locked="0"/>
    </xf>
    <xf numFmtId="0" fontId="241" fillId="52" borderId="43" xfId="0" applyFont="1" applyFill="1" applyBorder="1" applyAlignment="1" applyProtection="1">
      <alignment horizontal="left" vertical="center" wrapText="1"/>
      <protection locked="0"/>
    </xf>
    <xf numFmtId="0" fontId="228" fillId="67" borderId="0" xfId="0" applyFont="1" applyFill="1" applyProtection="1">
      <protection locked="0"/>
    </xf>
    <xf numFmtId="0" fontId="233" fillId="67" borderId="11" xfId="0" applyFont="1" applyFill="1" applyBorder="1" applyProtection="1">
      <protection locked="0"/>
    </xf>
    <xf numFmtId="0" fontId="228" fillId="69" borderId="0" xfId="0" applyFont="1" applyFill="1" applyProtection="1">
      <protection locked="0"/>
    </xf>
    <xf numFmtId="0" fontId="242" fillId="0" borderId="0" xfId="0" applyFont="1" applyAlignment="1" applyProtection="1">
      <alignment horizontal="right"/>
      <protection locked="0"/>
    </xf>
    <xf numFmtId="170" fontId="230" fillId="0" borderId="0" xfId="0" applyNumberFormat="1" applyFont="1" applyAlignment="1">
      <alignment horizontal="right" vertical="center"/>
    </xf>
    <xf numFmtId="170" fontId="230" fillId="0" borderId="56" xfId="0" applyNumberFormat="1" applyFont="1" applyBorder="1" applyAlignment="1">
      <alignment horizontal="right" vertical="center"/>
    </xf>
    <xf numFmtId="49" fontId="217" fillId="0" borderId="0" xfId="0" applyNumberFormat="1" applyFont="1" applyAlignment="1">
      <alignment horizontal="left" vertical="center" indent="1"/>
    </xf>
    <xf numFmtId="49" fontId="227" fillId="0" borderId="6" xfId="0" applyNumberFormat="1" applyFont="1" applyBorder="1" applyAlignment="1">
      <alignment horizontal="left" vertical="center" indent="1"/>
    </xf>
    <xf numFmtId="175" fontId="227" fillId="0" borderId="11" xfId="1033" applyNumberFormat="1" applyFont="1" applyFill="1" applyBorder="1" applyAlignment="1" applyProtection="1">
      <alignment horizontal="right" vertical="center"/>
      <protection locked="0"/>
    </xf>
    <xf numFmtId="170" fontId="230" fillId="0" borderId="51" xfId="0" applyNumberFormat="1" applyFont="1" applyBorder="1" applyAlignment="1">
      <alignment horizontal="right" vertical="center"/>
    </xf>
    <xf numFmtId="175" fontId="227" fillId="0" borderId="58" xfId="1033" applyNumberFormat="1" applyFont="1" applyFill="1" applyBorder="1" applyAlignment="1" applyProtection="1">
      <alignment horizontal="right" vertical="center"/>
    </xf>
    <xf numFmtId="49" fontId="245" fillId="88" borderId="0" xfId="1385" applyNumberFormat="1" applyFont="1" applyFill="1" applyAlignment="1">
      <alignment horizontal="left" vertical="center"/>
    </xf>
    <xf numFmtId="170" fontId="251" fillId="2" borderId="60" xfId="1391" applyNumberFormat="1" applyFont="1" applyFill="1" applyBorder="1" applyAlignment="1" applyProtection="1">
      <alignment horizontal="right" vertical="center" indent="1"/>
      <protection locked="0"/>
    </xf>
    <xf numFmtId="49" fontId="318" fillId="0" borderId="0" xfId="0" applyNumberFormat="1" applyFont="1" applyAlignment="1">
      <alignment horizontal="left" vertical="center"/>
    </xf>
    <xf numFmtId="170" fontId="233" fillId="0" borderId="58" xfId="0" applyNumberFormat="1" applyFont="1" applyBorder="1" applyAlignment="1" applyProtection="1">
      <alignment horizontal="right" vertical="center"/>
      <protection locked="0"/>
    </xf>
    <xf numFmtId="0" fontId="217" fillId="0" borderId="51" xfId="0" applyFont="1" applyBorder="1" applyAlignment="1" applyProtection="1">
      <alignment horizontal="right" vertical="center"/>
      <protection locked="0"/>
    </xf>
    <xf numFmtId="170" fontId="230" fillId="0" borderId="60" xfId="0" applyNumberFormat="1" applyFont="1" applyBorder="1" applyAlignment="1">
      <alignment horizontal="right" vertical="center"/>
    </xf>
    <xf numFmtId="49" fontId="304" fillId="50" borderId="0" xfId="1385" applyNumberFormat="1" applyFont="1" applyFill="1" applyAlignment="1">
      <alignment vertical="center"/>
    </xf>
    <xf numFmtId="49" fontId="217" fillId="0" borderId="0" xfId="0" applyNumberFormat="1" applyFont="1" applyAlignment="1">
      <alignment horizontal="left" vertical="center" indent="2"/>
    </xf>
    <xf numFmtId="49" fontId="33" fillId="0" borderId="0" xfId="1401" applyNumberFormat="1" applyFont="1" applyAlignment="1">
      <alignment horizontal="left" indent="1"/>
    </xf>
    <xf numFmtId="49" fontId="4" fillId="0" borderId="0" xfId="1401" applyNumberFormat="1" applyAlignment="1">
      <alignment horizontal="left" indent="2"/>
    </xf>
    <xf numFmtId="49" fontId="4" fillId="0" borderId="0" xfId="1401" applyNumberFormat="1" applyAlignment="1">
      <alignment horizontal="left" vertical="top" wrapText="1" indent="1"/>
    </xf>
    <xf numFmtId="49" fontId="4" fillId="0" borderId="0" xfId="1401" applyNumberFormat="1" applyAlignment="1">
      <alignment horizontal="left" indent="1"/>
    </xf>
    <xf numFmtId="49" fontId="33" fillId="0" borderId="0" xfId="1401" applyNumberFormat="1" applyFont="1" applyAlignment="1">
      <alignment horizontal="left" vertical="top" wrapText="1" indent="1"/>
    </xf>
    <xf numFmtId="49" fontId="4" fillId="0" borderId="0" xfId="1401" applyNumberFormat="1" applyAlignment="1">
      <alignment horizontal="left" vertical="top" wrapText="1" indent="2"/>
    </xf>
    <xf numFmtId="255" fontId="0" fillId="0" borderId="0" xfId="1398" applyNumberFormat="1" applyFont="1"/>
    <xf numFmtId="0" fontId="218" fillId="60" borderId="56" xfId="1090" applyFont="1" applyFill="1" applyBorder="1" applyAlignment="1">
      <alignment horizontal="right" vertical="top"/>
    </xf>
    <xf numFmtId="3" fontId="234" fillId="0" borderId="56" xfId="0" applyNumberFormat="1" applyFont="1" applyBorder="1" applyAlignment="1" applyProtection="1">
      <alignment horizontal="right" vertical="center" wrapText="1"/>
      <protection locked="0"/>
    </xf>
    <xf numFmtId="170" fontId="223" fillId="0" borderId="56" xfId="0" applyNumberFormat="1" applyFont="1" applyBorder="1" applyAlignment="1">
      <alignment horizontal="right" vertical="center" wrapText="1"/>
    </xf>
    <xf numFmtId="170" fontId="217" fillId="0" borderId="56" xfId="0" applyNumberFormat="1" applyFont="1" applyBorder="1" applyAlignment="1" applyProtection="1">
      <alignment horizontal="right" vertical="center" wrapText="1"/>
      <protection locked="0"/>
    </xf>
    <xf numFmtId="170" fontId="229" fillId="0" borderId="56" xfId="0" applyNumberFormat="1" applyFont="1" applyBorder="1" applyAlignment="1">
      <alignment horizontal="right" vertical="center" wrapText="1"/>
    </xf>
    <xf numFmtId="170" fontId="229" fillId="0" borderId="56" xfId="0" applyNumberFormat="1" applyFont="1" applyBorder="1" applyAlignment="1" applyProtection="1">
      <alignment horizontal="right" vertical="center" wrapText="1"/>
      <protection locked="0"/>
    </xf>
    <xf numFmtId="170" fontId="221" fillId="0" borderId="61" xfId="0" applyNumberFormat="1" applyFont="1" applyBorder="1" applyAlignment="1">
      <alignment horizontal="right" vertical="center" wrapText="1"/>
    </xf>
    <xf numFmtId="170" fontId="221" fillId="0" borderId="56" xfId="0" applyNumberFormat="1" applyFont="1" applyBorder="1" applyAlignment="1" applyProtection="1">
      <alignment horizontal="right" vertical="center" wrapText="1"/>
      <protection locked="0"/>
    </xf>
    <xf numFmtId="170" fontId="221" fillId="50" borderId="80" xfId="0" applyNumberFormat="1" applyFont="1" applyFill="1" applyBorder="1" applyAlignment="1">
      <alignment horizontal="right" vertical="center" wrapText="1"/>
    </xf>
    <xf numFmtId="172" fontId="320" fillId="0" borderId="0" xfId="1402" applyFont="1"/>
    <xf numFmtId="172" fontId="321" fillId="0" borderId="0" xfId="1402" applyFont="1"/>
    <xf numFmtId="0" fontId="296" fillId="61" borderId="8" xfId="1401" applyFont="1" applyFill="1" applyBorder="1"/>
    <xf numFmtId="172" fontId="296" fillId="61" borderId="11" xfId="1402" applyFont="1" applyFill="1" applyBorder="1"/>
    <xf numFmtId="172" fontId="4" fillId="0" borderId="0" xfId="1398" applyFont="1" applyAlignment="1">
      <alignment horizontal="left" indent="1"/>
    </xf>
    <xf numFmtId="172" fontId="296" fillId="61" borderId="8" xfId="1398" applyFont="1" applyFill="1" applyBorder="1"/>
    <xf numFmtId="49" fontId="319" fillId="0" borderId="0" xfId="1401" applyNumberFormat="1" applyFont="1" applyAlignment="1">
      <alignment horizontal="left" indent="1"/>
    </xf>
    <xf numFmtId="0" fontId="319" fillId="0" borderId="0" xfId="1401" applyFont="1" applyAlignment="1">
      <alignment horizontal="left" indent="1"/>
    </xf>
    <xf numFmtId="172" fontId="322" fillId="0" borderId="0" xfId="1402" applyFont="1"/>
    <xf numFmtId="0" fontId="323" fillId="93" borderId="0" xfId="0" applyFont="1" applyFill="1" applyAlignment="1">
      <alignment horizontal="center" vertical="center" wrapText="1"/>
    </xf>
    <xf numFmtId="0" fontId="268" fillId="0" borderId="0" xfId="0" applyFont="1" applyAlignment="1">
      <alignment wrapText="1"/>
    </xf>
    <xf numFmtId="0" fontId="266" fillId="70" borderId="10" xfId="0" applyFont="1" applyFill="1" applyBorder="1" applyAlignment="1">
      <alignment horizontal="center"/>
    </xf>
    <xf numFmtId="0" fontId="266" fillId="0" borderId="10" xfId="0" applyFont="1" applyBorder="1" applyAlignment="1">
      <alignment horizontal="center"/>
    </xf>
    <xf numFmtId="0" fontId="267" fillId="0" borderId="0" xfId="0" applyFont="1"/>
    <xf numFmtId="49" fontId="305" fillId="0" borderId="11" xfId="1095" applyNumberFormat="1" applyFont="1" applyBorder="1" applyAlignment="1">
      <alignment vertical="center"/>
    </xf>
    <xf numFmtId="0" fontId="217" fillId="0" borderId="0" xfId="1385" applyFont="1" applyAlignment="1" applyProtection="1">
      <alignment horizontal="left" vertical="center" indent="1"/>
      <protection locked="0"/>
    </xf>
    <xf numFmtId="0" fontId="217" fillId="0" borderId="0" xfId="1385" quotePrefix="1" applyFont="1" applyAlignment="1" applyProtection="1">
      <alignment vertical="center"/>
      <protection locked="0"/>
    </xf>
    <xf numFmtId="175" fontId="217" fillId="0" borderId="0" xfId="1385" applyNumberFormat="1" applyFont="1" applyAlignment="1" applyProtection="1">
      <alignment horizontal="left" vertical="center" indent="1"/>
      <protection locked="0"/>
    </xf>
    <xf numFmtId="0" fontId="242" fillId="0" borderId="0" xfId="1385" applyFont="1" applyAlignment="1" applyProtection="1">
      <alignment horizontal="right" vertical="center"/>
      <protection locked="0"/>
    </xf>
    <xf numFmtId="0" fontId="242" fillId="0" borderId="0" xfId="1385" applyFont="1" applyAlignment="1" applyProtection="1">
      <alignment horizontal="right" vertical="top"/>
      <protection locked="0"/>
    </xf>
    <xf numFmtId="214" fontId="217" fillId="0" borderId="0" xfId="0" applyNumberFormat="1" applyFont="1" applyAlignment="1" applyProtection="1">
      <alignment horizontal="left" vertical="center"/>
      <protection locked="0"/>
    </xf>
    <xf numFmtId="0" fontId="243" fillId="0" borderId="0" xfId="1385" applyFont="1" applyProtection="1">
      <protection locked="0"/>
    </xf>
    <xf numFmtId="0" fontId="243" fillId="0" borderId="0" xfId="1385" applyFont="1" applyAlignment="1" applyProtection="1">
      <alignment vertical="top"/>
      <protection locked="0"/>
    </xf>
    <xf numFmtId="0" fontId="221" fillId="0" borderId="0" xfId="1385" applyFont="1" applyProtection="1">
      <protection locked="0"/>
    </xf>
    <xf numFmtId="0" fontId="217" fillId="0" borderId="0" xfId="1385" applyFont="1" applyAlignment="1" applyProtection="1">
      <alignment vertical="top"/>
      <protection locked="0"/>
    </xf>
    <xf numFmtId="0" fontId="221" fillId="0" borderId="0" xfId="1385" applyFont="1" applyAlignment="1" applyProtection="1">
      <alignment vertical="top"/>
      <protection locked="0"/>
    </xf>
    <xf numFmtId="10" fontId="227" fillId="65" borderId="51" xfId="1033" applyNumberFormat="1" applyFont="1" applyFill="1" applyBorder="1" applyAlignment="1" applyProtection="1">
      <alignment horizontal="right" vertical="top"/>
    </xf>
    <xf numFmtId="175" fontId="250" fillId="65" borderId="56" xfId="1033" applyNumberFormat="1" applyFont="1" applyFill="1" applyBorder="1" applyAlignment="1" applyProtection="1">
      <alignment horizontal="right" vertical="top"/>
      <protection locked="0"/>
    </xf>
    <xf numFmtId="175" fontId="226" fillId="65" borderId="57" xfId="1033" applyNumberFormat="1" applyFont="1" applyFill="1" applyBorder="1" applyAlignment="1" applyProtection="1">
      <alignment horizontal="right" vertical="top"/>
      <protection locked="0"/>
    </xf>
    <xf numFmtId="175" fontId="226" fillId="65" borderId="0" xfId="1033" applyNumberFormat="1" applyFont="1" applyFill="1" applyBorder="1" applyAlignment="1" applyProtection="1">
      <alignment horizontal="right" vertical="top"/>
      <protection locked="0"/>
    </xf>
    <xf numFmtId="0" fontId="217" fillId="0" borderId="0" xfId="1405" applyFont="1"/>
    <xf numFmtId="221" fontId="217" fillId="0" borderId="0" xfId="1402" applyNumberFormat="1" applyFont="1"/>
    <xf numFmtId="0" fontId="217" fillId="0" borderId="0" xfId="1401" applyFont="1"/>
    <xf numFmtId="0" fontId="324" fillId="61" borderId="0" xfId="1405" applyFont="1" applyFill="1" applyAlignment="1">
      <alignment horizontal="center" vertical="center" wrapText="1"/>
    </xf>
    <xf numFmtId="221" fontId="324" fillId="94" borderId="0" xfId="1402" applyNumberFormat="1" applyFont="1" applyFill="1" applyAlignment="1">
      <alignment horizontal="center" vertical="center" wrapText="1"/>
    </xf>
    <xf numFmtId="0" fontId="325" fillId="0" borderId="0" xfId="1405" applyFont="1" applyAlignment="1">
      <alignment horizontal="center" vertical="top"/>
    </xf>
    <xf numFmtId="0" fontId="324" fillId="51" borderId="0" xfId="1405" applyFont="1" applyFill="1"/>
    <xf numFmtId="17" fontId="324" fillId="61" borderId="0" xfId="1405" applyNumberFormat="1" applyFont="1" applyFill="1" applyAlignment="1">
      <alignment horizontal="center" vertical="top"/>
    </xf>
    <xf numFmtId="17" fontId="324" fillId="94" borderId="0" xfId="1405" applyNumberFormat="1" applyFont="1" applyFill="1" applyAlignment="1">
      <alignment horizontal="center" vertical="top"/>
    </xf>
    <xf numFmtId="0" fontId="217" fillId="0" borderId="0" xfId="1405" applyFont="1" applyAlignment="1">
      <alignment vertical="center" wrapText="1"/>
    </xf>
    <xf numFmtId="221" fontId="217" fillId="0" borderId="0" xfId="1402" applyNumberFormat="1" applyFont="1" applyAlignment="1">
      <alignment vertical="center" wrapText="1"/>
    </xf>
    <xf numFmtId="221" fontId="325" fillId="0" borderId="0" xfId="1402" applyNumberFormat="1" applyFont="1" applyAlignment="1">
      <alignment vertical="center" wrapText="1"/>
    </xf>
    <xf numFmtId="178" fontId="217" fillId="0" borderId="0" xfId="1405" applyNumberFormat="1" applyFont="1"/>
    <xf numFmtId="178" fontId="217" fillId="51" borderId="0" xfId="1405" applyNumberFormat="1" applyFont="1" applyFill="1"/>
    <xf numFmtId="178" fontId="217" fillId="0" borderId="0" xfId="1405" applyNumberFormat="1" applyFont="1" applyAlignment="1">
      <alignment vertical="center"/>
    </xf>
    <xf numFmtId="0" fontId="325" fillId="0" borderId="0" xfId="1405" applyFont="1" applyAlignment="1">
      <alignment vertical="center" wrapText="1"/>
    </xf>
    <xf numFmtId="178" fontId="325" fillId="0" borderId="0" xfId="1405" applyNumberFormat="1" applyFont="1"/>
    <xf numFmtId="178" fontId="325" fillId="51" borderId="0" xfId="1405" applyNumberFormat="1" applyFont="1" applyFill="1"/>
    <xf numFmtId="178" fontId="325" fillId="0" borderId="0" xfId="1405" applyNumberFormat="1" applyFont="1" applyAlignment="1">
      <alignment vertical="center" wrapText="1"/>
    </xf>
    <xf numFmtId="9" fontId="217" fillId="0" borderId="0" xfId="1033" applyFont="1" applyAlignment="1">
      <alignment vertical="center" wrapText="1"/>
    </xf>
    <xf numFmtId="9" fontId="326" fillId="0" borderId="0" xfId="1033" applyFont="1" applyAlignment="1">
      <alignment vertical="center" wrapText="1"/>
    </xf>
    <xf numFmtId="9" fontId="327" fillId="0" borderId="0" xfId="1033" applyFont="1"/>
    <xf numFmtId="9" fontId="327" fillId="51" borderId="0" xfId="1033" applyFont="1" applyFill="1"/>
    <xf numFmtId="9" fontId="326" fillId="0" borderId="0" xfId="1033" applyFont="1" applyFill="1" applyAlignment="1">
      <alignment vertical="center" wrapText="1"/>
    </xf>
    <xf numFmtId="9" fontId="217" fillId="0" borderId="0" xfId="1033" applyFont="1"/>
    <xf numFmtId="221" fontId="221" fillId="0" borderId="0" xfId="1402" applyNumberFormat="1" applyFont="1" applyAlignment="1">
      <alignment vertical="center" wrapText="1"/>
    </xf>
    <xf numFmtId="9" fontId="325" fillId="0" borderId="0" xfId="1033" applyFont="1" applyAlignment="1">
      <alignment vertical="center" wrapText="1"/>
    </xf>
    <xf numFmtId="9" fontId="325" fillId="0" borderId="0" xfId="1033" applyFont="1"/>
    <xf numFmtId="9" fontId="325" fillId="51" borderId="0" xfId="1033" applyFont="1" applyFill="1"/>
    <xf numFmtId="178" fontId="217" fillId="0" borderId="0" xfId="1405" applyNumberFormat="1" applyFont="1" applyAlignment="1">
      <alignment vertical="center" wrapText="1"/>
    </xf>
    <xf numFmtId="359" fontId="217" fillId="0" borderId="0" xfId="1405" applyNumberFormat="1" applyFont="1"/>
    <xf numFmtId="0" fontId="221" fillId="0" borderId="0" xfId="1401" applyFont="1" applyAlignment="1">
      <alignment vertical="center" wrapText="1"/>
    </xf>
    <xf numFmtId="4" fontId="217" fillId="0" borderId="0" xfId="1401" applyNumberFormat="1" applyFont="1" applyAlignment="1">
      <alignment vertical="center" wrapText="1"/>
    </xf>
    <xf numFmtId="0" fontId="217" fillId="0" borderId="0" xfId="1401" applyFont="1" applyAlignment="1">
      <alignment vertical="center" wrapText="1"/>
    </xf>
    <xf numFmtId="0" fontId="261" fillId="0" borderId="0" xfId="1401" applyFont="1" applyAlignment="1">
      <alignment vertical="center" wrapText="1"/>
    </xf>
    <xf numFmtId="178" fontId="328" fillId="0" borderId="0" xfId="1406" applyNumberFormat="1"/>
    <xf numFmtId="4" fontId="261" fillId="0" borderId="0" xfId="1401" applyNumberFormat="1" applyFont="1" applyAlignment="1">
      <alignment vertical="center" wrapText="1"/>
    </xf>
    <xf numFmtId="221" fontId="226" fillId="0" borderId="0" xfId="1402" applyNumberFormat="1" applyFont="1" applyAlignment="1">
      <alignment vertical="center" wrapText="1"/>
    </xf>
    <xf numFmtId="221" fontId="226" fillId="0" borderId="0" xfId="1402" applyNumberFormat="1" applyFont="1"/>
    <xf numFmtId="178" fontId="217" fillId="95" borderId="0" xfId="1405" applyNumberFormat="1" applyFont="1" applyFill="1" applyAlignment="1">
      <alignment vertical="center"/>
    </xf>
    <xf numFmtId="178" fontId="217" fillId="95" borderId="0" xfId="1405" applyNumberFormat="1" applyFont="1" applyFill="1"/>
    <xf numFmtId="178" fontId="325" fillId="95" borderId="0" xfId="1405" applyNumberFormat="1" applyFont="1" applyFill="1" applyAlignment="1">
      <alignment vertical="center" wrapText="1"/>
    </xf>
    <xf numFmtId="9" fontId="326" fillId="95" borderId="0" xfId="1033" applyFont="1" applyFill="1" applyAlignment="1">
      <alignment vertical="center" wrapText="1"/>
    </xf>
    <xf numFmtId="178" fontId="217" fillId="95" borderId="0" xfId="1405" applyNumberFormat="1" applyFont="1" applyFill="1" applyAlignment="1">
      <alignment vertical="center" wrapText="1"/>
    </xf>
    <xf numFmtId="172" fontId="4" fillId="0" borderId="0" xfId="1398" applyFont="1"/>
    <xf numFmtId="0" fontId="329" fillId="61" borderId="0" xfId="0" applyFont="1" applyFill="1" applyAlignment="1">
      <alignment vertical="center"/>
    </xf>
    <xf numFmtId="172" fontId="329" fillId="61" borderId="0" xfId="1398" applyFont="1" applyFill="1" applyAlignment="1">
      <alignment horizontal="center" vertical="center"/>
    </xf>
    <xf numFmtId="0" fontId="0" fillId="0" borderId="0" xfId="0" applyAlignment="1">
      <alignment vertical="center"/>
    </xf>
    <xf numFmtId="0" fontId="330" fillId="0" borderId="0" xfId="0" applyFont="1"/>
    <xf numFmtId="49" fontId="301" fillId="82" borderId="0" xfId="1094" applyNumberFormat="1" applyFont="1" applyFill="1" applyAlignment="1">
      <alignment horizontal="left" vertical="center"/>
    </xf>
    <xf numFmtId="0" fontId="309" fillId="82" borderId="0" xfId="1385" applyFont="1" applyFill="1" applyAlignment="1" applyProtection="1">
      <alignment vertical="center"/>
      <protection locked="0"/>
    </xf>
    <xf numFmtId="49" fontId="301" fillId="82" borderId="0" xfId="1090" applyNumberFormat="1" applyFont="1" applyFill="1" applyAlignment="1" applyProtection="1">
      <alignment horizontal="right" vertical="top"/>
      <protection locked="0"/>
    </xf>
    <xf numFmtId="1" fontId="301" fillId="82" borderId="0" xfId="1090" applyNumberFormat="1" applyFont="1" applyFill="1" applyAlignment="1" applyProtection="1">
      <alignment horizontal="right" vertical="top"/>
      <protection locked="0"/>
    </xf>
    <xf numFmtId="2" fontId="301" fillId="82" borderId="0" xfId="1094" applyNumberFormat="1" applyFont="1" applyFill="1" applyAlignment="1">
      <alignment horizontal="left" vertical="center"/>
    </xf>
    <xf numFmtId="0" fontId="305" fillId="50" borderId="94" xfId="1385" applyFont="1" applyFill="1" applyBorder="1" applyAlignment="1">
      <alignment horizontal="left"/>
    </xf>
    <xf numFmtId="0" fontId="305" fillId="50" borderId="94" xfId="1385" applyFont="1" applyFill="1" applyBorder="1"/>
    <xf numFmtId="214" fontId="305" fillId="0" borderId="94" xfId="0" applyNumberFormat="1" applyFont="1" applyBorder="1" applyAlignment="1">
      <alignment horizontal="left"/>
    </xf>
    <xf numFmtId="0" fontId="305" fillId="50" borderId="94" xfId="1385" applyFont="1" applyFill="1" applyBorder="1" applyAlignment="1">
      <alignment horizontal="left" vertical="top"/>
    </xf>
    <xf numFmtId="0" fontId="305" fillId="50" borderId="94" xfId="1385" applyFont="1" applyFill="1" applyBorder="1" applyAlignment="1">
      <alignment vertical="top"/>
    </xf>
    <xf numFmtId="214" fontId="305" fillId="0" borderId="94" xfId="0" applyNumberFormat="1" applyFont="1" applyBorder="1" applyAlignment="1">
      <alignment horizontal="left" vertical="top"/>
    </xf>
    <xf numFmtId="0" fontId="305" fillId="50" borderId="94" xfId="1385" quotePrefix="1" applyFont="1" applyFill="1" applyBorder="1" applyAlignment="1">
      <alignment vertical="center"/>
    </xf>
    <xf numFmtId="0" fontId="305" fillId="50" borderId="94" xfId="1385" applyFont="1" applyFill="1" applyBorder="1" applyAlignment="1" applyProtection="1">
      <alignment vertical="center"/>
      <protection locked="0"/>
    </xf>
    <xf numFmtId="214" fontId="305" fillId="0" borderId="94" xfId="1095" applyNumberFormat="1" applyFont="1" applyBorder="1" applyAlignment="1">
      <alignment vertical="center"/>
    </xf>
    <xf numFmtId="0" fontId="227" fillId="0" borderId="11" xfId="0" applyFont="1" applyBorder="1" applyAlignment="1">
      <alignment horizontal="left" vertical="center" indent="1"/>
    </xf>
    <xf numFmtId="0" fontId="7" fillId="50" borderId="0" xfId="0" applyFont="1" applyFill="1" applyAlignment="1">
      <alignment horizontal="left" vertical="top"/>
    </xf>
    <xf numFmtId="0" fontId="63" fillId="0" borderId="0" xfId="1394" applyFont="1" applyAlignment="1">
      <alignment vertical="center"/>
    </xf>
    <xf numFmtId="175" fontId="331" fillId="0" borderId="0" xfId="1394" applyNumberFormat="1" applyFont="1" applyAlignment="1">
      <alignment vertical="center"/>
    </xf>
    <xf numFmtId="0" fontId="6" fillId="0" borderId="0" xfId="1394" applyFont="1" applyAlignment="1">
      <alignment vertical="center"/>
    </xf>
    <xf numFmtId="0" fontId="7" fillId="0" borderId="0" xfId="0" applyFont="1" applyAlignment="1">
      <alignment horizontal="center" vertical="center" wrapText="1"/>
    </xf>
    <xf numFmtId="175" fontId="332" fillId="0" borderId="0" xfId="0" applyNumberFormat="1" applyFont="1" applyAlignment="1">
      <alignment horizontal="center" vertical="center" wrapText="1"/>
    </xf>
    <xf numFmtId="0" fontId="173" fillId="0" borderId="0" xfId="0" applyFont="1" applyAlignment="1">
      <alignment horizontal="left" vertical="center" wrapText="1"/>
    </xf>
    <xf numFmtId="14" fontId="249" fillId="0" borderId="0" xfId="0" applyNumberFormat="1" applyFont="1" applyAlignment="1">
      <alignment horizontal="center"/>
    </xf>
    <xf numFmtId="175" fontId="249" fillId="0" borderId="0" xfId="0" applyNumberFormat="1" applyFont="1" applyAlignment="1">
      <alignment horizontal="center"/>
    </xf>
    <xf numFmtId="0" fontId="0" fillId="0" borderId="0" xfId="0" applyAlignment="1">
      <alignment horizontal="center"/>
    </xf>
    <xf numFmtId="175" fontId="327" fillId="0" borderId="0" xfId="0" applyNumberFormat="1" applyFont="1" applyAlignment="1">
      <alignment horizontal="center"/>
    </xf>
    <xf numFmtId="0" fontId="7" fillId="0" borderId="0" xfId="0" applyFont="1" applyAlignment="1">
      <alignment horizontal="left" vertical="center" wrapText="1"/>
    </xf>
    <xf numFmtId="0" fontId="6" fillId="0" borderId="0" xfId="0" applyFont="1" applyAlignment="1">
      <alignment horizontal="right" vertical="center" wrapText="1"/>
    </xf>
    <xf numFmtId="175" fontId="173" fillId="0" borderId="0" xfId="0" applyNumberFormat="1" applyFont="1" applyAlignment="1">
      <alignment horizontal="right" vertical="center" wrapText="1"/>
    </xf>
    <xf numFmtId="301" fontId="333" fillId="66" borderId="0" xfId="901" applyFont="1" applyFill="1" applyAlignment="1">
      <alignment horizontal="left" vertical="top" wrapText="1"/>
    </xf>
    <xf numFmtId="301" fontId="333" fillId="66" borderId="0" xfId="901" applyFont="1" applyFill="1" applyAlignment="1">
      <alignment horizontal="center" vertical="top" wrapText="1"/>
    </xf>
    <xf numFmtId="175" fontId="334" fillId="66" borderId="0" xfId="901" applyNumberFormat="1" applyFont="1" applyFill="1" applyAlignment="1">
      <alignment horizontal="center" vertical="top" wrapText="1"/>
    </xf>
    <xf numFmtId="170" fontId="7" fillId="0" borderId="0" xfId="217" applyNumberFormat="1" applyFont="1" applyFill="1" applyBorder="1" applyAlignment="1">
      <alignment vertical="center"/>
    </xf>
    <xf numFmtId="175" fontId="332" fillId="0" borderId="0" xfId="217" applyNumberFormat="1" applyFont="1" applyFill="1" applyBorder="1" applyAlignment="1">
      <alignment vertical="center"/>
    </xf>
    <xf numFmtId="0" fontId="6" fillId="0" borderId="0" xfId="0" applyFont="1" applyAlignment="1">
      <alignment horizontal="left" vertical="center" wrapText="1"/>
    </xf>
    <xf numFmtId="170" fontId="6" fillId="0" borderId="0" xfId="217" applyNumberFormat="1" applyFont="1" applyFill="1" applyBorder="1" applyAlignment="1">
      <alignment vertical="center"/>
    </xf>
    <xf numFmtId="175" fontId="173" fillId="0" borderId="0" xfId="217" applyNumberFormat="1" applyFont="1" applyFill="1" applyBorder="1" applyAlignment="1">
      <alignment vertical="center"/>
    </xf>
    <xf numFmtId="0" fontId="6" fillId="0" borderId="0" xfId="0" quotePrefix="1" applyFont="1" applyAlignment="1">
      <alignment horizontal="left" vertical="center" wrapText="1"/>
    </xf>
    <xf numFmtId="175" fontId="173" fillId="0" borderId="0" xfId="1394" applyNumberFormat="1" applyFont="1" applyAlignment="1">
      <alignment vertical="center"/>
    </xf>
    <xf numFmtId="0" fontId="6" fillId="0" borderId="0" xfId="0" applyFont="1" applyAlignment="1">
      <alignment horizontal="left" vertical="center"/>
    </xf>
    <xf numFmtId="0" fontId="6" fillId="0" borderId="0" xfId="0" applyFont="1" applyAlignment="1">
      <alignment vertical="center"/>
    </xf>
    <xf numFmtId="0" fontId="7" fillId="65" borderId="0" xfId="0" applyFont="1" applyFill="1" applyAlignment="1">
      <alignment horizontal="left" vertical="center" wrapText="1"/>
    </xf>
    <xf numFmtId="170" fontId="7" fillId="65" borderId="0" xfId="217" applyNumberFormat="1" applyFont="1" applyFill="1" applyBorder="1" applyAlignment="1">
      <alignment vertical="center"/>
    </xf>
    <xf numFmtId="175" fontId="332" fillId="65" borderId="0" xfId="217" applyNumberFormat="1" applyFont="1" applyFill="1" applyBorder="1" applyAlignment="1">
      <alignment vertical="center"/>
    </xf>
    <xf numFmtId="170" fontId="0" fillId="0" borderId="0" xfId="0" applyNumberFormat="1"/>
    <xf numFmtId="0" fontId="335" fillId="0" borderId="0" xfId="0" applyFont="1" applyAlignment="1">
      <alignment horizontal="right" vertical="center" wrapText="1"/>
    </xf>
    <xf numFmtId="175" fontId="336" fillId="0" borderId="0" xfId="217" applyNumberFormat="1" applyFont="1" applyFill="1" applyBorder="1" applyAlignment="1">
      <alignment vertical="center"/>
    </xf>
    <xf numFmtId="0" fontId="337" fillId="0" borderId="0" xfId="0" applyFont="1"/>
    <xf numFmtId="170" fontId="6" fillId="0" borderId="0" xfId="0" applyNumberFormat="1" applyFont="1" applyAlignment="1">
      <alignment vertical="center"/>
    </xf>
    <xf numFmtId="175" fontId="173" fillId="0" borderId="0" xfId="0" applyNumberFormat="1" applyFont="1" applyAlignment="1">
      <alignment vertical="center"/>
    </xf>
    <xf numFmtId="0" fontId="6" fillId="50" borderId="0" xfId="1394" applyFont="1" applyFill="1" applyAlignment="1">
      <alignment vertical="center"/>
    </xf>
    <xf numFmtId="0" fontId="6" fillId="0" borderId="0" xfId="0" applyFont="1" applyAlignment="1">
      <alignment horizontal="center" vertical="center" wrapText="1"/>
    </xf>
    <xf numFmtId="170" fontId="6" fillId="0" borderId="0" xfId="1394" applyNumberFormat="1" applyFont="1" applyAlignment="1">
      <alignment vertical="center"/>
    </xf>
    <xf numFmtId="0" fontId="6" fillId="79" borderId="0" xfId="1394" applyFont="1" applyFill="1" applyAlignment="1">
      <alignment vertical="center"/>
    </xf>
    <xf numFmtId="170" fontId="6" fillId="79" borderId="0" xfId="1394" applyNumberFormat="1" applyFont="1" applyFill="1" applyAlignment="1">
      <alignment vertical="center"/>
    </xf>
    <xf numFmtId="175" fontId="6" fillId="0" borderId="0" xfId="1033" applyNumberFormat="1" applyFont="1" applyAlignment="1">
      <alignment vertical="center"/>
    </xf>
    <xf numFmtId="0" fontId="7" fillId="0" borderId="0" xfId="0" applyFont="1" applyAlignment="1">
      <alignment horizontal="centerContinuous" vertical="center" wrapText="1"/>
    </xf>
    <xf numFmtId="175" fontId="333" fillId="66" borderId="0" xfId="901" applyNumberFormat="1" applyFont="1" applyFill="1" applyAlignment="1">
      <alignment horizontal="center" vertical="top" wrapText="1"/>
    </xf>
    <xf numFmtId="360" fontId="7" fillId="0" borderId="0" xfId="0" applyNumberFormat="1" applyFont="1" applyAlignment="1">
      <alignment horizontal="center" vertical="center" wrapText="1"/>
    </xf>
    <xf numFmtId="175" fontId="7" fillId="0" borderId="0" xfId="0" applyNumberFormat="1" applyFont="1" applyAlignment="1">
      <alignment horizontal="center" vertical="center" wrapText="1"/>
    </xf>
    <xf numFmtId="170" fontId="6" fillId="0" borderId="0" xfId="217" applyNumberFormat="1" applyFont="1" applyFill="1" applyBorder="1" applyAlignment="1">
      <alignment horizontal="right" vertical="center"/>
    </xf>
    <xf numFmtId="175" fontId="6" fillId="0" borderId="0" xfId="217" applyNumberFormat="1" applyFont="1" applyFill="1" applyBorder="1" applyAlignment="1">
      <alignment horizontal="right" vertical="center"/>
    </xf>
    <xf numFmtId="175" fontId="173" fillId="0" borderId="0" xfId="217" applyNumberFormat="1" applyFont="1" applyFill="1" applyBorder="1" applyAlignment="1">
      <alignment horizontal="right" vertical="center"/>
    </xf>
    <xf numFmtId="170" fontId="7" fillId="65" borderId="0" xfId="217" applyNumberFormat="1" applyFont="1" applyFill="1" applyBorder="1" applyAlignment="1">
      <alignment horizontal="right" vertical="center"/>
    </xf>
    <xf numFmtId="175" fontId="7" fillId="65" borderId="0" xfId="217" applyNumberFormat="1" applyFont="1" applyFill="1" applyBorder="1" applyAlignment="1">
      <alignment horizontal="right" vertical="center"/>
    </xf>
    <xf numFmtId="170" fontId="7" fillId="0" borderId="0" xfId="217" applyNumberFormat="1" applyFont="1" applyFill="1" applyBorder="1" applyAlignment="1">
      <alignment horizontal="right" vertical="center"/>
    </xf>
    <xf numFmtId="175" fontId="7" fillId="0" borderId="0" xfId="217" applyNumberFormat="1" applyFont="1" applyFill="1" applyBorder="1" applyAlignment="1">
      <alignment horizontal="right" vertical="center"/>
    </xf>
    <xf numFmtId="0" fontId="6" fillId="0" borderId="0" xfId="0" applyFont="1" applyAlignment="1">
      <alignment vertical="center" wrapText="1"/>
    </xf>
    <xf numFmtId="0" fontId="7" fillId="96" borderId="0" xfId="0" applyFont="1" applyFill="1" applyAlignment="1">
      <alignment horizontal="left" vertical="center" wrapText="1"/>
    </xf>
    <xf numFmtId="170" fontId="7" fillId="96" borderId="0" xfId="217" applyNumberFormat="1" applyFont="1" applyFill="1" applyBorder="1" applyAlignment="1">
      <alignment horizontal="right" vertical="center"/>
    </xf>
    <xf numFmtId="175" fontId="7" fillId="96" borderId="0" xfId="217" applyNumberFormat="1" applyFont="1" applyFill="1" applyBorder="1" applyAlignment="1">
      <alignment horizontal="right" vertical="center"/>
    </xf>
    <xf numFmtId="175" fontId="336" fillId="0" borderId="0" xfId="217" applyNumberFormat="1" applyFont="1" applyFill="1" applyBorder="1" applyAlignment="1">
      <alignment horizontal="right" vertical="center"/>
    </xf>
    <xf numFmtId="170" fontId="325" fillId="0" borderId="0" xfId="0" applyNumberFormat="1" applyFont="1"/>
    <xf numFmtId="0" fontId="325" fillId="0" borderId="0" xfId="0" applyFont="1"/>
    <xf numFmtId="0" fontId="7" fillId="0" borderId="0" xfId="0" applyFont="1" applyAlignment="1">
      <alignment vertical="center"/>
    </xf>
    <xf numFmtId="175" fontId="6" fillId="0" borderId="0" xfId="1394" applyNumberFormat="1" applyFont="1" applyAlignment="1">
      <alignment vertical="center"/>
    </xf>
    <xf numFmtId="0" fontId="0" fillId="97" borderId="0" xfId="0" applyFill="1"/>
    <xf numFmtId="170" fontId="7" fillId="97" borderId="0" xfId="217" applyNumberFormat="1" applyFont="1" applyFill="1" applyBorder="1" applyAlignment="1">
      <alignment horizontal="right" vertical="center"/>
    </xf>
    <xf numFmtId="0" fontId="338" fillId="97" borderId="0" xfId="0" applyFont="1" applyFill="1"/>
    <xf numFmtId="170" fontId="0" fillId="97" borderId="0" xfId="0" applyNumberFormat="1" applyFill="1"/>
    <xf numFmtId="0" fontId="221" fillId="77" borderId="0" xfId="0" applyFont="1" applyFill="1" applyAlignment="1" applyProtection="1">
      <alignment vertical="center"/>
      <protection locked="0"/>
    </xf>
    <xf numFmtId="0" fontId="6" fillId="65" borderId="0" xfId="0" quotePrefix="1" applyFont="1" applyFill="1" applyAlignment="1">
      <alignment horizontal="left" vertical="center" wrapText="1"/>
    </xf>
    <xf numFmtId="170" fontId="221" fillId="98" borderId="11" xfId="0" applyNumberFormat="1" applyFont="1" applyFill="1" applyBorder="1" applyAlignment="1">
      <alignment vertical="center"/>
    </xf>
    <xf numFmtId="4" fontId="227" fillId="50" borderId="0" xfId="0" applyNumberFormat="1" applyFont="1" applyFill="1" applyAlignment="1" applyProtection="1">
      <alignment horizontal="right" vertical="center"/>
      <protection locked="0"/>
    </xf>
    <xf numFmtId="0" fontId="339" fillId="61" borderId="0" xfId="0" applyFont="1" applyFill="1" applyAlignment="1">
      <alignment horizontal="left" vertical="center"/>
    </xf>
    <xf numFmtId="0" fontId="0" fillId="96" borderId="0" xfId="0" applyFill="1"/>
    <xf numFmtId="0" fontId="0" fillId="73" borderId="0" xfId="0" applyFill="1"/>
    <xf numFmtId="0" fontId="0" fillId="99" borderId="0" xfId="0" applyFill="1"/>
    <xf numFmtId="49" fontId="228" fillId="67" borderId="0" xfId="0" applyNumberFormat="1" applyFont="1" applyFill="1" applyProtection="1">
      <protection locked="0"/>
    </xf>
    <xf numFmtId="0" fontId="241" fillId="82" borderId="0" xfId="1385" applyFont="1" applyFill="1" applyAlignment="1" applyProtection="1">
      <alignment horizontal="center" vertical="center"/>
      <protection locked="0"/>
    </xf>
    <xf numFmtId="49" fontId="218" fillId="66" borderId="0" xfId="0" applyNumberFormat="1" applyFont="1" applyFill="1" applyAlignment="1" applyProtection="1">
      <alignment horizontal="center" vertical="center"/>
      <protection locked="0"/>
    </xf>
    <xf numFmtId="49" fontId="241" fillId="66" borderId="0" xfId="0" applyNumberFormat="1" applyFont="1" applyFill="1" applyAlignment="1" applyProtection="1">
      <alignment horizontal="center" vertical="center"/>
      <protection locked="0"/>
    </xf>
    <xf numFmtId="49" fontId="241" fillId="82" borderId="0" xfId="0" applyNumberFormat="1" applyFont="1" applyFill="1" applyAlignment="1" applyProtection="1">
      <alignment horizontal="center" vertical="center"/>
      <protection locked="0"/>
    </xf>
    <xf numFmtId="49" fontId="241" fillId="82" borderId="40" xfId="0" applyNumberFormat="1" applyFont="1" applyFill="1" applyBorder="1" applyAlignment="1" applyProtection="1">
      <alignment horizontal="center" vertical="center"/>
      <protection locked="0"/>
    </xf>
    <xf numFmtId="49" fontId="241" fillId="82" borderId="6" xfId="0" applyNumberFormat="1" applyFont="1" applyFill="1" applyBorder="1" applyAlignment="1" applyProtection="1">
      <alignment horizontal="center" vertical="center"/>
      <protection locked="0"/>
    </xf>
    <xf numFmtId="49" fontId="241" fillId="82" borderId="38" xfId="0" applyNumberFormat="1" applyFont="1" applyFill="1" applyBorder="1" applyAlignment="1" applyProtection="1">
      <alignment horizontal="center" vertical="center"/>
      <protection locked="0"/>
    </xf>
    <xf numFmtId="0" fontId="285" fillId="80" borderId="0" xfId="1090" applyFont="1" applyFill="1" applyAlignment="1" applyProtection="1">
      <alignment horizontal="center" vertical="center"/>
      <protection locked="0"/>
    </xf>
    <xf numFmtId="0" fontId="274" fillId="61" borderId="0" xfId="1090" applyFont="1" applyFill="1" applyAlignment="1" applyProtection="1">
      <alignment horizontal="center" vertical="center"/>
      <protection locked="0"/>
    </xf>
    <xf numFmtId="0" fontId="241" fillId="0" borderId="0" xfId="1385" applyFont="1" applyAlignment="1" applyProtection="1">
      <alignment horizontal="center" vertical="center"/>
      <protection locked="0"/>
    </xf>
    <xf numFmtId="349" fontId="217" fillId="61" borderId="0" xfId="0" applyNumberFormat="1" applyFont="1" applyFill="1" applyAlignment="1" applyProtection="1">
      <alignment vertical="center"/>
      <protection locked="0"/>
    </xf>
    <xf numFmtId="349" fontId="217" fillId="61" borderId="0" xfId="0" applyNumberFormat="1" applyFont="1" applyFill="1" applyAlignment="1" applyProtection="1">
      <alignment horizontal="left" vertical="center"/>
      <protection locked="0"/>
    </xf>
    <xf numFmtId="349" fontId="224" fillId="61" borderId="0" xfId="0" applyNumberFormat="1" applyFont="1" applyFill="1" applyAlignment="1" applyProtection="1">
      <alignment horizontal="left" vertical="center"/>
      <protection locked="0"/>
    </xf>
    <xf numFmtId="0" fontId="274" fillId="92" borderId="0" xfId="0" applyFont="1" applyFill="1" applyAlignment="1" applyProtection="1">
      <alignment horizontal="center" vertical="center"/>
      <protection locked="0"/>
    </xf>
    <xf numFmtId="0" fontId="0" fillId="0" borderId="0" xfId="0" applyAlignment="1">
      <alignment horizontal="center"/>
    </xf>
    <xf numFmtId="0" fontId="0" fillId="100" borderId="0" xfId="0" applyFill="1" applyAlignment="1">
      <alignment horizontal="left" vertical="center" wrapText="1" indent="1"/>
    </xf>
    <xf numFmtId="0" fontId="221" fillId="0" borderId="0" xfId="0" applyFont="1" applyAlignment="1" applyProtection="1">
      <alignment horizontal="center" vertical="center"/>
      <protection locked="0"/>
    </xf>
    <xf numFmtId="1" fontId="221" fillId="0" borderId="0" xfId="0" applyNumberFormat="1" applyFont="1" applyAlignment="1" applyProtection="1">
      <alignment horizontal="right" vertical="center" textRotation="90"/>
      <protection locked="0"/>
    </xf>
    <xf numFmtId="49" fontId="218" fillId="82" borderId="6" xfId="1094" applyNumberFormat="1" applyFont="1" applyFill="1" applyBorder="1" applyAlignment="1" applyProtection="1">
      <alignment horizontal="center" vertical="center"/>
      <protection locked="0"/>
    </xf>
    <xf numFmtId="0" fontId="221" fillId="0" borderId="11" xfId="0" applyFont="1" applyBorder="1" applyAlignment="1" applyProtection="1">
      <alignment horizontal="center"/>
      <protection locked="0"/>
    </xf>
    <xf numFmtId="349" fontId="242" fillId="61" borderId="0" xfId="0" applyNumberFormat="1" applyFont="1" applyFill="1" applyAlignment="1" applyProtection="1">
      <alignment vertical="center"/>
      <protection locked="0"/>
    </xf>
    <xf numFmtId="349" fontId="242" fillId="61" borderId="49" xfId="0" applyNumberFormat="1" applyFont="1" applyFill="1" applyBorder="1" applyAlignment="1" applyProtection="1">
      <alignment vertical="center"/>
      <protection locked="0"/>
    </xf>
    <xf numFmtId="0" fontId="256" fillId="69" borderId="29" xfId="0" applyFont="1" applyFill="1" applyBorder="1" applyAlignment="1">
      <alignment horizontal="center"/>
    </xf>
    <xf numFmtId="0" fontId="256" fillId="69" borderId="93" xfId="0" applyFont="1" applyFill="1" applyBorder="1" applyAlignment="1">
      <alignment horizontal="center"/>
    </xf>
    <xf numFmtId="0" fontId="256" fillId="69" borderId="64" xfId="0" applyFont="1" applyFill="1" applyBorder="1" applyAlignment="1">
      <alignment horizontal="center"/>
    </xf>
    <xf numFmtId="0" fontId="255" fillId="71" borderId="42" xfId="1399" applyFill="1" applyBorder="1" applyAlignment="1">
      <alignment horizontal="left"/>
    </xf>
    <xf numFmtId="0" fontId="255" fillId="71" borderId="8" xfId="1399" applyFill="1" applyBorder="1" applyAlignment="1">
      <alignment horizontal="left"/>
    </xf>
    <xf numFmtId="0" fontId="255" fillId="71" borderId="43" xfId="1399" applyFill="1" applyBorder="1" applyAlignment="1">
      <alignment horizontal="left"/>
    </xf>
    <xf numFmtId="0" fontId="272" fillId="0" borderId="11" xfId="0" applyFont="1" applyBorder="1" applyAlignment="1">
      <alignment horizontal="center"/>
    </xf>
    <xf numFmtId="0" fontId="255" fillId="71" borderId="40" xfId="1399" applyFill="1" applyBorder="1" applyAlignment="1">
      <alignment horizontal="left"/>
    </xf>
    <xf numFmtId="0" fontId="255" fillId="71" borderId="6" xfId="1399" applyFill="1" applyBorder="1" applyAlignment="1">
      <alignment horizontal="left"/>
    </xf>
    <xf numFmtId="0" fontId="255" fillId="71" borderId="38" xfId="1399" applyFill="1" applyBorder="1" applyAlignment="1">
      <alignment horizontal="left"/>
    </xf>
    <xf numFmtId="0" fontId="255" fillId="91" borderId="41" xfId="1399" applyFill="1" applyBorder="1" applyAlignment="1">
      <alignment horizontal="center" vertical="center" wrapText="1"/>
    </xf>
    <xf numFmtId="0" fontId="255" fillId="91" borderId="1" xfId="1399" applyFill="1" applyBorder="1" applyAlignment="1">
      <alignment horizontal="center" vertical="center" wrapText="1"/>
    </xf>
    <xf numFmtId="0" fontId="267" fillId="0" borderId="64" xfId="0" applyFont="1" applyBorder="1" applyAlignment="1">
      <alignment horizontal="center"/>
    </xf>
    <xf numFmtId="0" fontId="267" fillId="0" borderId="29" xfId="0" applyFont="1" applyBorder="1" applyAlignment="1">
      <alignment horizontal="center"/>
    </xf>
    <xf numFmtId="0" fontId="267" fillId="0" borderId="92" xfId="0" applyFont="1" applyBorder="1" applyAlignment="1">
      <alignment horizontal="center"/>
    </xf>
    <xf numFmtId="0" fontId="271" fillId="0" borderId="40" xfId="0" applyFont="1" applyBorder="1" applyAlignment="1">
      <alignment horizontal="left" vertical="top" wrapText="1"/>
    </xf>
    <xf numFmtId="0" fontId="271" fillId="0" borderId="6" xfId="0" applyFont="1" applyBorder="1" applyAlignment="1">
      <alignment horizontal="left" vertical="top" wrapText="1"/>
    </xf>
    <xf numFmtId="0" fontId="271" fillId="0" borderId="38" xfId="0" applyFont="1" applyBorder="1" applyAlignment="1">
      <alignment horizontal="left" vertical="top" wrapText="1"/>
    </xf>
    <xf numFmtId="0" fontId="271" fillId="0" borderId="9" xfId="0" applyFont="1" applyBorder="1" applyAlignment="1">
      <alignment horizontal="left" vertical="top" wrapText="1"/>
    </xf>
    <xf numFmtId="0" fontId="271" fillId="0" borderId="0" xfId="0" applyFont="1" applyAlignment="1">
      <alignment horizontal="left" vertical="top" wrapText="1"/>
    </xf>
    <xf numFmtId="0" fontId="271" fillId="0" borderId="10" xfId="0" applyFont="1" applyBorder="1" applyAlignment="1">
      <alignment horizontal="left" vertical="top" wrapText="1"/>
    </xf>
    <xf numFmtId="0" fontId="271" fillId="0" borderId="12" xfId="0" applyFont="1" applyBorder="1" applyAlignment="1">
      <alignment horizontal="left" vertical="top" wrapText="1"/>
    </xf>
    <xf numFmtId="0" fontId="271" fillId="0" borderId="11" xfId="0" applyFont="1" applyBorder="1" applyAlignment="1">
      <alignment horizontal="left" vertical="top" wrapText="1"/>
    </xf>
    <xf numFmtId="0" fontId="271" fillId="0" borderId="39" xfId="0" applyFont="1" applyBorder="1" applyAlignment="1">
      <alignment horizontal="left" vertical="top" wrapText="1"/>
    </xf>
    <xf numFmtId="0" fontId="268" fillId="71" borderId="64" xfId="0" applyFont="1" applyFill="1" applyBorder="1" applyAlignment="1">
      <alignment horizontal="left"/>
    </xf>
    <xf numFmtId="0" fontId="268" fillId="71" borderId="29" xfId="0" applyFont="1" applyFill="1" applyBorder="1" applyAlignment="1">
      <alignment horizontal="left"/>
    </xf>
    <xf numFmtId="0" fontId="269" fillId="71" borderId="42" xfId="0" applyFont="1" applyFill="1" applyBorder="1" applyAlignment="1">
      <alignment horizontal="left"/>
    </xf>
    <xf numFmtId="0" fontId="269" fillId="71" borderId="8" xfId="0" applyFont="1" applyFill="1" applyBorder="1" applyAlignment="1">
      <alignment horizontal="left"/>
    </xf>
    <xf numFmtId="0" fontId="269" fillId="71" borderId="43" xfId="0" applyFont="1" applyFill="1" applyBorder="1" applyAlignment="1">
      <alignment horizontal="left"/>
    </xf>
    <xf numFmtId="0" fontId="268" fillId="71" borderId="92" xfId="0" applyFont="1" applyFill="1" applyBorder="1" applyAlignment="1">
      <alignment horizontal="left"/>
    </xf>
    <xf numFmtId="0" fontId="65" fillId="0" borderId="0" xfId="0" applyFont="1"/>
    <xf numFmtId="0" fontId="0" fillId="0" borderId="0" xfId="0" applyAlignment="1"/>
    <xf numFmtId="0" fontId="340" fillId="0" borderId="0" xfId="0" applyFont="1" applyAlignment="1"/>
    <xf numFmtId="0" fontId="255" fillId="71" borderId="42" xfId="1399" applyFill="1" applyBorder="1" applyAlignment="1"/>
    <xf numFmtId="0" fontId="255" fillId="71" borderId="8" xfId="1399" applyFill="1" applyBorder="1" applyAlignment="1"/>
    <xf numFmtId="0" fontId="255" fillId="71" borderId="43" xfId="1399" applyFill="1" applyBorder="1" applyAlignment="1"/>
  </cellXfs>
  <cellStyles count="1407">
    <cellStyle name="_x000a_386grabber=M" xfId="1" xr:uid="{00000000-0005-0000-0000-000000000000}"/>
    <cellStyle name="&quot;X&quot; MEN" xfId="2" xr:uid="{00000000-0005-0000-0000-000001000000}"/>
    <cellStyle name="#" xfId="3" xr:uid="{00000000-0005-0000-0000-000002000000}"/>
    <cellStyle name="#-" xfId="4" xr:uid="{00000000-0005-0000-0000-000003000000}"/>
    <cellStyle name="$" xfId="5" xr:uid="{00000000-0005-0000-0000-000004000000}"/>
    <cellStyle name="$-" xfId="6" xr:uid="{00000000-0005-0000-0000-000005000000}"/>
    <cellStyle name="$0.00" xfId="7" xr:uid="{00000000-0005-0000-0000-000006000000}"/>
    <cellStyle name="%" xfId="8" xr:uid="{00000000-0005-0000-0000-000007000000}"/>
    <cellStyle name="%-" xfId="9" xr:uid="{00000000-0005-0000-0000-000008000000}"/>
    <cellStyle name="," xfId="10" xr:uid="{00000000-0005-0000-0000-000009000000}"/>
    <cellStyle name="[ercemt" xfId="11" xr:uid="{00000000-0005-0000-0000-00000A000000}"/>
    <cellStyle name="_%(SignOnly)" xfId="12" xr:uid="{00000000-0005-0000-0000-00000B000000}"/>
    <cellStyle name="_%(SignSpaceOnly)" xfId="13" xr:uid="{00000000-0005-0000-0000-00000C000000}"/>
    <cellStyle name="_5jny0144" xfId="14" xr:uid="{00000000-0005-0000-0000-00000D000000}"/>
    <cellStyle name="_5jny1296" xfId="15" xr:uid="{00000000-0005-0000-0000-00000E000000}"/>
    <cellStyle name="_6bny1016" xfId="16" xr:uid="{00000000-0005-0000-0000-00000F000000}"/>
    <cellStyle name="_Adam_Comps" xfId="17" xr:uid="{00000000-0005-0000-0000-000010000000}"/>
    <cellStyle name="_Asia Retail FB Trading Comps (Output &amp; Consoli. List)" xfId="18" xr:uid="{00000000-0005-0000-0000-000011000000}"/>
    <cellStyle name="_Chattem Mgmt Case v8" xfId="19" xr:uid="{00000000-0005-0000-0000-000012000000}"/>
    <cellStyle name="_Comma" xfId="20" xr:uid="{00000000-0005-0000-0000-000013000000}"/>
    <cellStyle name="_Currency" xfId="21" xr:uid="{00000000-0005-0000-0000-000014000000}"/>
    <cellStyle name="_CurrencySpace" xfId="22" xr:uid="{00000000-0005-0000-0000-000015000000}"/>
    <cellStyle name="_Euro" xfId="23" xr:uid="{00000000-0005-0000-0000-000016000000}"/>
    <cellStyle name="_Heading" xfId="24" xr:uid="{00000000-0005-0000-0000-000017000000}"/>
    <cellStyle name="_Highlight" xfId="25" xr:uid="{00000000-0005-0000-0000-000018000000}"/>
    <cellStyle name="_Luxury Goods Comps latest" xfId="26" xr:uid="{00000000-0005-0000-0000-000019000000}"/>
    <cellStyle name="_Multiple" xfId="27" xr:uid="{00000000-0005-0000-0000-00001A000000}"/>
    <cellStyle name="_MultipleSpace" xfId="28" xr:uid="{00000000-0005-0000-0000-00001B000000}"/>
    <cellStyle name="_Project Cup model 6-21-04" xfId="29" xr:uid="{00000000-0005-0000-0000-00001C000000}"/>
    <cellStyle name="_SubHeading" xfId="30" xr:uid="{00000000-0005-0000-0000-00001D000000}"/>
    <cellStyle name="_Table" xfId="31" xr:uid="{00000000-0005-0000-0000-00001E000000}"/>
    <cellStyle name="_TableHead" xfId="32" xr:uid="{00000000-0005-0000-0000-00001F000000}"/>
    <cellStyle name="_TableRowHead" xfId="33" xr:uid="{00000000-0005-0000-0000-000020000000}"/>
    <cellStyle name="_TableSuperHead" xfId="34" xr:uid="{00000000-0005-0000-0000-000021000000}"/>
    <cellStyle name="_TDH001 Consumer comps 070130" xfId="35" xr:uid="{00000000-0005-0000-0000-000022000000}"/>
    <cellStyle name="_TDI1602 Non-Food Retail Historic Transactions 060428" xfId="36" xr:uid="{00000000-0005-0000-0000-000023000000}"/>
    <cellStyle name="_TDN517 Aluminium Comps Database 060610" xfId="37" xr:uid="{00000000-0005-0000-0000-000024000000}"/>
    <cellStyle name="_TDN883 Trading comps 061101" xfId="38" xr:uid="{00000000-0005-0000-0000-000025000000}"/>
    <cellStyle name="_TDU649 Utilities Trading Comps 070216" xfId="39" xr:uid="{00000000-0005-0000-0000-000026000000}"/>
    <cellStyle name="_Technology Trading Comps 090327" xfId="40" xr:uid="{00000000-0005-0000-0000-000027000000}"/>
    <cellStyle name="_Vikash Asia Retail FB Trading Comps-Output-Vikash Verma" xfId="41" xr:uid="{00000000-0005-0000-0000-000028000000}"/>
    <cellStyle name="£ BP" xfId="44" xr:uid="{00000000-0005-0000-0000-000029000000}"/>
    <cellStyle name="¥ JY" xfId="45" xr:uid="{00000000-0005-0000-0000-00002A000000}"/>
    <cellStyle name="+/-" xfId="42" xr:uid="{00000000-0005-0000-0000-00002B000000}"/>
    <cellStyle name="=C:\WINNT\SYSTEM32\COMMAND.COM" xfId="43" xr:uid="{00000000-0005-0000-0000-00002C000000}"/>
    <cellStyle name="0,0" xfId="46" xr:uid="{00000000-0005-0000-0000-00002D000000}"/>
    <cellStyle name="0,0 F" xfId="47" xr:uid="{00000000-0005-0000-0000-00002E000000}"/>
    <cellStyle name="0,0%" xfId="48" xr:uid="{00000000-0005-0000-0000-00002F000000}"/>
    <cellStyle name="0,0_Co&amp;Lo180800" xfId="49" xr:uid="{00000000-0005-0000-0000-000030000000}"/>
    <cellStyle name="0,00x" xfId="50" xr:uid="{00000000-0005-0000-0000-000031000000}"/>
    <cellStyle name="0,0x" xfId="51" xr:uid="{00000000-0005-0000-0000-000032000000}"/>
    <cellStyle name="0.0 aligned" xfId="52" xr:uid="{00000000-0005-0000-0000-000033000000}"/>
    <cellStyle name="0.00 aligned" xfId="53" xr:uid="{00000000-0005-0000-0000-000034000000}"/>
    <cellStyle name="000" xfId="54" xr:uid="{00000000-0005-0000-0000-000035000000}"/>
    <cellStyle name="000 MF" xfId="55" xr:uid="{00000000-0005-0000-0000-000036000000}"/>
    <cellStyle name="000,0" xfId="56" xr:uid="{00000000-0005-0000-0000-000037000000}"/>
    <cellStyle name="000_Halloween version SPV" xfId="57" xr:uid="{00000000-0005-0000-0000-000038000000}"/>
    <cellStyle name="1,comma" xfId="58" xr:uid="{00000000-0005-0000-0000-000039000000}"/>
    <cellStyle name="2 Decimal Places" xfId="59" xr:uid="{00000000-0005-0000-0000-00003A000000}"/>
    <cellStyle name="20% - Accent1" xfId="1359" xr:uid="{00000000-0005-0000-0000-00003B000000}"/>
    <cellStyle name="20% - Accent2" xfId="1360" xr:uid="{00000000-0005-0000-0000-00003C000000}"/>
    <cellStyle name="20% - Accent3" xfId="1361" xr:uid="{00000000-0005-0000-0000-00003D000000}"/>
    <cellStyle name="20% - Accent4" xfId="1362" xr:uid="{00000000-0005-0000-0000-00003E000000}"/>
    <cellStyle name="20% - Accent5" xfId="1363" xr:uid="{00000000-0005-0000-0000-00003F000000}"/>
    <cellStyle name="20% - Accent6" xfId="1364" xr:uid="{00000000-0005-0000-0000-000040000000}"/>
    <cellStyle name="20% - Akzent1" xfId="60" xr:uid="{00000000-0005-0000-0000-000041000000}"/>
    <cellStyle name="20% - Akzent2" xfId="61" xr:uid="{00000000-0005-0000-0000-000042000000}"/>
    <cellStyle name="20% - Akzent3" xfId="62" xr:uid="{00000000-0005-0000-0000-000043000000}"/>
    <cellStyle name="20% - Akzent4" xfId="63" xr:uid="{00000000-0005-0000-0000-000044000000}"/>
    <cellStyle name="20% - Akzent5" xfId="64" xr:uid="{00000000-0005-0000-0000-000045000000}"/>
    <cellStyle name="20% - Akzent6" xfId="65" xr:uid="{00000000-0005-0000-0000-000046000000}"/>
    <cellStyle name="2-units" xfId="66" xr:uid="{00000000-0005-0000-0000-000047000000}"/>
    <cellStyle name="40% - Accent1" xfId="1365" xr:uid="{00000000-0005-0000-0000-000048000000}"/>
    <cellStyle name="40% - Accent2" xfId="1366" xr:uid="{00000000-0005-0000-0000-000049000000}"/>
    <cellStyle name="40% - Accent3" xfId="1367" xr:uid="{00000000-0005-0000-0000-00004A000000}"/>
    <cellStyle name="40% - Accent4" xfId="1368" xr:uid="{00000000-0005-0000-0000-00004B000000}"/>
    <cellStyle name="40% - Accent5" xfId="1369" xr:uid="{00000000-0005-0000-0000-00004C000000}"/>
    <cellStyle name="40% - Accent6" xfId="1370" xr:uid="{00000000-0005-0000-0000-00004D000000}"/>
    <cellStyle name="40% - Akzent1" xfId="67" xr:uid="{00000000-0005-0000-0000-00004E000000}"/>
    <cellStyle name="40% - Akzent2" xfId="68" xr:uid="{00000000-0005-0000-0000-00004F000000}"/>
    <cellStyle name="40% - Akzent3" xfId="69" xr:uid="{00000000-0005-0000-0000-000050000000}"/>
    <cellStyle name="40% - Akzent4" xfId="70" xr:uid="{00000000-0005-0000-0000-000051000000}"/>
    <cellStyle name="40% - Akzent5" xfId="71" xr:uid="{00000000-0005-0000-0000-000052000000}"/>
    <cellStyle name="40% - Akzent6" xfId="72" xr:uid="{00000000-0005-0000-0000-000053000000}"/>
    <cellStyle name="60% - Accent1" xfId="1371" xr:uid="{00000000-0005-0000-0000-000054000000}"/>
    <cellStyle name="60% - Accent2" xfId="1372" xr:uid="{00000000-0005-0000-0000-000055000000}"/>
    <cellStyle name="60% - Accent3" xfId="1373" xr:uid="{00000000-0005-0000-0000-000056000000}"/>
    <cellStyle name="60% - Accent4" xfId="1374" xr:uid="{00000000-0005-0000-0000-000057000000}"/>
    <cellStyle name="60% - Accent5" xfId="1375" xr:uid="{00000000-0005-0000-0000-000058000000}"/>
    <cellStyle name="60% - Accent6" xfId="1376" xr:uid="{00000000-0005-0000-0000-000059000000}"/>
    <cellStyle name="60% - Akzent1" xfId="73" xr:uid="{00000000-0005-0000-0000-00005A000000}"/>
    <cellStyle name="60% - Akzent2" xfId="74" xr:uid="{00000000-0005-0000-0000-00005B000000}"/>
    <cellStyle name="60% - Akzent3" xfId="75" xr:uid="{00000000-0005-0000-0000-00005C000000}"/>
    <cellStyle name="60% - Akzent4" xfId="76" xr:uid="{00000000-0005-0000-0000-00005D000000}"/>
    <cellStyle name="60% - Akzent5" xfId="77" xr:uid="{00000000-0005-0000-0000-00005E000000}"/>
    <cellStyle name="60% - Akzent6" xfId="78" xr:uid="{00000000-0005-0000-0000-00005F000000}"/>
    <cellStyle name="A" xfId="79" xr:uid="{00000000-0005-0000-0000-000060000000}"/>
    <cellStyle name="A_Block Space" xfId="80" xr:uid="{00000000-0005-0000-0000-000061000000}"/>
    <cellStyle name="A_Do not Change" xfId="81" xr:uid="{00000000-0005-0000-0000-000062000000}"/>
    <cellStyle name="A_Estimate" xfId="82" xr:uid="{00000000-0005-0000-0000-000063000000}"/>
    <cellStyle name="A_Memo" xfId="83" xr:uid="{00000000-0005-0000-0000-000064000000}"/>
    <cellStyle name="A_Normal" xfId="84" xr:uid="{00000000-0005-0000-0000-000065000000}"/>
    <cellStyle name="A_Normal Forecast" xfId="85" xr:uid="{00000000-0005-0000-0000-000066000000}"/>
    <cellStyle name="A_Normal Forecast_EVEBITDA" xfId="86" xr:uid="{00000000-0005-0000-0000-000067000000}"/>
    <cellStyle name="A_Normal Forecast_Indgen-specialty5" xfId="87" xr:uid="{00000000-0005-0000-0000-000068000000}"/>
    <cellStyle name="A_Normal Forecast_Indgen-specialty5.xls Chart 1" xfId="88" xr:uid="{00000000-0005-0000-0000-000069000000}"/>
    <cellStyle name="A_Normal Forecast_Indgen-specialty5.xls Chart 3" xfId="89" xr:uid="{00000000-0005-0000-0000-00006A000000}"/>
    <cellStyle name="A_Normal Forecast_Specialty.xls Chart 1" xfId="90" xr:uid="{00000000-0005-0000-0000-00006B000000}"/>
    <cellStyle name="A_Normal Forecast_Specialty.xls Chart 1-1" xfId="91" xr:uid="{00000000-0005-0000-0000-00006C000000}"/>
    <cellStyle name="A_Normal Forecast_Specialty.xls Chart 1-2" xfId="92" xr:uid="{00000000-0005-0000-0000-00006D000000}"/>
    <cellStyle name="A_Normal Forecast_Specialty.xls Chart 1-3" xfId="93" xr:uid="{00000000-0005-0000-0000-00006E000000}"/>
    <cellStyle name="A_Normal Forecast_Specialty.xls Chart 1-4" xfId="94" xr:uid="{00000000-0005-0000-0000-00006F000000}"/>
    <cellStyle name="A_Normal Forecast_Specialty.xls Chart 1-5" xfId="95" xr:uid="{00000000-0005-0000-0000-000070000000}"/>
    <cellStyle name="A_Normal Historical" xfId="96" xr:uid="{00000000-0005-0000-0000-000071000000}"/>
    <cellStyle name="A_Normal Historical_EVEBITDA" xfId="97" xr:uid="{00000000-0005-0000-0000-000072000000}"/>
    <cellStyle name="A_Normal Historical_Indgen-specialty5" xfId="98" xr:uid="{00000000-0005-0000-0000-000073000000}"/>
    <cellStyle name="A_Normal Historical_Indgen-specialty5.xls Chart 1" xfId="99" xr:uid="{00000000-0005-0000-0000-000074000000}"/>
    <cellStyle name="A_Normal Historical_Indgen-specialty5.xls Chart 3" xfId="100" xr:uid="{00000000-0005-0000-0000-000075000000}"/>
    <cellStyle name="A_Normal Historical_Specialty.xls Chart 1" xfId="101" xr:uid="{00000000-0005-0000-0000-000076000000}"/>
    <cellStyle name="A_Normal Historical_Specialty.xls Chart 1-1" xfId="102" xr:uid="{00000000-0005-0000-0000-000077000000}"/>
    <cellStyle name="A_Normal Historical_Specialty.xls Chart 1-2" xfId="103" xr:uid="{00000000-0005-0000-0000-000078000000}"/>
    <cellStyle name="A_Normal Historical_Specialty.xls Chart 1-3" xfId="104" xr:uid="{00000000-0005-0000-0000-000079000000}"/>
    <cellStyle name="A_Normal Historical_Specialty.xls Chart 1-4" xfId="105" xr:uid="{00000000-0005-0000-0000-00007A000000}"/>
    <cellStyle name="A_Normal Historical_Specialty.xls Chart 1-5" xfId="106" xr:uid="{00000000-0005-0000-0000-00007B000000}"/>
    <cellStyle name="A_Rate_Data" xfId="107" xr:uid="{00000000-0005-0000-0000-00007C000000}"/>
    <cellStyle name="A_Rate_Data Historical" xfId="108" xr:uid="{00000000-0005-0000-0000-00007D000000}"/>
    <cellStyle name="A_Rate_Data Historical_2aCH0068_2" xfId="109" xr:uid="{00000000-0005-0000-0000-00007E000000}"/>
    <cellStyle name="A_Rate_Data Historical_2cCH0074.xls Chart 1" xfId="110" xr:uid="{00000000-0005-0000-0000-00007F000000}"/>
    <cellStyle name="A_Rate_Data Historical_2cCH0074.xls Chart 1-1" xfId="111" xr:uid="{00000000-0005-0000-0000-000080000000}"/>
    <cellStyle name="A_Rate_Data_2aCH0068_2" xfId="112" xr:uid="{00000000-0005-0000-0000-000081000000}"/>
    <cellStyle name="A_Rate_Data_2cCH0074.xls Chart 1" xfId="113" xr:uid="{00000000-0005-0000-0000-000082000000}"/>
    <cellStyle name="A_Rate_Data_2cCH0074.xls Chart 1-1" xfId="114" xr:uid="{00000000-0005-0000-0000-000083000000}"/>
    <cellStyle name="A_Rate_Title" xfId="115" xr:uid="{00000000-0005-0000-0000-000084000000}"/>
    <cellStyle name="A_Sum" xfId="116" xr:uid="{00000000-0005-0000-0000-000085000000}"/>
    <cellStyle name="A_SUM_Row Major" xfId="117" xr:uid="{00000000-0005-0000-0000-000086000000}"/>
    <cellStyle name="A_SUM_Row Major_EVEBITDA" xfId="118" xr:uid="{00000000-0005-0000-0000-000087000000}"/>
    <cellStyle name="A_SUM_Row Major_Indgen-specialty5" xfId="119" xr:uid="{00000000-0005-0000-0000-000088000000}"/>
    <cellStyle name="A_SUM_Row Major_Indgen-specialty5.xls Chart 1" xfId="120" xr:uid="{00000000-0005-0000-0000-000089000000}"/>
    <cellStyle name="A_SUM_Row Major_Indgen-specialty5.xls Chart 3" xfId="121" xr:uid="{00000000-0005-0000-0000-00008A000000}"/>
    <cellStyle name="A_SUM_Row Major_Specialty.xls Chart 1" xfId="122" xr:uid="{00000000-0005-0000-0000-00008B000000}"/>
    <cellStyle name="A_SUM_Row Major_Specialty.xls Chart 1-1" xfId="123" xr:uid="{00000000-0005-0000-0000-00008C000000}"/>
    <cellStyle name="A_SUM_Row Major_Specialty.xls Chart 1-2" xfId="124" xr:uid="{00000000-0005-0000-0000-00008D000000}"/>
    <cellStyle name="A_SUM_Row Major_Specialty.xls Chart 1-3" xfId="125" xr:uid="{00000000-0005-0000-0000-00008E000000}"/>
    <cellStyle name="A_SUM_Row Major_Specialty.xls Chart 1-4" xfId="126" xr:uid="{00000000-0005-0000-0000-00008F000000}"/>
    <cellStyle name="A_SUM_Row Major_Specialty.xls Chart 1-5" xfId="127" xr:uid="{00000000-0005-0000-0000-000090000000}"/>
    <cellStyle name="A_SUM_Row Minor" xfId="128" xr:uid="{00000000-0005-0000-0000-000091000000}"/>
    <cellStyle name="A_SUM_Row Minor_EVEBITDA" xfId="129" xr:uid="{00000000-0005-0000-0000-000092000000}"/>
    <cellStyle name="A_SUM_Row Minor_Indgen-specialty5" xfId="130" xr:uid="{00000000-0005-0000-0000-000093000000}"/>
    <cellStyle name="A_SUM_Row Minor_Indgen-specialty5.xls Chart 1" xfId="131" xr:uid="{00000000-0005-0000-0000-000094000000}"/>
    <cellStyle name="A_SUM_Row Minor_Indgen-specialty5.xls Chart 3" xfId="132" xr:uid="{00000000-0005-0000-0000-000095000000}"/>
    <cellStyle name="A_SUM_Row Minor_Specialty.xls Chart 1" xfId="133" xr:uid="{00000000-0005-0000-0000-000096000000}"/>
    <cellStyle name="A_SUM_Row Minor_Specialty.xls Chart 1-1" xfId="134" xr:uid="{00000000-0005-0000-0000-000097000000}"/>
    <cellStyle name="A_SUM_Row Minor_Specialty.xls Chart 1-2" xfId="135" xr:uid="{00000000-0005-0000-0000-000098000000}"/>
    <cellStyle name="A_SUM_Row Minor_Specialty.xls Chart 1-3" xfId="136" xr:uid="{00000000-0005-0000-0000-000099000000}"/>
    <cellStyle name="A_SUM_Row Minor_Specialty.xls Chart 1-4" xfId="137" xr:uid="{00000000-0005-0000-0000-00009A000000}"/>
    <cellStyle name="A_SUM_Row Minor_Specialty.xls Chart 1-5" xfId="138" xr:uid="{00000000-0005-0000-0000-00009B000000}"/>
    <cellStyle name="A_Title" xfId="139" xr:uid="{00000000-0005-0000-0000-00009C000000}"/>
    <cellStyle name="A_YearHeadings" xfId="140" xr:uid="{00000000-0005-0000-0000-00009D000000}"/>
    <cellStyle name="Accent1" xfId="151" xr:uid="{00000000-0005-0000-0000-00009E000000}"/>
    <cellStyle name="Accent2" xfId="152" xr:uid="{00000000-0005-0000-0000-00009F000000}"/>
    <cellStyle name="Accent3" xfId="153" xr:uid="{00000000-0005-0000-0000-0000A0000000}"/>
    <cellStyle name="Accent4" xfId="154" xr:uid="{00000000-0005-0000-0000-0000A1000000}"/>
    <cellStyle name="Accent5" xfId="155" xr:uid="{00000000-0005-0000-0000-0000A2000000}"/>
    <cellStyle name="Accent6" xfId="156" xr:uid="{00000000-0005-0000-0000-0000A3000000}"/>
    <cellStyle name="Accounting" xfId="141" xr:uid="{00000000-0005-0000-0000-0000A4000000}"/>
    <cellStyle name="Accounting [0]" xfId="142" xr:uid="{00000000-0005-0000-0000-0000A5000000}"/>
    <cellStyle name="Accounting [1]" xfId="143" xr:uid="{00000000-0005-0000-0000-0000A6000000}"/>
    <cellStyle name="Accounting[0]" xfId="144" xr:uid="{00000000-0005-0000-0000-0000A7000000}"/>
    <cellStyle name="Actual" xfId="145" xr:uid="{00000000-0005-0000-0000-0000A8000000}"/>
    <cellStyle name="adj_share" xfId="146" xr:uid="{00000000-0005-0000-0000-0000A9000000}"/>
    <cellStyle name="Adjusted" xfId="147" xr:uid="{00000000-0005-0000-0000-0000AA000000}"/>
    <cellStyle name="AFE" xfId="148" xr:uid="{00000000-0005-0000-0000-0000AB000000}"/>
    <cellStyle name="Afjusted" xfId="149" xr:uid="{00000000-0005-0000-0000-0000AC000000}"/>
    <cellStyle name="Agara" xfId="150" xr:uid="{00000000-0005-0000-0000-0000AD000000}"/>
    <cellStyle name="Alert" xfId="157" xr:uid="{00000000-0005-0000-0000-0000B4000000}"/>
    <cellStyle name="Anlagenspiegel" xfId="158" xr:uid="{00000000-0005-0000-0000-0000B5000000}"/>
    <cellStyle name="ar" xfId="159" xr:uid="{00000000-0005-0000-0000-0000B6000000}"/>
    <cellStyle name="Arial 10" xfId="160" xr:uid="{00000000-0005-0000-0000-0000B7000000}"/>
    <cellStyle name="Arial 12" xfId="161" xr:uid="{00000000-0005-0000-0000-0000B8000000}"/>
    <cellStyle name="Array" xfId="162" xr:uid="{00000000-0005-0000-0000-0000B9000000}"/>
    <cellStyle name="Array Enter" xfId="163" xr:uid="{00000000-0005-0000-0000-0000BA000000}"/>
    <cellStyle name="A-Título" xfId="164" xr:uid="{00000000-0005-0000-0000-0000BB000000}"/>
    <cellStyle name="Ausgabe" xfId="1380" builtinId="21" customBuiltin="1"/>
    <cellStyle name="Availability" xfId="165" xr:uid="{00000000-0005-0000-0000-0000BD000000}"/>
    <cellStyle name="b" xfId="166" xr:uid="{00000000-0005-0000-0000-0000BE000000}"/>
    <cellStyle name="b." xfId="167" xr:uid="{00000000-0005-0000-0000-0000BF000000}"/>
    <cellStyle name="b_6bny1016" xfId="168" xr:uid="{00000000-0005-0000-0000-0000C0000000}"/>
    <cellStyle name="b_Adam_Comps" xfId="169" xr:uid="{00000000-0005-0000-0000-0000C1000000}"/>
    <cellStyle name="b_BSY_Emory_PGTV comps 02_18_03" xfId="170" xr:uid="{00000000-0005-0000-0000-0000C2000000}"/>
    <cellStyle name="b_CoreCableSatellite_comps_Media v.2" xfId="171" xr:uid="{00000000-0005-0000-0000-0000C3000000}"/>
    <cellStyle name="b_JNY model 6-6-2006" xfId="172" xr:uid="{00000000-0005-0000-0000-0000C4000000}"/>
    <cellStyle name="b_Master Utilities Comps 060210 with IBES links" xfId="173" xr:uid="{00000000-0005-0000-0000-0000C5000000}"/>
    <cellStyle name="b_MMC trading comp" xfId="174" xr:uid="{00000000-0005-0000-0000-0000C6000000}"/>
    <cellStyle name="b_Project World Series Financials" xfId="175" xr:uid="{00000000-0005-0000-0000-0000C7000000}"/>
    <cellStyle name="b_TDH001 Consumer comps 070130" xfId="176" xr:uid="{00000000-0005-0000-0000-0000C8000000}"/>
    <cellStyle name="b_WACC" xfId="177" xr:uid="{00000000-0005-0000-0000-0000C9000000}"/>
    <cellStyle name="Bad" xfId="1060" xr:uid="{00000000-0005-0000-0000-0000CA000000}"/>
    <cellStyle name="-Bas de tableau" xfId="178" xr:uid="{00000000-0005-0000-0000-0000CB000000}"/>
    <cellStyle name="Berechnung" xfId="1377" builtinId="22" customBuiltin="1"/>
    <cellStyle name="BilanzKopf" xfId="1353" xr:uid="{00000000-0005-0000-0000-0000CD000000}"/>
    <cellStyle name="BLACK" xfId="179" xr:uid="{00000000-0005-0000-0000-0000CE000000}"/>
    <cellStyle name="blank" xfId="180" xr:uid="{00000000-0005-0000-0000-0000CF000000}"/>
    <cellStyle name="Blue" xfId="181" xr:uid="{00000000-0005-0000-0000-0000D0000000}"/>
    <cellStyle name="blue number" xfId="182" xr:uid="{00000000-0005-0000-0000-0000D1000000}"/>
    <cellStyle name="blue$00" xfId="183" xr:uid="{00000000-0005-0000-0000-0000D2000000}"/>
    <cellStyle name="Bold/Border" xfId="184" xr:uid="{00000000-0005-0000-0000-0000D3000000}"/>
    <cellStyle name="Boolean" xfId="185" xr:uid="{00000000-0005-0000-0000-0000D4000000}"/>
    <cellStyle name="Border Heavy" xfId="186" xr:uid="{00000000-0005-0000-0000-0000D5000000}"/>
    <cellStyle name="Border Thin" xfId="187" xr:uid="{00000000-0005-0000-0000-0000D6000000}"/>
    <cellStyle name="British Pound" xfId="188" xr:uid="{00000000-0005-0000-0000-0000D7000000}"/>
    <cellStyle name="B-Título" xfId="189" xr:uid="{00000000-0005-0000-0000-0000D8000000}"/>
    <cellStyle name="Bullet" xfId="190" xr:uid="{00000000-0005-0000-0000-0000D9000000}"/>
    <cellStyle name="c" xfId="191" xr:uid="{00000000-0005-0000-0000-0000DA000000}"/>
    <cellStyle name="c_American Axle 2005 03 303" xfId="192" xr:uid="{00000000-0005-0000-0000-0000DB000000}"/>
    <cellStyle name="c_HardInc " xfId="193" xr:uid="{00000000-0005-0000-0000-0000DC000000}"/>
    <cellStyle name="c_LBO" xfId="194" xr:uid="{00000000-0005-0000-0000-0000DD000000}"/>
    <cellStyle name="c_LBO Model - Scottish Power 061115 (Public)" xfId="195" xr:uid="{00000000-0005-0000-0000-0000DE000000}"/>
    <cellStyle name="Case" xfId="196" xr:uid="{00000000-0005-0000-0000-0000E0000000}"/>
    <cellStyle name="CenterHead" xfId="197" xr:uid="{00000000-0005-0000-0000-0000E1000000}"/>
    <cellStyle name="ChartingText" xfId="198" xr:uid="{00000000-0005-0000-0000-0000E2000000}"/>
    <cellStyle name="Check" xfId="199" xr:uid="{00000000-0005-0000-0000-0000E3000000}"/>
    <cellStyle name="Check Cell" xfId="1350" xr:uid="{00000000-0005-0000-0000-0000E4000000}"/>
    <cellStyle name="Col_head1" xfId="200" xr:uid="{00000000-0005-0000-0000-0000E5000000}"/>
    <cellStyle name="ColHeader" xfId="201" xr:uid="{00000000-0005-0000-0000-0000E6000000}"/>
    <cellStyle name="ColHeading" xfId="202" xr:uid="{00000000-0005-0000-0000-0000E7000000}"/>
    <cellStyle name="ColumnHeaderNormal" xfId="203" xr:uid="{00000000-0005-0000-0000-0000E8000000}"/>
    <cellStyle name="Comma  - Style1" xfId="204" xr:uid="{00000000-0005-0000-0000-0000E9000000}"/>
    <cellStyle name="Comma  - Style2" xfId="205" xr:uid="{00000000-0005-0000-0000-0000EA000000}"/>
    <cellStyle name="Comma  - Style3" xfId="206" xr:uid="{00000000-0005-0000-0000-0000EB000000}"/>
    <cellStyle name="Comma  - Style4" xfId="207" xr:uid="{00000000-0005-0000-0000-0000EC000000}"/>
    <cellStyle name="Comma  - Style5" xfId="208" xr:uid="{00000000-0005-0000-0000-0000ED000000}"/>
    <cellStyle name="Comma  - Style6" xfId="209" xr:uid="{00000000-0005-0000-0000-0000EE000000}"/>
    <cellStyle name="Comma  - Style7" xfId="210" xr:uid="{00000000-0005-0000-0000-0000EF000000}"/>
    <cellStyle name="Comma  - Style8" xfId="211" xr:uid="{00000000-0005-0000-0000-0000F0000000}"/>
    <cellStyle name="Comma (1)" xfId="212" xr:uid="{00000000-0005-0000-0000-0000F1000000}"/>
    <cellStyle name="Comma ," xfId="213" xr:uid="{00000000-0005-0000-0000-0000F2000000}"/>
    <cellStyle name="Comma [1]" xfId="214" xr:uid="{00000000-0005-0000-0000-0000F3000000}"/>
    <cellStyle name="Comma 0" xfId="215" xr:uid="{00000000-0005-0000-0000-0000F4000000}"/>
    <cellStyle name="Comma 0*" xfId="216" xr:uid="{00000000-0005-0000-0000-0000F5000000}"/>
    <cellStyle name="Comma 2" xfId="217" xr:uid="{00000000-0005-0000-0000-0000F7000000}"/>
    <cellStyle name="Comma 2*" xfId="218" xr:uid="{00000000-0005-0000-0000-0000F8000000}"/>
    <cellStyle name="Comma 3" xfId="1402" xr:uid="{CEE2BA54-A065-40B4-89CB-5A257F6DED79}"/>
    <cellStyle name="Comma 3*" xfId="219" xr:uid="{00000000-0005-0000-0000-0000FA000000}"/>
    <cellStyle name="Comma Input" xfId="220" xr:uid="{00000000-0005-0000-0000-0000FB000000}"/>
    <cellStyle name="Comma, 0 Dec, Parens, Zero -" xfId="221" xr:uid="{00000000-0005-0000-0000-0000FC000000}"/>
    <cellStyle name="Comma0" xfId="222" xr:uid="{00000000-0005-0000-0000-0000FE000000}"/>
    <cellStyle name="comma3" xfId="223" xr:uid="{00000000-0005-0000-0000-0000FF000000}"/>
    <cellStyle name="Company" xfId="224" xr:uid="{00000000-0005-0000-0000-000000010000}"/>
    <cellStyle name="comps" xfId="225" xr:uid="{00000000-0005-0000-0000-000001010000}"/>
    <cellStyle name="Cover Date" xfId="226" xr:uid="{00000000-0005-0000-0000-000002010000}"/>
    <cellStyle name="Cover Subtitle" xfId="227" xr:uid="{00000000-0005-0000-0000-000003010000}"/>
    <cellStyle name="Cover Title" xfId="228" xr:uid="{00000000-0005-0000-0000-000004010000}"/>
    <cellStyle name="COVERAGE" xfId="229" xr:uid="{00000000-0005-0000-0000-000005010000}"/>
    <cellStyle name="CS" xfId="230" xr:uid="{00000000-0005-0000-0000-000006010000}"/>
    <cellStyle name="CurRatio" xfId="231" xr:uid="{00000000-0005-0000-0000-000007010000}"/>
    <cellStyle name="Currency (no dec.)" xfId="232" xr:uid="{00000000-0005-0000-0000-000008010000}"/>
    <cellStyle name="Currency [00]" xfId="233" xr:uid="{00000000-0005-0000-0000-000009010000}"/>
    <cellStyle name="Currency [1]" xfId="234" xr:uid="{00000000-0005-0000-0000-00000A010000}"/>
    <cellStyle name="Currency 0" xfId="235" xr:uid="{00000000-0005-0000-0000-00000B010000}"/>
    <cellStyle name="Currency 2" xfId="236" xr:uid="{00000000-0005-0000-0000-00000C010000}"/>
    <cellStyle name="Currency 2*" xfId="237" xr:uid="{00000000-0005-0000-0000-00000D010000}"/>
    <cellStyle name="Currency 3*" xfId="238" xr:uid="{00000000-0005-0000-0000-00000F010000}"/>
    <cellStyle name="Currency Input" xfId="239" xr:uid="{00000000-0005-0000-0000-000010010000}"/>
    <cellStyle name="Currency[$]" xfId="240" xr:uid="{00000000-0005-0000-0000-000011010000}"/>
    <cellStyle name="Currency0" xfId="241" xr:uid="{00000000-0005-0000-0000-000013010000}"/>
    <cellStyle name="Currency2" xfId="242" xr:uid="{00000000-0005-0000-0000-000014010000}"/>
    <cellStyle name="currnecy" xfId="243" xr:uid="{00000000-0005-0000-0000-000015010000}"/>
    <cellStyle name="CustomStyle1" xfId="244" xr:uid="{00000000-0005-0000-0000-000016010000}"/>
    <cellStyle name="CustomStyle10" xfId="245" xr:uid="{00000000-0005-0000-0000-000017010000}"/>
    <cellStyle name="CustomStyle11" xfId="246" xr:uid="{00000000-0005-0000-0000-000018010000}"/>
    <cellStyle name="CustomStyle12" xfId="247" xr:uid="{00000000-0005-0000-0000-000019010000}"/>
    <cellStyle name="CustomStyle13" xfId="248" xr:uid="{00000000-0005-0000-0000-00001A010000}"/>
    <cellStyle name="CustomStyle14" xfId="249" xr:uid="{00000000-0005-0000-0000-00001B010000}"/>
    <cellStyle name="CustomStyle15" xfId="250" xr:uid="{00000000-0005-0000-0000-00001C010000}"/>
    <cellStyle name="CustomStyle16" xfId="251" xr:uid="{00000000-0005-0000-0000-00001D010000}"/>
    <cellStyle name="CustomStyle17" xfId="252" xr:uid="{00000000-0005-0000-0000-00001E010000}"/>
    <cellStyle name="CustomStyle18" xfId="253" xr:uid="{00000000-0005-0000-0000-00001F010000}"/>
    <cellStyle name="CustomStyle19" xfId="254" xr:uid="{00000000-0005-0000-0000-000020010000}"/>
    <cellStyle name="CustomStyle2" xfId="255" xr:uid="{00000000-0005-0000-0000-000021010000}"/>
    <cellStyle name="CustomStyle20" xfId="256" xr:uid="{00000000-0005-0000-0000-000022010000}"/>
    <cellStyle name="CustomStyle21" xfId="257" xr:uid="{00000000-0005-0000-0000-000023010000}"/>
    <cellStyle name="CustomStyle22" xfId="258" xr:uid="{00000000-0005-0000-0000-000024010000}"/>
    <cellStyle name="CustomStyle23" xfId="259" xr:uid="{00000000-0005-0000-0000-000025010000}"/>
    <cellStyle name="CustomStyle24" xfId="260" xr:uid="{00000000-0005-0000-0000-000026010000}"/>
    <cellStyle name="CustomStyle25" xfId="261" xr:uid="{00000000-0005-0000-0000-000027010000}"/>
    <cellStyle name="CustomStyle26" xfId="262" xr:uid="{00000000-0005-0000-0000-000028010000}"/>
    <cellStyle name="CustomStyle27" xfId="263" xr:uid="{00000000-0005-0000-0000-000029010000}"/>
    <cellStyle name="CustomStyle28" xfId="264" xr:uid="{00000000-0005-0000-0000-00002A010000}"/>
    <cellStyle name="CustomStyle29" xfId="265" xr:uid="{00000000-0005-0000-0000-00002B010000}"/>
    <cellStyle name="CustomStyle3" xfId="266" xr:uid="{00000000-0005-0000-0000-00002C010000}"/>
    <cellStyle name="CustomStyle30" xfId="267" xr:uid="{00000000-0005-0000-0000-00002D010000}"/>
    <cellStyle name="CustomStyle31" xfId="268" xr:uid="{00000000-0005-0000-0000-00002E010000}"/>
    <cellStyle name="CustomStyle32" xfId="269" xr:uid="{00000000-0005-0000-0000-00002F010000}"/>
    <cellStyle name="CustomStyle33" xfId="270" xr:uid="{00000000-0005-0000-0000-000030010000}"/>
    <cellStyle name="CustomStyle34" xfId="271" xr:uid="{00000000-0005-0000-0000-000031010000}"/>
    <cellStyle name="CustomStyle35" xfId="272" xr:uid="{00000000-0005-0000-0000-000032010000}"/>
    <cellStyle name="CustomStyle36" xfId="273" xr:uid="{00000000-0005-0000-0000-000033010000}"/>
    <cellStyle name="CustomStyle37" xfId="274" xr:uid="{00000000-0005-0000-0000-000034010000}"/>
    <cellStyle name="CustomStyle38" xfId="275" xr:uid="{00000000-0005-0000-0000-000035010000}"/>
    <cellStyle name="CustomStyle39" xfId="276" xr:uid="{00000000-0005-0000-0000-000036010000}"/>
    <cellStyle name="CustomStyle4" xfId="277" xr:uid="{00000000-0005-0000-0000-000037010000}"/>
    <cellStyle name="CustomStyle40" xfId="278" xr:uid="{00000000-0005-0000-0000-000038010000}"/>
    <cellStyle name="CustomStyle41" xfId="279" xr:uid="{00000000-0005-0000-0000-000039010000}"/>
    <cellStyle name="CustomStyle42" xfId="280" xr:uid="{00000000-0005-0000-0000-00003A010000}"/>
    <cellStyle name="CustomStyle43" xfId="281" xr:uid="{00000000-0005-0000-0000-00003B010000}"/>
    <cellStyle name="CustomStyle44" xfId="282" xr:uid="{00000000-0005-0000-0000-00003C010000}"/>
    <cellStyle name="CustomStyle45" xfId="283" xr:uid="{00000000-0005-0000-0000-00003D010000}"/>
    <cellStyle name="CustomStyle46" xfId="284" xr:uid="{00000000-0005-0000-0000-00003E010000}"/>
    <cellStyle name="CustomStyle47" xfId="285" xr:uid="{00000000-0005-0000-0000-00003F010000}"/>
    <cellStyle name="CustomStyle48" xfId="286" xr:uid="{00000000-0005-0000-0000-000040010000}"/>
    <cellStyle name="CustomStyle49" xfId="287" xr:uid="{00000000-0005-0000-0000-000041010000}"/>
    <cellStyle name="CustomStyle5" xfId="288" xr:uid="{00000000-0005-0000-0000-000042010000}"/>
    <cellStyle name="CustomStyle6" xfId="289" xr:uid="{00000000-0005-0000-0000-000043010000}"/>
    <cellStyle name="CustomStyle7" xfId="290" xr:uid="{00000000-0005-0000-0000-000044010000}"/>
    <cellStyle name="CustomStyle8" xfId="291" xr:uid="{00000000-0005-0000-0000-000045010000}"/>
    <cellStyle name="CustomStyle9" xfId="292" xr:uid="{00000000-0005-0000-0000-000046010000}"/>
    <cellStyle name="d" xfId="293" xr:uid="{00000000-0005-0000-0000-000047010000}"/>
    <cellStyle name="D_050117 CCA EW - CCA - 11 Jan 05 (DB adj)" xfId="294" xr:uid="{00000000-0005-0000-0000-000048010000}"/>
    <cellStyle name="D_050204 CCA EW - CCA - 11 Jan 05 (DB adj) - 4" xfId="295" xr:uid="{00000000-0005-0000-0000-000049010000}"/>
    <cellStyle name="D_15 Nov 2004_CCA Jason" xfId="296" xr:uid="{00000000-0005-0000-0000-00004A010000}"/>
    <cellStyle name="D_22 Nov 2004_CCA Jason" xfId="297" xr:uid="{00000000-0005-0000-0000-00004B010000}"/>
    <cellStyle name="D_5 Nov 2004_CCA Jason_revised.xls dlgChart" xfId="298" xr:uid="{00000000-0005-0000-0000-00004C010000}"/>
    <cellStyle name="D_8 Nov 2004_CCA Jason" xfId="299" xr:uid="{00000000-0005-0000-0000-00004D010000}"/>
    <cellStyle name="D_8 Nov 2004_CCA Jason.xls Chart 1" xfId="300" xr:uid="{00000000-0005-0000-0000-00004E010000}"/>
    <cellStyle name="D_Adam_Comps" xfId="301" xr:uid="{00000000-0005-0000-0000-00004F010000}"/>
    <cellStyle name="D_Comps File Generic Media" xfId="302" xr:uid="{00000000-0005-0000-0000-000050010000}"/>
    <cellStyle name="D_Copy of DMT496 Professional Publishing Comps 050714 Abhas" xfId="303" xr:uid="{00000000-0005-0000-0000-000051010000}"/>
    <cellStyle name="D_Copy of TDI1183 Template 051219 II Mili v1" xfId="304" xr:uid="{00000000-0005-0000-0000-000052010000}"/>
    <cellStyle name="D_Copy of TDI1183 Template 051219 II Neeraj" xfId="305" xr:uid="{00000000-0005-0000-0000-000053010000}"/>
    <cellStyle name="D_Copy of TDI1183 Template 051219 II Neeraj QC1 ILUKA Babneet" xfId="306" xr:uid="{00000000-0005-0000-0000-000054010000}"/>
    <cellStyle name="D_Copy of TDI1183 Template 051219 Nikunj" xfId="307" xr:uid="{00000000-0005-0000-0000-000055010000}"/>
    <cellStyle name="D_Directories Trading Multiples 10Jan2005" xfId="308" xr:uid="{00000000-0005-0000-0000-000056010000}"/>
    <cellStyle name="D_DMT448 Comps 050622 Ankur" xfId="309" xr:uid="{00000000-0005-0000-0000-000057010000}"/>
    <cellStyle name="D_DMT448 Comps 050622 Puneet" xfId="310" xr:uid="{00000000-0005-0000-0000-000058010000}"/>
    <cellStyle name="D_DMT448 Comps 050622 Puneet QC Sumit" xfId="311" xr:uid="{00000000-0005-0000-0000-000059010000}"/>
    <cellStyle name="D_DMT458 Comps 050628 Abhishek" xfId="312" xr:uid="{00000000-0005-0000-0000-00005A010000}"/>
    <cellStyle name="D_DMT458 Comps 050628 Abhishek QC Beasley and Chrysalis" xfId="313" xr:uid="{00000000-0005-0000-0000-00005B010000}"/>
    <cellStyle name="D_DMT458 Comps 050628 Abhishek Radio and Emmis QCD" xfId="314" xr:uid="{00000000-0005-0000-0000-00005C010000}"/>
    <cellStyle name="D_DMT458 Comps 050628 Manish QC Ulster" xfId="315" xr:uid="{00000000-0005-0000-0000-00005D010000}"/>
    <cellStyle name="D_DMT458 Comps 050628 Puneet" xfId="316" xr:uid="{00000000-0005-0000-0000-00005E010000}"/>
    <cellStyle name="D_DMT458 Comps 050628 Puneet vQC" xfId="317" xr:uid="{00000000-0005-0000-0000-00005F010000}"/>
    <cellStyle name="D_DMT458 Comps 050628 Rajan" xfId="318" xr:uid="{00000000-0005-0000-0000-000060010000}"/>
    <cellStyle name="D_DMT458 Comps 050628 Rajan 5 Cos Final vQC Anish" xfId="319" xr:uid="{00000000-0005-0000-0000-000061010000}"/>
    <cellStyle name="D_DMT458 Comps 050628 Rajan SMG QCd" xfId="320" xr:uid="{00000000-0005-0000-0000-000062010000}"/>
    <cellStyle name="D_DMT458 Comps 050630 Abhishek" xfId="321" xr:uid="{00000000-0005-0000-0000-000063010000}"/>
    <cellStyle name="D_DMT458 Comps 050630 Abhishek QC Sumit" xfId="322" xr:uid="{00000000-0005-0000-0000-000064010000}"/>
    <cellStyle name="D_DMT458 Comps 050630 Ankur" xfId="323" xr:uid="{00000000-0005-0000-0000-000065010000}"/>
    <cellStyle name="D_DMT458 Comps 050630 Ankur QC Sumit" xfId="324" xr:uid="{00000000-0005-0000-0000-000066010000}"/>
    <cellStyle name="D_DMT458 Comps 050630 SUMIT for Reed Elsevier from 462" xfId="325" xr:uid="{00000000-0005-0000-0000-000067010000}"/>
    <cellStyle name="D_DMT462 Comps 050628 Ankur" xfId="326" xr:uid="{00000000-0005-0000-0000-000068010000}"/>
    <cellStyle name="D_DMT462 Comps 050628 Ankur Arbitron QC" xfId="327" xr:uid="{00000000-0005-0000-0000-000069010000}"/>
    <cellStyle name="D_DMT462 Comps 050629 Abhishek" xfId="328" xr:uid="{00000000-0005-0000-0000-00006A010000}"/>
    <cellStyle name="D_DMT462 Comps 050629 Abhishek QCd" xfId="329" xr:uid="{00000000-0005-0000-0000-00006B010000}"/>
    <cellStyle name="D_DMT462 Comps 050629 Ankur Ipsos QC" xfId="330" xr:uid="{00000000-0005-0000-0000-00006C010000}"/>
    <cellStyle name="D_DMT462 Comps 050629 Puneet" xfId="331" xr:uid="{00000000-0005-0000-0000-00006D010000}"/>
    <cellStyle name="D_DMT462 Comps 050629 Puneet QC Reuters" xfId="332" xr:uid="{00000000-0005-0000-0000-00006E010000}"/>
    <cellStyle name="D_DMT462 Comps 050629 Rajan" xfId="333" xr:uid="{00000000-0005-0000-0000-00006F010000}"/>
    <cellStyle name="D_DMT462 Comps 050629 Rajan QCd" xfId="334" xr:uid="{00000000-0005-0000-0000-000070010000}"/>
    <cellStyle name="D_DMT482 Consumer Comps 050707 Puneet" xfId="335" xr:uid="{00000000-0005-0000-0000-000071010000}"/>
    <cellStyle name="D_DMT482 Consumer Publishing Comps 050707 Puneet" xfId="336" xr:uid="{00000000-0005-0000-0000-000072010000}"/>
    <cellStyle name="D_DMT482 Consumer Publishing Comps 050708 Amit" xfId="337" xr:uid="{00000000-0005-0000-0000-000073010000}"/>
    <cellStyle name="D_DMT482 Consumer Publishing Comps 050709" xfId="338" xr:uid="{00000000-0005-0000-0000-000074010000}"/>
    <cellStyle name="D_DMT482 Newspaper Comps 050709" xfId="339" xr:uid="{00000000-0005-0000-0000-000075010000}"/>
    <cellStyle name="D_DMT482 Newspapers Comps 050708" xfId="340" xr:uid="{00000000-0005-0000-0000-000076010000}"/>
    <cellStyle name="D_DMT482 Newspapers Comps 050708 Manas" xfId="341" xr:uid="{00000000-0005-0000-0000-000077010000}"/>
    <cellStyle name="D_DMT482 Newspapers Comps 050708 Pankaj" xfId="342" xr:uid="{00000000-0005-0000-0000-000078010000}"/>
    <cellStyle name="D_DMT482 Professional Publishing Comps 050708 Puneet" xfId="343" xr:uid="{00000000-0005-0000-0000-000079010000}"/>
    <cellStyle name="D_DMT482 Professional Publishing Comps 050708 Rajesh" xfId="344" xr:uid="{00000000-0005-0000-0000-00007A010000}"/>
    <cellStyle name="D_DMT482 Professional Publishing Comps 050712" xfId="345" xr:uid="{00000000-0005-0000-0000-00007B010000}"/>
    <cellStyle name="D_DMT482 Radio Comps 050709 Pankaj" xfId="346" xr:uid="{00000000-0005-0000-0000-00007C010000}"/>
    <cellStyle name="D_DMT482 Radio Comps 050712" xfId="347" xr:uid="{00000000-0005-0000-0000-00007D010000}"/>
    <cellStyle name="D_DMT489 Comps 050716" xfId="348" xr:uid="{00000000-0005-0000-0000-00007E010000}"/>
    <cellStyle name="D_DMT493 Media Comps 050714" xfId="349" xr:uid="{00000000-0005-0000-0000-00007F010000}"/>
    <cellStyle name="D_DMT493 Media Comps 050714 Puneet" xfId="350" xr:uid="{00000000-0005-0000-0000-000080010000}"/>
    <cellStyle name="D_DMT496 Comps 050714" xfId="351" xr:uid="{00000000-0005-0000-0000-000081010000}"/>
    <cellStyle name="D_DMT496 Professional Publishing Comps 050714" xfId="352" xr:uid="{00000000-0005-0000-0000-000082010000}"/>
    <cellStyle name="D_DMT496 Professional Publishing Comps 050714 Abhishek" xfId="353" xr:uid="{00000000-0005-0000-0000-000083010000}"/>
    <cellStyle name="D_DMT496 Professional Publishing Comps 050714 Amit" xfId="354" xr:uid="{00000000-0005-0000-0000-000084010000}"/>
    <cellStyle name="D_DMT496 Professional Publishing Comps 050714 Ankur" xfId="355" xr:uid="{00000000-0005-0000-0000-000085010000}"/>
    <cellStyle name="D_DMT496 Professional Publishing Comps 050714 Manish" xfId="356" xr:uid="{00000000-0005-0000-0000-000086010000}"/>
    <cellStyle name="D_DMT496 Professional Publishing Comps 050714 Pankaj" xfId="357" xr:uid="{00000000-0005-0000-0000-000087010000}"/>
    <cellStyle name="D_DMT496A Comps 050715 Abhas" xfId="358" xr:uid="{00000000-0005-0000-0000-000088010000}"/>
    <cellStyle name="D_DMT496A Comps 050715 Abhishek" xfId="359" xr:uid="{00000000-0005-0000-0000-000089010000}"/>
    <cellStyle name="D_DMT496A Comps 050715 Amit" xfId="360" xr:uid="{00000000-0005-0000-0000-00008A010000}"/>
    <cellStyle name="D_DMT496A Comps 050715 Manas" xfId="361" xr:uid="{00000000-0005-0000-0000-00008B010000}"/>
    <cellStyle name="D_DMT496A Comps 050715 Pankaj" xfId="362" xr:uid="{00000000-0005-0000-0000-00008C010000}"/>
    <cellStyle name="D_DMT496A Comps 050715 QC 2 Pankaj" xfId="363" xr:uid="{00000000-0005-0000-0000-00008D010000}"/>
    <cellStyle name="D_DMT496A Comps 050715 QC Antena Amit" xfId="364" xr:uid="{00000000-0005-0000-0000-00008E010000}"/>
    <cellStyle name="D_DMT496A Comps 050715 QC BEC Pankaj" xfId="365" xr:uid="{00000000-0005-0000-0000-00008F010000}"/>
    <cellStyle name="D_DMT496A Comps 050715 QC Disney Amit" xfId="366" xr:uid="{00000000-0005-0000-0000-000090010000}"/>
    <cellStyle name="D_DMT496A Comps 050715 QC EMI Abhas" xfId="367" xr:uid="{00000000-0005-0000-0000-000091010000}"/>
    <cellStyle name="D_DMT496A Comps 050715 QC M6 metro Amit" xfId="368" xr:uid="{00000000-0005-0000-0000-000092010000}"/>
    <cellStyle name="D_DMT496A Comps 050715 QC Mediaset Abhishek" xfId="369" xr:uid="{00000000-0005-0000-0000-000093010000}"/>
    <cellStyle name="D_DMT496A Comps 050715 QC Newscorp Abhishek" xfId="370" xr:uid="{00000000-0005-0000-0000-000094010000}"/>
    <cellStyle name="D_DMT496A Comps 050715 QC Premiere Amit" xfId="371" xr:uid="{00000000-0005-0000-0000-000095010000}"/>
    <cellStyle name="D_DMT496A Comps 050715 QC Prosieben Abhas" xfId="372" xr:uid="{00000000-0005-0000-0000-000096010000}"/>
    <cellStyle name="D_DMT496A Comps 050715 QC RTL Abhishek" xfId="373" xr:uid="{00000000-0005-0000-0000-000097010000}"/>
    <cellStyle name="D_DMT496A Comps 050715 QC Sogecable Manas" xfId="374" xr:uid="{00000000-0005-0000-0000-000098010000}"/>
    <cellStyle name="D_DMT496A Comps 050715 QC Telecinco Amit" xfId="375" xr:uid="{00000000-0005-0000-0000-000099010000}"/>
    <cellStyle name="D_DMT496A Comps 050715 QC TF1 Rajan" xfId="376" xr:uid="{00000000-0005-0000-0000-00009A010000}"/>
    <cellStyle name="D_DMT496A Comps 050715 QC Time warner Abhas" xfId="377" xr:uid="{00000000-0005-0000-0000-00009B010000}"/>
    <cellStyle name="D_DMT496A Comps 050715 QC TVN Srilatha" xfId="378" xr:uid="{00000000-0005-0000-0000-00009C010000}"/>
    <cellStyle name="D_DMT496A Comps 050715 QC Viacom Abhas" xfId="379" xr:uid="{00000000-0005-0000-0000-00009D010000}"/>
    <cellStyle name="D_DMT496A Comps 050715 QC WMG Pankaj" xfId="380" xr:uid="{00000000-0005-0000-0000-00009E010000}"/>
    <cellStyle name="D_DMT496A Comps 050715 Rajan" xfId="381" xr:uid="{00000000-0005-0000-0000-00009F010000}"/>
    <cellStyle name="D_DMT496A Comps 050715 Srilatha" xfId="382" xr:uid="{00000000-0005-0000-0000-0000A0010000}"/>
    <cellStyle name="D_DMT496B Comps 050715 4Kids Sorabh" xfId="383" xr:uid="{00000000-0005-0000-0000-0000A1010000}"/>
    <cellStyle name="D_DMT496B Comps 050715 Abhishek" xfId="384" xr:uid="{00000000-0005-0000-0000-0000A2010000}"/>
    <cellStyle name="D_DMT496B Comps 050716 Amit" xfId="385" xr:uid="{00000000-0005-0000-0000-0000A3010000}"/>
    <cellStyle name="D_DMT496B Comps 050716 Jetix Sorabh" xfId="386" xr:uid="{00000000-0005-0000-0000-0000A4010000}"/>
    <cellStyle name="D_DMT503 Media Comps 050721 Puneet" xfId="387" xr:uid="{00000000-0005-0000-0000-0000A5010000}"/>
    <cellStyle name="D_DMT505 Media Comps 050722 Puneet" xfId="388" xr:uid="{00000000-0005-0000-0000-0000A6010000}"/>
    <cellStyle name="D_DMT505 Media Comps 050722 Rajan" xfId="389" xr:uid="{00000000-0005-0000-0000-0000A7010000}"/>
    <cellStyle name="D_DMT506 Media Comps 050722 Manas" xfId="390" xr:uid="{00000000-0005-0000-0000-0000A8010000}"/>
    <cellStyle name="D_DMT506 Media Comps 050723 Himanshu" xfId="391" xr:uid="{00000000-0005-0000-0000-0000A9010000}"/>
    <cellStyle name="D_DMT506 Media Comps 050723 Saurabh" xfId="392" xr:uid="{00000000-0005-0000-0000-0000AA010000}"/>
    <cellStyle name="D_DMT506 QC SUMIT Media Comps 050722 Amazon" xfId="393" xr:uid="{00000000-0005-0000-0000-0000AB010000}"/>
    <cellStyle name="D_DMT506 QC SUMIT Media Comps 050723" xfId="394" xr:uid="{00000000-0005-0000-0000-0000AC010000}"/>
    <cellStyle name="D_DMT507 Media Comps 050725" xfId="395" xr:uid="{00000000-0005-0000-0000-0000AD010000}"/>
    <cellStyle name="D_DMT507 Media Comps 050725 Electronics Arts Sorabh" xfId="396" xr:uid="{00000000-0005-0000-0000-0000AE010000}"/>
    <cellStyle name="D_DMT507 Media Comps 050725 Himanshu" xfId="397" xr:uid="{00000000-0005-0000-0000-0000AF010000}"/>
    <cellStyle name="D_DMT507 Media Comps 050725 Manas" xfId="398" xr:uid="{00000000-0005-0000-0000-0000B0010000}"/>
    <cellStyle name="D_DMT507 Media Comps 050725 Manish" xfId="399" xr:uid="{00000000-0005-0000-0000-0000B1010000}"/>
    <cellStyle name="D_DMT507 Media Comps 050725 Pankaj" xfId="400" xr:uid="{00000000-0005-0000-0000-0000B2010000}"/>
    <cellStyle name="D_DMT507 Media Comps 050725 Pixar Sorabh" xfId="401" xr:uid="{00000000-0005-0000-0000-0000B3010000}"/>
    <cellStyle name="D_DMT507 Media Comps 050725 reamworks Sorabh" xfId="402" xr:uid="{00000000-0005-0000-0000-0000B4010000}"/>
    <cellStyle name="D_DMT507 Media Comps 050725 THQ Sorabh" xfId="403" xr:uid="{00000000-0005-0000-0000-0000B5010000}"/>
    <cellStyle name="D_DMT507 Media Comps Template" xfId="404" xr:uid="{00000000-0005-0000-0000-0000B6010000}"/>
    <cellStyle name="D_DMT562 Software Games Comps 050830" xfId="405" xr:uid="{00000000-0005-0000-0000-0000B7010000}"/>
    <cellStyle name="D_DMT562 Software Games Comps 050830 Infogrames" xfId="406" xr:uid="{00000000-0005-0000-0000-0000B8010000}"/>
    <cellStyle name="D_DMT562 Software Games Comps 050830 Pankaj" xfId="407" xr:uid="{00000000-0005-0000-0000-0000B9010000}"/>
    <cellStyle name="D_DMT562 Software Games Comps 050830 Puneet" xfId="408" xr:uid="{00000000-0005-0000-0000-0000BA010000}"/>
    <cellStyle name="D_DMT568 Media Comps 050902 Set 4 Puneet" xfId="409" xr:uid="{00000000-0005-0000-0000-0000BB010000}"/>
    <cellStyle name="D_DMT591 Media Comps 050916" xfId="410" xr:uid="{00000000-0005-0000-0000-0000BC010000}"/>
    <cellStyle name="D_DMT591 Media Comps 050916 Avneesh" xfId="411" xr:uid="{00000000-0005-0000-0000-0000BD010000}"/>
    <cellStyle name="D_DMT591 Media Comps 050916 Avneesh Qc" xfId="412" xr:uid="{00000000-0005-0000-0000-0000BE010000}"/>
    <cellStyle name="D_DMT591 Media Comps 050916 Himanshu" xfId="413" xr:uid="{00000000-0005-0000-0000-0000BF010000}"/>
    <cellStyle name="D_DMT591 Media Comps 050916 Manas" xfId="414" xr:uid="{00000000-0005-0000-0000-0000C0010000}"/>
    <cellStyle name="D_DMT591 Media Comps 050916 Manish" xfId="415" xr:uid="{00000000-0005-0000-0000-0000C1010000}"/>
    <cellStyle name="D_DMT591 Media Comps 050916 Rajesh" xfId="416" xr:uid="{00000000-0005-0000-0000-0000C2010000}"/>
    <cellStyle name="D_DMT607 Agencies Comps 051005 Jitesh (New Template)" xfId="417" xr:uid="{00000000-0005-0000-0000-0000C3010000}"/>
    <cellStyle name="D_DMT607 Agencies Comps 051005 Manas (New Template)" xfId="418" xr:uid="{00000000-0005-0000-0000-0000C4010000}"/>
    <cellStyle name="D_DMT629 Media Comps 051024 Kapil" xfId="419" xr:uid="{00000000-0005-0000-0000-0000C5010000}"/>
    <cellStyle name="D_DMT629 Media Comps 051024 Nikunj" xfId="420" xr:uid="{00000000-0005-0000-0000-0000C6010000}"/>
    <cellStyle name="D_DMT629 Media Comps 051024 Rajesh" xfId="421" xr:uid="{00000000-0005-0000-0000-0000C7010000}"/>
    <cellStyle name="D_DMT629 Media Comps 051024 Ubisoft Kapil QC" xfId="422" xr:uid="{00000000-0005-0000-0000-0000C8010000}"/>
    <cellStyle name="D_DMT629 Media Comps 051024 vishal ii" xfId="423" xr:uid="{00000000-0005-0000-0000-0000C9010000}"/>
    <cellStyle name="D_DMT629 Media Comps 051024 Yogesh" xfId="424" xr:uid="{00000000-0005-0000-0000-0000CA010000}"/>
    <cellStyle name="D_DMT629 Media Comps 051025 Electronics Arts QC Anish" xfId="425" xr:uid="{00000000-0005-0000-0000-0000CB010000}"/>
    <cellStyle name="D_DMT629 Media Comps 051025 Himanshu" xfId="426" xr:uid="{00000000-0005-0000-0000-0000CC010000}"/>
    <cellStyle name="D_DMT629 Media Comps 051025 Pankaj" xfId="427" xr:uid="{00000000-0005-0000-0000-0000CD010000}"/>
    <cellStyle name="D_DMT629 Media Comps 051025 vishal THQ QC" xfId="428" xr:uid="{00000000-0005-0000-0000-0000CE010000}"/>
    <cellStyle name="D_DMT667 Media Comps 051118  Anish" xfId="429" xr:uid="{00000000-0005-0000-0000-0000CF010000}"/>
    <cellStyle name="D_DMT667 Media Comps 051118 Charanjeet" xfId="430" xr:uid="{00000000-0005-0000-0000-0000D0010000}"/>
    <cellStyle name="D_DMT667 Media Comps 051118 Gaurav" xfId="431" xr:uid="{00000000-0005-0000-0000-0000D1010000}"/>
    <cellStyle name="D_DMT667 Media Comps 051118 Madhur" xfId="432" xr:uid="{00000000-0005-0000-0000-0000D2010000}"/>
    <cellStyle name="D_DMT667 Media Comps 051118 Rajan" xfId="433" xr:uid="{00000000-0005-0000-0000-0000D3010000}"/>
    <cellStyle name="D_DMT667 Media Comps 051118 Sweta" xfId="434" xr:uid="{00000000-0005-0000-0000-0000D4010000}"/>
    <cellStyle name="D_DMT667 Media Comps 051118 Vaibhav" xfId="435" xr:uid="{00000000-0005-0000-0000-0000D5010000}"/>
    <cellStyle name="D_DMT667 Media Comps 051118 Varun" xfId="436" xr:uid="{00000000-0005-0000-0000-0000D6010000}"/>
    <cellStyle name="D_DMT667 Media Comps 051118 Vimal" xfId="437" xr:uid="{00000000-0005-0000-0000-0000D7010000}"/>
    <cellStyle name="D_DMT708 Video_Wireless Comps 051209 Avneesh" xfId="438" xr:uid="{00000000-0005-0000-0000-0000D8010000}"/>
    <cellStyle name="D_graph synthèse des valos Circuit A" xfId="439" xr:uid="{00000000-0005-0000-0000-0000D9010000}"/>
    <cellStyle name="D_graph synthèse des valos Circuit A_050117 CCA EW - CCA - 11 Jan 05 (DB adj)" xfId="440" xr:uid="{00000000-0005-0000-0000-0000DA010000}"/>
    <cellStyle name="D_graph synthèse des valos Circuit A_050204 CCA EW - CCA - 11 Jan 05 (DB adj) - 4" xfId="441" xr:uid="{00000000-0005-0000-0000-0000DB010000}"/>
    <cellStyle name="D_graph synthèse des valos Circuit A_15 Nov 2004_CCA Jason" xfId="442" xr:uid="{00000000-0005-0000-0000-0000DC010000}"/>
    <cellStyle name="D_graph synthèse des valos Circuit A_22 Nov 2004_CCA Jason" xfId="443" xr:uid="{00000000-0005-0000-0000-0000DD010000}"/>
    <cellStyle name="D_graph synthèse des valos Circuit A_5 Nov 2004_CCA Jason_revised.xls dlgChart" xfId="444" xr:uid="{00000000-0005-0000-0000-0000DE010000}"/>
    <cellStyle name="D_graph synthèse des valos Circuit A_8 Nov 2004_CCA Jason" xfId="445" xr:uid="{00000000-0005-0000-0000-0000DF010000}"/>
    <cellStyle name="D_graph synthèse des valos Circuit A_8 Nov 2004_CCA Jason.xls Chart 1" xfId="446" xr:uid="{00000000-0005-0000-0000-0000E0010000}"/>
    <cellStyle name="D_graph synthèse des valos Circuit A_Comps File Generic Media" xfId="447" xr:uid="{00000000-0005-0000-0000-0000E1010000}"/>
    <cellStyle name="D_graph synthèse des valos Circuit A_Copy of DMT496 Professional Publishing Comps 050714 Abhas" xfId="448" xr:uid="{00000000-0005-0000-0000-0000E2010000}"/>
    <cellStyle name="D_graph synthèse des valos Circuit A_Copy of TDI1183 Template 051219 II Mili v1" xfId="449" xr:uid="{00000000-0005-0000-0000-0000E3010000}"/>
    <cellStyle name="D_graph synthèse des valos Circuit A_Copy of TDI1183 Template 051219 II Neeraj" xfId="450" xr:uid="{00000000-0005-0000-0000-0000E4010000}"/>
    <cellStyle name="D_graph synthèse des valos Circuit A_Copy of TDI1183 Template 051219 II Neeraj QC1 ILUKA Babneet" xfId="451" xr:uid="{00000000-0005-0000-0000-0000E5010000}"/>
    <cellStyle name="D_graph synthèse des valos Circuit A_Copy of TDI1183 Template 051219 Nikunj" xfId="452" xr:uid="{00000000-0005-0000-0000-0000E6010000}"/>
    <cellStyle name="D_graph synthèse des valos Circuit A_Directories Trading Multiples 10Jan2005" xfId="453" xr:uid="{00000000-0005-0000-0000-0000E7010000}"/>
    <cellStyle name="D_graph synthèse des valos Circuit A_DMT448 Comps 050622 Ankur" xfId="454" xr:uid="{00000000-0005-0000-0000-0000E8010000}"/>
    <cellStyle name="D_graph synthèse des valos Circuit A_DMT448 Comps 050622 Puneet" xfId="455" xr:uid="{00000000-0005-0000-0000-0000E9010000}"/>
    <cellStyle name="D_graph synthèse des valos Circuit A_DMT448 Comps 050622 Puneet QC Sumit" xfId="456" xr:uid="{00000000-0005-0000-0000-0000EA010000}"/>
    <cellStyle name="D_graph synthèse des valos Circuit A_DMT458 Comps 050628 Abhishek" xfId="457" xr:uid="{00000000-0005-0000-0000-0000EB010000}"/>
    <cellStyle name="D_graph synthèse des valos Circuit A_DMT458 Comps 050628 Abhishek QC Beasley and Chrysalis" xfId="458" xr:uid="{00000000-0005-0000-0000-0000EC010000}"/>
    <cellStyle name="D_graph synthèse des valos Circuit A_DMT458 Comps 050628 Abhishek Radio and Emmis QCD" xfId="459" xr:uid="{00000000-0005-0000-0000-0000ED010000}"/>
    <cellStyle name="D_graph synthèse des valos Circuit A_DMT458 Comps 050628 Manish QC Ulster" xfId="460" xr:uid="{00000000-0005-0000-0000-0000EE010000}"/>
    <cellStyle name="D_graph synthèse des valos Circuit A_DMT458 Comps 050628 Puneet" xfId="461" xr:uid="{00000000-0005-0000-0000-0000EF010000}"/>
    <cellStyle name="D_graph synthèse des valos Circuit A_DMT458 Comps 050628 Puneet vQC" xfId="462" xr:uid="{00000000-0005-0000-0000-0000F0010000}"/>
    <cellStyle name="D_graph synthèse des valos Circuit A_DMT458 Comps 050628 Rajan" xfId="463" xr:uid="{00000000-0005-0000-0000-0000F1010000}"/>
    <cellStyle name="D_graph synthèse des valos Circuit A_DMT458 Comps 050628 Rajan 5 Cos Final vQC Anish" xfId="464" xr:uid="{00000000-0005-0000-0000-0000F2010000}"/>
    <cellStyle name="D_graph synthèse des valos Circuit A_DMT458 Comps 050628 Rajan SMG QCd" xfId="465" xr:uid="{00000000-0005-0000-0000-0000F3010000}"/>
    <cellStyle name="D_graph synthèse des valos Circuit A_DMT458 Comps 050630 Abhishek" xfId="466" xr:uid="{00000000-0005-0000-0000-0000F4010000}"/>
    <cellStyle name="D_graph synthèse des valos Circuit A_DMT458 Comps 050630 Abhishek QC Sumit" xfId="467" xr:uid="{00000000-0005-0000-0000-0000F5010000}"/>
    <cellStyle name="D_graph synthèse des valos Circuit A_DMT458 Comps 050630 Ankur" xfId="468" xr:uid="{00000000-0005-0000-0000-0000F6010000}"/>
    <cellStyle name="D_graph synthèse des valos Circuit A_DMT458 Comps 050630 Ankur QC Sumit" xfId="469" xr:uid="{00000000-0005-0000-0000-0000F7010000}"/>
    <cellStyle name="D_graph synthèse des valos Circuit A_DMT458 Comps 050630 SUMIT for Reed Elsevier from 462" xfId="470" xr:uid="{00000000-0005-0000-0000-0000F8010000}"/>
    <cellStyle name="D_graph synthèse des valos Circuit A_DMT462 Comps 050628 Ankur" xfId="471" xr:uid="{00000000-0005-0000-0000-0000F9010000}"/>
    <cellStyle name="D_graph synthèse des valos Circuit A_DMT462 Comps 050628 Ankur Arbitron QC" xfId="472" xr:uid="{00000000-0005-0000-0000-0000FA010000}"/>
    <cellStyle name="D_graph synthèse des valos Circuit A_DMT462 Comps 050629 Abhishek" xfId="473" xr:uid="{00000000-0005-0000-0000-0000FB010000}"/>
    <cellStyle name="D_graph synthèse des valos Circuit A_DMT462 Comps 050629 Abhishek QCd" xfId="474" xr:uid="{00000000-0005-0000-0000-0000FC010000}"/>
    <cellStyle name="D_graph synthèse des valos Circuit A_DMT462 Comps 050629 Ankur Ipsos QC" xfId="475" xr:uid="{00000000-0005-0000-0000-0000FD010000}"/>
    <cellStyle name="D_graph synthèse des valos Circuit A_DMT462 Comps 050629 Puneet" xfId="476" xr:uid="{00000000-0005-0000-0000-0000FE010000}"/>
    <cellStyle name="D_graph synthèse des valos Circuit A_DMT462 Comps 050629 Puneet QC Reuters" xfId="477" xr:uid="{00000000-0005-0000-0000-0000FF010000}"/>
    <cellStyle name="D_graph synthèse des valos Circuit A_DMT462 Comps 050629 Rajan" xfId="478" xr:uid="{00000000-0005-0000-0000-000000020000}"/>
    <cellStyle name="D_graph synthèse des valos Circuit A_DMT462 Comps 050629 Rajan QCd" xfId="479" xr:uid="{00000000-0005-0000-0000-000001020000}"/>
    <cellStyle name="D_graph synthèse des valos Circuit A_DMT482 Consumer Comps 050707 Puneet" xfId="480" xr:uid="{00000000-0005-0000-0000-000002020000}"/>
    <cellStyle name="D_graph synthèse des valos Circuit A_DMT482 Consumer Publishing Comps 050707 Puneet" xfId="481" xr:uid="{00000000-0005-0000-0000-000003020000}"/>
    <cellStyle name="D_graph synthèse des valos Circuit A_DMT482 Consumer Publishing Comps 050708 Amit" xfId="482" xr:uid="{00000000-0005-0000-0000-000004020000}"/>
    <cellStyle name="D_graph synthèse des valos Circuit A_DMT482 Consumer Publishing Comps 050709" xfId="483" xr:uid="{00000000-0005-0000-0000-000005020000}"/>
    <cellStyle name="D_graph synthèse des valos Circuit A_DMT482 Newspaper Comps 050709" xfId="484" xr:uid="{00000000-0005-0000-0000-000006020000}"/>
    <cellStyle name="D_graph synthèse des valos Circuit A_DMT482 Newspapers Comps 050708" xfId="485" xr:uid="{00000000-0005-0000-0000-000007020000}"/>
    <cellStyle name="D_graph synthèse des valos Circuit A_DMT482 Newspapers Comps 050708 Manas" xfId="486" xr:uid="{00000000-0005-0000-0000-000008020000}"/>
    <cellStyle name="D_graph synthèse des valos Circuit A_DMT482 Newspapers Comps 050708 Pankaj" xfId="487" xr:uid="{00000000-0005-0000-0000-000009020000}"/>
    <cellStyle name="D_graph synthèse des valos Circuit A_DMT482 Professional Publishing Comps 050708 Puneet" xfId="488" xr:uid="{00000000-0005-0000-0000-00000A020000}"/>
    <cellStyle name="D_graph synthèse des valos Circuit A_DMT482 Professional Publishing Comps 050708 Rajesh" xfId="489" xr:uid="{00000000-0005-0000-0000-00000B020000}"/>
    <cellStyle name="D_graph synthèse des valos Circuit A_DMT482 Professional Publishing Comps 050712" xfId="490" xr:uid="{00000000-0005-0000-0000-00000C020000}"/>
    <cellStyle name="D_graph synthèse des valos Circuit A_DMT482 Radio Comps 050709 Pankaj" xfId="491" xr:uid="{00000000-0005-0000-0000-00000D020000}"/>
    <cellStyle name="D_graph synthèse des valos Circuit A_DMT482 Radio Comps 050712" xfId="492" xr:uid="{00000000-0005-0000-0000-00000E020000}"/>
    <cellStyle name="D_graph synthèse des valos Circuit A_DMT489 Comps 050716" xfId="493" xr:uid="{00000000-0005-0000-0000-00000F020000}"/>
    <cellStyle name="D_graph synthèse des valos Circuit A_DMT493 Media Comps 050714" xfId="494" xr:uid="{00000000-0005-0000-0000-000010020000}"/>
    <cellStyle name="D_graph synthèse des valos Circuit A_DMT493 Media Comps 050714 Puneet" xfId="495" xr:uid="{00000000-0005-0000-0000-000011020000}"/>
    <cellStyle name="D_graph synthèse des valos Circuit A_DMT496 Comps 050714" xfId="496" xr:uid="{00000000-0005-0000-0000-000012020000}"/>
    <cellStyle name="D_graph synthèse des valos Circuit A_DMT496 Professional Publishing Comps 050714" xfId="497" xr:uid="{00000000-0005-0000-0000-000013020000}"/>
    <cellStyle name="D_graph synthèse des valos Circuit A_DMT496 Professional Publishing Comps 050714 Abhishek" xfId="498" xr:uid="{00000000-0005-0000-0000-000014020000}"/>
    <cellStyle name="D_graph synthèse des valos Circuit A_DMT496 Professional Publishing Comps 050714 Amit" xfId="499" xr:uid="{00000000-0005-0000-0000-000015020000}"/>
    <cellStyle name="D_graph synthèse des valos Circuit A_DMT496 Professional Publishing Comps 050714 Ankur" xfId="500" xr:uid="{00000000-0005-0000-0000-000016020000}"/>
    <cellStyle name="D_graph synthèse des valos Circuit A_DMT496 Professional Publishing Comps 050714 Manish" xfId="501" xr:uid="{00000000-0005-0000-0000-000017020000}"/>
    <cellStyle name="D_graph synthèse des valos Circuit A_DMT496 Professional Publishing Comps 050714 Pankaj" xfId="502" xr:uid="{00000000-0005-0000-0000-000018020000}"/>
    <cellStyle name="D_graph synthèse des valos Circuit A_DMT496A Comps 050715 Abhas" xfId="503" xr:uid="{00000000-0005-0000-0000-000019020000}"/>
    <cellStyle name="D_graph synthèse des valos Circuit A_DMT496A Comps 050715 Abhishek" xfId="504" xr:uid="{00000000-0005-0000-0000-00001A020000}"/>
    <cellStyle name="D_graph synthèse des valos Circuit A_DMT496A Comps 050715 Amit" xfId="505" xr:uid="{00000000-0005-0000-0000-00001B020000}"/>
    <cellStyle name="D_graph synthèse des valos Circuit A_DMT496A Comps 050715 Manas" xfId="506" xr:uid="{00000000-0005-0000-0000-00001C020000}"/>
    <cellStyle name="D_graph synthèse des valos Circuit A_DMT496A Comps 050715 Pankaj" xfId="507" xr:uid="{00000000-0005-0000-0000-00001D020000}"/>
    <cellStyle name="D_graph synthèse des valos Circuit A_DMT496A Comps 050715 QC 2 Pankaj" xfId="508" xr:uid="{00000000-0005-0000-0000-00001E020000}"/>
    <cellStyle name="D_graph synthèse des valos Circuit A_DMT496A Comps 050715 QC Antena Amit" xfId="509" xr:uid="{00000000-0005-0000-0000-00001F020000}"/>
    <cellStyle name="D_graph synthèse des valos Circuit A_DMT496A Comps 050715 QC BEC Pankaj" xfId="510" xr:uid="{00000000-0005-0000-0000-000020020000}"/>
    <cellStyle name="D_graph synthèse des valos Circuit A_DMT496A Comps 050715 QC Disney Amit" xfId="511" xr:uid="{00000000-0005-0000-0000-000021020000}"/>
    <cellStyle name="D_graph synthèse des valos Circuit A_DMT496A Comps 050715 QC EMI Abhas" xfId="512" xr:uid="{00000000-0005-0000-0000-000022020000}"/>
    <cellStyle name="D_graph synthèse des valos Circuit A_DMT496A Comps 050715 QC M6 metro Amit" xfId="513" xr:uid="{00000000-0005-0000-0000-000023020000}"/>
    <cellStyle name="D_graph synthèse des valos Circuit A_DMT496A Comps 050715 QC Mediaset Abhishek" xfId="514" xr:uid="{00000000-0005-0000-0000-000024020000}"/>
    <cellStyle name="D_graph synthèse des valos Circuit A_DMT496A Comps 050715 QC Newscorp Abhishek" xfId="515" xr:uid="{00000000-0005-0000-0000-000025020000}"/>
    <cellStyle name="D_graph synthèse des valos Circuit A_DMT496A Comps 050715 QC Premiere Amit" xfId="516" xr:uid="{00000000-0005-0000-0000-000026020000}"/>
    <cellStyle name="D_graph synthèse des valos Circuit A_DMT496A Comps 050715 QC Prosieben Abhas" xfId="517" xr:uid="{00000000-0005-0000-0000-000027020000}"/>
    <cellStyle name="D_graph synthèse des valos Circuit A_DMT496A Comps 050715 QC RTL Abhishek" xfId="518" xr:uid="{00000000-0005-0000-0000-000028020000}"/>
    <cellStyle name="D_graph synthèse des valos Circuit A_DMT496A Comps 050715 QC Sogecable Manas" xfId="519" xr:uid="{00000000-0005-0000-0000-000029020000}"/>
    <cellStyle name="D_graph synthèse des valos Circuit A_DMT496A Comps 050715 QC Telecinco Amit" xfId="520" xr:uid="{00000000-0005-0000-0000-00002A020000}"/>
    <cellStyle name="D_graph synthèse des valos Circuit A_DMT496A Comps 050715 QC TF1 Rajan" xfId="521" xr:uid="{00000000-0005-0000-0000-00002B020000}"/>
    <cellStyle name="D_graph synthèse des valos Circuit A_DMT496A Comps 050715 QC Time warner Abhas" xfId="522" xr:uid="{00000000-0005-0000-0000-00002C020000}"/>
    <cellStyle name="D_graph synthèse des valos Circuit A_DMT496A Comps 050715 QC TVN Srilatha" xfId="523" xr:uid="{00000000-0005-0000-0000-00002D020000}"/>
    <cellStyle name="D_graph synthèse des valos Circuit A_DMT496A Comps 050715 QC Viacom Abhas" xfId="524" xr:uid="{00000000-0005-0000-0000-00002E020000}"/>
    <cellStyle name="D_graph synthèse des valos Circuit A_DMT496A Comps 050715 QC WMG Pankaj" xfId="525" xr:uid="{00000000-0005-0000-0000-00002F020000}"/>
    <cellStyle name="D_graph synthèse des valos Circuit A_DMT496A Comps 050715 Rajan" xfId="526" xr:uid="{00000000-0005-0000-0000-000030020000}"/>
    <cellStyle name="D_graph synthèse des valos Circuit A_DMT496A Comps 050715 Srilatha" xfId="527" xr:uid="{00000000-0005-0000-0000-000031020000}"/>
    <cellStyle name="D_graph synthèse des valos Circuit A_DMT496B Comps 050715 4Kids Sorabh" xfId="528" xr:uid="{00000000-0005-0000-0000-000032020000}"/>
    <cellStyle name="D_graph synthèse des valos Circuit A_DMT496B Comps 050715 Abhishek" xfId="529" xr:uid="{00000000-0005-0000-0000-000033020000}"/>
    <cellStyle name="D_graph synthèse des valos Circuit A_DMT496B Comps 050716 Amit" xfId="530" xr:uid="{00000000-0005-0000-0000-000034020000}"/>
    <cellStyle name="D_graph synthèse des valos Circuit A_DMT496B Comps 050716 Jetix Sorabh" xfId="531" xr:uid="{00000000-0005-0000-0000-000035020000}"/>
    <cellStyle name="D_graph synthèse des valos Circuit A_DMT503 Media Comps 050721 Puneet" xfId="532" xr:uid="{00000000-0005-0000-0000-000036020000}"/>
    <cellStyle name="D_graph synthèse des valos Circuit A_DMT505 Media Comps 050722 Puneet" xfId="533" xr:uid="{00000000-0005-0000-0000-000037020000}"/>
    <cellStyle name="D_graph synthèse des valos Circuit A_DMT505 Media Comps 050722 Rajan" xfId="534" xr:uid="{00000000-0005-0000-0000-000038020000}"/>
    <cellStyle name="D_graph synthèse des valos Circuit A_DMT506 Media Comps 050722 Manas" xfId="535" xr:uid="{00000000-0005-0000-0000-000039020000}"/>
    <cellStyle name="D_graph synthèse des valos Circuit A_DMT506 Media Comps 050723 Himanshu" xfId="536" xr:uid="{00000000-0005-0000-0000-00003A020000}"/>
    <cellStyle name="D_graph synthèse des valos Circuit A_DMT506 Media Comps 050723 Saurabh" xfId="537" xr:uid="{00000000-0005-0000-0000-00003B020000}"/>
    <cellStyle name="D_graph synthèse des valos Circuit A_DMT506 QC SUMIT Media Comps 050722 Amazon" xfId="538" xr:uid="{00000000-0005-0000-0000-00003C020000}"/>
    <cellStyle name="D_graph synthèse des valos Circuit A_DMT506 QC SUMIT Media Comps 050723" xfId="539" xr:uid="{00000000-0005-0000-0000-00003D020000}"/>
    <cellStyle name="D_graph synthèse des valos Circuit A_DMT507 Media Comps 050725" xfId="540" xr:uid="{00000000-0005-0000-0000-00003E020000}"/>
    <cellStyle name="D_graph synthèse des valos Circuit A_DMT507 Media Comps 050725 Electronics Arts Sorabh" xfId="541" xr:uid="{00000000-0005-0000-0000-00003F020000}"/>
    <cellStyle name="D_graph synthèse des valos Circuit A_DMT507 Media Comps 050725 Himanshu" xfId="542" xr:uid="{00000000-0005-0000-0000-000040020000}"/>
    <cellStyle name="D_graph synthèse des valos Circuit A_DMT507 Media Comps 050725 Manas" xfId="543" xr:uid="{00000000-0005-0000-0000-000041020000}"/>
    <cellStyle name="D_graph synthèse des valos Circuit A_DMT507 Media Comps 050725 Manish" xfId="544" xr:uid="{00000000-0005-0000-0000-000042020000}"/>
    <cellStyle name="D_graph synthèse des valos Circuit A_DMT507 Media Comps 050725 Pankaj" xfId="545" xr:uid="{00000000-0005-0000-0000-000043020000}"/>
    <cellStyle name="D_graph synthèse des valos Circuit A_DMT507 Media Comps 050725 Pixar Sorabh" xfId="546" xr:uid="{00000000-0005-0000-0000-000044020000}"/>
    <cellStyle name="D_graph synthèse des valos Circuit A_DMT507 Media Comps 050725 reamworks Sorabh" xfId="547" xr:uid="{00000000-0005-0000-0000-000045020000}"/>
    <cellStyle name="D_graph synthèse des valos Circuit A_DMT507 Media Comps 050725 THQ Sorabh" xfId="548" xr:uid="{00000000-0005-0000-0000-000046020000}"/>
    <cellStyle name="D_graph synthèse des valos Circuit A_DMT507 Media Comps Template" xfId="549" xr:uid="{00000000-0005-0000-0000-000047020000}"/>
    <cellStyle name="D_graph synthèse des valos Circuit A_DMT562 Software Games Comps 050830" xfId="550" xr:uid="{00000000-0005-0000-0000-000048020000}"/>
    <cellStyle name="D_graph synthèse des valos Circuit A_DMT562 Software Games Comps 050830 Infogrames" xfId="551" xr:uid="{00000000-0005-0000-0000-000049020000}"/>
    <cellStyle name="D_graph synthèse des valos Circuit A_DMT562 Software Games Comps 050830 Pankaj" xfId="552" xr:uid="{00000000-0005-0000-0000-00004A020000}"/>
    <cellStyle name="D_graph synthèse des valos Circuit A_DMT562 Software Games Comps 050830 Puneet" xfId="553" xr:uid="{00000000-0005-0000-0000-00004B020000}"/>
    <cellStyle name="D_graph synthèse des valos Circuit A_DMT568 Media Comps 050902 Set 4 Puneet" xfId="554" xr:uid="{00000000-0005-0000-0000-00004C020000}"/>
    <cellStyle name="D_graph synthèse des valos Circuit A_DMT591 Media Comps 050916" xfId="555" xr:uid="{00000000-0005-0000-0000-00004D020000}"/>
    <cellStyle name="D_graph synthèse des valos Circuit A_DMT591 Media Comps 050916 Avneesh" xfId="556" xr:uid="{00000000-0005-0000-0000-00004E020000}"/>
    <cellStyle name="D_graph synthèse des valos Circuit A_DMT591 Media Comps 050916 Avneesh Qc" xfId="557" xr:uid="{00000000-0005-0000-0000-00004F020000}"/>
    <cellStyle name="D_graph synthèse des valos Circuit A_DMT591 Media Comps 050916 Himanshu" xfId="558" xr:uid="{00000000-0005-0000-0000-000050020000}"/>
    <cellStyle name="D_graph synthèse des valos Circuit A_DMT591 Media Comps 050916 Manas" xfId="559" xr:uid="{00000000-0005-0000-0000-000051020000}"/>
    <cellStyle name="D_graph synthèse des valos Circuit A_DMT591 Media Comps 050916 Manish" xfId="560" xr:uid="{00000000-0005-0000-0000-000052020000}"/>
    <cellStyle name="D_graph synthèse des valos Circuit A_DMT591 Media Comps 050916 Rajesh" xfId="561" xr:uid="{00000000-0005-0000-0000-000053020000}"/>
    <cellStyle name="D_graph synthèse des valos Circuit A_DMT607 Agencies Comps 051005 Jitesh (New Template)" xfId="562" xr:uid="{00000000-0005-0000-0000-000054020000}"/>
    <cellStyle name="D_graph synthèse des valos Circuit A_DMT607 Agencies Comps 051005 Manas (New Template)" xfId="563" xr:uid="{00000000-0005-0000-0000-000055020000}"/>
    <cellStyle name="D_graph synthèse des valos Circuit A_DMT629 Media Comps 051024 Kapil" xfId="564" xr:uid="{00000000-0005-0000-0000-000056020000}"/>
    <cellStyle name="D_graph synthèse des valos Circuit A_DMT629 Media Comps 051024 Nikunj" xfId="565" xr:uid="{00000000-0005-0000-0000-000057020000}"/>
    <cellStyle name="D_graph synthèse des valos Circuit A_DMT629 Media Comps 051024 Rajesh" xfId="566" xr:uid="{00000000-0005-0000-0000-000058020000}"/>
    <cellStyle name="D_graph synthèse des valos Circuit A_DMT629 Media Comps 051024 Ubisoft Kapil QC" xfId="567" xr:uid="{00000000-0005-0000-0000-000059020000}"/>
    <cellStyle name="D_graph synthèse des valos Circuit A_DMT629 Media Comps 051024 vishal ii" xfId="568" xr:uid="{00000000-0005-0000-0000-00005A020000}"/>
    <cellStyle name="D_graph synthèse des valos Circuit A_DMT629 Media Comps 051024 Yogesh" xfId="569" xr:uid="{00000000-0005-0000-0000-00005B020000}"/>
    <cellStyle name="D_graph synthèse des valos Circuit A_DMT629 Media Comps 051025 Electronics Arts QC Anish" xfId="570" xr:uid="{00000000-0005-0000-0000-00005C020000}"/>
    <cellStyle name="D_graph synthèse des valos Circuit A_DMT629 Media Comps 051025 Himanshu" xfId="571" xr:uid="{00000000-0005-0000-0000-00005D020000}"/>
    <cellStyle name="D_graph synthèse des valos Circuit A_DMT629 Media Comps 051025 Pankaj" xfId="572" xr:uid="{00000000-0005-0000-0000-00005E020000}"/>
    <cellStyle name="D_graph synthèse des valos Circuit A_DMT629 Media Comps 051025 vishal THQ QC" xfId="573" xr:uid="{00000000-0005-0000-0000-00005F020000}"/>
    <cellStyle name="D_graph synthèse des valos Circuit A_DMT667 Media Comps 051118  Anish" xfId="574" xr:uid="{00000000-0005-0000-0000-000060020000}"/>
    <cellStyle name="D_graph synthèse des valos Circuit A_DMT667 Media Comps 051118 Charanjeet" xfId="575" xr:uid="{00000000-0005-0000-0000-000061020000}"/>
    <cellStyle name="D_graph synthèse des valos Circuit A_DMT667 Media Comps 051118 Gaurav" xfId="576" xr:uid="{00000000-0005-0000-0000-000062020000}"/>
    <cellStyle name="D_graph synthèse des valos Circuit A_DMT667 Media Comps 051118 Madhur" xfId="577" xr:uid="{00000000-0005-0000-0000-000063020000}"/>
    <cellStyle name="D_graph synthèse des valos Circuit A_DMT667 Media Comps 051118 Rajan" xfId="578" xr:uid="{00000000-0005-0000-0000-000064020000}"/>
    <cellStyle name="D_graph synthèse des valos Circuit A_DMT667 Media Comps 051118 Sweta" xfId="579" xr:uid="{00000000-0005-0000-0000-000065020000}"/>
    <cellStyle name="D_graph synthèse des valos Circuit A_DMT667 Media Comps 051118 Vaibhav" xfId="580" xr:uid="{00000000-0005-0000-0000-000066020000}"/>
    <cellStyle name="D_graph synthèse des valos Circuit A_DMT667 Media Comps 051118 Varun" xfId="581" xr:uid="{00000000-0005-0000-0000-000067020000}"/>
    <cellStyle name="D_graph synthèse des valos Circuit A_DMT667 Media Comps 051118 Vimal" xfId="582" xr:uid="{00000000-0005-0000-0000-000068020000}"/>
    <cellStyle name="D_graph synthèse des valos Circuit A_DMT708 Video_Wireless Comps 051209 Avneesh" xfId="583" xr:uid="{00000000-0005-0000-0000-000069020000}"/>
    <cellStyle name="D_graph synthèse des valos Circuit A_M&amp;M Comps 060206 Part II (Precious &amp; Coal) 060214" xfId="584" xr:uid="{00000000-0005-0000-0000-00006A020000}"/>
    <cellStyle name="D_graph synthèse des valos Circuit A_Market Research Comps 25 August 2005" xfId="585" xr:uid="{00000000-0005-0000-0000-00006B020000}"/>
    <cellStyle name="D_graph synthèse des valos Circuit A_Springer CCA Oct 11 JMv14" xfId="586" xr:uid="{00000000-0005-0000-0000-00006C020000}"/>
    <cellStyle name="D_graph synthèse des valos Circuit A_Springer CCA Oct 11 JMv15" xfId="587" xr:uid="{00000000-0005-0000-0000-00006D020000}"/>
    <cellStyle name="D_graph synthèse des valos Circuit A_TDI1183 Comps  051219 II Vishal2" xfId="588" xr:uid="{00000000-0005-0000-0000-00006E020000}"/>
    <cellStyle name="D_graph synthèse des valos Circuit A_TDI1183 Comps 051219 QC1 Pankaj" xfId="589" xr:uid="{00000000-0005-0000-0000-00006F020000}"/>
    <cellStyle name="D_graph synthèse des valos Circuit A_TDI1183 Comps 051219 QC1 Pankaj V1" xfId="590" xr:uid="{00000000-0005-0000-0000-000070020000}"/>
    <cellStyle name="D_graph synthèse des valos Circuit A_TDI1183 Comps 051220 AbhasV1" xfId="591" xr:uid="{00000000-0005-0000-0000-000071020000}"/>
    <cellStyle name="D_graph synthèse des valos Circuit A_TDI1183 Comps 051220 Ainul" xfId="592" xr:uid="{00000000-0005-0000-0000-000072020000}"/>
    <cellStyle name="D_graph synthèse des valos Circuit A_TDI1183 Comps 051221 vQC Ankur" xfId="593" xr:uid="{00000000-0005-0000-0000-000073020000}"/>
    <cellStyle name="D_graph synthèse des valos Circuit A_TDI1183 Comps 051222 SorabhV2" xfId="594" xr:uid="{00000000-0005-0000-0000-000074020000}"/>
    <cellStyle name="D_graph synthèse des valos Circuit A_TDI1183 Comps 051222 SorabhV3" xfId="595" xr:uid="{00000000-0005-0000-0000-000075020000}"/>
    <cellStyle name="D_graph synthèse des valos Circuit A_TDI1183 M&amp;M Comps 051221 Vimal" xfId="596" xr:uid="{00000000-0005-0000-0000-000076020000}"/>
    <cellStyle name="D_graph synthèse des valos Circuit A_TDI1183 Media Comps 051219 Abhishek New" xfId="597" xr:uid="{00000000-0005-0000-0000-000077020000}"/>
    <cellStyle name="D_graph synthèse des valos Circuit A_TDI1183 Media Comps 051219 Ritesh New" xfId="598" xr:uid="{00000000-0005-0000-0000-000078020000}"/>
    <cellStyle name="D_graph synthèse des valos Circuit A_TDI1183 Metal &amp; Mining 051219 Anurag" xfId="599" xr:uid="{00000000-0005-0000-0000-000079020000}"/>
    <cellStyle name="D_graph synthèse des valos Circuit A_TDI1183 QC SUMIT Template 051222" xfId="600" xr:uid="{00000000-0005-0000-0000-00007A020000}"/>
    <cellStyle name="D_graph synthèse des valos Circuit A_TDI1183 Template 051219  Ashish" xfId="601" xr:uid="{00000000-0005-0000-0000-00007B020000}"/>
    <cellStyle name="D_graph synthèse des valos Circuit A_TDI1183 Template 051219  Ashish QC1 Buenaventura Babneet" xfId="602" xr:uid="{00000000-0005-0000-0000-00007C020000}"/>
    <cellStyle name="D_graph synthèse des valos Circuit A_TDI1183 Template 051219 II Amit M" xfId="603" xr:uid="{00000000-0005-0000-0000-00007D020000}"/>
    <cellStyle name="D_graph synthèse des valos Circuit A_TDI1183 Template 051219 II Amit M V1" xfId="604" xr:uid="{00000000-0005-0000-0000-00007E020000}"/>
    <cellStyle name="D_graph synthèse des valos Circuit A_TDI1183 Template 051219 II Anurag" xfId="605" xr:uid="{00000000-0005-0000-0000-00007F020000}"/>
    <cellStyle name="D_graph synthèse des valos Circuit A_TDI1183 Template 051219 II Atul" xfId="606" xr:uid="{00000000-0005-0000-0000-000080020000}"/>
    <cellStyle name="D_graph synthèse des valos Circuit A_TDI1183 Template 051219 II Celtic Qc1 Yogendra" xfId="607" xr:uid="{00000000-0005-0000-0000-000081020000}"/>
    <cellStyle name="D_graph synthèse des valos Circuit A_TDI1183 Template 051219 II Himanshu Sahai" xfId="608" xr:uid="{00000000-0005-0000-0000-000082020000}"/>
    <cellStyle name="D_graph synthèse des valos Circuit A_TDI1183 Template 051219 II Kamlesh" xfId="609" xr:uid="{00000000-0005-0000-0000-000083020000}"/>
    <cellStyle name="D_graph synthèse des valos Circuit A_TDI1183 Template 051219 II Kamlesh QC1 ASSMANG, PETER HAMBRO Babneet" xfId="610" xr:uid="{00000000-0005-0000-0000-000084020000}"/>
    <cellStyle name="D_graph synthèse des valos Circuit A_TDI1183 Template 051219 II Kamlesh QC1 MERAFE Babneet" xfId="611" xr:uid="{00000000-0005-0000-0000-000085020000}"/>
    <cellStyle name="D_graph synthèse des valos Circuit A_TDI1183 Template 051219 II Lalit" xfId="612" xr:uid="{00000000-0005-0000-0000-000086020000}"/>
    <cellStyle name="D_graph synthèse des valos Circuit A_TDI1183 Template 051219 II Mili" xfId="613" xr:uid="{00000000-0005-0000-0000-000087020000}"/>
    <cellStyle name="D_graph synthèse des valos Circuit A_TDI1183 Template 051219 II Nandini" xfId="614" xr:uid="{00000000-0005-0000-0000-000088020000}"/>
    <cellStyle name="D_graph synthèse des valos Circuit A_TDI1183 Template 051219 II Nitin New" xfId="615" xr:uid="{00000000-0005-0000-0000-000089020000}"/>
    <cellStyle name="D_graph synthèse des valos Circuit A_TDI1183 Template 051219 II Sachin" xfId="616" xr:uid="{00000000-0005-0000-0000-00008A020000}"/>
    <cellStyle name="D_graph synthèse des valos Circuit A_TDI1183 Template 051219 II Vishal" xfId="617" xr:uid="{00000000-0005-0000-0000-00008B020000}"/>
    <cellStyle name="D_graph synthèse des valos Circuit A_TDI1183 Template 051219 II Vishal2" xfId="618" xr:uid="{00000000-0005-0000-0000-00008C020000}"/>
    <cellStyle name="D_graph synthèse des valos Circuit A_TDI1183 Template 051219 II Yogesh Final" xfId="619" xr:uid="{00000000-0005-0000-0000-00008D020000}"/>
    <cellStyle name="D_graph synthèse des valos Circuit A_TDI1183 Template 051219 Mukesh Revised II" xfId="620" xr:uid="{00000000-0005-0000-0000-00008E020000}"/>
    <cellStyle name="D_graph synthèse des valos Circuit A_TDI1183 Template 051219 QC1 Newcrest_Yogendra" xfId="621" xr:uid="{00000000-0005-0000-0000-00008F020000}"/>
    <cellStyle name="D_graph synthèse des valos Circuit A_TDI1183 Template 051220 II Himanshu Sahai" xfId="622" xr:uid="{00000000-0005-0000-0000-000090020000}"/>
    <cellStyle name="D_graph synthèse des valos Circuit A_TDI1183 Template 051220 II QC1 Alcan_Yogendra" xfId="623" xr:uid="{00000000-0005-0000-0000-000091020000}"/>
    <cellStyle name="D_graph synthèse des valos Circuit A_TDI1183 Template 051220 II QC1 Assore _Yogendra" xfId="624" xr:uid="{00000000-0005-0000-0000-000092020000}"/>
    <cellStyle name="D_graph synthèse des valos Circuit A_TDI1183 Template 051220 II QC1 Consol_Yogendra" xfId="625" xr:uid="{00000000-0005-0000-0000-000093020000}"/>
    <cellStyle name="D_graph synthèse des valos Circuit A_TDI1183 Template 051220 II QC1 Peabody_Yogendra" xfId="626" xr:uid="{00000000-0005-0000-0000-000094020000}"/>
    <cellStyle name="D_graph synthèse des valos Circuit A_TDI1183 Template 051220 II QC1 Rio Tinto_Yogendra" xfId="627" xr:uid="{00000000-0005-0000-0000-000095020000}"/>
    <cellStyle name="D_graph synthèse des valos Circuit A_TDI1183 Template 051220 Qc1 Abhishek" xfId="628" xr:uid="{00000000-0005-0000-0000-000096020000}"/>
    <cellStyle name="D_graph synthèse des valos Circuit A_TDI1183 Template 051220 Qc1 Ritesh" xfId="629" xr:uid="{00000000-0005-0000-0000-000097020000}"/>
    <cellStyle name="D_graph synthèse des valos Circuit A_TDI1212 M&amp;M Comps 060104 Part 1 Ainul" xfId="630" xr:uid="{00000000-0005-0000-0000-000098020000}"/>
    <cellStyle name="D_graph synthèse des valos Circuit A_TDI1212 M&amp;M Comps 060104 Part 1 QC Anish" xfId="631" xr:uid="{00000000-0005-0000-0000-000099020000}"/>
    <cellStyle name="D_graph synthèse des valos Circuit A_TDI1212 M&amp;M Comps 060104 vQC Ankur" xfId="632" xr:uid="{00000000-0005-0000-0000-00009A020000}"/>
    <cellStyle name="D_graph synthèse des valos Circuit A_TDI1212 M&amp;M Comps 060105 Part 1" xfId="633" xr:uid="{00000000-0005-0000-0000-00009B020000}"/>
    <cellStyle name="D_graph synthèse des valos Circuit A_TDI1212 M&amp;M Comps 060105 Part 1 060121 Pankaj(inludes LionOre)" xfId="634" xr:uid="{00000000-0005-0000-0000-00009C020000}"/>
    <cellStyle name="D_graph synthèse des valos Circuit A_TDI1212 M&amp;M Comps 060105 Part II (Precious metals &amp; Coal) " xfId="635" xr:uid="{00000000-0005-0000-0000-00009D020000}"/>
    <cellStyle name="D_graph synthèse des valos Circuit A_TDI1252 M&amp;M Comps 060121 Part 1" xfId="636" xr:uid="{00000000-0005-0000-0000-00009E020000}"/>
    <cellStyle name="D_graph synthèse des valos Circuit A_TDI1301 M&amp;M Comps 060125 Himanshu" xfId="637" xr:uid="{00000000-0005-0000-0000-00009F020000}"/>
    <cellStyle name="D_graph synthèse des valos Circuit A_TDI1317 Steel Comps 060130 Rajesh Garg" xfId="638" xr:uid="{00000000-0005-0000-0000-0000A0020000}"/>
    <cellStyle name="D_graph synthèse des valos Circuit A_TDI1317 Steel Comps 060130 v Puneet" xfId="639" xr:uid="{00000000-0005-0000-0000-0000A1020000}"/>
    <cellStyle name="D_graph synthèse des valos Circuit A_TDI1317 Steel Comps 060201v QC Manish" xfId="640" xr:uid="{00000000-0005-0000-0000-0000A2020000}"/>
    <cellStyle name="D_graph synthèse des valos Circuit A_TDI1317 Steel Comps 060202 QC Anish" xfId="641" xr:uid="{00000000-0005-0000-0000-0000A3020000}"/>
    <cellStyle name="D_graph synthèse des valos Circuit A_TDI1317 Steel Comps 060202 QC Consolidated 060206v1" xfId="642" xr:uid="{00000000-0005-0000-0000-0000A4020000}"/>
    <cellStyle name="D_graph synthèse des valos Circuit A_TDI1317 Steel Comps 060202 QC Consolidated till 060204v1" xfId="643" xr:uid="{00000000-0005-0000-0000-0000A5020000}"/>
    <cellStyle name="D_graph synthèse des valos Circuit A_TDI1317 Steel Comps 060202 v Ainul" xfId="644" xr:uid="{00000000-0005-0000-0000-0000A6020000}"/>
    <cellStyle name="D_graph synthèse des valos Circuit A_TDI1317 Steel Comps 060203 vQC Ankur" xfId="645" xr:uid="{00000000-0005-0000-0000-0000A7020000}"/>
    <cellStyle name="D_graph synthèse des valos Circuit A_TDI1317 Steel Comps Template 060130 Nikunj" xfId="646" xr:uid="{00000000-0005-0000-0000-0000A8020000}"/>
    <cellStyle name="D_graph synthèse des valos Circuit A_TDI1317 Steel Comps Template 060130 Sachin" xfId="647" xr:uid="{00000000-0005-0000-0000-0000A9020000}"/>
    <cellStyle name="D_graph synthèse des valos Circuit A_TDI1317 Steel Comps Template 060131 Ashish" xfId="648" xr:uid="{00000000-0005-0000-0000-0000AA020000}"/>
    <cellStyle name="D_graph synthèse des valos Circuit A_TDI1318 M&amp;M Comps 060204 Aquarius Platinum Mili" xfId="649" xr:uid="{00000000-0005-0000-0000-0000AB020000}"/>
    <cellStyle name="D_graph synthèse des valos Circuit A_TDI659 Comps File Generic Media Abhas 050615" xfId="650" xr:uid="{00000000-0005-0000-0000-0000AC020000}"/>
    <cellStyle name="D_M&amp;M Comps 060206 Part II (Precious &amp; Coal) 060214" xfId="651" xr:uid="{00000000-0005-0000-0000-0000AD020000}"/>
    <cellStyle name="D_Market Research Comps 25 August 2005" xfId="652" xr:uid="{00000000-0005-0000-0000-0000AE020000}"/>
    <cellStyle name="D_Springer CCA Oct 11 JMv14" xfId="653" xr:uid="{00000000-0005-0000-0000-0000AF020000}"/>
    <cellStyle name="D_Springer CCA Oct 11 JMv15" xfId="654" xr:uid="{00000000-0005-0000-0000-0000B0020000}"/>
    <cellStyle name="D_TDI1183 Comps  051219 II Vishal2" xfId="655" xr:uid="{00000000-0005-0000-0000-0000B1020000}"/>
    <cellStyle name="D_TDI1183 Comps 051219 QC1 Pankaj" xfId="656" xr:uid="{00000000-0005-0000-0000-0000B2020000}"/>
    <cellStyle name="D_TDI1183 Comps 051219 QC1 Pankaj V1" xfId="657" xr:uid="{00000000-0005-0000-0000-0000B3020000}"/>
    <cellStyle name="D_TDI1183 Comps 051220 AbhasV1" xfId="658" xr:uid="{00000000-0005-0000-0000-0000B4020000}"/>
    <cellStyle name="D_TDI1183 Comps 051220 Ainul" xfId="659" xr:uid="{00000000-0005-0000-0000-0000B5020000}"/>
    <cellStyle name="D_TDI1183 Comps 051221 vQC Ankur" xfId="660" xr:uid="{00000000-0005-0000-0000-0000B6020000}"/>
    <cellStyle name="D_TDI1183 Comps 051222 SorabhV2" xfId="661" xr:uid="{00000000-0005-0000-0000-0000B7020000}"/>
    <cellStyle name="D_TDI1183 Comps 051222 SorabhV3" xfId="662" xr:uid="{00000000-0005-0000-0000-0000B8020000}"/>
    <cellStyle name="D_TDI1183 M&amp;M Comps 051221 Vimal" xfId="663" xr:uid="{00000000-0005-0000-0000-0000B9020000}"/>
    <cellStyle name="D_TDI1183 Media Comps 051219 Abhishek New" xfId="664" xr:uid="{00000000-0005-0000-0000-0000BA020000}"/>
    <cellStyle name="D_TDI1183 Media Comps 051219 Ritesh New" xfId="665" xr:uid="{00000000-0005-0000-0000-0000BB020000}"/>
    <cellStyle name="D_TDI1183 Metal &amp; Mining 051219 Anurag" xfId="666" xr:uid="{00000000-0005-0000-0000-0000BC020000}"/>
    <cellStyle name="D_TDI1183 QC SUMIT Template 051222" xfId="667" xr:uid="{00000000-0005-0000-0000-0000BD020000}"/>
    <cellStyle name="D_TDI1183 Template 051219  Ashish" xfId="668" xr:uid="{00000000-0005-0000-0000-0000BE020000}"/>
    <cellStyle name="D_TDI1183 Template 051219  Ashish QC1 Buenaventura Babneet" xfId="669" xr:uid="{00000000-0005-0000-0000-0000BF020000}"/>
    <cellStyle name="D_TDI1183 Template 051219 II Amit M" xfId="670" xr:uid="{00000000-0005-0000-0000-0000C0020000}"/>
    <cellStyle name="D_TDI1183 Template 051219 II Amit M V1" xfId="671" xr:uid="{00000000-0005-0000-0000-0000C1020000}"/>
    <cellStyle name="D_TDI1183 Template 051219 II Anurag" xfId="672" xr:uid="{00000000-0005-0000-0000-0000C2020000}"/>
    <cellStyle name="D_TDI1183 Template 051219 II Atul" xfId="673" xr:uid="{00000000-0005-0000-0000-0000C3020000}"/>
    <cellStyle name="D_TDI1183 Template 051219 II Celtic Qc1 Yogendra" xfId="674" xr:uid="{00000000-0005-0000-0000-0000C4020000}"/>
    <cellStyle name="D_TDI1183 Template 051219 II Himanshu Sahai" xfId="675" xr:uid="{00000000-0005-0000-0000-0000C5020000}"/>
    <cellStyle name="D_TDI1183 Template 051219 II Kamlesh" xfId="676" xr:uid="{00000000-0005-0000-0000-0000C6020000}"/>
    <cellStyle name="D_TDI1183 Template 051219 II Kamlesh QC1 ASSMANG, PETER HAMBRO Babneet" xfId="677" xr:uid="{00000000-0005-0000-0000-0000C7020000}"/>
    <cellStyle name="D_TDI1183 Template 051219 II Kamlesh QC1 MERAFE Babneet" xfId="678" xr:uid="{00000000-0005-0000-0000-0000C8020000}"/>
    <cellStyle name="D_TDI1183 Template 051219 II Lalit" xfId="679" xr:uid="{00000000-0005-0000-0000-0000C9020000}"/>
    <cellStyle name="D_TDI1183 Template 051219 II Mili" xfId="680" xr:uid="{00000000-0005-0000-0000-0000CA020000}"/>
    <cellStyle name="D_TDI1183 Template 051219 II Nandini" xfId="681" xr:uid="{00000000-0005-0000-0000-0000CB020000}"/>
    <cellStyle name="D_TDI1183 Template 051219 II Nitin New" xfId="682" xr:uid="{00000000-0005-0000-0000-0000CC020000}"/>
    <cellStyle name="D_TDI1183 Template 051219 II Sachin" xfId="683" xr:uid="{00000000-0005-0000-0000-0000CD020000}"/>
    <cellStyle name="D_TDI1183 Template 051219 II Vishal" xfId="684" xr:uid="{00000000-0005-0000-0000-0000CE020000}"/>
    <cellStyle name="D_TDI1183 Template 051219 II Vishal2" xfId="685" xr:uid="{00000000-0005-0000-0000-0000CF020000}"/>
    <cellStyle name="D_TDI1183 Template 051219 II Yogesh Final" xfId="686" xr:uid="{00000000-0005-0000-0000-0000D0020000}"/>
    <cellStyle name="D_TDI1183 Template 051219 Mukesh Revised II" xfId="687" xr:uid="{00000000-0005-0000-0000-0000D1020000}"/>
    <cellStyle name="D_TDI1183 Template 051219 QC1 Newcrest_Yogendra" xfId="688" xr:uid="{00000000-0005-0000-0000-0000D2020000}"/>
    <cellStyle name="D_TDI1183 Template 051220 II Himanshu Sahai" xfId="689" xr:uid="{00000000-0005-0000-0000-0000D3020000}"/>
    <cellStyle name="D_TDI1183 Template 051220 II QC1 Alcan_Yogendra" xfId="690" xr:uid="{00000000-0005-0000-0000-0000D4020000}"/>
    <cellStyle name="D_TDI1183 Template 051220 II QC1 Assore _Yogendra" xfId="691" xr:uid="{00000000-0005-0000-0000-0000D5020000}"/>
    <cellStyle name="D_TDI1183 Template 051220 II QC1 Consol_Yogendra" xfId="692" xr:uid="{00000000-0005-0000-0000-0000D6020000}"/>
    <cellStyle name="D_TDI1183 Template 051220 II QC1 Peabody_Yogendra" xfId="693" xr:uid="{00000000-0005-0000-0000-0000D7020000}"/>
    <cellStyle name="D_TDI1183 Template 051220 II QC1 Rio Tinto_Yogendra" xfId="694" xr:uid="{00000000-0005-0000-0000-0000D8020000}"/>
    <cellStyle name="D_TDI1183 Template 051220 Qc1 Abhishek" xfId="695" xr:uid="{00000000-0005-0000-0000-0000D9020000}"/>
    <cellStyle name="D_TDI1183 Template 051220 Qc1 Ritesh" xfId="696" xr:uid="{00000000-0005-0000-0000-0000DA020000}"/>
    <cellStyle name="D_TDI1212 M&amp;M Comps 060104 Part 1 Ainul" xfId="697" xr:uid="{00000000-0005-0000-0000-0000DB020000}"/>
    <cellStyle name="D_TDI1212 M&amp;M Comps 060104 Part 1 QC Anish" xfId="698" xr:uid="{00000000-0005-0000-0000-0000DC020000}"/>
    <cellStyle name="D_TDI1212 M&amp;M Comps 060104 vQC Ankur" xfId="699" xr:uid="{00000000-0005-0000-0000-0000DD020000}"/>
    <cellStyle name="D_TDI1212 M&amp;M Comps 060105 Part 1" xfId="700" xr:uid="{00000000-0005-0000-0000-0000DE020000}"/>
    <cellStyle name="D_TDI1212 M&amp;M Comps 060105 Part 1 060121 Pankaj(inludes LionOre)" xfId="701" xr:uid="{00000000-0005-0000-0000-0000DF020000}"/>
    <cellStyle name="D_TDI1212 M&amp;M Comps 060105 Part II (Precious metals &amp; Coal) " xfId="702" xr:uid="{00000000-0005-0000-0000-0000E0020000}"/>
    <cellStyle name="D_TDI1252 M&amp;M Comps 060121 Part 1" xfId="703" xr:uid="{00000000-0005-0000-0000-0000E1020000}"/>
    <cellStyle name="D_TDI1301 M&amp;M Comps 060125 Himanshu" xfId="704" xr:uid="{00000000-0005-0000-0000-0000E2020000}"/>
    <cellStyle name="D_TDI1317 Steel Comps 060130 Rajesh Garg" xfId="705" xr:uid="{00000000-0005-0000-0000-0000E3020000}"/>
    <cellStyle name="D_TDI1317 Steel Comps 060130 v Puneet" xfId="706" xr:uid="{00000000-0005-0000-0000-0000E4020000}"/>
    <cellStyle name="D_TDI1317 Steel Comps 060201v QC Manish" xfId="707" xr:uid="{00000000-0005-0000-0000-0000E5020000}"/>
    <cellStyle name="D_TDI1317 Steel Comps 060202 QC Anish" xfId="708" xr:uid="{00000000-0005-0000-0000-0000E6020000}"/>
    <cellStyle name="D_TDI1317 Steel Comps 060202 QC Consolidated 060206v1" xfId="709" xr:uid="{00000000-0005-0000-0000-0000E7020000}"/>
    <cellStyle name="D_TDI1317 Steel Comps 060202 QC Consolidated till 060204v1" xfId="710" xr:uid="{00000000-0005-0000-0000-0000E8020000}"/>
    <cellStyle name="D_TDI1317 Steel Comps 060202 v Ainul" xfId="711" xr:uid="{00000000-0005-0000-0000-0000E9020000}"/>
    <cellStyle name="D_TDI1317 Steel Comps 060203 vQC Ankur" xfId="712" xr:uid="{00000000-0005-0000-0000-0000EA020000}"/>
    <cellStyle name="D_TDI1317 Steel Comps Template 060130 Nikunj" xfId="713" xr:uid="{00000000-0005-0000-0000-0000EB020000}"/>
    <cellStyle name="D_TDI1317 Steel Comps Template 060130 Sachin" xfId="714" xr:uid="{00000000-0005-0000-0000-0000EC020000}"/>
    <cellStyle name="D_TDI1317 Steel Comps Template 060131 Ashish" xfId="715" xr:uid="{00000000-0005-0000-0000-0000ED020000}"/>
    <cellStyle name="D_TDI1318 M&amp;M Comps 060204 Aquarius Platinum Mili" xfId="716" xr:uid="{00000000-0005-0000-0000-0000EE020000}"/>
    <cellStyle name="D_TDI659 Comps File Generic Media Abhas 050615" xfId="717" xr:uid="{00000000-0005-0000-0000-0000EF020000}"/>
    <cellStyle name="Dash" xfId="718" xr:uid="{00000000-0005-0000-0000-0000F0020000}"/>
    <cellStyle name="Date" xfId="719" xr:uid="{00000000-0005-0000-0000-0000F1020000}"/>
    <cellStyle name="Date Aligned" xfId="720" xr:uid="{00000000-0005-0000-0000-0000F2020000}"/>
    <cellStyle name="Date Aligned*" xfId="721" xr:uid="{00000000-0005-0000-0000-0000F3020000}"/>
    <cellStyle name="Date Blue" xfId="722" xr:uid="{00000000-0005-0000-0000-0000F5020000}"/>
    <cellStyle name="Date Blue Bold" xfId="723" xr:uid="{00000000-0005-0000-0000-0000F6020000}"/>
    <cellStyle name="Date Green" xfId="724" xr:uid="{00000000-0005-0000-0000-0000F7020000}"/>
    <cellStyle name="Date m/d/yy" xfId="725" xr:uid="{00000000-0005-0000-0000-0000F8020000}"/>
    <cellStyle name="Date_4cny0981.xls Chart 11" xfId="726" xr:uid="{00000000-0005-0000-0000-0000F9020000}"/>
    <cellStyle name="Date1" xfId="727" xr:uid="{00000000-0005-0000-0000-0000FA020000}"/>
    <cellStyle name="date2" xfId="728" xr:uid="{00000000-0005-0000-0000-0000FB020000}"/>
    <cellStyle name="Day-Mon-Yr" xfId="729" xr:uid="{00000000-0005-0000-0000-0000FC020000}"/>
    <cellStyle name="days" xfId="730" xr:uid="{00000000-0005-0000-0000-0000FD020000}"/>
    <cellStyle name="Dec. 1-dig. (neg)" xfId="731" xr:uid="{00000000-0005-0000-0000-0000FE020000}"/>
    <cellStyle name="Dec. 1-dig. (neg) 2" xfId="732" xr:uid="{00000000-0005-0000-0000-0000FF020000}"/>
    <cellStyle name="Dec. 1-dig. (neg) 2 2" xfId="733" xr:uid="{00000000-0005-0000-0000-000000030000}"/>
    <cellStyle name="Decimal Number" xfId="734" xr:uid="{00000000-0005-0000-0000-000001030000}"/>
    <cellStyle name="Déprotégé" xfId="735" xr:uid="{00000000-0005-0000-0000-000002030000}"/>
    <cellStyle name="Dezimal 2" xfId="736" xr:uid="{00000000-0005-0000-0000-000003030000}"/>
    <cellStyle name="Dezimal 3" xfId="737" xr:uid="{00000000-0005-0000-0000-000004030000}"/>
    <cellStyle name="Dezimal 4" xfId="738" xr:uid="{00000000-0005-0000-0000-000005030000}"/>
    <cellStyle name="Dollar" xfId="739" xr:uid="{00000000-0005-0000-0000-000006030000}"/>
    <cellStyle name="Dollar1" xfId="740" xr:uid="{00000000-0005-0000-0000-000007030000}"/>
    <cellStyle name="Dollar1Blue" xfId="741" xr:uid="{00000000-0005-0000-0000-000008030000}"/>
    <cellStyle name="Dollar2" xfId="742" xr:uid="{00000000-0005-0000-0000-000009030000}"/>
    <cellStyle name="Dotted Line" xfId="743" xr:uid="{00000000-0005-0000-0000-00000A030000}"/>
    <cellStyle name="Double Accounting" xfId="744" xr:uid="{00000000-0005-0000-0000-00000B030000}"/>
    <cellStyle name="DrKW Assumption" xfId="745" xr:uid="{00000000-0005-0000-0000-00000C030000}"/>
    <cellStyle name="DrKW Standard format" xfId="746" xr:uid="{00000000-0005-0000-0000-00000D030000}"/>
    <cellStyle name="Duizenden" xfId="747" xr:uid="{00000000-0005-0000-0000-00000E030000}"/>
    <cellStyle name="dunkel" xfId="748" xr:uid="{00000000-0005-0000-0000-00000F030000}"/>
    <cellStyle name="Eingabe" xfId="1379" builtinId="20" customBuiltin="1"/>
    <cellStyle name="Equity research inputs" xfId="749" xr:uid="{00000000-0005-0000-0000-000011030000}"/>
    <cellStyle name="Ergebnis" xfId="1381" builtinId="25" customBuiltin="1"/>
    <cellStyle name="Erklärender Text" xfId="1378" builtinId="53" customBuiltin="1"/>
    <cellStyle name="Euro" xfId="750" xr:uid="{00000000-0005-0000-0000-000014030000}"/>
    <cellStyle name="Euro-" xfId="751" xr:uid="{00000000-0005-0000-0000-000015030000}"/>
    <cellStyle name="Euro 2" xfId="752" xr:uid="{00000000-0005-0000-0000-000016030000}"/>
    <cellStyle name="Euro 3" xfId="1388" xr:uid="{E7E55E77-4F17-5A4B-81B7-90649227D26A}"/>
    <cellStyle name="Euro 4" xfId="1384" xr:uid="{3CDD7FF9-E988-D649-B7BA-B58C3410CED2}"/>
    <cellStyle name="Euro_Adam_Comps" xfId="753" xr:uid="{00000000-0005-0000-0000-000017030000}"/>
    <cellStyle name="ex_ratio" xfId="754" xr:uid="{00000000-0005-0000-0000-000018030000}"/>
    <cellStyle name="F2" xfId="755" xr:uid="{00000000-0005-0000-0000-00001A030000}"/>
    <cellStyle name="F3" xfId="756" xr:uid="{00000000-0005-0000-0000-00001B030000}"/>
    <cellStyle name="F4" xfId="757" xr:uid="{00000000-0005-0000-0000-00001C030000}"/>
    <cellStyle name="F5" xfId="758" xr:uid="{00000000-0005-0000-0000-00001D030000}"/>
    <cellStyle name="F6" xfId="759" xr:uid="{00000000-0005-0000-0000-00001E030000}"/>
    <cellStyle name="F7" xfId="760" xr:uid="{00000000-0005-0000-0000-00001F030000}"/>
    <cellStyle name="F8" xfId="761" xr:uid="{00000000-0005-0000-0000-000020030000}"/>
    <cellStyle name="fact" xfId="762" xr:uid="{00000000-0005-0000-0000-000021030000}"/>
    <cellStyle name="Fat line" xfId="763" xr:uid="{00000000-0005-0000-0000-000022030000}"/>
    <cellStyle name="Fig" xfId="764" xr:uid="{00000000-0005-0000-0000-000023030000}"/>
    <cellStyle name="Fixed" xfId="765" xr:uid="{00000000-0005-0000-0000-000024030000}"/>
    <cellStyle name="Fixed [0]" xfId="766" xr:uid="{00000000-0005-0000-0000-000025030000}"/>
    <cellStyle name="Font_Actual" xfId="767" xr:uid="{00000000-0005-0000-0000-000026030000}"/>
    <cellStyle name="Footer SBILogo1" xfId="768" xr:uid="{00000000-0005-0000-0000-000027030000}"/>
    <cellStyle name="Footer SBILogo2" xfId="769" xr:uid="{00000000-0005-0000-0000-000028030000}"/>
    <cellStyle name="Footnote" xfId="770" xr:uid="{00000000-0005-0000-0000-000029030000}"/>
    <cellStyle name="Footnote Reference" xfId="771" xr:uid="{00000000-0005-0000-0000-00002A030000}"/>
    <cellStyle name="Footnote_American Axle 2005 03 303" xfId="772" xr:uid="{00000000-0005-0000-0000-00002B030000}"/>
    <cellStyle name="Forecast" xfId="773" xr:uid="{00000000-0005-0000-0000-00002C030000}"/>
    <cellStyle name="Form_Std" xfId="774" xr:uid="{00000000-0005-0000-0000-00002D030000}"/>
    <cellStyle name="Fraction 2D Blue" xfId="775" xr:uid="{00000000-0005-0000-0000-00002E030000}"/>
    <cellStyle name="Gilsans" xfId="776" xr:uid="{00000000-0005-0000-0000-00002F030000}"/>
    <cellStyle name="Gilsansl" xfId="777" xr:uid="{00000000-0005-0000-0000-000030030000}"/>
    <cellStyle name="Good" xfId="780" xr:uid="{00000000-0005-0000-0000-000031030000}"/>
    <cellStyle name="Grey" xfId="778" xr:uid="{00000000-0005-0000-0000-000032030000}"/>
    <cellStyle name="Growth" xfId="779" xr:uid="{00000000-0005-0000-0000-000033030000}"/>
    <cellStyle name="hard no" xfId="781" xr:uid="{00000000-0005-0000-0000-000035030000}"/>
    <cellStyle name="hard no." xfId="782" xr:uid="{00000000-0005-0000-0000-000036030000}"/>
    <cellStyle name="hard number format" xfId="783" xr:uid="{00000000-0005-0000-0000-000037030000}"/>
    <cellStyle name="Hard Percent" xfId="784" xr:uid="{00000000-0005-0000-0000-000038030000}"/>
    <cellStyle name="Head" xfId="785" xr:uid="{00000000-0005-0000-0000-000039030000}"/>
    <cellStyle name="Header" xfId="786" xr:uid="{00000000-0005-0000-0000-00003A030000}"/>
    <cellStyle name="Header Draft Stamp" xfId="787" xr:uid="{00000000-0005-0000-0000-00003B030000}"/>
    <cellStyle name="Header_Backup" xfId="788" xr:uid="{00000000-0005-0000-0000-00003C030000}"/>
    <cellStyle name="Header1" xfId="789" xr:uid="{00000000-0005-0000-0000-00003D030000}"/>
    <cellStyle name="Header2" xfId="790" xr:uid="{00000000-0005-0000-0000-00003E030000}"/>
    <cellStyle name="Heading 1" xfId="1252" xr:uid="{00000000-0005-0000-0000-00003F030000}"/>
    <cellStyle name="Heading 1 Above" xfId="791" xr:uid="{00000000-0005-0000-0000-000040030000}"/>
    <cellStyle name="Heading 1+" xfId="792" xr:uid="{00000000-0005-0000-0000-000041030000}"/>
    <cellStyle name="Heading 2" xfId="1253" xr:uid="{00000000-0005-0000-0000-000042030000}"/>
    <cellStyle name="Heading 2 Below" xfId="793" xr:uid="{00000000-0005-0000-0000-000043030000}"/>
    <cellStyle name="Heading 2+" xfId="794" xr:uid="{00000000-0005-0000-0000-000044030000}"/>
    <cellStyle name="Heading 3" xfId="1254" xr:uid="{00000000-0005-0000-0000-000045030000}"/>
    <cellStyle name="Heading 3+" xfId="795" xr:uid="{00000000-0005-0000-0000-000046030000}"/>
    <cellStyle name="Heading 4" xfId="1255" xr:uid="{00000000-0005-0000-0000-000047030000}"/>
    <cellStyle name="Heading Left" xfId="796" xr:uid="{00000000-0005-0000-0000-000048030000}"/>
    <cellStyle name="Heading Right" xfId="797" xr:uid="{00000000-0005-0000-0000-000049030000}"/>
    <cellStyle name="Heading1" xfId="798" xr:uid="{00000000-0005-0000-0000-00004A030000}"/>
    <cellStyle name="Heading2" xfId="799" xr:uid="{00000000-0005-0000-0000-00004B030000}"/>
    <cellStyle name="HeadingS" xfId="800" xr:uid="{00000000-0005-0000-0000-00004C030000}"/>
    <cellStyle name="hell" xfId="801" xr:uid="{00000000-0005-0000-0000-00004D030000}"/>
    <cellStyle name="Hidden" xfId="802" xr:uid="{00000000-0005-0000-0000-00004E030000}"/>
    <cellStyle name="Highlight" xfId="803" xr:uid="{00000000-0005-0000-0000-00004F030000}"/>
    <cellStyle name="History" xfId="804" xr:uid="{00000000-0005-0000-0000-000050030000}"/>
    <cellStyle name="Hyperlink 2" xfId="805" xr:uid="{00000000-0005-0000-0000-000051030000}"/>
    <cellStyle name="Hyperlink 3" xfId="806" xr:uid="{00000000-0005-0000-0000-000052030000}"/>
    <cellStyle name="IncomeStatement" xfId="807" xr:uid="{00000000-0005-0000-0000-000053030000}"/>
    <cellStyle name="Input (%)" xfId="808" xr:uid="{00000000-0005-0000-0000-000055030000}"/>
    <cellStyle name="Input (£m)" xfId="809" xr:uid="{00000000-0005-0000-0000-000056030000}"/>
    <cellStyle name="Input (No)" xfId="810" xr:uid="{00000000-0005-0000-0000-000057030000}"/>
    <cellStyle name="Input (x)" xfId="811" xr:uid="{00000000-0005-0000-0000-000058030000}"/>
    <cellStyle name="Input (yellow)" xfId="812" xr:uid="{00000000-0005-0000-0000-000059030000}"/>
    <cellStyle name="Input [yellow]" xfId="813" xr:uid="{00000000-0005-0000-0000-00005A030000}"/>
    <cellStyle name="Input Currency" xfId="814" xr:uid="{00000000-0005-0000-0000-00005B030000}"/>
    <cellStyle name="Input Currency 2" xfId="815" xr:uid="{00000000-0005-0000-0000-00005C030000}"/>
    <cellStyle name="Input Currency_AMERICAN TOWER" xfId="816" xr:uid="{00000000-0005-0000-0000-00005D030000}"/>
    <cellStyle name="Input Multiple" xfId="817" xr:uid="{00000000-0005-0000-0000-00005E030000}"/>
    <cellStyle name="Input Percent" xfId="818" xr:uid="{00000000-0005-0000-0000-00005F030000}"/>
    <cellStyle name="Input1" xfId="819" xr:uid="{00000000-0005-0000-0000-000061030000}"/>
    <cellStyle name="InputBlueFont" xfId="820" xr:uid="{00000000-0005-0000-0000-000062030000}"/>
    <cellStyle name="InputCurrency" xfId="821" xr:uid="{00000000-0005-0000-0000-000063030000}"/>
    <cellStyle name="InputCurrency2" xfId="822" xr:uid="{00000000-0005-0000-0000-000064030000}"/>
    <cellStyle name="InputDateDMth" xfId="823" xr:uid="{00000000-0005-0000-0000-000065030000}"/>
    <cellStyle name="InputDateNorm" xfId="824" xr:uid="{00000000-0005-0000-0000-000066030000}"/>
    <cellStyle name="InputMultiple1" xfId="825" xr:uid="{00000000-0005-0000-0000-000067030000}"/>
    <cellStyle name="InputPercent1" xfId="826" xr:uid="{00000000-0005-0000-0000-000068030000}"/>
    <cellStyle name="inputs" xfId="827" xr:uid="{00000000-0005-0000-0000-000069030000}"/>
    <cellStyle name="InputUlineNumeric" xfId="828" xr:uid="{00000000-0005-0000-0000-00006A030000}"/>
    <cellStyle name="Invisible" xfId="829" xr:uid="{00000000-0005-0000-0000-00006B030000}"/>
    <cellStyle name="Item" xfId="830" xr:uid="{00000000-0005-0000-0000-00006C030000}"/>
    <cellStyle name="ItemTypeClass" xfId="831" xr:uid="{00000000-0005-0000-0000-00006D030000}"/>
    <cellStyle name="Komma" xfId="1398" builtinId="3"/>
    <cellStyle name="Komma [0]_Blad1" xfId="832" xr:uid="{00000000-0005-0000-0000-00006E030000}"/>
    <cellStyle name="Komma 2" xfId="1383" xr:uid="{0E173B83-911A-534C-B676-77CFE96548E6}"/>
    <cellStyle name="Komma 5" xfId="1386" xr:uid="{59ACFD6B-14E5-DC40-ACC7-5FCBAC0664E6}"/>
    <cellStyle name="Komma 6" xfId="1390" xr:uid="{5B7407DD-9EDB-364A-8665-3998FE108C73}"/>
    <cellStyle name="Lable8Left" xfId="833" xr:uid="{00000000-0005-0000-0000-00006F030000}"/>
    <cellStyle name="Left Line" xfId="834" xr:uid="{00000000-0005-0000-0000-000070030000}"/>
    <cellStyle name="Leftborder" xfId="835" xr:uid="{00000000-0005-0000-0000-000071030000}"/>
    <cellStyle name="LeftSubtitle" xfId="836" xr:uid="{00000000-0005-0000-0000-000072030000}"/>
    <cellStyle name="Lien hypertexte" xfId="837" xr:uid="{00000000-0005-0000-0000-000073030000}"/>
    <cellStyle name="Lien hypertexte visité_Projet Epices - BP 020604 v3" xfId="838" xr:uid="{00000000-0005-0000-0000-000074030000}"/>
    <cellStyle name="Lien hypertexte_Profils Anglais" xfId="839" xr:uid="{00000000-0005-0000-0000-000075030000}"/>
    <cellStyle name="ligne_detail" xfId="840" xr:uid="{00000000-0005-0000-0000-000076030000}"/>
    <cellStyle name="Link" xfId="1399" builtinId="8"/>
    <cellStyle name="Linked Cell" xfId="1270" xr:uid="{00000000-0005-0000-0000-000078030000}"/>
    <cellStyle name="m" xfId="841" xr:uid="{00000000-0005-0000-0000-000079030000}"/>
    <cellStyle name="m_JNY model 6-6-2006" xfId="842" xr:uid="{00000000-0005-0000-0000-00007A030000}"/>
    <cellStyle name="m_MMC trading comp" xfId="843" xr:uid="{00000000-0005-0000-0000-00007B030000}"/>
    <cellStyle name="m_Project World Series Financials" xfId="844" xr:uid="{00000000-0005-0000-0000-00007C030000}"/>
    <cellStyle name="m_WACC" xfId="845" xr:uid="{00000000-0005-0000-0000-00007D030000}"/>
    <cellStyle name="MacroCode" xfId="846" xr:uid="{00000000-0005-0000-0000-00007E030000}"/>
    <cellStyle name="Magic" xfId="847" xr:uid="{00000000-0005-0000-0000-00007F030000}"/>
    <cellStyle name="Major item" xfId="848" xr:uid="{00000000-0005-0000-0000-000080030000}"/>
    <cellStyle name="Map Distance" xfId="849" xr:uid="{00000000-0005-0000-0000-000081030000}"/>
    <cellStyle name="Map Labels" xfId="850" xr:uid="{00000000-0005-0000-0000-000082030000}"/>
    <cellStyle name="Map Legend" xfId="851" xr:uid="{00000000-0005-0000-0000-000083030000}"/>
    <cellStyle name="Map Title" xfId="852" xr:uid="{00000000-0005-0000-0000-000084030000}"/>
    <cellStyle name="Margin with x [1]" xfId="853" xr:uid="{00000000-0005-0000-0000-000085030000}"/>
    <cellStyle name="Margin without x [1]" xfId="854" xr:uid="{00000000-0005-0000-0000-000086030000}"/>
    <cellStyle name="Margins" xfId="855" xr:uid="{00000000-0005-0000-0000-000087030000}"/>
    <cellStyle name="masag" xfId="856" xr:uid="{00000000-0005-0000-0000-000088030000}"/>
    <cellStyle name="memo" xfId="857" xr:uid="{00000000-0005-0000-0000-000089030000}"/>
    <cellStyle name="MF" xfId="858" xr:uid="{00000000-0005-0000-0000-00008A030000}"/>
    <cellStyle name="Mike" xfId="859" xr:uid="{00000000-0005-0000-0000-00008B030000}"/>
    <cellStyle name="mil" xfId="860" xr:uid="{00000000-0005-0000-0000-00008C030000}"/>
    <cellStyle name="Millares [0]_Fondos Propios" xfId="861" xr:uid="{00000000-0005-0000-0000-00008D030000}"/>
    <cellStyle name="Millares_Fondos Propios" xfId="862" xr:uid="{00000000-0005-0000-0000-00008E030000}"/>
    <cellStyle name="Milliers [0]_55 96" xfId="863" xr:uid="{00000000-0005-0000-0000-00008F030000}"/>
    <cellStyle name="Milliers_55 96" xfId="864" xr:uid="{00000000-0005-0000-0000-000090030000}"/>
    <cellStyle name="millions" xfId="865" xr:uid="{00000000-0005-0000-0000-000091030000}"/>
    <cellStyle name="millions ($)" xfId="866" xr:uid="{00000000-0005-0000-0000-000092030000}"/>
    <cellStyle name="millions (no dec.)" xfId="867" xr:uid="{00000000-0005-0000-0000-000093030000}"/>
    <cellStyle name="millions_EutelSat.(2.18.01)" xfId="868" xr:uid="{00000000-0005-0000-0000-000094030000}"/>
    <cellStyle name="Mine" xfId="869" xr:uid="{00000000-0005-0000-0000-000095030000}"/>
    <cellStyle name="mkt.dat" xfId="870" xr:uid="{00000000-0005-0000-0000-000096030000}"/>
    <cellStyle name="Moneda [0]_Fondos Propios" xfId="871" xr:uid="{00000000-0005-0000-0000-000097030000}"/>
    <cellStyle name="Moneda_Fondos Propios" xfId="872" xr:uid="{00000000-0005-0000-0000-000098030000}"/>
    <cellStyle name="Monétaire [0]_55 96" xfId="873" xr:uid="{00000000-0005-0000-0000-000099030000}"/>
    <cellStyle name="Monétaire_55 96" xfId="874" xr:uid="{00000000-0005-0000-0000-00009A030000}"/>
    <cellStyle name="Mon-Yr" xfId="875" xr:uid="{00000000-0005-0000-0000-00009B030000}"/>
    <cellStyle name="mult" xfId="876" xr:uid="{00000000-0005-0000-0000-00009C030000}"/>
    <cellStyle name="Multiple" xfId="877" xr:uid="{00000000-0005-0000-0000-00009D030000}"/>
    <cellStyle name="Multiple 1D Black" xfId="878" xr:uid="{00000000-0005-0000-0000-00009E030000}"/>
    <cellStyle name="Multiple 1D Blue" xfId="879" xr:uid="{00000000-0005-0000-0000-00009F030000}"/>
    <cellStyle name="Multiple 1D Green" xfId="880" xr:uid="{00000000-0005-0000-0000-0000A0030000}"/>
    <cellStyle name="Multiple 2D" xfId="881" xr:uid="{00000000-0005-0000-0000-0000A1030000}"/>
    <cellStyle name="Multiple 2D Black" xfId="882" xr:uid="{00000000-0005-0000-0000-0000A2030000}"/>
    <cellStyle name="Multiple 2D Black Bold" xfId="883" xr:uid="{00000000-0005-0000-0000-0000A3030000}"/>
    <cellStyle name="Multiple_American Axle 2005 03 303" xfId="884" xr:uid="{00000000-0005-0000-0000-0000A4030000}"/>
    <cellStyle name="Multiple1" xfId="885" xr:uid="{00000000-0005-0000-0000-0000A5030000}"/>
    <cellStyle name="MultipleBelow" xfId="886" xr:uid="{00000000-0005-0000-0000-0000A6030000}"/>
    <cellStyle name="Multiples" xfId="887" xr:uid="{00000000-0005-0000-0000-0000A7030000}"/>
    <cellStyle name="n" xfId="888" xr:uid="{00000000-0005-0000-0000-0000A8030000}"/>
    <cellStyle name="N/A" xfId="889" xr:uid="{00000000-0005-0000-0000-0000A9030000}"/>
    <cellStyle name="Neutral" xfId="890" builtinId="28" customBuiltin="1"/>
    <cellStyle name="NewColumnHeaderNormal" xfId="891" xr:uid="{00000000-0005-0000-0000-0000AB030000}"/>
    <cellStyle name="NewPeso" xfId="892" xr:uid="{00000000-0005-0000-0000-0000AC030000}"/>
    <cellStyle name="NewSectionHeaderNormal" xfId="893" xr:uid="{00000000-0005-0000-0000-0000AD030000}"/>
    <cellStyle name="NewTitleNormal" xfId="894" xr:uid="{00000000-0005-0000-0000-0000AE030000}"/>
    <cellStyle name="NO" xfId="895" xr:uid="{00000000-0005-0000-0000-0000AF030000}"/>
    <cellStyle name="no dec" xfId="896" xr:uid="{00000000-0005-0000-0000-0000B0030000}"/>
    <cellStyle name="nomral" xfId="897" xr:uid="{00000000-0005-0000-0000-0000B1030000}"/>
    <cellStyle name="norma" xfId="898" xr:uid="{00000000-0005-0000-0000-0000B2030000}"/>
    <cellStyle name="normail" xfId="899" xr:uid="{00000000-0005-0000-0000-0000B3030000}"/>
    <cellStyle name="normal'" xfId="900" xr:uid="{00000000-0005-0000-0000-0000B4030000}"/>
    <cellStyle name="Normal - Style1" xfId="901" xr:uid="{00000000-0005-0000-0000-0000B5030000}"/>
    <cellStyle name="Normal (%)" xfId="902" xr:uid="{00000000-0005-0000-0000-0000B6030000}"/>
    <cellStyle name="Normal (£m)" xfId="903" xr:uid="{00000000-0005-0000-0000-0000B7030000}"/>
    <cellStyle name="Normal (No)" xfId="904" xr:uid="{00000000-0005-0000-0000-0000B8030000}"/>
    <cellStyle name="Normal (x)" xfId="905" xr:uid="{00000000-0005-0000-0000-0000B9030000}"/>
    <cellStyle name="Normal [2]" xfId="906" xr:uid="{00000000-0005-0000-0000-0000BA030000}"/>
    <cellStyle name="Normal 2" xfId="1394" xr:uid="{8A259B86-A874-2F44-8654-2AE78C59D8D5}"/>
    <cellStyle name="Normal 3" xfId="1401" xr:uid="{72D40D0C-6441-4EB1-B54A-AE0DF611E202}"/>
    <cellStyle name="Normal 4" xfId="1403" xr:uid="{0A51CF88-CF51-477B-AE4B-17D4C4E455A5}"/>
    <cellStyle name="Normal 4 2" xfId="1406" xr:uid="{16CA0B08-CC40-4624-BDE5-15700ADBEE4F}"/>
    <cellStyle name="Normal 5" xfId="1405" xr:uid="{E8E2244C-4583-4516-9BF0-3C2D80A39DA2}"/>
    <cellStyle name="Normal_HSG Case_DCF_151101_v15" xfId="907" xr:uid="{00000000-0005-0000-0000-0000BC030000}"/>
    <cellStyle name="Normal2" xfId="908" xr:uid="{00000000-0005-0000-0000-0000BD030000}"/>
    <cellStyle name="normal3" xfId="909" xr:uid="{00000000-0005-0000-0000-0000BE030000}"/>
    <cellStyle name="NormalGB" xfId="910" xr:uid="{00000000-0005-0000-0000-0000BF030000}"/>
    <cellStyle name="Note" xfId="912" xr:uid="{00000000-0005-0000-0000-0000C0030000}"/>
    <cellStyle name="Notes" xfId="911" xr:uid="{00000000-0005-0000-0000-0000C1030000}"/>
    <cellStyle name="nromal" xfId="913" xr:uid="{00000000-0005-0000-0000-0000C3030000}"/>
    <cellStyle name="Num 0D Black" xfId="914" xr:uid="{00000000-0005-0000-0000-0000C4030000}"/>
    <cellStyle name="Num 0D Black Bold" xfId="915" xr:uid="{00000000-0005-0000-0000-0000C5030000}"/>
    <cellStyle name="Num 0D Blue" xfId="916" xr:uid="{00000000-0005-0000-0000-0000C6030000}"/>
    <cellStyle name="Num 0D Green" xfId="917" xr:uid="{00000000-0005-0000-0000-0000C7030000}"/>
    <cellStyle name="Num 0D Green Bold" xfId="918" xr:uid="{00000000-0005-0000-0000-0000C8030000}"/>
    <cellStyle name="Num 1D Black" xfId="919" xr:uid="{00000000-0005-0000-0000-0000C9030000}"/>
    <cellStyle name="Num 1D Black 1B" xfId="920" xr:uid="{00000000-0005-0000-0000-0000CA030000}"/>
    <cellStyle name="Num 1D Black 1T" xfId="921" xr:uid="{00000000-0005-0000-0000-0000CB030000}"/>
    <cellStyle name="Num 1D Black Bold" xfId="922" xr:uid="{00000000-0005-0000-0000-0000CC030000}"/>
    <cellStyle name="Num 1D Blue" xfId="923" xr:uid="{00000000-0005-0000-0000-0000CD030000}"/>
    <cellStyle name="Num 1D Blue 1B" xfId="924" xr:uid="{00000000-0005-0000-0000-0000CE030000}"/>
    <cellStyle name="Num 1D Blue Bold" xfId="925" xr:uid="{00000000-0005-0000-0000-0000CF030000}"/>
    <cellStyle name="Num 1D Greem" xfId="926" xr:uid="{00000000-0005-0000-0000-0000D0030000}"/>
    <cellStyle name="Num 1D Green 1B" xfId="927" xr:uid="{00000000-0005-0000-0000-0000D1030000}"/>
    <cellStyle name="Num 1D Red" xfId="928" xr:uid="{00000000-0005-0000-0000-0000D2030000}"/>
    <cellStyle name="Num 2D Black" xfId="929" xr:uid="{00000000-0005-0000-0000-0000D3030000}"/>
    <cellStyle name="Num 2D Blue" xfId="930" xr:uid="{00000000-0005-0000-0000-0000D4030000}"/>
    <cellStyle name="Num 3D Black" xfId="931" xr:uid="{00000000-0005-0000-0000-0000D5030000}"/>
    <cellStyle name="Num 3D Black 1B" xfId="932" xr:uid="{00000000-0005-0000-0000-0000D6030000}"/>
    <cellStyle name="Num 3D Blue" xfId="933" xr:uid="{00000000-0005-0000-0000-0000D7030000}"/>
    <cellStyle name="Num 4D Black" xfId="934" xr:uid="{00000000-0005-0000-0000-0000D8030000}"/>
    <cellStyle name="Num 6D Black" xfId="935" xr:uid="{00000000-0005-0000-0000-0000D9030000}"/>
    <cellStyle name="Num_Date" xfId="936" xr:uid="{00000000-0005-0000-0000-0000DA030000}"/>
    <cellStyle name="Num0Un" xfId="937" xr:uid="{00000000-0005-0000-0000-0000DB030000}"/>
    <cellStyle name="Num1" xfId="938" xr:uid="{00000000-0005-0000-0000-0000DC030000}"/>
    <cellStyle name="Num1Blue" xfId="939" xr:uid="{00000000-0005-0000-0000-0000DD030000}"/>
    <cellStyle name="Num2" xfId="940" xr:uid="{00000000-0005-0000-0000-0000DE030000}"/>
    <cellStyle name="Num2Un" xfId="941" xr:uid="{00000000-0005-0000-0000-0000DF030000}"/>
    <cellStyle name="number" xfId="942" xr:uid="{00000000-0005-0000-0000-0000E0030000}"/>
    <cellStyle name="Numbers" xfId="943" xr:uid="{00000000-0005-0000-0000-0000E1030000}"/>
    <cellStyle name="Numbers - Bold - Italic" xfId="944" xr:uid="{00000000-0005-0000-0000-0000E2030000}"/>
    <cellStyle name="Numbers_LBO" xfId="945" xr:uid="{00000000-0005-0000-0000-0000E3030000}"/>
    <cellStyle name="of" xfId="946" xr:uid="{00000000-0005-0000-0000-0000E4030000}"/>
    <cellStyle name="-Ombrage Jaune" xfId="947" xr:uid="{00000000-0005-0000-0000-0000E5030000}"/>
    <cellStyle name="one dec_ten" xfId="948" xr:uid="{00000000-0005-0000-0000-0000E6030000}"/>
    <cellStyle name="one_dec" xfId="949" xr:uid="{00000000-0005-0000-0000-0000E7030000}"/>
    <cellStyle name="OnOff" xfId="950" xr:uid="{00000000-0005-0000-0000-0000E8030000}"/>
    <cellStyle name="Output Amounts" xfId="951" xr:uid="{00000000-0005-0000-0000-0000EA030000}"/>
    <cellStyle name="Output Column Headings" xfId="952" xr:uid="{00000000-0005-0000-0000-0000EB030000}"/>
    <cellStyle name="Output Line Items" xfId="953" xr:uid="{00000000-0005-0000-0000-0000EC030000}"/>
    <cellStyle name="Output Report Heading" xfId="954" xr:uid="{00000000-0005-0000-0000-0000ED030000}"/>
    <cellStyle name="Output Report Title" xfId="955" xr:uid="{00000000-0005-0000-0000-0000EE030000}"/>
    <cellStyle name="Output1" xfId="956" xr:uid="{00000000-0005-0000-0000-0000EF030000}"/>
    <cellStyle name="p" xfId="957" xr:uid="{00000000-0005-0000-0000-0000F0030000}"/>
    <cellStyle name="p_6bny1016" xfId="958" xr:uid="{00000000-0005-0000-0000-0000F1030000}"/>
    <cellStyle name="p_Book4" xfId="959" xr:uid="{00000000-0005-0000-0000-0000F2030000}"/>
    <cellStyle name="p_CPN-Model_05" xfId="960" xr:uid="{00000000-0005-0000-0000-0000F3030000}"/>
    <cellStyle name="p_DCF" xfId="961" xr:uid="{00000000-0005-0000-0000-0000F4030000}"/>
    <cellStyle name="p_DCF_Book4" xfId="962" xr:uid="{00000000-0005-0000-0000-0000F5030000}"/>
    <cellStyle name="p_DCF_CPN-Model_05" xfId="963" xr:uid="{00000000-0005-0000-0000-0000F6030000}"/>
    <cellStyle name="p_DCF_ExideModel1" xfId="964" xr:uid="{00000000-0005-0000-0000-0000F7030000}"/>
    <cellStyle name="p_DCF_FLM Model 6" xfId="965" xr:uid="{00000000-0005-0000-0000-0000F8030000}"/>
    <cellStyle name="p_DCF_FNVComps1" xfId="966" xr:uid="{00000000-0005-0000-0000-0000F9030000}"/>
    <cellStyle name="p_DCF_FNVComps1_Book4" xfId="967" xr:uid="{00000000-0005-0000-0000-0000FA030000}"/>
    <cellStyle name="p_DCF_FNVComps1_CPN-Model_05" xfId="968" xr:uid="{00000000-0005-0000-0000-0000FB030000}"/>
    <cellStyle name="p_DCF_FNVComps1_FLM Model 6" xfId="969" xr:uid="{00000000-0005-0000-0000-0000FC030000}"/>
    <cellStyle name="p_DCF_FNVComps1_HWD Model 2" xfId="970" xr:uid="{00000000-0005-0000-0000-0000FD030000}"/>
    <cellStyle name="p_DCF_FNVComps1_MIR-Model_01" xfId="971" xr:uid="{00000000-0005-0000-0000-0000FE030000}"/>
    <cellStyle name="p_DCF_HWD Model 2" xfId="972" xr:uid="{00000000-0005-0000-0000-0000FF030000}"/>
    <cellStyle name="p_DCF_MIR-Model_01" xfId="973" xr:uid="{00000000-0005-0000-0000-000000040000}"/>
    <cellStyle name="p_DCF_Owens 11.27.00" xfId="974" xr:uid="{00000000-0005-0000-0000-000001040000}"/>
    <cellStyle name="p_ExideModel1" xfId="975" xr:uid="{00000000-0005-0000-0000-000002040000}"/>
    <cellStyle name="p_FLM Model 6" xfId="976" xr:uid="{00000000-0005-0000-0000-000003040000}"/>
    <cellStyle name="p_FNVComps1" xfId="977" xr:uid="{00000000-0005-0000-0000-000004040000}"/>
    <cellStyle name="p_FNVComps1_Book4" xfId="978" xr:uid="{00000000-0005-0000-0000-000005040000}"/>
    <cellStyle name="p_FNVComps1_CPN-Model_05" xfId="979" xr:uid="{00000000-0005-0000-0000-000006040000}"/>
    <cellStyle name="p_FNVComps1_FLM Model 6" xfId="980" xr:uid="{00000000-0005-0000-0000-000007040000}"/>
    <cellStyle name="p_FNVComps1_HWD Model 2" xfId="981" xr:uid="{00000000-0005-0000-0000-000008040000}"/>
    <cellStyle name="p_FNVComps1_MIR-Model_01" xfId="982" xr:uid="{00000000-0005-0000-0000-000009040000}"/>
    <cellStyle name="p_HWD Model 2" xfId="983" xr:uid="{00000000-0005-0000-0000-00000A040000}"/>
    <cellStyle name="p_LBO" xfId="984" xr:uid="{00000000-0005-0000-0000-00000B040000}"/>
    <cellStyle name="p_LBO Model - Scottish Power 061115 (Public)" xfId="985" xr:uid="{00000000-0005-0000-0000-00000C040000}"/>
    <cellStyle name="p_MIR-Model_01" xfId="986" xr:uid="{00000000-0005-0000-0000-00000D040000}"/>
    <cellStyle name="p_Owens 11.27.00" xfId="987" xr:uid="{00000000-0005-0000-0000-00000E040000}"/>
    <cellStyle name="p_WACC" xfId="988" xr:uid="{00000000-0005-0000-0000-00000F040000}"/>
    <cellStyle name="Page header" xfId="989" xr:uid="{00000000-0005-0000-0000-000010040000}"/>
    <cellStyle name="Page Heading" xfId="990" xr:uid="{00000000-0005-0000-0000-000011040000}"/>
    <cellStyle name="Page Heading Large" xfId="991" xr:uid="{00000000-0005-0000-0000-000012040000}"/>
    <cellStyle name="Page Heading Small" xfId="992" xr:uid="{00000000-0005-0000-0000-000013040000}"/>
    <cellStyle name="Page Number" xfId="993" xr:uid="{00000000-0005-0000-0000-000014040000}"/>
    <cellStyle name="Pageheader" xfId="994" xr:uid="{00000000-0005-0000-0000-000015040000}"/>
    <cellStyle name="parité" xfId="995" xr:uid="{00000000-0005-0000-0000-000016040000}"/>
    <cellStyle name="Pattern_Forecast" xfId="996" xr:uid="{00000000-0005-0000-0000-000017040000}"/>
    <cellStyle name="pb_table_format_total" xfId="997" xr:uid="{00000000-0005-0000-0000-000018040000}"/>
    <cellStyle name="pcent" xfId="998" xr:uid="{00000000-0005-0000-0000-000019040000}"/>
    <cellStyle name="Per aandeel" xfId="999" xr:uid="{00000000-0005-0000-0000-00001A040000}"/>
    <cellStyle name="Per cent 2" xfId="1396" xr:uid="{C8CE2BDA-C10E-8B43-97F4-B973A936A9AA}"/>
    <cellStyle name="Perc1" xfId="1000" xr:uid="{00000000-0005-0000-0000-00001B040000}"/>
    <cellStyle name="percemt" xfId="1001" xr:uid="{00000000-0005-0000-0000-00001C040000}"/>
    <cellStyle name="Percent [2]" xfId="1002" xr:uid="{00000000-0005-0000-0000-00001D040000}"/>
    <cellStyle name="Percent 1D" xfId="1003" xr:uid="{00000000-0005-0000-0000-00001E040000}"/>
    <cellStyle name="Percent 1D Blue" xfId="1004" xr:uid="{00000000-0005-0000-0000-00001F040000}"/>
    <cellStyle name="Percent 1D Blue 8P" xfId="1005" xr:uid="{00000000-0005-0000-0000-000020040000}"/>
    <cellStyle name="Percent 1D Green" xfId="1006" xr:uid="{00000000-0005-0000-0000-000021040000}"/>
    <cellStyle name="Percent 2D Black" xfId="1007" xr:uid="{00000000-0005-0000-0000-000022040000}"/>
    <cellStyle name="Percent 2D Black Bold" xfId="1008" xr:uid="{00000000-0005-0000-0000-000023040000}"/>
    <cellStyle name="Percent 2D Blue" xfId="1009" xr:uid="{00000000-0005-0000-0000-000024040000}"/>
    <cellStyle name="Percent 3D Black" xfId="1010" xr:uid="{00000000-0005-0000-0000-000025040000}"/>
    <cellStyle name="Percent 3D Blue" xfId="1011" xr:uid="{00000000-0005-0000-0000-000026040000}"/>
    <cellStyle name="Percent 4D Blue" xfId="1012" xr:uid="{00000000-0005-0000-0000-000027040000}"/>
    <cellStyle name="Percent Decimal" xfId="1013" xr:uid="{00000000-0005-0000-0000-000028040000}"/>
    <cellStyle name="Percent Hard" xfId="1014" xr:uid="{00000000-0005-0000-0000-000029040000}"/>
    <cellStyle name="Percent Input" xfId="1015" xr:uid="{00000000-0005-0000-0000-00002A040000}"/>
    <cellStyle name="Percent[i]" xfId="1016" xr:uid="{00000000-0005-0000-0000-00002B040000}"/>
    <cellStyle name="Percent1" xfId="1017" xr:uid="{00000000-0005-0000-0000-00002D040000}"/>
    <cellStyle name="Percent1Blue" xfId="1018" xr:uid="{00000000-0005-0000-0000-00002E040000}"/>
    <cellStyle name="Percent2" xfId="1019" xr:uid="{00000000-0005-0000-0000-00002F040000}"/>
    <cellStyle name="Percent2Blue" xfId="1020" xr:uid="{00000000-0005-0000-0000-000030040000}"/>
    <cellStyle name="PercentChange" xfId="1021" xr:uid="{00000000-0005-0000-0000-000031040000}"/>
    <cellStyle name="percnet" xfId="1022" xr:uid="{00000000-0005-0000-0000-000032040000}"/>
    <cellStyle name="pound" xfId="1023" xr:uid="{00000000-0005-0000-0000-000033040000}"/>
    <cellStyle name="prcie" xfId="1024" xr:uid="{00000000-0005-0000-0000-000034040000}"/>
    <cellStyle name="Precentnumber" xfId="1025" xr:uid="{00000000-0005-0000-0000-000035040000}"/>
    <cellStyle name="Price" xfId="1026" xr:uid="{00000000-0005-0000-0000-000036040000}"/>
    <cellStyle name="PriceUn" xfId="1027" xr:uid="{00000000-0005-0000-0000-000037040000}"/>
    <cellStyle name="Procenten" xfId="1028" xr:uid="{00000000-0005-0000-0000-000038040000}"/>
    <cellStyle name="Procenten estimate" xfId="1029" xr:uid="{00000000-0005-0000-0000-000039040000}"/>
    <cellStyle name="Procenten_EMI" xfId="1030" xr:uid="{00000000-0005-0000-0000-00003A040000}"/>
    <cellStyle name="PROJECT" xfId="1031" xr:uid="{00000000-0005-0000-0000-00003B040000}"/>
    <cellStyle name="PROJECT R" xfId="1032" xr:uid="{00000000-0005-0000-0000-00003C040000}"/>
    <cellStyle name="Prozent" xfId="1033" builtinId="5"/>
    <cellStyle name="Prozent 2" xfId="1034" xr:uid="{00000000-0005-0000-0000-00003E040000}"/>
    <cellStyle name="Prozent 2 2" xfId="1035" xr:uid="{00000000-0005-0000-0000-00003F040000}"/>
    <cellStyle name="Prozent 2 3" xfId="1036" xr:uid="{00000000-0005-0000-0000-000040040000}"/>
    <cellStyle name="Prozent 3" xfId="1358" xr:uid="{00000000-0005-0000-0000-000041040000}"/>
    <cellStyle name="Prozent_2010-06-22_DCF Model_SJ (3)" xfId="1356" xr:uid="{00000000-0005-0000-0000-000042040000}"/>
    <cellStyle name="PSChar" xfId="1037" xr:uid="{00000000-0005-0000-0000-000043040000}"/>
    <cellStyle name="PSDate" xfId="1038" xr:uid="{00000000-0005-0000-0000-000044040000}"/>
    <cellStyle name="PSDec" xfId="1039" xr:uid="{00000000-0005-0000-0000-000045040000}"/>
    <cellStyle name="PSHeading" xfId="1040" xr:uid="{00000000-0005-0000-0000-000046040000}"/>
    <cellStyle name="PSInt" xfId="1041" xr:uid="{00000000-0005-0000-0000-000047040000}"/>
    <cellStyle name="PSSpacer" xfId="1042" xr:uid="{00000000-0005-0000-0000-000048040000}"/>
    <cellStyle name="Ratio" xfId="1043" xr:uid="{00000000-0005-0000-0000-000049040000}"/>
    <cellStyle name="Red" xfId="1044" xr:uid="{00000000-0005-0000-0000-00004A040000}"/>
    <cellStyle name="Red Text" xfId="1045" xr:uid="{00000000-0005-0000-0000-00004B040000}"/>
    <cellStyle name="RightTitle" xfId="1046" xr:uid="{00000000-0005-0000-0000-00004C040000}"/>
    <cellStyle name="rod" xfId="1047" xr:uid="{00000000-0005-0000-0000-00004D040000}"/>
    <cellStyle name="RowHeader" xfId="1048" xr:uid="{00000000-0005-0000-0000-00004E040000}"/>
    <cellStyle name="s" xfId="1049" xr:uid="{00000000-0005-0000-0000-00004F040000}"/>
    <cellStyle name="S%" xfId="1050" xr:uid="{00000000-0005-0000-0000-000050040000}"/>
    <cellStyle name="s_HardInc " xfId="1051" xr:uid="{00000000-0005-0000-0000-000051040000}"/>
    <cellStyle name="s_Valuation " xfId="1052" xr:uid="{00000000-0005-0000-0000-000052040000}"/>
    <cellStyle name="s_Valuation _Book2" xfId="1053" xr:uid="{00000000-0005-0000-0000-000053040000}"/>
    <cellStyle name="s_Valuation _TTS" xfId="1054" xr:uid="{00000000-0005-0000-0000-000054040000}"/>
    <cellStyle name="s_Valuation _TTS_Worksheet_2010-5-5" xfId="1055" xr:uid="{00000000-0005-0000-0000-000055040000}"/>
    <cellStyle name="s_Valuation _TTS_Worksheet_2010-5-6" xfId="1056" xr:uid="{00000000-0005-0000-0000-000056040000}"/>
    <cellStyle name="s_Valuation _TTS_Worksheet_v3.00" xfId="1057" xr:uid="{00000000-0005-0000-0000-000057040000}"/>
    <cellStyle name="s_Valuation _TTS-LBO_TEMPLATE_v1.0d" xfId="1058" xr:uid="{00000000-0005-0000-0000-000058040000}"/>
    <cellStyle name="Salomon Logo" xfId="1059" xr:uid="{00000000-0005-0000-0000-000059040000}"/>
    <cellStyle name="SComment" xfId="1061" xr:uid="{00000000-0005-0000-0000-00005B040000}"/>
    <cellStyle name="ScotchRule" xfId="1062" xr:uid="{00000000-0005-0000-0000-00005C040000}"/>
    <cellStyle name="ScripFactor" xfId="1063" xr:uid="{00000000-0005-0000-0000-00005D040000}"/>
    <cellStyle name="SectionHeaderNormal" xfId="1064" xr:uid="{00000000-0005-0000-0000-00005E040000}"/>
    <cellStyle name="SectionHeading" xfId="1065" xr:uid="{00000000-0005-0000-0000-00005F040000}"/>
    <cellStyle name="Separador de milhares [0]_Assumption" xfId="1066" xr:uid="{00000000-0005-0000-0000-000060040000}"/>
    <cellStyle name="SFig" xfId="1067" xr:uid="{00000000-0005-0000-0000-000061040000}"/>
    <cellStyle name="Sg%" xfId="1068" xr:uid="{00000000-0005-0000-0000-000062040000}"/>
    <cellStyle name="Shaded" xfId="1069" xr:uid="{00000000-0005-0000-0000-000063040000}"/>
    <cellStyle name="share" xfId="1070" xr:uid="{00000000-0005-0000-0000-000064040000}"/>
    <cellStyle name="Shares" xfId="1071" xr:uid="{00000000-0005-0000-0000-000065040000}"/>
    <cellStyle name="Sheetmult" xfId="1072" xr:uid="{00000000-0005-0000-0000-000066040000}"/>
    <cellStyle name="SheetSubtitle1" xfId="1073" xr:uid="{00000000-0005-0000-0000-000067040000}"/>
    <cellStyle name="SheetSubtitle2" xfId="1074" xr:uid="{00000000-0005-0000-0000-000068040000}"/>
    <cellStyle name="SheetSubtitle3" xfId="1075" xr:uid="{00000000-0005-0000-0000-000069040000}"/>
    <cellStyle name="SheetSubtitle3a" xfId="1076" xr:uid="{00000000-0005-0000-0000-00006A040000}"/>
    <cellStyle name="SheetSubtitle4" xfId="1077" xr:uid="{00000000-0005-0000-0000-00006B040000}"/>
    <cellStyle name="SheetSubtitle4a" xfId="1078" xr:uid="{00000000-0005-0000-0000-00006C040000}"/>
    <cellStyle name="SheetSubtitle5" xfId="1079" xr:uid="{00000000-0005-0000-0000-00006D040000}"/>
    <cellStyle name="SheetTitle" xfId="1080" xr:uid="{00000000-0005-0000-0000-00006E040000}"/>
    <cellStyle name="Shtmultx" xfId="1081" xr:uid="{00000000-0005-0000-0000-00006F040000}"/>
    <cellStyle name="SI%" xfId="1082" xr:uid="{00000000-0005-0000-0000-000070040000}"/>
    <cellStyle name="Single Accounting" xfId="1083" xr:uid="{00000000-0005-0000-0000-000071040000}"/>
    <cellStyle name="Sname" xfId="1084" xr:uid="{00000000-0005-0000-0000-000072040000}"/>
    <cellStyle name="Source" xfId="1085" xr:uid="{00000000-0005-0000-0000-000073040000}"/>
    <cellStyle name="Sous-Titre" xfId="1086" xr:uid="{00000000-0005-0000-0000-000074040000}"/>
    <cellStyle name="SPerc" xfId="1087" xr:uid="{00000000-0005-0000-0000-000075040000}"/>
    <cellStyle name="ssp " xfId="1088" xr:uid="{00000000-0005-0000-0000-000076040000}"/>
    <cellStyle name="Standaard_Blad1" xfId="1089" xr:uid="{00000000-0005-0000-0000-000077040000}"/>
    <cellStyle name="Standard" xfId="0" builtinId="0"/>
    <cellStyle name="Standard 10" xfId="1385" xr:uid="{ED00CA5A-CC9E-F64D-B79B-7A64D977AC40}"/>
    <cellStyle name="Standard 13" xfId="1389" xr:uid="{8056342D-BF0B-EB43-811B-3F2F3B0D5759}"/>
    <cellStyle name="Standard 2" xfId="1090" xr:uid="{00000000-0005-0000-0000-000079040000}"/>
    <cellStyle name="Standard 2 2" xfId="1091" xr:uid="{00000000-0005-0000-0000-00007A040000}"/>
    <cellStyle name="Standard 2 2 2" xfId="1393" xr:uid="{8D3B2590-07C7-6341-B92F-4169690C6A4A}"/>
    <cellStyle name="Standard 2 3" xfId="1392" xr:uid="{7034500B-4842-494F-9662-DE4E1C5AD980}"/>
    <cellStyle name="Standard 3" xfId="1092" xr:uid="{00000000-0005-0000-0000-00007B040000}"/>
    <cellStyle name="Standard 4" xfId="1093" xr:uid="{00000000-0005-0000-0000-00007C040000}"/>
    <cellStyle name="Standard 5" xfId="1352" xr:uid="{00000000-0005-0000-0000-00007D040000}"/>
    <cellStyle name="Standard 6" xfId="1357" xr:uid="{00000000-0005-0000-0000-00007E040000}"/>
    <cellStyle name="Standard 7" xfId="1397" xr:uid="{98A15746-6AF5-42E3-97E9-CBFFBDEAE11F}"/>
    <cellStyle name="Standard_Controlling 2009-10" xfId="1391" xr:uid="{3C9449EA-7E6A-4C4F-8056-BEC027613F14}"/>
    <cellStyle name="Standard_Pharmalex Wida (version 1)" xfId="1094" xr:uid="{00000000-0005-0000-0000-000080040000}"/>
    <cellStyle name="Standard_Stulz Bewertung DCF 11-03-09" xfId="1095" xr:uid="{00000000-0005-0000-0000-000081040000}"/>
    <cellStyle name="Standard_Tabelle1" xfId="1400" xr:uid="{0843E0A0-B317-464B-9AB8-047173ABDEE0}"/>
    <cellStyle name="Standard_WACC Berechnung" xfId="1355" xr:uid="{00000000-0005-0000-0000-000082040000}"/>
    <cellStyle name="Stil 1" xfId="1395" xr:uid="{85840158-46CA-844D-B0BA-432EA000656B}"/>
    <cellStyle name="Stitle" xfId="1096" xr:uid="{00000000-0005-0000-0000-000083040000}"/>
    <cellStyle name="Ston" xfId="1097" xr:uid="{00000000-0005-0000-0000-000084040000}"/>
    <cellStyle name="Style 1" xfId="1098" xr:uid="{00000000-0005-0000-0000-000085040000}"/>
    <cellStyle name="Style 1 2" xfId="1099" xr:uid="{00000000-0005-0000-0000-000086040000}"/>
    <cellStyle name="Style 2" xfId="1100" xr:uid="{00000000-0005-0000-0000-000087040000}"/>
    <cellStyle name="Style 21" xfId="1101" xr:uid="{00000000-0005-0000-0000-000088040000}"/>
    <cellStyle name="Style 22" xfId="1102" xr:uid="{00000000-0005-0000-0000-000089040000}"/>
    <cellStyle name="Style 23" xfId="1103" xr:uid="{00000000-0005-0000-0000-00008A040000}"/>
    <cellStyle name="Style 24" xfId="1104" xr:uid="{00000000-0005-0000-0000-00008B040000}"/>
    <cellStyle name="Style 25" xfId="1105" xr:uid="{00000000-0005-0000-0000-00008C040000}"/>
    <cellStyle name="Style 26" xfId="1106" xr:uid="{00000000-0005-0000-0000-00008D040000}"/>
    <cellStyle name="Style 27" xfId="1107" xr:uid="{00000000-0005-0000-0000-00008E040000}"/>
    <cellStyle name="Style 28" xfId="1108" xr:uid="{00000000-0005-0000-0000-00008F040000}"/>
    <cellStyle name="Style 29" xfId="1109" xr:uid="{00000000-0005-0000-0000-000090040000}"/>
    <cellStyle name="Style 3" xfId="1110" xr:uid="{00000000-0005-0000-0000-000091040000}"/>
    <cellStyle name="Style 30" xfId="1111" xr:uid="{00000000-0005-0000-0000-000092040000}"/>
    <cellStyle name="Style 31" xfId="1112" xr:uid="{00000000-0005-0000-0000-000093040000}"/>
    <cellStyle name="Style 32" xfId="1113" xr:uid="{00000000-0005-0000-0000-000094040000}"/>
    <cellStyle name="Style 33" xfId="1114" xr:uid="{00000000-0005-0000-0000-000095040000}"/>
    <cellStyle name="Style 34" xfId="1115" xr:uid="{00000000-0005-0000-0000-000096040000}"/>
    <cellStyle name="Style 35" xfId="1116" xr:uid="{00000000-0005-0000-0000-000097040000}"/>
    <cellStyle name="Style 36" xfId="1117" xr:uid="{00000000-0005-0000-0000-000098040000}"/>
    <cellStyle name="Style 37" xfId="1118" xr:uid="{00000000-0005-0000-0000-000099040000}"/>
    <cellStyle name="Style 38" xfId="1119" xr:uid="{00000000-0005-0000-0000-00009A040000}"/>
    <cellStyle name="Style 39" xfId="1120" xr:uid="{00000000-0005-0000-0000-00009B040000}"/>
    <cellStyle name="Style 4" xfId="1121" xr:uid="{00000000-0005-0000-0000-00009C040000}"/>
    <cellStyle name="Style 40" xfId="1122" xr:uid="{00000000-0005-0000-0000-00009D040000}"/>
    <cellStyle name="Style 41" xfId="1123" xr:uid="{00000000-0005-0000-0000-00009E040000}"/>
    <cellStyle name="Style 42" xfId="1124" xr:uid="{00000000-0005-0000-0000-00009F040000}"/>
    <cellStyle name="Style 43" xfId="1125" xr:uid="{00000000-0005-0000-0000-0000A0040000}"/>
    <cellStyle name="Style 44" xfId="1126" xr:uid="{00000000-0005-0000-0000-0000A1040000}"/>
    <cellStyle name="Style 45" xfId="1127" xr:uid="{00000000-0005-0000-0000-0000A2040000}"/>
    <cellStyle name="Style 46" xfId="1128" xr:uid="{00000000-0005-0000-0000-0000A3040000}"/>
    <cellStyle name="Style 47" xfId="1129" xr:uid="{00000000-0005-0000-0000-0000A4040000}"/>
    <cellStyle name="Style 48" xfId="1130" xr:uid="{00000000-0005-0000-0000-0000A5040000}"/>
    <cellStyle name="Style 49" xfId="1131" xr:uid="{00000000-0005-0000-0000-0000A6040000}"/>
    <cellStyle name="Style 5" xfId="1132" xr:uid="{00000000-0005-0000-0000-0000A7040000}"/>
    <cellStyle name="Style 50" xfId="1133" xr:uid="{00000000-0005-0000-0000-0000A8040000}"/>
    <cellStyle name="Style 51" xfId="1134" xr:uid="{00000000-0005-0000-0000-0000A9040000}"/>
    <cellStyle name="Style 52" xfId="1135" xr:uid="{00000000-0005-0000-0000-0000AA040000}"/>
    <cellStyle name="Style 53" xfId="1136" xr:uid="{00000000-0005-0000-0000-0000AB040000}"/>
    <cellStyle name="Style 54" xfId="1137" xr:uid="{00000000-0005-0000-0000-0000AC040000}"/>
    <cellStyle name="Style 55" xfId="1138" xr:uid="{00000000-0005-0000-0000-0000AD040000}"/>
    <cellStyle name="Style 56" xfId="1139" xr:uid="{00000000-0005-0000-0000-0000AE040000}"/>
    <cellStyle name="Style 57" xfId="1140" xr:uid="{00000000-0005-0000-0000-0000AF040000}"/>
    <cellStyle name="Style 58" xfId="1141" xr:uid="{00000000-0005-0000-0000-0000B0040000}"/>
    <cellStyle name="Style 59" xfId="1142" xr:uid="{00000000-0005-0000-0000-0000B1040000}"/>
    <cellStyle name="Style 6" xfId="1143" xr:uid="{00000000-0005-0000-0000-0000B2040000}"/>
    <cellStyle name="Style 60" xfId="1144" xr:uid="{00000000-0005-0000-0000-0000B3040000}"/>
    <cellStyle name="Style 61" xfId="1145" xr:uid="{00000000-0005-0000-0000-0000B4040000}"/>
    <cellStyle name="Style 62" xfId="1146" xr:uid="{00000000-0005-0000-0000-0000B5040000}"/>
    <cellStyle name="Style 63" xfId="1147" xr:uid="{00000000-0005-0000-0000-0000B6040000}"/>
    <cellStyle name="Style 64" xfId="1148" xr:uid="{00000000-0005-0000-0000-0000B7040000}"/>
    <cellStyle name="Style 65" xfId="1149" xr:uid="{00000000-0005-0000-0000-0000B8040000}"/>
    <cellStyle name="Style 66" xfId="1150" xr:uid="{00000000-0005-0000-0000-0000B9040000}"/>
    <cellStyle name="Style 67" xfId="1151" xr:uid="{00000000-0005-0000-0000-0000BA040000}"/>
    <cellStyle name="Style 68" xfId="1152" xr:uid="{00000000-0005-0000-0000-0000BB040000}"/>
    <cellStyle name="Style 69" xfId="1153" xr:uid="{00000000-0005-0000-0000-0000BC040000}"/>
    <cellStyle name="Style 7" xfId="1154" xr:uid="{00000000-0005-0000-0000-0000BD040000}"/>
    <cellStyle name="Style 70" xfId="1155" xr:uid="{00000000-0005-0000-0000-0000BE040000}"/>
    <cellStyle name="Style 71" xfId="1156" xr:uid="{00000000-0005-0000-0000-0000BF040000}"/>
    <cellStyle name="Style 72" xfId="1157" xr:uid="{00000000-0005-0000-0000-0000C0040000}"/>
    <cellStyle name="Style 73" xfId="1158" xr:uid="{00000000-0005-0000-0000-0000C1040000}"/>
    <cellStyle name="Style 74" xfId="1159" xr:uid="{00000000-0005-0000-0000-0000C2040000}"/>
    <cellStyle name="Style 75" xfId="1160" xr:uid="{00000000-0005-0000-0000-0000C3040000}"/>
    <cellStyle name="Style 76" xfId="1161" xr:uid="{00000000-0005-0000-0000-0000C4040000}"/>
    <cellStyle name="Style 77" xfId="1162" xr:uid="{00000000-0005-0000-0000-0000C5040000}"/>
    <cellStyle name="Style 78" xfId="1163" xr:uid="{00000000-0005-0000-0000-0000C6040000}"/>
    <cellStyle name="Style 79" xfId="1164" xr:uid="{00000000-0005-0000-0000-0000C7040000}"/>
    <cellStyle name="Style 80" xfId="1165" xr:uid="{00000000-0005-0000-0000-0000C8040000}"/>
    <cellStyle name="Style 81" xfId="1166" xr:uid="{00000000-0005-0000-0000-0000C9040000}"/>
    <cellStyle name="Style 82" xfId="1167" xr:uid="{00000000-0005-0000-0000-0000CA040000}"/>
    <cellStyle name="Style 83" xfId="1168" xr:uid="{00000000-0005-0000-0000-0000CB040000}"/>
    <cellStyle name="Style 84" xfId="1169" xr:uid="{00000000-0005-0000-0000-0000CC040000}"/>
    <cellStyle name="Style 85" xfId="1170" xr:uid="{00000000-0005-0000-0000-0000CD040000}"/>
    <cellStyle name="Style 86" xfId="1171" xr:uid="{00000000-0005-0000-0000-0000CE040000}"/>
    <cellStyle name="Style 87" xfId="1172" xr:uid="{00000000-0005-0000-0000-0000CF040000}"/>
    <cellStyle name="Style 88" xfId="1173" xr:uid="{00000000-0005-0000-0000-0000D0040000}"/>
    <cellStyle name="Style 89" xfId="1174" xr:uid="{00000000-0005-0000-0000-0000D1040000}"/>
    <cellStyle name="Style 90" xfId="1175" xr:uid="{00000000-0005-0000-0000-0000D2040000}"/>
    <cellStyle name="Style 91" xfId="1176" xr:uid="{00000000-0005-0000-0000-0000D3040000}"/>
    <cellStyle name="Style 92" xfId="1177" xr:uid="{00000000-0005-0000-0000-0000D4040000}"/>
    <cellStyle name="Style 93" xfId="1178" xr:uid="{00000000-0005-0000-0000-0000D5040000}"/>
    <cellStyle name="Style 94" xfId="1179" xr:uid="{00000000-0005-0000-0000-0000D6040000}"/>
    <cellStyle name="Style 95" xfId="1180" xr:uid="{00000000-0005-0000-0000-0000D7040000}"/>
    <cellStyle name="Style 96" xfId="1181" xr:uid="{00000000-0005-0000-0000-0000D8040000}"/>
    <cellStyle name="Style 97" xfId="1182" xr:uid="{00000000-0005-0000-0000-0000D9040000}"/>
    <cellStyle name="style1" xfId="1183" xr:uid="{00000000-0005-0000-0000-0000DA040000}"/>
    <cellStyle name="style2" xfId="1184" xr:uid="{00000000-0005-0000-0000-0000DB040000}"/>
    <cellStyle name="Subscribers" xfId="1185" xr:uid="{00000000-0005-0000-0000-0000DC040000}"/>
    <cellStyle name="SubScript" xfId="1186" xr:uid="{00000000-0005-0000-0000-0000DD040000}"/>
    <cellStyle name="Subtitle" xfId="1187" xr:uid="{00000000-0005-0000-0000-0000DE040000}"/>
    <cellStyle name="subtotals" xfId="1188" xr:uid="{00000000-0005-0000-0000-0000DF040000}"/>
    <cellStyle name="SuperScript" xfId="1189" xr:uid="{00000000-0005-0000-0000-0000E0040000}"/>
    <cellStyle name="Sx" xfId="1190" xr:uid="{00000000-0005-0000-0000-0000E1040000}"/>
    <cellStyle name="Table Col Head" xfId="1191" xr:uid="{00000000-0005-0000-0000-0000E2040000}"/>
    <cellStyle name="Table Head" xfId="1192" xr:uid="{00000000-0005-0000-0000-0000E3040000}"/>
    <cellStyle name="Table Head Aligned" xfId="1193" xr:uid="{00000000-0005-0000-0000-0000E4040000}"/>
    <cellStyle name="Table Head Blue" xfId="1194" xr:uid="{00000000-0005-0000-0000-0000E5040000}"/>
    <cellStyle name="Table Head Green" xfId="1195" xr:uid="{00000000-0005-0000-0000-0000E6040000}"/>
    <cellStyle name="Table Head_Backup" xfId="1196" xr:uid="{00000000-0005-0000-0000-0000E7040000}"/>
    <cellStyle name="Table header" xfId="1197" xr:uid="{00000000-0005-0000-0000-0000E8040000}"/>
    <cellStyle name="Table Heading" xfId="1198" xr:uid="{00000000-0005-0000-0000-0000E9040000}"/>
    <cellStyle name="Table Source" xfId="1199" xr:uid="{00000000-0005-0000-0000-0000EA040000}"/>
    <cellStyle name="Table Sub Head" xfId="1200" xr:uid="{00000000-0005-0000-0000-0000EB040000}"/>
    <cellStyle name="Table Text" xfId="1201" xr:uid="{00000000-0005-0000-0000-0000EC040000}"/>
    <cellStyle name="Table Title" xfId="1202" xr:uid="{00000000-0005-0000-0000-0000ED040000}"/>
    <cellStyle name="Table Units" xfId="1203" xr:uid="{00000000-0005-0000-0000-0000EE040000}"/>
    <cellStyle name="Table_Header" xfId="1204" xr:uid="{00000000-0005-0000-0000-0000EF040000}"/>
    <cellStyle name="TableBody" xfId="1205" xr:uid="{00000000-0005-0000-0000-0000F0040000}"/>
    <cellStyle name="TableBodyR" xfId="1206" xr:uid="{00000000-0005-0000-0000-0000F1040000}"/>
    <cellStyle name="TableColHeads" xfId="1207" xr:uid="{00000000-0005-0000-0000-0000F2040000}"/>
    <cellStyle name="Tableheader" xfId="1208" xr:uid="{00000000-0005-0000-0000-0000F3040000}"/>
    <cellStyle name="-Têtes de colonnes" xfId="1209" xr:uid="{00000000-0005-0000-0000-0000F4040000}"/>
    <cellStyle name="Text" xfId="1210" xr:uid="{00000000-0005-0000-0000-0000F5040000}"/>
    <cellStyle name="Text 1" xfId="1211" xr:uid="{00000000-0005-0000-0000-0000F6040000}"/>
    <cellStyle name="Text 2" xfId="1212" xr:uid="{00000000-0005-0000-0000-0000F7040000}"/>
    <cellStyle name="Text 8" xfId="1213" xr:uid="{00000000-0005-0000-0000-0000F8040000}"/>
    <cellStyle name="Text Head" xfId="1214" xr:uid="{00000000-0005-0000-0000-0000F9040000}"/>
    <cellStyle name="Text Head 1" xfId="1215" xr:uid="{00000000-0005-0000-0000-0000FA040000}"/>
    <cellStyle name="Text Head 2" xfId="1216" xr:uid="{00000000-0005-0000-0000-0000FB040000}"/>
    <cellStyle name="Text Indent 1" xfId="1217" xr:uid="{00000000-0005-0000-0000-0000FC040000}"/>
    <cellStyle name="Text Indent 2" xfId="1218" xr:uid="{00000000-0005-0000-0000-0000FD040000}"/>
    <cellStyle name="TextBold" xfId="1219" xr:uid="{00000000-0005-0000-0000-0000FE040000}"/>
    <cellStyle name="TextItalic" xfId="1220" xr:uid="{00000000-0005-0000-0000-0000FF040000}"/>
    <cellStyle name="TextNormal" xfId="1221" xr:uid="{00000000-0005-0000-0000-000000050000}"/>
    <cellStyle name="þ´Ì_x0010__x000c__x0010_ à_x000c__x0003_ ß_x0007_ÜÉ _x0007__x0001__x0001_" xfId="1222" xr:uid="{00000000-0005-0000-0000-000001050000}"/>
    <cellStyle name="Theirs" xfId="1223" xr:uid="{00000000-0005-0000-0000-000002050000}"/>
    <cellStyle name="Times 10" xfId="1224" xr:uid="{00000000-0005-0000-0000-000003050000}"/>
    <cellStyle name="Times 12" xfId="1225" xr:uid="{00000000-0005-0000-0000-000004050000}"/>
    <cellStyle name="Times New Roman" xfId="1226" xr:uid="{00000000-0005-0000-0000-000005050000}"/>
    <cellStyle name="Title" xfId="1251" xr:uid="{00000000-0005-0000-0000-000006050000}"/>
    <cellStyle name="Title10" xfId="1227" xr:uid="{00000000-0005-0000-0000-000007050000}"/>
    <cellStyle name="Title2" xfId="1228" xr:uid="{00000000-0005-0000-0000-000008050000}"/>
    <cellStyle name="Title8" xfId="1229" xr:uid="{00000000-0005-0000-0000-000009050000}"/>
    <cellStyle name="Title8Left" xfId="1230" xr:uid="{00000000-0005-0000-0000-00000A050000}"/>
    <cellStyle name="TitleCenter" xfId="1231" xr:uid="{00000000-0005-0000-0000-00000B050000}"/>
    <cellStyle name="TitleLeft" xfId="1232" xr:uid="{00000000-0005-0000-0000-00000C050000}"/>
    <cellStyle name="TitleNormal" xfId="1233" xr:uid="{00000000-0005-0000-0000-00000D050000}"/>
    <cellStyle name="Titles" xfId="1234" xr:uid="{00000000-0005-0000-0000-00000E050000}"/>
    <cellStyle name="Titles - Col. Headings" xfId="1235" xr:uid="{00000000-0005-0000-0000-00000F050000}"/>
    <cellStyle name="Titre" xfId="1236" xr:uid="{00000000-0005-0000-0000-000010050000}"/>
    <cellStyle name="TOC 1" xfId="1237" xr:uid="{00000000-0005-0000-0000-000011050000}"/>
    <cellStyle name="TOC 2" xfId="1238" xr:uid="{00000000-0005-0000-0000-000012050000}"/>
    <cellStyle name="Tons" xfId="1239" xr:uid="{00000000-0005-0000-0000-000013050000}"/>
    <cellStyle name="TopGrey" xfId="1240" xr:uid="{00000000-0005-0000-0000-000014050000}"/>
    <cellStyle name="topline" xfId="1241" xr:uid="{00000000-0005-0000-0000-000015050000}"/>
    <cellStyle name="Total Currency" xfId="1242" xr:uid="{00000000-0005-0000-0000-000017050000}"/>
    <cellStyle name="Total Normal" xfId="1243" xr:uid="{00000000-0005-0000-0000-000018050000}"/>
    <cellStyle name="TotalCurrency" xfId="1244" xr:uid="{00000000-0005-0000-0000-000019050000}"/>
    <cellStyle name="TotalHeader" xfId="1245" xr:uid="{00000000-0005-0000-0000-00001A050000}"/>
    <cellStyle name="-Trait bleu Bas" xfId="1246" xr:uid="{00000000-0005-0000-0000-00001B050000}"/>
    <cellStyle name="TransVal" xfId="1247" xr:uid="{00000000-0005-0000-0000-00001C050000}"/>
    <cellStyle name="TTS" xfId="1248" xr:uid="{00000000-0005-0000-0000-00001D050000}"/>
    <cellStyle name="twelv_dollar_no dec_elev" xfId="1249" xr:uid="{00000000-0005-0000-0000-00001E050000}"/>
    <cellStyle name="twelve_no dec_elev" xfId="1250" xr:uid="{00000000-0005-0000-0000-00001F050000}"/>
    <cellStyle name="Under Line" xfId="1256" xr:uid="{00000000-0005-0000-0000-000025050000}"/>
    <cellStyle name="Underline_Double" xfId="1257" xr:uid="{00000000-0005-0000-0000-000026050000}"/>
    <cellStyle name="UnderMultiple" xfId="1258" xr:uid="{00000000-0005-0000-0000-000027050000}"/>
    <cellStyle name="USD 0D Black" xfId="1259" xr:uid="{00000000-0005-0000-0000-000028050000}"/>
    <cellStyle name="USD 0D Green" xfId="1260" xr:uid="{00000000-0005-0000-0000-000029050000}"/>
    <cellStyle name="USD 1D Black" xfId="1261" xr:uid="{00000000-0005-0000-0000-00002A050000}"/>
    <cellStyle name="USD 1D Black 2B" xfId="1262" xr:uid="{00000000-0005-0000-0000-00002B050000}"/>
    <cellStyle name="USD 1D Blue" xfId="1263" xr:uid="{00000000-0005-0000-0000-00002C050000}"/>
    <cellStyle name="USD 1D Green" xfId="1264" xr:uid="{00000000-0005-0000-0000-00002D050000}"/>
    <cellStyle name="USD 3D Black" xfId="1265" xr:uid="{00000000-0005-0000-0000-00002E050000}"/>
    <cellStyle name="USD 3D Blue" xfId="1266" xr:uid="{00000000-0005-0000-0000-00002F050000}"/>
    <cellStyle name="Val_Std" xfId="1267" xr:uid="{00000000-0005-0000-0000-000030050000}"/>
    <cellStyle name="Valuta [0]_Blad1" xfId="1268" xr:uid="{00000000-0005-0000-0000-000031050000}"/>
    <cellStyle name="Valuta_Blad1" xfId="1269" xr:uid="{00000000-0005-0000-0000-000032050000}"/>
    <cellStyle name="Waehrung" xfId="1354" xr:uid="{00000000-0005-0000-0000-000034050000}"/>
    <cellStyle name="Währung" xfId="1404" builtinId="4"/>
    <cellStyle name="Währung 2" xfId="1271" xr:uid="{00000000-0005-0000-0000-000035050000}"/>
    <cellStyle name="Währung 2 2" xfId="1387" xr:uid="{F8684699-3454-DB4C-8552-0287FE69F3C1}"/>
    <cellStyle name="Währung 3" xfId="1272" xr:uid="{00000000-0005-0000-0000-000036050000}"/>
    <cellStyle name="Währung_2010-06-22_DCF Model_SJ (3)" xfId="1273" xr:uid="{00000000-0005-0000-0000-000037050000}"/>
    <cellStyle name="Währung_DCF Horst Müller - Final" xfId="1274" xr:uid="{00000000-0005-0000-0000-000038050000}"/>
    <cellStyle name="Warnender Text" xfId="1382" builtinId="11" customBuiltin="1"/>
    <cellStyle name="WhiteCells" xfId="1275" xr:uid="{00000000-0005-0000-0000-00003B050000}"/>
    <cellStyle name="wild guess" xfId="1276" xr:uid="{00000000-0005-0000-0000-00003C050000}"/>
    <cellStyle name="Wildguess" xfId="1277" xr:uid="{00000000-0005-0000-0000-00003D050000}"/>
    <cellStyle name="WP" xfId="1278" xr:uid="{00000000-0005-0000-0000-00003E050000}"/>
    <cellStyle name="WP&amp;Co." xfId="1279" xr:uid="{00000000-0005-0000-0000-00003F050000}"/>
    <cellStyle name="wrap" xfId="1280" xr:uid="{00000000-0005-0000-0000-000040050000}"/>
    <cellStyle name="x" xfId="1281" xr:uid="{00000000-0005-0000-0000-000041050000}"/>
    <cellStyle name="x [1]" xfId="1282" xr:uid="{00000000-0005-0000-0000-000042050000}"/>
    <cellStyle name="X Man" xfId="1283" xr:uid="{00000000-0005-0000-0000-000043050000}"/>
    <cellStyle name="x Men" xfId="1284" xr:uid="{00000000-0005-0000-0000-000044050000}"/>
    <cellStyle name="x_ASTEC4BK" xfId="1285" xr:uid="{00000000-0005-0000-0000-000045050000}"/>
    <cellStyle name="x_ASTEC4BK_1" xfId="1286" xr:uid="{00000000-0005-0000-0000-000046050000}"/>
    <cellStyle name="x_ASTEC4BK_2" xfId="1287" xr:uid="{00000000-0005-0000-0000-000047050000}"/>
    <cellStyle name="x_ASTEC4BK_2_PENT10BK.XLS Chart 1" xfId="1288" xr:uid="{00000000-0005-0000-0000-000048050000}"/>
    <cellStyle name="x_ASTEC4BK_2_PENT10BK.XLS Chart 1_1" xfId="1289" xr:uid="{00000000-0005-0000-0000-000049050000}"/>
    <cellStyle name="x_ASTEC4BK_2_PENT10BK.XLS Chart 1-1" xfId="1290" xr:uid="{00000000-0005-0000-0000-00004A050000}"/>
    <cellStyle name="x_ASTEC4BK_2_PENT10BK.XLS Chart 1-10" xfId="1291" xr:uid="{00000000-0005-0000-0000-00004B050000}"/>
    <cellStyle name="x_ASTEC4BK_2_PENT10BK.XLS Chart 1-11" xfId="1292" xr:uid="{00000000-0005-0000-0000-00004C050000}"/>
    <cellStyle name="x_ASTEC4BK_2_PENT10BK.XLS Chart 1-2" xfId="1293" xr:uid="{00000000-0005-0000-0000-00004D050000}"/>
    <cellStyle name="x_ASTEC4BK_2_PENT10BK.XLS Chart 1-3" xfId="1294" xr:uid="{00000000-0005-0000-0000-00004E050000}"/>
    <cellStyle name="x_ASTEC4BK_2_PENT10BK.XLS Chart 1-4" xfId="1295" xr:uid="{00000000-0005-0000-0000-00004F050000}"/>
    <cellStyle name="x_ASTEC4BK_2_PENT10BK.XLS Chart 1-5" xfId="1296" xr:uid="{00000000-0005-0000-0000-000050050000}"/>
    <cellStyle name="x_ASTEC4BK_2_PENT10BK.XLS Chart 1-6" xfId="1297" xr:uid="{00000000-0005-0000-0000-000051050000}"/>
    <cellStyle name="x_ASTEC4BK_2_PENT10BK.XLS Chart 1-7" xfId="1298" xr:uid="{00000000-0005-0000-0000-000052050000}"/>
    <cellStyle name="x_ASTEC4BK_2_PENT10BK.XLS Chart 1-8" xfId="1299" xr:uid="{00000000-0005-0000-0000-000053050000}"/>
    <cellStyle name="x_ASTEC4BK_2_PENT10BK.XLS Chart 1-9" xfId="1300" xr:uid="{00000000-0005-0000-0000-000054050000}"/>
    <cellStyle name="x_ASTEC4BK_2_PENT10BK.XLS Chart 2" xfId="1301" xr:uid="{00000000-0005-0000-0000-000055050000}"/>
    <cellStyle name="x_ASTEC4BK_2_PENT10BK.XLS Chart 2-1" xfId="1302" xr:uid="{00000000-0005-0000-0000-000056050000}"/>
    <cellStyle name="x_ASTEC4BK_2_UDI4-BK" xfId="1303" xr:uid="{00000000-0005-0000-0000-000057050000}"/>
    <cellStyle name="x_black5bk.xls Chart 1" xfId="1304" xr:uid="{00000000-0005-0000-0000-000058050000}"/>
    <cellStyle name="x_BLACK5BK.XLS Chart 1-1" xfId="1305" xr:uid="{00000000-0005-0000-0000-000059050000}"/>
    <cellStyle name="x_BLACK5BK.XLS Chart 1-2" xfId="1306" xr:uid="{00000000-0005-0000-0000-00005A050000}"/>
    <cellStyle name="x_UDI4-BK.xls Chart 1" xfId="1307" xr:uid="{00000000-0005-0000-0000-00005B050000}"/>
    <cellStyle name="x_UDI4-BK.XLS Chart 1_1" xfId="1308" xr:uid="{00000000-0005-0000-0000-00005C050000}"/>
    <cellStyle name="x_UDI4-BK.XLS Chart 1_1_PENT10BK.XLS Chart 1" xfId="1309" xr:uid="{00000000-0005-0000-0000-00005D050000}"/>
    <cellStyle name="x_UDI4-BK.XLS Chart 1_1_PENT10BK.XLS Chart 1_1" xfId="1310" xr:uid="{00000000-0005-0000-0000-00005E050000}"/>
    <cellStyle name="x_UDI4-BK.XLS Chart 1_1_PENT10BK.XLS Chart 1-1" xfId="1311" xr:uid="{00000000-0005-0000-0000-00005F050000}"/>
    <cellStyle name="x_UDI4-BK.XLS Chart 1_1_PENT10BK.XLS Chart 1-10" xfId="1312" xr:uid="{00000000-0005-0000-0000-000060050000}"/>
    <cellStyle name="x_UDI4-BK.XLS Chart 1_1_PENT10BK.XLS Chart 1-11" xfId="1313" xr:uid="{00000000-0005-0000-0000-000061050000}"/>
    <cellStyle name="x_UDI4-BK.XLS Chart 1_1_PENT10BK.XLS Chart 1-2" xfId="1314" xr:uid="{00000000-0005-0000-0000-000062050000}"/>
    <cellStyle name="x_UDI4-BK.XLS Chart 1_1_PENT10BK.XLS Chart 1-3" xfId="1315" xr:uid="{00000000-0005-0000-0000-000063050000}"/>
    <cellStyle name="x_UDI4-BK.XLS Chart 1_1_PENT10BK.XLS Chart 1-4" xfId="1316" xr:uid="{00000000-0005-0000-0000-000064050000}"/>
    <cellStyle name="x_UDI4-BK.XLS Chart 1_1_PENT10BK.XLS Chart 1-5" xfId="1317" xr:uid="{00000000-0005-0000-0000-000065050000}"/>
    <cellStyle name="x_UDI4-BK.XLS Chart 1_1_PENT10BK.XLS Chart 1-6" xfId="1318" xr:uid="{00000000-0005-0000-0000-000066050000}"/>
    <cellStyle name="x_UDI4-BK.XLS Chart 1_1_PENT10BK.XLS Chart 1-7" xfId="1319" xr:uid="{00000000-0005-0000-0000-000067050000}"/>
    <cellStyle name="x_UDI4-BK.XLS Chart 1_1_PENT10BK.XLS Chart 1-8" xfId="1320" xr:uid="{00000000-0005-0000-0000-000068050000}"/>
    <cellStyle name="x_UDI4-BK.XLS Chart 1_1_PENT10BK.XLS Chart 1-9" xfId="1321" xr:uid="{00000000-0005-0000-0000-000069050000}"/>
    <cellStyle name="x_UDI4-BK.XLS Chart 1_1_PENT10BK.XLS Chart 2" xfId="1322" xr:uid="{00000000-0005-0000-0000-00006A050000}"/>
    <cellStyle name="x_UDI4-BK.XLS Chart 1_1_PENT10BK.XLS Chart 2-1" xfId="1323" xr:uid="{00000000-0005-0000-0000-00006B050000}"/>
    <cellStyle name="x_UDI4-BK.XLS Chart 1_1_UDI4-BK" xfId="1324" xr:uid="{00000000-0005-0000-0000-00006C050000}"/>
    <cellStyle name="x_UDI4-BK.XLS Chart 1-1" xfId="1325" xr:uid="{00000000-0005-0000-0000-00006D050000}"/>
    <cellStyle name="x_UDI4-BK.XLS Chart 1-1_PENT10BK.XLS Chart 1" xfId="1326" xr:uid="{00000000-0005-0000-0000-00006E050000}"/>
    <cellStyle name="x_UDI4-BK.XLS Chart 1-1_PENT10BK.XLS Chart 1_1" xfId="1327" xr:uid="{00000000-0005-0000-0000-00006F050000}"/>
    <cellStyle name="x_UDI4-BK.XLS Chart 1-1_PENT10BK.XLS Chart 1-1" xfId="1328" xr:uid="{00000000-0005-0000-0000-000070050000}"/>
    <cellStyle name="x_UDI4-BK.XLS Chart 1-1_PENT10BK.XLS Chart 1-10" xfId="1329" xr:uid="{00000000-0005-0000-0000-000071050000}"/>
    <cellStyle name="x_UDI4-BK.XLS Chart 1-1_PENT10BK.XLS Chart 1-11" xfId="1330" xr:uid="{00000000-0005-0000-0000-000072050000}"/>
    <cellStyle name="x_UDI4-BK.XLS Chart 1-1_PENT10BK.XLS Chart 1-2" xfId="1331" xr:uid="{00000000-0005-0000-0000-000073050000}"/>
    <cellStyle name="x_UDI4-BK.XLS Chart 1-1_PENT10BK.XLS Chart 1-3" xfId="1332" xr:uid="{00000000-0005-0000-0000-000074050000}"/>
    <cellStyle name="x_UDI4-BK.XLS Chart 1-1_PENT10BK.XLS Chart 1-4" xfId="1333" xr:uid="{00000000-0005-0000-0000-000075050000}"/>
    <cellStyle name="x_UDI4-BK.XLS Chart 1-1_PENT10BK.XLS Chart 1-5" xfId="1334" xr:uid="{00000000-0005-0000-0000-000076050000}"/>
    <cellStyle name="x_UDI4-BK.XLS Chart 1-1_PENT10BK.XLS Chart 1-6" xfId="1335" xr:uid="{00000000-0005-0000-0000-000077050000}"/>
    <cellStyle name="x_UDI4-BK.XLS Chart 1-1_PENT10BK.XLS Chart 1-7" xfId="1336" xr:uid="{00000000-0005-0000-0000-000078050000}"/>
    <cellStyle name="x_UDI4-BK.XLS Chart 1-1_PENT10BK.XLS Chart 1-8" xfId="1337" xr:uid="{00000000-0005-0000-0000-000079050000}"/>
    <cellStyle name="x_UDI4-BK.XLS Chart 1-1_PENT10BK.XLS Chart 1-9" xfId="1338" xr:uid="{00000000-0005-0000-0000-00007A050000}"/>
    <cellStyle name="x_UDI4-BK.XLS Chart 1-1_PENT10BK.XLS Chart 2" xfId="1339" xr:uid="{00000000-0005-0000-0000-00007B050000}"/>
    <cellStyle name="x_UDI4-BK.XLS Chart 1-1_PENT10BK.XLS Chart 2-1" xfId="1340" xr:uid="{00000000-0005-0000-0000-00007C050000}"/>
    <cellStyle name="x_UDI4-BK.XLS Chart 1-1_UDI4-BK" xfId="1341" xr:uid="{00000000-0005-0000-0000-00007D050000}"/>
    <cellStyle name="Xman" xfId="1342" xr:uid="{00000000-0005-0000-0000-00007E050000}"/>
    <cellStyle name="xstyle" xfId="1343" xr:uid="{00000000-0005-0000-0000-00007F050000}"/>
    <cellStyle name="Year" xfId="1344" xr:uid="{00000000-0005-0000-0000-000080050000}"/>
    <cellStyle name="Year Estimate" xfId="1345" xr:uid="{00000000-0005-0000-0000-000081050000}"/>
    <cellStyle name="YEAR_LBO" xfId="1346" xr:uid="{00000000-0005-0000-0000-000082050000}"/>
    <cellStyle name="Yen" xfId="1347" xr:uid="{00000000-0005-0000-0000-000083050000}"/>
    <cellStyle name="Yes No" xfId="1348" xr:uid="{00000000-0005-0000-0000-000084050000}"/>
    <cellStyle name="yn" xfId="1349" xr:uid="{00000000-0005-0000-0000-000085050000}"/>
    <cellStyle name="標準_ARCQUOTATIONFORM226" xfId="1351" xr:uid="{00000000-0005-0000-0000-000087050000}"/>
  </cellStyles>
  <dxfs count="25">
    <dxf>
      <font>
        <color theme="0"/>
      </font>
    </dxf>
    <dxf>
      <fill>
        <patternFill>
          <bgColor rgb="FFFF0000"/>
        </patternFill>
      </fill>
    </dxf>
    <dxf>
      <fill>
        <patternFill>
          <bgColor rgb="FF00B050"/>
        </patternFill>
      </fill>
    </dxf>
    <dxf>
      <numFmt numFmtId="175" formatCode="0.0%"/>
    </dxf>
    <dxf>
      <numFmt numFmtId="3" formatCode="#,##0"/>
    </dxf>
    <dxf>
      <numFmt numFmtId="175" formatCode="0.0%"/>
    </dxf>
    <dxf>
      <numFmt numFmtId="3" formatCode="#,##0"/>
    </dxf>
    <dxf>
      <numFmt numFmtId="175" formatCode="0.0%"/>
    </dxf>
    <dxf>
      <numFmt numFmtId="3" formatCode="#,##0"/>
    </dxf>
    <dxf>
      <numFmt numFmtId="175" formatCode="0.0%"/>
    </dxf>
    <dxf>
      <numFmt numFmtId="3" formatCode="#,##0"/>
    </dxf>
    <dxf>
      <numFmt numFmtId="175" formatCode="0.0%"/>
    </dxf>
    <dxf>
      <numFmt numFmtId="3" formatCode="#,##0"/>
    </dxf>
    <dxf>
      <numFmt numFmtId="175" formatCode="0.0%"/>
    </dxf>
    <dxf>
      <numFmt numFmtId="3" formatCode="#,##0"/>
    </dxf>
    <dxf>
      <numFmt numFmtId="175" formatCode="0.0%"/>
    </dxf>
    <dxf>
      <numFmt numFmtId="3" formatCode="#,##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9C9D9F"/>
      <rgbColor rgb="0099CCFF"/>
      <rgbColor rgb="00004687"/>
      <rgbColor rgb="00CC99FF"/>
      <rgbColor rgb="00C4BD97"/>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9D7CF"/>
      <color rgb="FF0000FF"/>
      <color rgb="FFF1DBFD"/>
      <color rgb="FFFAF4FE"/>
      <color rgb="FF339933"/>
      <color rgb="FFF7EDFD"/>
      <color rgb="FFCCCCFF"/>
      <color rgb="FFA1A9D3"/>
      <color rgb="FF364072"/>
      <color rgb="FF6A77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7.xml"/><Relationship Id="rId47" Type="http://schemas.openxmlformats.org/officeDocument/2006/relationships/externalLink" Target="externalLinks/externalLink12.xml"/><Relationship Id="rId50" Type="http://schemas.openxmlformats.org/officeDocument/2006/relationships/externalLink" Target="externalLinks/externalLink15.xml"/><Relationship Id="rId55" Type="http://schemas.microsoft.com/office/2022/10/relationships/richValueRel" Target="richData/richValueRel.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externalLink" Target="externalLinks/externalLink10.xml"/><Relationship Id="rId53" Type="http://schemas.openxmlformats.org/officeDocument/2006/relationships/sharedStrings" Target="sharedStrings.xml"/><Relationship Id="rId58" Type="http://schemas.microsoft.com/office/2017/06/relationships/rdArray" Target="richData/rdarray.xml"/><Relationship Id="rId66" Type="http://schemas.openxmlformats.org/officeDocument/2006/relationships/customXml" Target="../customXml/item3.xml"/><Relationship Id="rId5" Type="http://schemas.openxmlformats.org/officeDocument/2006/relationships/worksheet" Target="worksheets/sheet5.xml"/><Relationship Id="rId61" Type="http://schemas.microsoft.com/office/2017/06/relationships/rdSupportingPropertyBag" Target="richData/rdsupportingpropertybag.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8.xml"/><Relationship Id="rId48" Type="http://schemas.openxmlformats.org/officeDocument/2006/relationships/externalLink" Target="externalLinks/externalLink13.xml"/><Relationship Id="rId56" Type="http://schemas.microsoft.com/office/2017/06/relationships/rdRichValue" Target="richData/rdrichvalue.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externalLink" Target="externalLinks/externalLink11.xml"/><Relationship Id="rId59" Type="http://schemas.microsoft.com/office/2017/06/relationships/richStyles" Target="richData/richStyles.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 Id="rId54" Type="http://schemas.openxmlformats.org/officeDocument/2006/relationships/sheetMetadata" Target="metadata.xml"/><Relationship Id="rId62"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externalLink" Target="externalLinks/externalLink14.xml"/><Relationship Id="rId57" Type="http://schemas.microsoft.com/office/2017/06/relationships/rdRichValueStructure" Target="richData/rdrichvaluestructure.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9.xml"/><Relationship Id="rId52" Type="http://schemas.openxmlformats.org/officeDocument/2006/relationships/styles" Target="styles.xml"/><Relationship Id="rId60" Type="http://schemas.microsoft.com/office/2017/06/relationships/rdSupportingPropertyBagStructure" Target="richData/rdsupportingpropertybagstructure.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FDB!$B$86</c:f>
          <c:strCache>
            <c:ptCount val="1"/>
            <c:pt idx="0">
              <c:v>Personnel Expenses (absolut)</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FDB!$B$86</c:f>
              <c:strCache>
                <c:ptCount val="1"/>
                <c:pt idx="0">
                  <c:v>Personnel Expenses (absolut)</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FDB!$D$86:$P$86</c15:sqref>
                  </c15:fullRef>
                </c:ext>
              </c:extLst>
              <c:f>FDB!$D$86:$K$86</c:f>
              <c:numCache>
                <c:formatCode>_(* #,##0.0_);_(* \(#,##0.0\);_(* "-"??_);_(@_)</c:formatCode>
                <c:ptCount val="8"/>
                <c:pt idx="0">
                  <c:v>3420.6684178621945</c:v>
                </c:pt>
                <c:pt idx="1">
                  <c:v>4168.5431155778897</c:v>
                </c:pt>
                <c:pt idx="2">
                  <c:v>4283.5406111781258</c:v>
                </c:pt>
                <c:pt idx="3">
                  <c:v>3780.1709475520111</c:v>
                </c:pt>
                <c:pt idx="4">
                  <c:v>0</c:v>
                </c:pt>
                <c:pt idx="5">
                  <c:v>0</c:v>
                </c:pt>
                <c:pt idx="6">
                  <c:v>0</c:v>
                </c:pt>
                <c:pt idx="7">
                  <c:v>0</c:v>
                </c:pt>
              </c:numCache>
            </c:numRef>
          </c:val>
          <c:extLst>
            <c:ext xmlns:c16="http://schemas.microsoft.com/office/drawing/2014/chart" uri="{C3380CC4-5D6E-409C-BE32-E72D297353CC}">
              <c16:uniqueId val="{00000000-3156-42F5-9818-5CA2DB406DC6}"/>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FDB!$B$87</c:f>
              <c:strCache>
                <c:ptCount val="1"/>
                <c:pt idx="0">
                  <c:v>(in % of total turnover)</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FDB!$D$87:$P$87</c15:sqref>
                  </c15:fullRef>
                </c:ext>
              </c:extLst>
              <c:f>FDB!$D$87:$K$87</c:f>
              <c:numCache>
                <c:formatCode>0%</c:formatCode>
                <c:ptCount val="8"/>
                <c:pt idx="0">
                  <c:v>8.9507664878780355E-2</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3156-42F5-9818-5CA2DB406DC6}"/>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lgn="ctr">
              <a:defRPr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FDB!$B$84</c:f>
          <c:strCache>
            <c:ptCount val="1"/>
            <c:pt idx="0">
              <c:v>Cost of Material (absolut)</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FDB!$B$84</c:f>
              <c:strCache>
                <c:ptCount val="1"/>
                <c:pt idx="0">
                  <c:v>Cost of Material (absolut)</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FDB!$D$84:$P$84</c15:sqref>
                  </c15:fullRef>
                </c:ext>
              </c:extLst>
              <c:f>FDB!$D$84:$K$84</c:f>
              <c:numCache>
                <c:formatCode>_(* #,##0.0_);_(* \(#,##0.0\);_(*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EB88-4E1F-86AD-401A2A5491DB}"/>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FDB!$B$85</c:f>
              <c:strCache>
                <c:ptCount val="1"/>
                <c:pt idx="0">
                  <c:v>(in % of total turnover)</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FDB!$D$85:$P$85</c15:sqref>
                  </c15:fullRef>
                </c:ext>
              </c:extLst>
              <c:f>FDB!$D$85:$K$85</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EB88-4E1F-86AD-401A2A5491DB}"/>
            </c:ext>
          </c:extLst>
        </c:ser>
        <c:dLbls>
          <c:showLegendKey val="0"/>
          <c:showVal val="0"/>
          <c:showCatName val="0"/>
          <c:showSerName val="0"/>
          <c:showPercent val="0"/>
          <c:showBubbleSize val="0"/>
        </c:dLbls>
        <c:marker val="1"/>
        <c:smooth val="0"/>
        <c:axId val="964290184"/>
        <c:axId val="267431344"/>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b="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2674313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4290184"/>
        <c:crosses val="max"/>
        <c:crossBetween val="between"/>
      </c:valAx>
      <c:catAx>
        <c:axId val="964290184"/>
        <c:scaling>
          <c:orientation val="minMax"/>
        </c:scaling>
        <c:delete val="1"/>
        <c:axPos val="b"/>
        <c:numFmt formatCode="General" sourceLinked="1"/>
        <c:majorTickMark val="out"/>
        <c:minorTickMark val="none"/>
        <c:tickLblPos val="nextTo"/>
        <c:crossAx val="267431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FDB!$B$157</c:f>
          <c:strCache>
            <c:ptCount val="1"/>
            <c:pt idx="0">
              <c:v>I. Inventories</c:v>
            </c:pt>
          </c:strCache>
        </c:strRef>
      </c:tx>
      <c:overlay val="0"/>
      <c:spPr>
        <a:noFill/>
        <a:ln>
          <a:noFill/>
        </a:ln>
        <a:effectLst/>
      </c:spPr>
      <c:txPr>
        <a:bodyPr rot="0" vert="horz"/>
        <a:lstStyle/>
        <a:p>
          <a:pPr>
            <a:defRPr sz="1100">
              <a:solidFill>
                <a:schemeClr val="tx2"/>
              </a:solidFill>
            </a:defRPr>
          </a:pPr>
          <a:endParaRPr lang="de-DE"/>
        </a:p>
      </c:txPr>
    </c:title>
    <c:autoTitleDeleted val="0"/>
    <c:plotArea>
      <c:layout/>
      <c:barChart>
        <c:barDir val="col"/>
        <c:grouping val="stacked"/>
        <c:varyColors val="0"/>
        <c:ser>
          <c:idx val="0"/>
          <c:order val="0"/>
          <c:tx>
            <c:strRef>
              <c:f>FDB!$B$158</c:f>
              <c:strCache>
                <c:ptCount val="1"/>
                <c:pt idx="0">
                  <c:v>1. Raw Materials and Supplies</c:v>
                </c:pt>
              </c:strCache>
            </c:strRef>
          </c:tx>
          <c:spPr>
            <a:solidFill>
              <a:schemeClr val="accent1"/>
            </a:solidFill>
            <a:ln>
              <a:noFill/>
            </a:ln>
            <a:effectLst/>
          </c:spPr>
          <c:invertIfNegative val="0"/>
          <c:dLbls>
            <c:spPr>
              <a:noFill/>
              <a:ln>
                <a:noFill/>
              </a:ln>
              <a:effectLst/>
            </c:spPr>
            <c:txPr>
              <a:bodyPr rot="0" vert="horz"/>
              <a:lstStyle/>
              <a:p>
                <a:pPr>
                  <a:defRPr>
                    <a:solidFill>
                      <a:schemeClr val="bg1"/>
                    </a:solidFill>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FDB!$D$158:$P$158</c15:sqref>
                  </c15:fullRef>
                </c:ext>
              </c:extLst>
              <c:f>FDB!$D$158:$K$158</c:f>
              <c:numCache>
                <c:formatCode>_(* #,##0_);_(* \(#,##0\);_(* "-"_);_(@_)</c:formatCode>
                <c:ptCount val="8"/>
                <c:pt idx="0">
                  <c:v>144.37078197615682</c:v>
                </c:pt>
                <c:pt idx="1">
                  <c:v>133.18753768844221</c:v>
                </c:pt>
                <c:pt idx="2">
                  <c:v>141.27121029352634</c:v>
                </c:pt>
                <c:pt idx="3">
                  <c:v>0</c:v>
                </c:pt>
                <c:pt idx="4">
                  <c:v>0</c:v>
                </c:pt>
                <c:pt idx="5">
                  <c:v>0</c:v>
                </c:pt>
                <c:pt idx="6">
                  <c:v>0</c:v>
                </c:pt>
                <c:pt idx="7">
                  <c:v>0</c:v>
                </c:pt>
              </c:numCache>
            </c:numRef>
          </c:val>
          <c:extLst>
            <c:ext xmlns:c16="http://schemas.microsoft.com/office/drawing/2014/chart" uri="{C3380CC4-5D6E-409C-BE32-E72D297353CC}">
              <c16:uniqueId val="{00000000-26A5-4E3A-9992-9662557AABAE}"/>
            </c:ext>
          </c:extLst>
        </c:ser>
        <c:ser>
          <c:idx val="1"/>
          <c:order val="2"/>
          <c:tx>
            <c:strRef>
              <c:f>FDB!$B$159</c:f>
              <c:strCache>
                <c:ptCount val="1"/>
                <c:pt idx="0">
                  <c:v>2. Unfinished Goods and Services</c:v>
                </c:pt>
              </c:strCache>
            </c:strRef>
          </c:tx>
          <c:spPr>
            <a:solidFill>
              <a:schemeClr val="accent2"/>
            </a:solidFill>
            <a:ln>
              <a:noFill/>
            </a:ln>
            <a:effectLst/>
          </c:spPr>
          <c:invertIfNegative val="0"/>
          <c:dLbls>
            <c:spPr>
              <a:noFill/>
              <a:ln>
                <a:noFill/>
              </a:ln>
              <a:effectLst/>
            </c:spPr>
            <c:txPr>
              <a:bodyPr rot="0" vert="horz"/>
              <a:lstStyle/>
              <a:p>
                <a:pPr>
                  <a:defRPr>
                    <a:solidFill>
                      <a:schemeClr val="bg1"/>
                    </a:solidFill>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FDB!$D$159:$P$159</c15:sqref>
                  </c15:fullRef>
                </c:ext>
              </c:extLst>
              <c:f>FDB!$D$159:$K$159</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394-432B-9D77-48DF74984B24}"/>
            </c:ext>
          </c:extLst>
        </c:ser>
        <c:ser>
          <c:idx val="2"/>
          <c:order val="3"/>
          <c:tx>
            <c:strRef>
              <c:f>FDB!$B$160</c:f>
              <c:strCache>
                <c:ptCount val="1"/>
                <c:pt idx="0">
                  <c:v>3. Finished products and Goods</c:v>
                </c:pt>
              </c:strCache>
            </c:strRef>
          </c:tx>
          <c:spPr>
            <a:solidFill>
              <a:schemeClr val="accent5"/>
            </a:solidFill>
            <a:ln>
              <a:noFill/>
            </a:ln>
            <a:effectLst/>
          </c:spPr>
          <c:invertIfNegative val="0"/>
          <c:dLbls>
            <c:spPr>
              <a:noFill/>
              <a:ln>
                <a:noFill/>
              </a:ln>
              <a:effectLst/>
            </c:spPr>
            <c:txPr>
              <a:bodyPr rot="0" vert="horz"/>
              <a:lstStyle/>
              <a:p>
                <a:pPr>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FDB!$D$160:$P$160</c15:sqref>
                  </c15:fullRef>
                </c:ext>
              </c:extLst>
              <c:f>FDB!$D$160:$K$160</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394-432B-9D77-48DF74984B24}"/>
            </c:ext>
          </c:extLst>
        </c:ser>
        <c:ser>
          <c:idx val="3"/>
          <c:order val="4"/>
          <c:tx>
            <c:strRef>
              <c:f>FDB!$B$161</c:f>
              <c:strCache>
                <c:ptCount val="1"/>
                <c:pt idx="0">
                  <c:v>4. Advance Payments Made</c:v>
                </c:pt>
              </c:strCache>
            </c:strRef>
          </c:tx>
          <c:spPr>
            <a:solidFill>
              <a:schemeClr val="accent4"/>
            </a:solidFill>
            <a:ln>
              <a:noFill/>
            </a:ln>
            <a:effectLst/>
          </c:spPr>
          <c:invertIfNegative val="0"/>
          <c:dLbls>
            <c:spPr>
              <a:noFill/>
              <a:ln>
                <a:noFill/>
              </a:ln>
              <a:effectLst/>
            </c:spPr>
            <c:txPr>
              <a:bodyPr rot="0" vert="horz"/>
              <a:lstStyle/>
              <a:p>
                <a:pPr>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FDB!$D$161:$P$161</c15:sqref>
                  </c15:fullRef>
                </c:ext>
              </c:extLst>
              <c:f>FDB!$D$161:$K$161</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394-432B-9D77-48DF74984B24}"/>
            </c:ext>
          </c:extLst>
        </c:ser>
        <c:dLbls>
          <c:showLegendKey val="0"/>
          <c:showVal val="0"/>
          <c:showCatName val="0"/>
          <c:showSerName val="0"/>
          <c:showPercent val="0"/>
          <c:showBubbleSize val="0"/>
        </c:dLbls>
        <c:gapWidth val="150"/>
        <c:overlap val="100"/>
        <c:axId val="1750201968"/>
        <c:axId val="1839819168"/>
      </c:barChart>
      <c:lineChart>
        <c:grouping val="standard"/>
        <c:varyColors val="0"/>
        <c:ser>
          <c:idx val="4"/>
          <c:order val="1"/>
          <c:tx>
            <c:strRef>
              <c:f>FDB!$B$157</c:f>
              <c:strCache>
                <c:ptCount val="1"/>
                <c:pt idx="0">
                  <c:v>I. Inventories</c:v>
                </c:pt>
              </c:strCache>
            </c:strRef>
          </c:tx>
          <c:spPr>
            <a:ln w="28575" cap="rnd">
              <a:solidFill>
                <a:schemeClr val="accent3"/>
              </a:solidFill>
              <a:prstDash val="sysDash"/>
              <a:round/>
            </a:ln>
            <a:effectLst/>
          </c:spPr>
          <c:marker>
            <c:symbol val="none"/>
          </c:marker>
          <c:dLbls>
            <c:numFmt formatCode="_(* #,##0.0_);_(* \(#,##0.0\);_(* &quot;-&quot;?_);_(@_)" sourceLinked="0"/>
            <c:spPr>
              <a:solidFill>
                <a:schemeClr val="accent3"/>
              </a:solidFill>
              <a:ln>
                <a:noFill/>
              </a:ln>
              <a:effectLst/>
            </c:spPr>
            <c:txPr>
              <a:bodyPr rot="0" vert="horz"/>
              <a:lstStyle/>
              <a:p>
                <a:pPr>
                  <a:defRPr>
                    <a:solidFill>
                      <a:schemeClr val="bg1"/>
                    </a:solidFil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FDB!$D$155:$K$155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FDB!$D$157:$P$157</c15:sqref>
                  </c15:fullRef>
                </c:ext>
              </c:extLst>
              <c:f>FDB!$D$157:$K$157</c:f>
              <c:numCache>
                <c:formatCode>_(* #,##0_);_(* \(#,##0\);_(* "-"_);_(@_)</c:formatCode>
                <c:ptCount val="8"/>
                <c:pt idx="0">
                  <c:v>144.37078197615682</c:v>
                </c:pt>
                <c:pt idx="1">
                  <c:v>133.18753768844221</c:v>
                </c:pt>
                <c:pt idx="2">
                  <c:v>141.27121029352634</c:v>
                </c:pt>
                <c:pt idx="3">
                  <c:v>0</c:v>
                </c:pt>
                <c:pt idx="4">
                  <c:v>0</c:v>
                </c:pt>
                <c:pt idx="5">
                  <c:v>0</c:v>
                </c:pt>
                <c:pt idx="6">
                  <c:v>0</c:v>
                </c:pt>
                <c:pt idx="7">
                  <c:v>0</c:v>
                </c:pt>
              </c:numCache>
            </c:numRef>
          </c:val>
          <c:smooth val="0"/>
          <c:extLst>
            <c:ext xmlns:c16="http://schemas.microsoft.com/office/drawing/2014/chart" uri="{C3380CC4-5D6E-409C-BE32-E72D297353CC}">
              <c16:uniqueId val="{00000004-26A5-4E3A-9992-9662557AABAE}"/>
            </c:ext>
          </c:extLst>
        </c:ser>
        <c:dLbls>
          <c:showLegendKey val="0"/>
          <c:showVal val="0"/>
          <c:showCatName val="0"/>
          <c:showSerName val="0"/>
          <c:showPercent val="0"/>
          <c:showBubbleSize val="0"/>
        </c:dLbls>
        <c:marker val="1"/>
        <c:smooth val="0"/>
        <c:axId val="1750201968"/>
        <c:axId val="1839819168"/>
      </c:lineChart>
      <c:catAx>
        <c:axId val="1750201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a:solidFill>
                  <a:schemeClr val="tx1">
                    <a:lumMod val="65000"/>
                    <a:lumOff val="35000"/>
                  </a:schemeClr>
                </a:solidFill>
              </a:defRPr>
            </a:pPr>
            <a:endParaRPr lang="de-DE"/>
          </a:p>
        </c:txPr>
        <c:crossAx val="1839819168"/>
        <c:crosses val="autoZero"/>
        <c:auto val="1"/>
        <c:lblAlgn val="ctr"/>
        <c:lblOffset val="100"/>
        <c:noMultiLvlLbl val="0"/>
      </c:catAx>
      <c:valAx>
        <c:axId val="183981916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a:noFill/>
          </a:ln>
          <a:effectLst/>
        </c:spPr>
        <c:txPr>
          <a:bodyPr rot="-60000000" vert="horz"/>
          <a:lstStyle/>
          <a:p>
            <a:pPr>
              <a:defRPr>
                <a:solidFill>
                  <a:schemeClr val="tx1">
                    <a:lumMod val="65000"/>
                    <a:lumOff val="35000"/>
                  </a:schemeClr>
                </a:solidFill>
              </a:defRPr>
            </a:pPr>
            <a:endParaRPr lang="de-DE"/>
          </a:p>
        </c:txPr>
        <c:crossAx val="1750201968"/>
        <c:crosses val="autoZero"/>
        <c:crossBetween val="between"/>
      </c:valAx>
      <c:spPr>
        <a:noFill/>
        <a:ln>
          <a:noFill/>
        </a:ln>
        <a:effectLst/>
      </c:spPr>
    </c:plotArea>
    <c:legend>
      <c:legendPos val="b"/>
      <c:overlay val="0"/>
      <c:spPr>
        <a:noFill/>
        <a:ln>
          <a:noFill/>
        </a:ln>
        <a:effectLst/>
      </c:spPr>
      <c:txPr>
        <a:bodyPr rot="0" vert="horz"/>
        <a:lstStyle/>
        <a:p>
          <a:pPr>
            <a:defRPr>
              <a:solidFill>
                <a:schemeClr val="tx1">
                  <a:lumMod val="65000"/>
                  <a:lumOff val="35000"/>
                </a:schemeClr>
              </a:solidFill>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FDB!$J$193</c:f>
          <c:strCache>
            <c:ptCount val="1"/>
            <c:pt idx="0">
              <c:v>Structure of Assets 2025FC</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0.30624397606591147"/>
          <c:y val="0.135182922244486"/>
          <c:w val="0.33284844283993958"/>
          <c:h val="0.59920544952684551"/>
        </c:manualLayout>
      </c:layout>
      <c:pieChart>
        <c:varyColors val="1"/>
        <c:ser>
          <c:idx val="0"/>
          <c:order val="0"/>
          <c:tx>
            <c:strRef>
              <c:f>FDB!$J$193</c:f>
              <c:strCache>
                <c:ptCount val="1"/>
                <c:pt idx="0">
                  <c:v>Structure of Assets 2025FC</c:v>
                </c:pt>
              </c:strCache>
            </c:strRef>
          </c:tx>
          <c:spPr>
            <a:ln w="6350">
              <a:solidFill>
                <a:schemeClr val="bg1"/>
              </a:solidFill>
            </a:ln>
          </c:spPr>
          <c:dPt>
            <c:idx val="0"/>
            <c:bubble3D val="0"/>
            <c:spPr>
              <a:solidFill>
                <a:schemeClr val="accent5"/>
              </a:solidFill>
              <a:ln w="6350">
                <a:solidFill>
                  <a:schemeClr val="bg1"/>
                </a:solidFill>
              </a:ln>
              <a:effectLst/>
            </c:spPr>
            <c:extLst>
              <c:ext xmlns:c16="http://schemas.microsoft.com/office/drawing/2014/chart" uri="{C3380CC4-5D6E-409C-BE32-E72D297353CC}">
                <c16:uniqueId val="{00000001-F5ED-4B73-9FAB-40274217423E}"/>
              </c:ext>
            </c:extLst>
          </c:dPt>
          <c:dPt>
            <c:idx val="1"/>
            <c:bubble3D val="0"/>
            <c:spPr>
              <a:solidFill>
                <a:schemeClr val="accent2"/>
              </a:solidFill>
              <a:ln w="6350">
                <a:solidFill>
                  <a:schemeClr val="bg1"/>
                </a:solidFill>
              </a:ln>
              <a:effectLst/>
            </c:spPr>
            <c:extLst>
              <c:ext xmlns:c16="http://schemas.microsoft.com/office/drawing/2014/chart" uri="{C3380CC4-5D6E-409C-BE32-E72D297353CC}">
                <c16:uniqueId val="{00000003-F5ED-4B73-9FAB-40274217423E}"/>
              </c:ext>
            </c:extLst>
          </c:dPt>
          <c:dPt>
            <c:idx val="2"/>
            <c:bubble3D val="0"/>
            <c:spPr>
              <a:solidFill>
                <a:schemeClr val="accent3"/>
              </a:solidFill>
              <a:ln w="6350">
                <a:solidFill>
                  <a:schemeClr val="bg1"/>
                </a:solidFill>
              </a:ln>
              <a:effectLst/>
            </c:spPr>
            <c:extLst>
              <c:ext xmlns:c16="http://schemas.microsoft.com/office/drawing/2014/chart" uri="{C3380CC4-5D6E-409C-BE32-E72D297353CC}">
                <c16:uniqueId val="{00000005-15FA-458F-8200-72297386CF88}"/>
              </c:ext>
            </c:extLst>
          </c:dPt>
          <c:dPt>
            <c:idx val="3"/>
            <c:bubble3D val="0"/>
            <c:spPr>
              <a:solidFill>
                <a:schemeClr val="accent4"/>
              </a:solidFill>
              <a:ln w="6350">
                <a:solidFill>
                  <a:schemeClr val="bg1"/>
                </a:solidFill>
              </a:ln>
              <a:effectLst/>
            </c:spPr>
            <c:extLst>
              <c:ext xmlns:c16="http://schemas.microsoft.com/office/drawing/2014/chart" uri="{C3380CC4-5D6E-409C-BE32-E72D297353CC}">
                <c16:uniqueId val="{00000007-15FA-458F-8200-72297386CF88}"/>
              </c:ext>
            </c:extLst>
          </c:dPt>
          <c:dPt>
            <c:idx val="4"/>
            <c:bubble3D val="0"/>
            <c:spPr>
              <a:solidFill>
                <a:schemeClr val="accent3"/>
              </a:solidFill>
              <a:ln w="6350">
                <a:solidFill>
                  <a:schemeClr val="bg1"/>
                </a:solidFill>
              </a:ln>
              <a:effectLst/>
            </c:spPr>
            <c:extLst>
              <c:ext xmlns:c16="http://schemas.microsoft.com/office/drawing/2014/chart" uri="{C3380CC4-5D6E-409C-BE32-E72D297353CC}">
                <c16:uniqueId val="{00000009-15FA-458F-8200-72297386CF88}"/>
              </c:ext>
            </c:extLst>
          </c:dPt>
          <c:dPt>
            <c:idx val="5"/>
            <c:bubble3D val="0"/>
            <c:spPr>
              <a:solidFill>
                <a:schemeClr val="accent4"/>
              </a:solidFill>
              <a:ln w="6350">
                <a:solidFill>
                  <a:schemeClr val="bg1"/>
                </a:solidFill>
              </a:ln>
              <a:effectLst/>
            </c:spPr>
            <c:extLst>
              <c:ext xmlns:c16="http://schemas.microsoft.com/office/drawing/2014/chart" uri="{C3380CC4-5D6E-409C-BE32-E72D297353CC}">
                <c16:uniqueId val="{0000000B-15FA-458F-8200-72297386CF88}"/>
              </c:ext>
            </c:extLst>
          </c:dPt>
          <c:dPt>
            <c:idx val="6"/>
            <c:bubble3D val="0"/>
            <c:spPr>
              <a:solidFill>
                <a:schemeClr val="accent1">
                  <a:lumMod val="60000"/>
                </a:schemeClr>
              </a:solidFill>
              <a:ln w="6350">
                <a:solidFill>
                  <a:schemeClr val="bg1"/>
                </a:solidFill>
              </a:ln>
              <a:effectLst/>
            </c:spPr>
            <c:extLst>
              <c:ext xmlns:c16="http://schemas.microsoft.com/office/drawing/2014/chart" uri="{C3380CC4-5D6E-409C-BE32-E72D297353CC}">
                <c16:uniqueId val="{0000000D-15FA-458F-8200-72297386CF88}"/>
              </c:ext>
            </c:extLst>
          </c:dPt>
          <c:dPt>
            <c:idx val="7"/>
            <c:bubble3D val="0"/>
            <c:spPr>
              <a:solidFill>
                <a:schemeClr val="accent2">
                  <a:lumMod val="60000"/>
                </a:schemeClr>
              </a:solidFill>
              <a:ln w="6350">
                <a:solidFill>
                  <a:schemeClr val="bg1"/>
                </a:solidFill>
              </a:ln>
              <a:effectLst/>
            </c:spPr>
            <c:extLst>
              <c:ext xmlns:c16="http://schemas.microsoft.com/office/drawing/2014/chart" uri="{C3380CC4-5D6E-409C-BE32-E72D297353CC}">
                <c16:uniqueId val="{0000000F-574A-47DB-89C5-2B05106B73F6}"/>
              </c:ext>
            </c:extLst>
          </c:dPt>
          <c:dPt>
            <c:idx val="8"/>
            <c:bubble3D val="0"/>
            <c:spPr>
              <a:solidFill>
                <a:schemeClr val="accent3">
                  <a:lumMod val="60000"/>
                </a:schemeClr>
              </a:solidFill>
              <a:ln w="6350">
                <a:solidFill>
                  <a:schemeClr val="bg1"/>
                </a:solidFill>
              </a:ln>
              <a:effectLst/>
            </c:spPr>
            <c:extLst>
              <c:ext xmlns:c16="http://schemas.microsoft.com/office/drawing/2014/chart" uri="{C3380CC4-5D6E-409C-BE32-E72D297353CC}">
                <c16:uniqueId val="{00000011-574A-47DB-89C5-2B05106B73F6}"/>
              </c:ext>
            </c:extLst>
          </c:dPt>
          <c:cat>
            <c:strRef>
              <c:f>FDB!$J$194:$J$202</c:f>
              <c:strCache>
                <c:ptCount val="9"/>
                <c:pt idx="0">
                  <c:v>I. Intangibles</c:v>
                </c:pt>
                <c:pt idx="1">
                  <c:v>II. PP&amp;E</c:v>
                </c:pt>
                <c:pt idx="2">
                  <c:v>III. Financial Assets</c:v>
                </c:pt>
                <c:pt idx="3">
                  <c:v>#WERT!</c:v>
                </c:pt>
                <c:pt idx="4">
                  <c:v>II. Receivables and other assets</c:v>
                </c:pt>
                <c:pt idx="5">
                  <c:v>III. Securities</c:v>
                </c:pt>
                <c:pt idx="6">
                  <c:v>#WERT!</c:v>
                </c:pt>
                <c:pt idx="7">
                  <c:v>C. Prepaid expenses / Accrued income</c:v>
                </c:pt>
                <c:pt idx="8">
                  <c:v>II. PP&amp;E</c:v>
                </c:pt>
              </c:strCache>
            </c:strRef>
          </c:cat>
          <c:val>
            <c:numRef>
              <c:f>FDB!$K$194:$K$202</c:f>
              <c:numCache>
                <c:formatCode>#,##0</c:formatCode>
                <c:ptCount val="9"/>
                <c:pt idx="0">
                  <c:v>25.962856834469594</c:v>
                </c:pt>
                <c:pt idx="1">
                  <c:v>6649.5107461395664</c:v>
                </c:pt>
                <c:pt idx="2">
                  <c:v>13.165789434876199</c:v>
                </c:pt>
                <c:pt idx="3">
                  <c:v>0</c:v>
                </c:pt>
                <c:pt idx="4">
                  <c:v>7774.9955937661325</c:v>
                </c:pt>
                <c:pt idx="5">
                  <c:v>0</c:v>
                </c:pt>
                <c:pt idx="6">
                  <c:v>0</c:v>
                </c:pt>
                <c:pt idx="7">
                  <c:v>168.06439325150092</c:v>
                </c:pt>
                <c:pt idx="8">
                  <c:v>0</c:v>
                </c:pt>
              </c:numCache>
            </c:numRef>
          </c:val>
          <c:extLst>
            <c:ext xmlns:c16="http://schemas.microsoft.com/office/drawing/2014/chart" uri="{C3380CC4-5D6E-409C-BE32-E72D297353CC}">
              <c16:uniqueId val="{00000004-F5ED-4B73-9FAB-40274217423E}"/>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
          <c:y val="0.83647182946163379"/>
          <c:w val="1"/>
          <c:h val="0.1547002648371710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FDB!$M$193</c:f>
          <c:strCache>
            <c:ptCount val="1"/>
            <c:pt idx="0">
              <c:v>Structure of Liabilities 2025FC</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0.17961223441540292"/>
          <c:y val="0.13469782258398902"/>
          <c:w val="0.57758662824814777"/>
          <c:h val="0.5643272086210176"/>
        </c:manualLayout>
      </c:layout>
      <c:pieChart>
        <c:varyColors val="1"/>
        <c:ser>
          <c:idx val="0"/>
          <c:order val="0"/>
          <c:tx>
            <c:strRef>
              <c:f>FDB!$M$193</c:f>
              <c:strCache>
                <c:ptCount val="1"/>
                <c:pt idx="0">
                  <c:v>Structure of Liabilities 2025FC</c:v>
                </c:pt>
              </c:strCache>
            </c:strRef>
          </c:tx>
          <c:spPr>
            <a:ln w="6350">
              <a:solidFill>
                <a:schemeClr val="bg1"/>
              </a:solidFill>
            </a:ln>
          </c:spPr>
          <c:dPt>
            <c:idx val="0"/>
            <c:bubble3D val="0"/>
            <c:spPr>
              <a:solidFill>
                <a:schemeClr val="accent1"/>
              </a:solidFill>
              <a:ln w="6350">
                <a:solidFill>
                  <a:schemeClr val="bg1"/>
                </a:solidFill>
              </a:ln>
              <a:effectLst/>
            </c:spPr>
            <c:extLst>
              <c:ext xmlns:c16="http://schemas.microsoft.com/office/drawing/2014/chart" uri="{C3380CC4-5D6E-409C-BE32-E72D297353CC}">
                <c16:uniqueId val="{00000001-4633-498E-903F-EC7E4EE8B7F0}"/>
              </c:ext>
            </c:extLst>
          </c:dPt>
          <c:dPt>
            <c:idx val="1"/>
            <c:bubble3D val="0"/>
            <c:spPr>
              <a:solidFill>
                <a:schemeClr val="accent2"/>
              </a:solidFill>
              <a:ln w="6350">
                <a:solidFill>
                  <a:schemeClr val="bg1"/>
                </a:solidFill>
              </a:ln>
              <a:effectLst/>
            </c:spPr>
            <c:extLst>
              <c:ext xmlns:c16="http://schemas.microsoft.com/office/drawing/2014/chart" uri="{C3380CC4-5D6E-409C-BE32-E72D297353CC}">
                <c16:uniqueId val="{00000003-4633-498E-903F-EC7E4EE8B7F0}"/>
              </c:ext>
            </c:extLst>
          </c:dPt>
          <c:dPt>
            <c:idx val="2"/>
            <c:bubble3D val="0"/>
            <c:spPr>
              <a:solidFill>
                <a:schemeClr val="accent3"/>
              </a:solidFill>
              <a:ln w="6350">
                <a:solidFill>
                  <a:schemeClr val="bg1"/>
                </a:solidFill>
              </a:ln>
              <a:effectLst/>
            </c:spPr>
            <c:extLst>
              <c:ext xmlns:c16="http://schemas.microsoft.com/office/drawing/2014/chart" uri="{C3380CC4-5D6E-409C-BE32-E72D297353CC}">
                <c16:uniqueId val="{00000005-4633-498E-903F-EC7E4EE8B7F0}"/>
              </c:ext>
            </c:extLst>
          </c:dPt>
          <c:dPt>
            <c:idx val="3"/>
            <c:bubble3D val="0"/>
            <c:spPr>
              <a:solidFill>
                <a:schemeClr val="accent4"/>
              </a:solidFill>
              <a:ln w="6350">
                <a:solidFill>
                  <a:schemeClr val="bg1"/>
                </a:solidFill>
              </a:ln>
              <a:effectLst/>
            </c:spPr>
            <c:extLst>
              <c:ext xmlns:c16="http://schemas.microsoft.com/office/drawing/2014/chart" uri="{C3380CC4-5D6E-409C-BE32-E72D297353CC}">
                <c16:uniqueId val="{00000007-4633-498E-903F-EC7E4EE8B7F0}"/>
              </c:ext>
            </c:extLst>
          </c:dPt>
          <c:dPt>
            <c:idx val="4"/>
            <c:bubble3D val="0"/>
            <c:spPr>
              <a:solidFill>
                <a:schemeClr val="accent5"/>
              </a:solidFill>
              <a:ln w="6350">
                <a:solidFill>
                  <a:schemeClr val="bg1"/>
                </a:solidFill>
              </a:ln>
              <a:effectLst/>
            </c:spPr>
            <c:extLst>
              <c:ext xmlns:c16="http://schemas.microsoft.com/office/drawing/2014/chart" uri="{C3380CC4-5D6E-409C-BE32-E72D297353CC}">
                <c16:uniqueId val="{00000009-DBB9-43CC-96AE-EEBC70B1E805}"/>
              </c:ext>
            </c:extLst>
          </c:dPt>
          <c:cat>
            <c:strRef>
              <c:f>FDB!$M$194:$M$198</c:f>
              <c:strCache>
                <c:ptCount val="5"/>
                <c:pt idx="0">
                  <c:v>A. Equity</c:v>
                </c:pt>
                <c:pt idx="1">
                  <c:v>B. Provisions</c:v>
                </c:pt>
                <c:pt idx="2">
                  <c:v>C. Liabilities</c:v>
                </c:pt>
                <c:pt idx="3">
                  <c:v>D. Accrued expenses / Deferred income</c:v>
                </c:pt>
                <c:pt idx="4">
                  <c:v>E. Deferred Tax Liabilities</c:v>
                </c:pt>
              </c:strCache>
            </c:strRef>
          </c:cat>
          <c:val>
            <c:numRef>
              <c:f>FDB!$N$194:$N$198</c:f>
              <c:numCache>
                <c:formatCode>#,##0</c:formatCode>
                <c:ptCount val="5"/>
                <c:pt idx="0">
                  <c:v>4095.4323453629199</c:v>
                </c:pt>
                <c:pt idx="1">
                  <c:v>0</c:v>
                </c:pt>
                <c:pt idx="2">
                  <c:v>0</c:v>
                </c:pt>
                <c:pt idx="3">
                  <c:v>0</c:v>
                </c:pt>
                <c:pt idx="4">
                  <c:v>0</c:v>
                </c:pt>
              </c:numCache>
            </c:numRef>
          </c:val>
          <c:extLst>
            <c:ext xmlns:c16="http://schemas.microsoft.com/office/drawing/2014/chart" uri="{C3380CC4-5D6E-409C-BE32-E72D297353CC}">
              <c16:uniqueId val="{00000008-4633-498E-903F-EC7E4EE8B7F0}"/>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
          <c:y val="0.85541315810866236"/>
          <c:w val="1"/>
          <c:h val="0.1445868418913376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FDB!$B$8</c:f>
          <c:strCache>
            <c:ptCount val="1"/>
            <c:pt idx="0">
              <c:v>Entity Value, in TEUR</c:v>
            </c:pt>
          </c:strCache>
        </c:strRef>
      </c:tx>
      <c:overlay val="0"/>
      <c:spPr>
        <a:noFill/>
        <a:ln>
          <a:noFill/>
        </a:ln>
        <a:effectLst/>
      </c:spPr>
      <c:txPr>
        <a:bodyPr rot="0" spcFirstLastPara="1" vertOverflow="ellipsis" vert="horz" wrap="square" anchor="ctr" anchorCtr="1"/>
        <a:lstStyle/>
        <a:p>
          <a:pPr algn="ctr" rtl="0">
            <a:defRPr lang="de-DE" sz="1100" b="1" i="0" u="none" strike="noStrike" kern="1200" spc="0" baseline="0">
              <a:solidFill>
                <a:schemeClr val="tx1">
                  <a:lumMod val="85000"/>
                  <a:lumOff val="15000"/>
                </a:schemeClr>
              </a:solidFill>
              <a:latin typeface="+mn-lt"/>
              <a:ea typeface="+mn-ea"/>
              <a:cs typeface="+mn-cs"/>
            </a:defRPr>
          </a:pPr>
          <a:endParaRPr lang="de-DE"/>
        </a:p>
      </c:txPr>
    </c:title>
    <c:autoTitleDeleted val="0"/>
    <c:plotArea>
      <c:layout>
        <c:manualLayout>
          <c:layoutTarget val="inner"/>
          <c:xMode val="edge"/>
          <c:yMode val="edge"/>
          <c:x val="0.23931196036695782"/>
          <c:y val="0.25630591025462562"/>
          <c:w val="0.72651215213974252"/>
          <c:h val="0.64735298124335561"/>
        </c:manualLayout>
      </c:layout>
      <c:barChart>
        <c:barDir val="bar"/>
        <c:grouping val="stacked"/>
        <c:varyColors val="0"/>
        <c:ser>
          <c:idx val="1"/>
          <c:order val="0"/>
          <c:tx>
            <c:strRef>
              <c:f>TCDL!$C$5</c:f>
              <c:strCache>
                <c:ptCount val="1"/>
                <c:pt idx="0">
                  <c:v>From 1.Quart</c:v>
                </c:pt>
              </c:strCache>
            </c:strRef>
          </c:tx>
          <c:spPr>
            <a:noFill/>
            <a:ln>
              <a:noFill/>
            </a:ln>
            <a:effectLst/>
          </c:spPr>
          <c:invertIfNegative val="0"/>
          <c:cat>
            <c:strRef>
              <c:f>TCDL!$B$7:$B$13</c:f>
              <c:strCache>
                <c:ptCount val="7"/>
                <c:pt idx="0">
                  <c:v>Public Comps (Discount = 0.2 )          </c:v>
                </c:pt>
                <c:pt idx="1">
                  <c:v>Transactions (Discount = 0.2 )          </c:v>
                </c:pt>
                <c:pt idx="2">
                  <c:v>Database (Discount = 0.1 )          </c:v>
                </c:pt>
                <c:pt idx="3">
                  <c:v>DCF (Growth)          </c:v>
                </c:pt>
                <c:pt idx="4">
                  <c:v>DCF (Multiple EBITDA)          </c:v>
                </c:pt>
                <c:pt idx="5">
                  <c:v>DCF (Multiple EBIT)          </c:v>
                </c:pt>
                <c:pt idx="6">
                  <c:v>Ertragswertverfahren (vereinf.)          </c:v>
                </c:pt>
              </c:strCache>
            </c:strRef>
          </c:cat>
          <c:val>
            <c:numRef>
              <c:f>TCDL!$C$7:$C$13</c:f>
              <c:numCache>
                <c:formatCode>#,##0.00</c:formatCode>
                <c:ptCount val="7"/>
                <c:pt idx="0">
                  <c:v>0</c:v>
                </c:pt>
                <c:pt idx="1">
                  <c:v>4069.786757391214</c:v>
                </c:pt>
                <c:pt idx="2">
                  <c:v>5664.9089370488055</c:v>
                </c:pt>
                <c:pt idx="3">
                  <c:v>0</c:v>
                </c:pt>
                <c:pt idx="4">
                  <c:v>0</c:v>
                </c:pt>
                <c:pt idx="5">
                  <c:v>0</c:v>
                </c:pt>
                <c:pt idx="6">
                  <c:v>0</c:v>
                </c:pt>
              </c:numCache>
            </c:numRef>
          </c:val>
          <c:extLst>
            <c:ext xmlns:c16="http://schemas.microsoft.com/office/drawing/2014/chart" uri="{C3380CC4-5D6E-409C-BE32-E72D297353CC}">
              <c16:uniqueId val="{00000001-4C11-48E8-A2D1-A8FE40B1DBB9}"/>
            </c:ext>
          </c:extLst>
        </c:ser>
        <c:ser>
          <c:idx val="2"/>
          <c:order val="1"/>
          <c:tx>
            <c:strRef>
              <c:f>TCDL!$E$5</c:f>
              <c:strCache>
                <c:ptCount val="1"/>
                <c:pt idx="0">
                  <c:v>To 3.Quart</c:v>
                </c:pt>
              </c:strCache>
            </c:strRef>
          </c:tx>
          <c:spPr>
            <a:solidFill>
              <a:schemeClr val="accent4"/>
            </a:solidFill>
            <a:ln>
              <a:noFill/>
            </a:ln>
            <a:effectLst/>
          </c:spPr>
          <c:invertIfNegative val="0"/>
          <c:cat>
            <c:strRef>
              <c:f>TCDL!$B$7:$B$13</c:f>
              <c:strCache>
                <c:ptCount val="7"/>
                <c:pt idx="0">
                  <c:v>Public Comps (Discount = 0.2 )          </c:v>
                </c:pt>
                <c:pt idx="1">
                  <c:v>Transactions (Discount = 0.2 )          </c:v>
                </c:pt>
                <c:pt idx="2">
                  <c:v>Database (Discount = 0.1 )          </c:v>
                </c:pt>
                <c:pt idx="3">
                  <c:v>DCF (Growth)          </c:v>
                </c:pt>
                <c:pt idx="4">
                  <c:v>DCF (Multiple EBITDA)          </c:v>
                </c:pt>
                <c:pt idx="5">
                  <c:v>DCF (Multiple EBIT)          </c:v>
                </c:pt>
                <c:pt idx="6">
                  <c:v>Ertragswertverfahren (vereinf.)          </c:v>
                </c:pt>
              </c:strCache>
            </c:strRef>
          </c:cat>
          <c:val>
            <c:numRef>
              <c:f>TCDL!$E$7:$E$13</c:f>
              <c:numCache>
                <c:formatCode>#,##0.00</c:formatCode>
                <c:ptCount val="7"/>
                <c:pt idx="0">
                  <c:v>0</c:v>
                </c:pt>
                <c:pt idx="1">
                  <c:v>5909.2706493730275</c:v>
                </c:pt>
                <c:pt idx="2">
                  <c:v>2967.6397186737977</c:v>
                </c:pt>
                <c:pt idx="3">
                  <c:v>0</c:v>
                </c:pt>
                <c:pt idx="4">
                  <c:v>0</c:v>
                </c:pt>
                <c:pt idx="5">
                  <c:v>0</c:v>
                </c:pt>
                <c:pt idx="6">
                  <c:v>0</c:v>
                </c:pt>
              </c:numCache>
            </c:numRef>
          </c:val>
          <c:extLst>
            <c:ext xmlns:c16="http://schemas.microsoft.com/office/drawing/2014/chart" uri="{C3380CC4-5D6E-409C-BE32-E72D297353CC}">
              <c16:uniqueId val="{00000002-4C11-48E8-A2D1-A8FE40B1DBB9}"/>
            </c:ext>
          </c:extLst>
        </c:ser>
        <c:dLbls>
          <c:showLegendKey val="0"/>
          <c:showVal val="0"/>
          <c:showCatName val="0"/>
          <c:showSerName val="0"/>
          <c:showPercent val="0"/>
          <c:showBubbleSize val="0"/>
        </c:dLbls>
        <c:gapWidth val="150"/>
        <c:overlap val="100"/>
        <c:axId val="966280680"/>
        <c:axId val="961628728"/>
      </c:barChart>
      <c:catAx>
        <c:axId val="9662806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1628728"/>
        <c:crosses val="autoZero"/>
        <c:auto val="1"/>
        <c:lblAlgn val="ctr"/>
        <c:lblOffset val="100"/>
        <c:noMultiLvlLbl val="0"/>
      </c:catAx>
      <c:valAx>
        <c:axId val="961628728"/>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6280680"/>
        <c:crosses val="autoZero"/>
        <c:crossBetween val="between"/>
      </c:valAx>
      <c:spPr>
        <a:noFill/>
        <a:ln>
          <a:noFill/>
        </a:ln>
        <a:effectLst/>
      </c:spPr>
    </c:plotArea>
    <c:legend>
      <c:legendPos val="b"/>
      <c:layout>
        <c:manualLayout>
          <c:xMode val="edge"/>
          <c:yMode val="edge"/>
          <c:x val="0.36388499834243532"/>
          <c:y val="0.92715930516710521"/>
          <c:w val="0.35689595402697311"/>
          <c:h val="7.28408170146120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FDB!$B$18</c:f>
          <c:strCache>
            <c:ptCount val="1"/>
            <c:pt idx="0">
              <c:v>Equity Value, in TEUR</c:v>
            </c:pt>
          </c:strCache>
        </c:strRef>
      </c:tx>
      <c:overlay val="0"/>
      <c:spPr>
        <a:noFill/>
        <a:ln>
          <a:noFill/>
        </a:ln>
        <a:effectLst/>
      </c:spPr>
      <c:txPr>
        <a:bodyPr rot="0" spcFirstLastPara="1" vertOverflow="ellipsis" vert="horz" wrap="square" anchor="ctr" anchorCtr="1"/>
        <a:lstStyle/>
        <a:p>
          <a:pPr algn="ctr" rtl="0">
            <a:defRPr lang="de-DE" sz="1100" b="1" i="0" u="none" strike="noStrike" kern="1200" spc="0" baseline="0">
              <a:solidFill>
                <a:schemeClr val="tx1">
                  <a:lumMod val="85000"/>
                  <a:lumOff val="15000"/>
                </a:schemeClr>
              </a:solidFill>
              <a:latin typeface="+mn-lt"/>
              <a:ea typeface="+mn-ea"/>
              <a:cs typeface="+mn-cs"/>
            </a:defRPr>
          </a:pPr>
          <a:endParaRPr lang="de-DE"/>
        </a:p>
      </c:txPr>
    </c:title>
    <c:autoTitleDeleted val="0"/>
    <c:plotArea>
      <c:layout>
        <c:manualLayout>
          <c:layoutTarget val="inner"/>
          <c:xMode val="edge"/>
          <c:yMode val="edge"/>
          <c:x val="0.2362877798629312"/>
          <c:y val="0.25048888325436192"/>
          <c:w val="0.72198388016339177"/>
          <c:h val="0.64735298124335561"/>
        </c:manualLayout>
      </c:layout>
      <c:barChart>
        <c:barDir val="bar"/>
        <c:grouping val="stacked"/>
        <c:varyColors val="0"/>
        <c:ser>
          <c:idx val="1"/>
          <c:order val="0"/>
          <c:tx>
            <c:strRef>
              <c:f>TCDL!$C$5</c:f>
              <c:strCache>
                <c:ptCount val="1"/>
                <c:pt idx="0">
                  <c:v>From 1.Quart</c:v>
                </c:pt>
              </c:strCache>
            </c:strRef>
          </c:tx>
          <c:spPr>
            <a:noFill/>
            <a:ln>
              <a:noFill/>
            </a:ln>
            <a:effectLst/>
          </c:spPr>
          <c:invertIfNegative val="0"/>
          <c:cat>
            <c:strRef>
              <c:f>TCDL!$B$17:$B$23</c:f>
              <c:strCache>
                <c:ptCount val="7"/>
                <c:pt idx="0">
                  <c:v>Public Comps (Discount = 0.2 )          </c:v>
                </c:pt>
                <c:pt idx="1">
                  <c:v>Transactions (Discount = 0.2 )          </c:v>
                </c:pt>
                <c:pt idx="2">
                  <c:v>Database (Discount = 0.1 )          </c:v>
                </c:pt>
                <c:pt idx="3">
                  <c:v>DCF (Growth)          </c:v>
                </c:pt>
                <c:pt idx="4">
                  <c:v>DCF (Multiple EBITDA)          </c:v>
                </c:pt>
                <c:pt idx="5">
                  <c:v>DCF (Multiple EBIT)          </c:v>
                </c:pt>
                <c:pt idx="6">
                  <c:v>Ertragswertverfahren (vereinf.)          </c:v>
                </c:pt>
              </c:strCache>
            </c:strRef>
          </c:cat>
          <c:val>
            <c:numRef>
              <c:f>TCDL!$C$17:$C$23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5458-427B-891E-174DBB56728F}"/>
            </c:ext>
          </c:extLst>
        </c:ser>
        <c:ser>
          <c:idx val="2"/>
          <c:order val="1"/>
          <c:tx>
            <c:strRef>
              <c:f>TCDL!$E$15</c:f>
              <c:strCache>
                <c:ptCount val="1"/>
                <c:pt idx="0">
                  <c:v>To 3.Quart</c:v>
                </c:pt>
              </c:strCache>
            </c:strRef>
          </c:tx>
          <c:spPr>
            <a:solidFill>
              <a:schemeClr val="accent4"/>
            </a:solidFill>
            <a:ln>
              <a:noFill/>
            </a:ln>
            <a:effectLst/>
          </c:spPr>
          <c:invertIfNegative val="0"/>
          <c:cat>
            <c:strRef>
              <c:f>TCDL!$B$17:$B$23</c:f>
              <c:strCache>
                <c:ptCount val="7"/>
                <c:pt idx="0">
                  <c:v>Public Comps (Discount = 0.2 )          </c:v>
                </c:pt>
                <c:pt idx="1">
                  <c:v>Transactions (Discount = 0.2 )          </c:v>
                </c:pt>
                <c:pt idx="2">
                  <c:v>Database (Discount = 0.1 )          </c:v>
                </c:pt>
                <c:pt idx="3">
                  <c:v>DCF (Growth)          </c:v>
                </c:pt>
                <c:pt idx="4">
                  <c:v>DCF (Multiple EBITDA)          </c:v>
                </c:pt>
                <c:pt idx="5">
                  <c:v>DCF (Multiple EBIT)          </c:v>
                </c:pt>
                <c:pt idx="6">
                  <c:v>Ertragswertverfahren (vereinf.)          </c:v>
                </c:pt>
              </c:strCache>
            </c:strRef>
          </c:cat>
          <c:val>
            <c:numRef>
              <c:f>TCDL!$E$17:$E$23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5458-427B-891E-174DBB56728F}"/>
            </c:ext>
          </c:extLst>
        </c:ser>
        <c:dLbls>
          <c:showLegendKey val="0"/>
          <c:showVal val="0"/>
          <c:showCatName val="0"/>
          <c:showSerName val="0"/>
          <c:showPercent val="0"/>
          <c:showBubbleSize val="0"/>
        </c:dLbls>
        <c:gapWidth val="150"/>
        <c:overlap val="100"/>
        <c:axId val="966280680"/>
        <c:axId val="961628728"/>
      </c:barChart>
      <c:catAx>
        <c:axId val="9662806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1628728"/>
        <c:crosses val="autoZero"/>
        <c:auto val="1"/>
        <c:lblAlgn val="ctr"/>
        <c:lblOffset val="100"/>
        <c:noMultiLvlLbl val="0"/>
      </c:catAx>
      <c:valAx>
        <c:axId val="961628728"/>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6280680"/>
        <c:crosses val="autoZero"/>
        <c:crossBetween val="between"/>
      </c:valAx>
      <c:spPr>
        <a:noFill/>
        <a:ln>
          <a:noFill/>
        </a:ln>
        <a:effectLst/>
      </c:spPr>
    </c:plotArea>
    <c:legend>
      <c:legendPos val="b"/>
      <c:layout>
        <c:manualLayout>
          <c:xMode val="edge"/>
          <c:yMode val="edge"/>
          <c:x val="0.39438487298398628"/>
          <c:y val="0.92721014684724712"/>
          <c:w val="0.29869860846454821"/>
          <c:h val="7.27898531527529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FDB!$B$71</c:f>
          <c:strCache>
            <c:ptCount val="1"/>
            <c:pt idx="0">
              <c:v>Income Statement</c:v>
            </c:pt>
          </c:strCache>
        </c:strRef>
      </c:tx>
      <c:overlay val="0"/>
      <c:spPr>
        <a:noFill/>
        <a:ln>
          <a:noFill/>
        </a:ln>
        <a:effectLst/>
      </c:spPr>
      <c:txPr>
        <a:bodyPr rot="0" spcFirstLastPara="1" vertOverflow="ellipsis" vert="horz" wrap="square" anchor="ctr" anchorCtr="1"/>
        <a:lstStyle/>
        <a:p>
          <a:pPr algn="ctr" rtl="0">
            <a:defRPr lang="de-DE" sz="1100" b="1" i="0" u="none" strike="noStrike" kern="1200" spc="0" baseline="0">
              <a:solidFill>
                <a:schemeClr val="tx1">
                  <a:lumMod val="85000"/>
                  <a:lumOff val="15000"/>
                </a:schemeClr>
              </a:solidFill>
              <a:latin typeface="+mn-lt"/>
              <a:ea typeface="+mn-ea"/>
              <a:cs typeface="+mn-cs"/>
            </a:defRPr>
          </a:pPr>
          <a:endParaRPr lang="de-DE"/>
        </a:p>
      </c:txPr>
    </c:title>
    <c:autoTitleDeleted val="0"/>
    <c:plotArea>
      <c:layout/>
      <c:barChart>
        <c:barDir val="col"/>
        <c:grouping val="clustered"/>
        <c:varyColors val="0"/>
        <c:ser>
          <c:idx val="0"/>
          <c:order val="0"/>
          <c:tx>
            <c:strRef>
              <c:f>FDB!$B$74</c:f>
              <c:strCache>
                <c:ptCount val="1"/>
                <c:pt idx="0">
                  <c:v>Total Turnover (reported)</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FDB!$D$74:$P$74</c15:sqref>
                  </c15:fullRef>
                </c:ext>
              </c:extLst>
              <c:f>FDB!$D$74:$K$74</c:f>
              <c:numCache>
                <c:formatCode>_(* #,##0.0_);_(* \(#,##0.0\);_(* "-"??_);_(@_)</c:formatCode>
                <c:ptCount val="8"/>
                <c:pt idx="0">
                  <c:v>38216.485956758937</c:v>
                </c:pt>
                <c:pt idx="1">
                  <c:v>37396.294271356783</c:v>
                </c:pt>
                <c:pt idx="2">
                  <c:v>34006.908524326493</c:v>
                </c:pt>
                <c:pt idx="3">
                  <c:v>34687.046694813027</c:v>
                </c:pt>
                <c:pt idx="4">
                  <c:v>0</c:v>
                </c:pt>
                <c:pt idx="5">
                  <c:v>0</c:v>
                </c:pt>
                <c:pt idx="6">
                  <c:v>0</c:v>
                </c:pt>
                <c:pt idx="7">
                  <c:v>0</c:v>
                </c:pt>
              </c:numCache>
            </c:numRef>
          </c:val>
          <c:extLst>
            <c:ext xmlns:c16="http://schemas.microsoft.com/office/drawing/2014/chart" uri="{C3380CC4-5D6E-409C-BE32-E72D297353CC}">
              <c16:uniqueId val="{00000000-6431-4E5A-A7BB-07FF947E3700}"/>
            </c:ext>
          </c:extLst>
        </c:ser>
        <c:ser>
          <c:idx val="1"/>
          <c:order val="1"/>
          <c:tx>
            <c:strRef>
              <c:f>FDB!$B$76</c:f>
              <c:strCache>
                <c:ptCount val="1"/>
                <c:pt idx="0">
                  <c:v>Gross Profit (adjusted)</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FDB!$D$76:$P$76</c15:sqref>
                  </c15:fullRef>
                </c:ext>
              </c:extLst>
              <c:f>FDB!$D$76:$K$76</c:f>
              <c:numCache>
                <c:formatCode>_(* #,##0.0_);_(* \(#,##0.0\);_(* "-"??_);_(@_)</c:formatCode>
                <c:ptCount val="8"/>
                <c:pt idx="0">
                  <c:v>38216.485956758937</c:v>
                </c:pt>
                <c:pt idx="1">
                  <c:v>37396.294271356783</c:v>
                </c:pt>
                <c:pt idx="2">
                  <c:v>34006.908524326493</c:v>
                </c:pt>
                <c:pt idx="3">
                  <c:v>34687.046694813027</c:v>
                </c:pt>
                <c:pt idx="4">
                  <c:v>0</c:v>
                </c:pt>
                <c:pt idx="5">
                  <c:v>0</c:v>
                </c:pt>
                <c:pt idx="6">
                  <c:v>0</c:v>
                </c:pt>
                <c:pt idx="7">
                  <c:v>0</c:v>
                </c:pt>
              </c:numCache>
            </c:numRef>
          </c:val>
          <c:extLst>
            <c:ext xmlns:c16="http://schemas.microsoft.com/office/drawing/2014/chart" uri="{C3380CC4-5D6E-409C-BE32-E72D297353CC}">
              <c16:uniqueId val="{00000001-6431-4E5A-A7BB-07FF947E3700}"/>
            </c:ext>
          </c:extLst>
        </c:ser>
        <c:ser>
          <c:idx val="2"/>
          <c:order val="2"/>
          <c:tx>
            <c:strRef>
              <c:f>FDB!$B$77</c:f>
              <c:strCache>
                <c:ptCount val="1"/>
                <c:pt idx="0">
                  <c:v>EBITDA (adjusted)</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FDB!$D$77:$P$77</c15:sqref>
                  </c15:fullRef>
                </c:ext>
              </c:extLst>
              <c:f>FDB!$D$77:$K$77</c:f>
              <c:numCache>
                <c:formatCode>_(* #,##0.0_);_(* \(#,##0.0\);_(* "-"??_);_(@_)</c:formatCode>
                <c:ptCount val="8"/>
                <c:pt idx="0">
                  <c:v>2496.1454839361527</c:v>
                </c:pt>
                <c:pt idx="1">
                  <c:v>1744.0484422110496</c:v>
                </c:pt>
                <c:pt idx="2">
                  <c:v>551.8715319662258</c:v>
                </c:pt>
                <c:pt idx="3">
                  <c:v>971.54861223384364</c:v>
                </c:pt>
                <c:pt idx="4">
                  <c:v>0</c:v>
                </c:pt>
                <c:pt idx="5">
                  <c:v>0</c:v>
                </c:pt>
                <c:pt idx="6">
                  <c:v>0</c:v>
                </c:pt>
                <c:pt idx="7">
                  <c:v>0</c:v>
                </c:pt>
              </c:numCache>
            </c:numRef>
          </c:val>
          <c:extLst>
            <c:ext xmlns:c16="http://schemas.microsoft.com/office/drawing/2014/chart" uri="{C3380CC4-5D6E-409C-BE32-E72D297353CC}">
              <c16:uniqueId val="{00000002-6431-4E5A-A7BB-07FF947E3700}"/>
            </c:ext>
          </c:extLst>
        </c:ser>
        <c:ser>
          <c:idx val="3"/>
          <c:order val="3"/>
          <c:tx>
            <c:strRef>
              <c:f>FDB!$B$80</c:f>
              <c:strCache>
                <c:ptCount val="1"/>
                <c:pt idx="0">
                  <c:v>EBIT (adjusted)</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FDB!$D$80:$P$80</c15:sqref>
                  </c15:fullRef>
                </c:ext>
              </c:extLst>
              <c:f>FDB!$D$80:$K$80</c:f>
              <c:numCache>
                <c:formatCode>_(* #,##0.0_);_(* \(#,##0.0\);_(* "-"??_);_(@_)</c:formatCode>
                <c:ptCount val="8"/>
                <c:pt idx="0">
                  <c:v>2496.1454839361527</c:v>
                </c:pt>
                <c:pt idx="1">
                  <c:v>1744.0484422110496</c:v>
                </c:pt>
                <c:pt idx="2">
                  <c:v>551.8715319662258</c:v>
                </c:pt>
                <c:pt idx="3">
                  <c:v>971.54861223384364</c:v>
                </c:pt>
                <c:pt idx="4">
                  <c:v>0</c:v>
                </c:pt>
                <c:pt idx="5">
                  <c:v>0</c:v>
                </c:pt>
                <c:pt idx="6">
                  <c:v>0</c:v>
                </c:pt>
                <c:pt idx="7">
                  <c:v>0</c:v>
                </c:pt>
              </c:numCache>
            </c:numRef>
          </c:val>
          <c:extLst>
            <c:ext xmlns:c16="http://schemas.microsoft.com/office/drawing/2014/chart" uri="{C3380CC4-5D6E-409C-BE32-E72D297353CC}">
              <c16:uniqueId val="{00000003-6431-4E5A-A7BB-07FF947E3700}"/>
            </c:ext>
          </c:extLst>
        </c:ser>
        <c:dLbls>
          <c:showLegendKey val="0"/>
          <c:showVal val="0"/>
          <c:showCatName val="0"/>
          <c:showSerName val="0"/>
          <c:showPercent val="0"/>
          <c:showBubbleSize val="0"/>
        </c:dLbls>
        <c:gapWidth val="150"/>
        <c:axId val="1067403816"/>
        <c:axId val="1067401296"/>
      </c:barChart>
      <c:lineChart>
        <c:grouping val="standard"/>
        <c:varyColors val="0"/>
        <c:ser>
          <c:idx val="4"/>
          <c:order val="4"/>
          <c:tx>
            <c:strRef>
              <c:f>FDB!$B$79</c:f>
              <c:strCache>
                <c:ptCount val="1"/>
                <c:pt idx="0">
                  <c:v>EBITDA (adjusted) Marge</c:v>
                </c:pt>
              </c:strCache>
            </c:strRef>
          </c:tx>
          <c:spPr>
            <a:ln w="28575" cap="rnd">
              <a:solidFill>
                <a:schemeClr val="accent3"/>
              </a:solidFill>
              <a:prstDash val="sysDash"/>
              <a:round/>
            </a:ln>
            <a:effectLst/>
          </c:spPr>
          <c:marker>
            <c:symbol val="none"/>
          </c:marker>
          <c:cat>
            <c:strLit>
              <c:ptCount val="8"/>
              <c:pt idx="0">
                <c:v>1</c:v>
              </c:pt>
              <c:pt idx="1">
                <c:v>2</c:v>
              </c:pt>
              <c:pt idx="2">
                <c:v>3</c:v>
              </c:pt>
              <c:pt idx="3">
                <c:v>4</c:v>
              </c:pt>
              <c:pt idx="4">
                <c:v>5</c:v>
              </c:pt>
              <c:pt idx="5">
                <c:v>6</c:v>
              </c:pt>
              <c:pt idx="6">
                <c:v>7</c:v>
              </c:pt>
              <c:pt idx="7">
                <c:v>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FDB!$D$79:$P$79</c15:sqref>
                  </c15:fullRef>
                </c:ext>
              </c:extLst>
              <c:f>FDB!$D$79:$K$79</c:f>
              <c:numCache>
                <c:formatCode>0%</c:formatCode>
                <c:ptCount val="8"/>
                <c:pt idx="0">
                  <c:v>6.5315934247865776E-2</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2-2D41-47AE-BB86-2C3034B7E2CA}"/>
            </c:ext>
          </c:extLst>
        </c:ser>
        <c:dLbls>
          <c:showLegendKey val="0"/>
          <c:showVal val="0"/>
          <c:showCatName val="0"/>
          <c:showSerName val="0"/>
          <c:showPercent val="0"/>
          <c:showBubbleSize val="0"/>
        </c:dLbls>
        <c:marker val="1"/>
        <c:smooth val="0"/>
        <c:axId val="1250126872"/>
        <c:axId val="1250121472"/>
      </c:lineChart>
      <c:catAx>
        <c:axId val="1067403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67401296"/>
        <c:crosses val="autoZero"/>
        <c:auto val="1"/>
        <c:lblAlgn val="ctr"/>
        <c:lblOffset val="100"/>
        <c:noMultiLvlLbl val="0"/>
      </c:catAx>
      <c:valAx>
        <c:axId val="1067401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67403816"/>
        <c:crosses val="autoZero"/>
        <c:crossBetween val="between"/>
      </c:valAx>
      <c:valAx>
        <c:axId val="1250121472"/>
        <c:scaling>
          <c:orientation val="minMax"/>
          <c:max val="1"/>
          <c:min val="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250126872"/>
        <c:crosses val="max"/>
        <c:crossBetween val="between"/>
      </c:valAx>
      <c:catAx>
        <c:axId val="1250126872"/>
        <c:scaling>
          <c:orientation val="minMax"/>
        </c:scaling>
        <c:delete val="1"/>
        <c:axPos val="b"/>
        <c:majorTickMark val="out"/>
        <c:minorTickMark val="none"/>
        <c:tickLblPos val="nextTo"/>
        <c:crossAx val="1250121472"/>
        <c:crosses val="autoZero"/>
        <c:auto val="1"/>
        <c:lblAlgn val="ctr"/>
        <c:lblOffset val="100"/>
        <c:noMultiLvlLbl val="0"/>
      </c:catAx>
      <c:spPr>
        <a:noFill/>
        <a:ln>
          <a:noFill/>
        </a:ln>
        <a:effectLst/>
      </c:spPr>
    </c:plotArea>
    <c:legend>
      <c:legendPos val="b"/>
      <c:layout>
        <c:manualLayout>
          <c:xMode val="edge"/>
          <c:yMode val="edge"/>
          <c:x val="0.25307983594537237"/>
          <c:y val="0.93561498751081318"/>
          <c:w val="0.49384025880601606"/>
          <c:h val="6.0522063824428679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FDB!$B$88</c:f>
          <c:strCache>
            <c:ptCount val="1"/>
            <c:pt idx="0">
              <c:v>Depreciation and Amortization (absolut)</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FDB!$B$88</c:f>
              <c:strCache>
                <c:ptCount val="1"/>
                <c:pt idx="0">
                  <c:v>Depreciation and Amortization (absolut)</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FDB!$D$88:$P$88</c15:sqref>
                  </c15:fullRef>
                </c:ext>
              </c:extLst>
              <c:f>FDB!$D$88:$K$88</c:f>
              <c:numCache>
                <c:formatCode>_(* #,##0.0_);_(* \(#,##0.0\);_(*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115-4719-849E-BC9F391E786A}"/>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FDB!$B$89</c:f>
              <c:strCache>
                <c:ptCount val="1"/>
                <c:pt idx="0">
                  <c:v>(in % of total turnover)</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FDB!$D$89:$P$89</c15:sqref>
                  </c15:fullRef>
                </c:ext>
              </c:extLst>
              <c:f>FDB!$D$89:$K$89</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4115-4719-849E-BC9F391E786A}"/>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FDB!$B$92</c:f>
          <c:strCache>
            <c:ptCount val="1"/>
            <c:pt idx="0">
              <c:v>Financial Result</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FDB!$B$92</c:f>
              <c:strCache>
                <c:ptCount val="1"/>
                <c:pt idx="0">
                  <c:v>Financial Result</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FDB!$D$92:$P$92</c15:sqref>
                  </c15:fullRef>
                </c:ext>
              </c:extLst>
              <c:f>FDB!$D$92:$K$92</c:f>
              <c:numCache>
                <c:formatCode>_(* #,##0.0_);_(* \(#,##0.0\);_(* "-"??_);_(@_)</c:formatCode>
                <c:ptCount val="8"/>
                <c:pt idx="0">
                  <c:v>579.8225904223076</c:v>
                </c:pt>
                <c:pt idx="1">
                  <c:v>774.90050251256275</c:v>
                </c:pt>
                <c:pt idx="2">
                  <c:v>411.22778447929227</c:v>
                </c:pt>
                <c:pt idx="3">
                  <c:v>1412.4715311677039</c:v>
                </c:pt>
                <c:pt idx="4">
                  <c:v>0</c:v>
                </c:pt>
                <c:pt idx="5">
                  <c:v>0</c:v>
                </c:pt>
                <c:pt idx="6">
                  <c:v>0</c:v>
                </c:pt>
                <c:pt idx="7">
                  <c:v>0</c:v>
                </c:pt>
              </c:numCache>
            </c:numRef>
          </c:val>
          <c:extLst>
            <c:ext xmlns:c16="http://schemas.microsoft.com/office/drawing/2014/chart" uri="{C3380CC4-5D6E-409C-BE32-E72D297353CC}">
              <c16:uniqueId val="{00000000-AF8F-4EDA-90CC-4063F38828AF}"/>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FDB!$B$93</c:f>
              <c:strCache>
                <c:ptCount val="1"/>
                <c:pt idx="0">
                  <c:v>(in % of EBIT (adjusted))</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FDB!$D$93:$P$93</c15:sqref>
                  </c15:fullRef>
                </c:ext>
              </c:extLst>
              <c:f>FDB!$D$93:$K$93</c:f>
              <c:numCache>
                <c:formatCode>0%</c:formatCode>
                <c:ptCount val="8"/>
                <c:pt idx="0">
                  <c:v>0.23228717803258397</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AF8F-4EDA-90CC-4063F38828AF}"/>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FDB!$B$90</c:f>
          <c:strCache>
            <c:ptCount val="1"/>
            <c:pt idx="0">
              <c:v>Extraordinary Items</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FDB!$B$90</c:f>
              <c:strCache>
                <c:ptCount val="1"/>
                <c:pt idx="0">
                  <c:v>Extraordinary Items</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FDB!$D$90:$P$90</c15:sqref>
                  </c15:fullRef>
                </c:ext>
              </c:extLst>
              <c:f>FDB!$D$90:$K$90</c:f>
              <c:numCache>
                <c:formatCode>_(* #,##0.0_);_(* \(#,##0.0\);_(*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55D8-4FE0-BC04-80925A39BB95}"/>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FDB!$B$91</c:f>
              <c:strCache>
                <c:ptCount val="1"/>
                <c:pt idx="0">
                  <c:v>(in % of EBIT (adjusted))</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FDB!$D$91:$P$91</c15:sqref>
                  </c15:fullRef>
                </c:ext>
              </c:extLst>
              <c:f>FDB!$D$91:$K$91</c:f>
              <c:numCache>
                <c:formatCode>0.00%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55D8-4FE0-BC04-80925A39BB95}"/>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FDB!$B$95</c:f>
          <c:strCache>
            <c:ptCount val="1"/>
            <c:pt idx="0">
              <c:v>Net Profit (loss) (adjusted)</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FDB!$B$95</c:f>
              <c:strCache>
                <c:ptCount val="1"/>
                <c:pt idx="0">
                  <c:v>Net Profit (loss) (adjusted)</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FDB!$D$95:$P$95</c15:sqref>
                  </c15:fullRef>
                </c:ext>
              </c:extLst>
              <c:f>FDB!$D$95:$K$95</c:f>
              <c:numCache>
                <c:formatCode>_(* #,##0.0_);_(* \(#,##0.0\);_(* "-"??_);_(@_)</c:formatCode>
                <c:ptCount val="8"/>
                <c:pt idx="0">
                  <c:v>1975.1371994342342</c:v>
                </c:pt>
                <c:pt idx="1">
                  <c:v>1291.1993969849188</c:v>
                </c:pt>
                <c:pt idx="2">
                  <c:v>359.70526739043174</c:v>
                </c:pt>
                <c:pt idx="3">
                  <c:v>1184.4134470919091</c:v>
                </c:pt>
                <c:pt idx="4">
                  <c:v>0</c:v>
                </c:pt>
                <c:pt idx="5">
                  <c:v>0</c:v>
                </c:pt>
                <c:pt idx="6">
                  <c:v>0</c:v>
                </c:pt>
                <c:pt idx="7">
                  <c:v>0</c:v>
                </c:pt>
              </c:numCache>
            </c:numRef>
          </c:val>
          <c:extLst>
            <c:ext xmlns:c16="http://schemas.microsoft.com/office/drawing/2014/chart" uri="{C3380CC4-5D6E-409C-BE32-E72D297353CC}">
              <c16:uniqueId val="{00000000-8891-4C91-A8F9-4F2E820C62B7}"/>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FDB!$B$97</c:f>
              <c:strCache>
                <c:ptCount val="1"/>
                <c:pt idx="0">
                  <c:v>(in % of total turnover)</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FDB!$D$97:$P$97</c15:sqref>
                  </c15:fullRef>
                </c:ext>
              </c:extLst>
              <c:f>FDB!$D$97:$K$97</c:f>
              <c:numCache>
                <c:formatCode>0%</c:formatCode>
                <c:ptCount val="8"/>
                <c:pt idx="0">
                  <c:v>5.1682857541351546E-2</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8891-4C91-A8F9-4F2E820C62B7}"/>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FDB!$B$163</c:f>
          <c:strCache>
            <c:ptCount val="1"/>
            <c:pt idx="0">
              <c:v>Trade Working Capital</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6.8214945751882625E-2"/>
          <c:y val="0.13680307691268687"/>
          <c:w val="0.91219031332509704"/>
          <c:h val="0.61583441057407851"/>
        </c:manualLayout>
      </c:layout>
      <c:barChart>
        <c:barDir val="col"/>
        <c:grouping val="stacked"/>
        <c:varyColors val="0"/>
        <c:ser>
          <c:idx val="1"/>
          <c:order val="1"/>
          <c:tx>
            <c:strRef>
              <c:f>FDB!$B$164</c:f>
              <c:strCache>
                <c:ptCount val="1"/>
                <c:pt idx="0">
                  <c:v>( + ) Inventories</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FDB!$D$164:$P$164</c15:sqref>
                  </c15:fullRef>
                </c:ext>
              </c:extLst>
              <c:f>FDB!$D$164:$K$164</c:f>
              <c:numCache>
                <c:formatCode>_(* #,##0_);_(* \(#,##0\);_(* "-"_);_(@_)</c:formatCode>
                <c:ptCount val="8"/>
                <c:pt idx="0">
                  <c:v>144.37078197615682</c:v>
                </c:pt>
                <c:pt idx="1">
                  <c:v>133.18753768844221</c:v>
                </c:pt>
                <c:pt idx="2">
                  <c:v>141.27121029352634</c:v>
                </c:pt>
                <c:pt idx="3">
                  <c:v>0</c:v>
                </c:pt>
                <c:pt idx="4">
                  <c:v>0</c:v>
                </c:pt>
                <c:pt idx="5">
                  <c:v>0</c:v>
                </c:pt>
                <c:pt idx="6">
                  <c:v>0</c:v>
                </c:pt>
                <c:pt idx="7">
                  <c:v>0</c:v>
                </c:pt>
              </c:numCache>
            </c:numRef>
          </c:val>
          <c:extLst>
            <c:ext xmlns:c16="http://schemas.microsoft.com/office/drawing/2014/chart" uri="{C3380CC4-5D6E-409C-BE32-E72D297353CC}">
              <c16:uniqueId val="{00000001-8FE9-4840-8ECB-F8CA78CA4F3D}"/>
            </c:ext>
          </c:extLst>
        </c:ser>
        <c:ser>
          <c:idx val="2"/>
          <c:order val="2"/>
          <c:tx>
            <c:strRef>
              <c:f>FDB!$B$165</c:f>
              <c:strCache>
                <c:ptCount val="1"/>
                <c:pt idx="0">
                  <c:v>( + ) Trade receivables</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FDB!$D$165:$P$165</c15:sqref>
                  </c15:fullRef>
                </c:ext>
              </c:extLst>
              <c:f>FDB!$D$165:$K$165</c:f>
              <c:numCache>
                <c:formatCode>_(* #,##0_);_(* \(#,##0\);_(* "-"_);_(@_)</c:formatCode>
                <c:ptCount val="8"/>
                <c:pt idx="0">
                  <c:v>6410.4427157001419</c:v>
                </c:pt>
                <c:pt idx="1">
                  <c:v>5777.0556783919601</c:v>
                </c:pt>
                <c:pt idx="2">
                  <c:v>5051.4991958182545</c:v>
                </c:pt>
                <c:pt idx="3">
                  <c:v>5443.1561619286913</c:v>
                </c:pt>
                <c:pt idx="4">
                  <c:v>0</c:v>
                </c:pt>
                <c:pt idx="5">
                  <c:v>0</c:v>
                </c:pt>
                <c:pt idx="6">
                  <c:v>0</c:v>
                </c:pt>
                <c:pt idx="7">
                  <c:v>0</c:v>
                </c:pt>
              </c:numCache>
            </c:numRef>
          </c:val>
          <c:extLst>
            <c:ext xmlns:c16="http://schemas.microsoft.com/office/drawing/2014/chart" uri="{C3380CC4-5D6E-409C-BE32-E72D297353CC}">
              <c16:uniqueId val="{00000002-8FE9-4840-8ECB-F8CA78CA4F3D}"/>
            </c:ext>
          </c:extLst>
        </c:ser>
        <c:ser>
          <c:idx val="3"/>
          <c:order val="3"/>
          <c:tx>
            <c:strRef>
              <c:f>FDB!$B$166</c:f>
              <c:strCache>
                <c:ptCount val="1"/>
                <c:pt idx="0">
                  <c:v>( - ) Trade Payables</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FDB!$D$166:$P$166</c15:sqref>
                  </c15:fullRef>
                </c:ext>
              </c:extLst>
              <c:f>FDB!$D$166:$K$166</c:f>
              <c:numCache>
                <c:formatCode>_(* #,##0_);_(* \(#,##0\);_(* "-"_);_(@_)</c:formatCode>
                <c:ptCount val="8"/>
                <c:pt idx="0">
                  <c:v>-3288.4705527638193</c:v>
                </c:pt>
                <c:pt idx="1">
                  <c:v>0</c:v>
                </c:pt>
                <c:pt idx="2">
                  <c:v>-2804.5188982710092</c:v>
                </c:pt>
                <c:pt idx="3">
                  <c:v>0</c:v>
                </c:pt>
                <c:pt idx="4">
                  <c:v>0</c:v>
                </c:pt>
                <c:pt idx="5">
                  <c:v>0</c:v>
                </c:pt>
                <c:pt idx="6">
                  <c:v>0</c:v>
                </c:pt>
                <c:pt idx="7">
                  <c:v>0</c:v>
                </c:pt>
              </c:numCache>
            </c:numRef>
          </c:val>
          <c:extLst>
            <c:ext xmlns:c16="http://schemas.microsoft.com/office/drawing/2014/chart" uri="{C3380CC4-5D6E-409C-BE32-E72D297353CC}">
              <c16:uniqueId val="{00000003-8FE9-4840-8ECB-F8CA78CA4F3D}"/>
            </c:ext>
          </c:extLst>
        </c:ser>
        <c:ser>
          <c:idx val="4"/>
          <c:order val="4"/>
          <c:tx>
            <c:strRef>
              <c:f>FDB!$B$167</c:f>
              <c:strCache>
                <c:ptCount val="1"/>
                <c:pt idx="0">
                  <c:v>( - )  NWC adjustments</c:v>
                </c:pt>
              </c:strCache>
            </c:strRef>
          </c:tx>
          <c:spPr>
            <a:solidFill>
              <a:schemeClr val="accent4">
                <a:lumMod val="40000"/>
                <a:lumOff val="60000"/>
              </a:schemeClr>
            </a:solidFill>
            <a:ln>
              <a:noFill/>
            </a:ln>
            <a:effectLst/>
          </c:spPr>
          <c:invertIfNegative val="0"/>
          <c:dLbls>
            <c:numFmt formatCode="_(* #,##0_);_(* \(#,##0\);_(* &quot;-&quot;_);_(@_)" sourceLinked="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FDB!$D$167:$P$167</c15:sqref>
                  </c15:fullRef>
                </c:ext>
              </c:extLst>
              <c:f>FDB!$D$167:$K$167</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8FE9-4840-8ECB-F8CA78CA4F3D}"/>
            </c:ext>
          </c:extLst>
        </c:ser>
        <c:dLbls>
          <c:showLegendKey val="0"/>
          <c:showVal val="0"/>
          <c:showCatName val="0"/>
          <c:showSerName val="0"/>
          <c:showPercent val="0"/>
          <c:showBubbleSize val="0"/>
        </c:dLbls>
        <c:gapWidth val="150"/>
        <c:overlap val="100"/>
        <c:axId val="1004659936"/>
        <c:axId val="1004652016"/>
      </c:barChart>
      <c:lineChart>
        <c:grouping val="standard"/>
        <c:varyColors val="0"/>
        <c:ser>
          <c:idx val="0"/>
          <c:order val="0"/>
          <c:tx>
            <c:strRef>
              <c:f>FDB!$B$163</c:f>
              <c:strCache>
                <c:ptCount val="1"/>
                <c:pt idx="0">
                  <c:v>Trade Working Capital</c:v>
                </c:pt>
              </c:strCache>
            </c:strRef>
          </c:tx>
          <c:spPr>
            <a:ln w="28575" cap="rnd">
              <a:solidFill>
                <a:schemeClr val="accent3"/>
              </a:solidFill>
              <a:prstDash val="sysDash"/>
              <a:round/>
            </a:ln>
            <a:effectLst/>
          </c:spPr>
          <c:marker>
            <c:symbol val="none"/>
          </c:marker>
          <c:dLbls>
            <c:numFmt formatCode="_(* #,##0_);_(* \(#,##0\);_(* &quot;-&quot;_);_(@_)" sourceLinked="0"/>
            <c:spPr>
              <a:solidFill>
                <a:schemeClr val="accent3"/>
              </a:solidFill>
              <a:ln>
                <a:no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bg1"/>
                    </a:solidFill>
                    <a:latin typeface="+mn-lt"/>
                    <a:ea typeface="+mn-ea"/>
                    <a:cs typeface="+mn-cs"/>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strLit>
              <c:ptCount val="8"/>
              <c:pt idx="0">
                <c:v>2022A</c:v>
              </c:pt>
              <c:pt idx="1">
                <c:v>2023A</c:v>
              </c:pt>
              <c:pt idx="2">
                <c:v>2024A</c:v>
              </c:pt>
              <c:pt idx="3">
                <c:v>2025FC</c:v>
              </c:pt>
              <c:pt idx="4">
                <c:v>2026P</c:v>
              </c:pt>
              <c:pt idx="5">
                <c:v>2027P</c:v>
              </c:pt>
              <c:pt idx="6">
                <c:v>2028P</c:v>
              </c:pt>
              <c:pt idx="7">
                <c:v>2029P</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FDB!$D$163:$P$163</c15:sqref>
                  </c15:fullRef>
                </c:ext>
              </c:extLst>
              <c:f>FDB!$D$163:$K$163</c:f>
              <c:numCache>
                <c:formatCode>_(* #,##0_);_(* \(#,##0\);_(* "-"_);_(@_)</c:formatCode>
                <c:ptCount val="8"/>
                <c:pt idx="0">
                  <c:v>3266.3429449124797</c:v>
                </c:pt>
                <c:pt idx="1">
                  <c:v>0</c:v>
                </c:pt>
                <c:pt idx="2">
                  <c:v>2388.2515078407723</c:v>
                </c:pt>
                <c:pt idx="3">
                  <c:v>0</c:v>
                </c:pt>
                <c:pt idx="4">
                  <c:v>0</c:v>
                </c:pt>
                <c:pt idx="5">
                  <c:v>0</c:v>
                </c:pt>
                <c:pt idx="6">
                  <c:v>0</c:v>
                </c:pt>
                <c:pt idx="7">
                  <c:v>0</c:v>
                </c:pt>
              </c:numCache>
            </c:numRef>
          </c:val>
          <c:smooth val="0"/>
          <c:extLst>
            <c:ext xmlns:c16="http://schemas.microsoft.com/office/drawing/2014/chart" uri="{C3380CC4-5D6E-409C-BE32-E72D297353CC}">
              <c16:uniqueId val="{00000000-8FE9-4840-8ECB-F8CA78CA4F3D}"/>
            </c:ext>
          </c:extLst>
        </c:ser>
        <c:dLbls>
          <c:showLegendKey val="0"/>
          <c:showVal val="0"/>
          <c:showCatName val="0"/>
          <c:showSerName val="0"/>
          <c:showPercent val="0"/>
          <c:showBubbleSize val="0"/>
        </c:dLbls>
        <c:marker val="1"/>
        <c:smooth val="0"/>
        <c:axId val="1004659936"/>
        <c:axId val="1004652016"/>
      </c:lineChart>
      <c:catAx>
        <c:axId val="10046599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04652016"/>
        <c:crosses val="autoZero"/>
        <c:auto val="1"/>
        <c:lblAlgn val="ctr"/>
        <c:lblOffset val="100"/>
        <c:noMultiLvlLbl val="0"/>
      </c:catAx>
      <c:valAx>
        <c:axId val="100465201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0465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FDB!$B$243</c:f>
          <c:strCache>
            <c:ptCount val="1"/>
            <c:pt idx="0">
              <c:v>Cash Conversion Cycle (CCC)</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5.4860248305694879E-2"/>
          <c:y val="0.13147490494802441"/>
          <c:w val="0.92585003842753899"/>
          <c:h val="0.70334425558197122"/>
        </c:manualLayout>
      </c:layout>
      <c:barChart>
        <c:barDir val="col"/>
        <c:grouping val="stacked"/>
        <c:varyColors val="0"/>
        <c:ser>
          <c:idx val="1"/>
          <c:order val="1"/>
          <c:tx>
            <c:strRef>
              <c:f>FDB!$B$244</c:f>
              <c:strCache>
                <c:ptCount val="1"/>
                <c:pt idx="0">
                  <c:v>DIO</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FDB!$D$235:$M$235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FDB!$D$244:$P$244</c15:sqref>
                  </c15:fullRef>
                </c:ext>
              </c:extLst>
              <c:f>FDB!$D$244:$K$244</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39A0-4CAC-9997-D882937A0AB5}"/>
            </c:ext>
          </c:extLst>
        </c:ser>
        <c:ser>
          <c:idx val="2"/>
          <c:order val="2"/>
          <c:tx>
            <c:strRef>
              <c:f>FDB!$B$245</c:f>
              <c:strCache>
                <c:ptCount val="1"/>
                <c:pt idx="0">
                  <c:v>DPO</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FDB!$D$235:$M$235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FDB!$D$245:$P$245</c15:sqref>
                  </c15:fullRef>
                </c:ext>
              </c:extLst>
              <c:f>FDB!$D$245:$K$245</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39A0-4CAC-9997-D882937A0AB5}"/>
            </c:ext>
          </c:extLst>
        </c:ser>
        <c:ser>
          <c:idx val="3"/>
          <c:order val="3"/>
          <c:tx>
            <c:strRef>
              <c:f>FDB!$B$246</c:f>
              <c:strCache>
                <c:ptCount val="1"/>
                <c:pt idx="0">
                  <c:v>DSO</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FDB!$D$235:$M$235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FDB!$D$246:$P$246</c15:sqref>
                  </c15:fullRef>
                </c:ext>
              </c:extLst>
              <c:f>FDB!$D$246:$K$246</c:f>
              <c:numCache>
                <c:formatCode>_(* #,##0_);_(* \(#,##0\);_(* "-"_);_(@_)</c:formatCode>
                <c:ptCount val="8"/>
                <c:pt idx="0">
                  <c:v>61.22518940851846</c:v>
                </c:pt>
                <c:pt idx="1">
                  <c:v>56.385943144857009</c:v>
                </c:pt>
                <c:pt idx="2">
                  <c:v>54.2183128805937</c:v>
                </c:pt>
                <c:pt idx="3">
                  <c:v>57.276481811323059</c:v>
                </c:pt>
                <c:pt idx="4">
                  <c:v>0</c:v>
                </c:pt>
                <c:pt idx="5">
                  <c:v>0</c:v>
                </c:pt>
                <c:pt idx="6">
                  <c:v>0</c:v>
                </c:pt>
                <c:pt idx="7">
                  <c:v>0</c:v>
                </c:pt>
              </c:numCache>
            </c:numRef>
          </c:val>
          <c:extLst>
            <c:ext xmlns:c16="http://schemas.microsoft.com/office/drawing/2014/chart" uri="{C3380CC4-5D6E-409C-BE32-E72D297353CC}">
              <c16:uniqueId val="{00000003-39A0-4CAC-9997-D882937A0AB5}"/>
            </c:ext>
          </c:extLst>
        </c:ser>
        <c:dLbls>
          <c:showLegendKey val="0"/>
          <c:showVal val="0"/>
          <c:showCatName val="0"/>
          <c:showSerName val="0"/>
          <c:showPercent val="0"/>
          <c:showBubbleSize val="0"/>
        </c:dLbls>
        <c:gapWidth val="219"/>
        <c:overlap val="100"/>
        <c:axId val="1073855440"/>
        <c:axId val="1073859760"/>
      </c:barChart>
      <c:lineChart>
        <c:grouping val="stacked"/>
        <c:varyColors val="0"/>
        <c:ser>
          <c:idx val="0"/>
          <c:order val="0"/>
          <c:tx>
            <c:strRef>
              <c:f>FDB!$B$243</c:f>
              <c:strCache>
                <c:ptCount val="1"/>
                <c:pt idx="0">
                  <c:v>Cash Conversion Cycle (CCC)</c:v>
                </c:pt>
              </c:strCache>
            </c:strRef>
          </c:tx>
          <c:spPr>
            <a:ln w="28575" cap="rnd">
              <a:solidFill>
                <a:schemeClr val="accent3"/>
              </a:solidFill>
              <a:prstDash val="sysDash"/>
              <a:round/>
            </a:ln>
            <a:effectLst/>
          </c:spPr>
          <c:marker>
            <c:symbol val="none"/>
          </c:marker>
          <c:dLbls>
            <c:spPr>
              <a:solidFill>
                <a:schemeClr val="accent3"/>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FDB!$D$243:$P$243</c15:sqref>
                  </c15:fullRef>
                </c:ext>
              </c:extLst>
              <c:f>FDB!$D$243:$K$243</c:f>
              <c:numCache>
                <c:formatCode>_(* #,##0_);_(* \(#,##0\);_(* "-"_);_(@_)</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0-39A0-4CAC-9997-D882937A0AB5}"/>
            </c:ext>
          </c:extLst>
        </c:ser>
        <c:dLbls>
          <c:showLegendKey val="0"/>
          <c:showVal val="0"/>
          <c:showCatName val="0"/>
          <c:showSerName val="0"/>
          <c:showPercent val="0"/>
          <c:showBubbleSize val="0"/>
        </c:dLbls>
        <c:marker val="1"/>
        <c:smooth val="0"/>
        <c:axId val="1073855440"/>
        <c:axId val="1073859760"/>
      </c:lineChart>
      <c:catAx>
        <c:axId val="10738554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73859760"/>
        <c:crosses val="autoZero"/>
        <c:auto val="1"/>
        <c:lblAlgn val="ctr"/>
        <c:lblOffset val="100"/>
        <c:noMultiLvlLbl val="0"/>
      </c:catAx>
      <c:valAx>
        <c:axId val="107385976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73855440"/>
        <c:crosses val="autoZero"/>
        <c:crossBetween val="between"/>
      </c:valAx>
      <c:spPr>
        <a:noFill/>
        <a:ln>
          <a:noFill/>
        </a:ln>
        <a:effectLst/>
      </c:spPr>
    </c:plotArea>
    <c:legend>
      <c:legendPos val="b"/>
      <c:layout>
        <c:manualLayout>
          <c:xMode val="edge"/>
          <c:yMode val="edge"/>
          <c:x val="3.8305838963967408E-2"/>
          <c:y val="0.946118760794186"/>
          <c:w val="0.93179032215940849"/>
          <c:h val="5.1583440424887564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FDB!$B$237</c:f>
          <c:strCache>
            <c:ptCount val="1"/>
            <c:pt idx="0">
              <c:v>Capex Overview</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8.4657825500406958E-2"/>
          <c:y val="0.13554377296478221"/>
          <c:w val="0.89195080814073135"/>
          <c:h val="0.70105960059252481"/>
        </c:manualLayout>
      </c:layout>
      <c:barChart>
        <c:barDir val="col"/>
        <c:grouping val="stacked"/>
        <c:varyColors val="0"/>
        <c:ser>
          <c:idx val="0"/>
          <c:order val="0"/>
          <c:tx>
            <c:strRef>
              <c:f>FDB!$B$238</c:f>
              <c:strCache>
                <c:ptCount val="1"/>
                <c:pt idx="0">
                  <c:v>I. Intangibles (absolut)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FDB!$D$238:$P$238</c15:sqref>
                  </c15:fullRef>
                </c:ext>
              </c:extLst>
              <c:f>FDB!$D$238:$K$238</c:f>
              <c:numCache>
                <c:formatCode>_(* #,##0_);_(* \(#,##0\);_(* "-"_);_(@_)</c:formatCode>
                <c:ptCount val="8"/>
                <c:pt idx="0">
                  <c:v>4.0113154172560117</c:v>
                </c:pt>
                <c:pt idx="1">
                  <c:v>-21.574212220934946</c:v>
                </c:pt>
                <c:pt idx="2">
                  <c:v>-5.602013363964983</c:v>
                </c:pt>
                <c:pt idx="3">
                  <c:v>5.9793425602436221</c:v>
                </c:pt>
                <c:pt idx="4">
                  <c:v>-25.962856834469594</c:v>
                </c:pt>
                <c:pt idx="5">
                  <c:v>0</c:v>
                </c:pt>
                <c:pt idx="6">
                  <c:v>0</c:v>
                </c:pt>
                <c:pt idx="7">
                  <c:v>0</c:v>
                </c:pt>
              </c:numCache>
            </c:numRef>
          </c:val>
          <c:extLst>
            <c:ext xmlns:c16="http://schemas.microsoft.com/office/drawing/2014/chart" uri="{C3380CC4-5D6E-409C-BE32-E72D297353CC}">
              <c16:uniqueId val="{00000000-B44A-430A-A6A2-B745C7F5094E}"/>
            </c:ext>
          </c:extLst>
        </c:ser>
        <c:ser>
          <c:idx val="1"/>
          <c:order val="1"/>
          <c:tx>
            <c:strRef>
              <c:f>FDB!$B$239</c:f>
              <c:strCache>
                <c:ptCount val="1"/>
                <c:pt idx="0">
                  <c:v>II. PP&amp;E (absolut)</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FDB!$D$239:$P$239</c15:sqref>
                  </c15:fullRef>
                </c:ext>
              </c:extLst>
              <c:f>FDB!$D$239:$K$239</c:f>
              <c:numCache>
                <c:formatCode>_(* #,##0_);_(* \(#,##0\);_(* "-"_);_(@_)</c:formatCode>
                <c:ptCount val="8"/>
                <c:pt idx="0">
                  <c:v>9576.643160234391</c:v>
                </c:pt>
                <c:pt idx="1">
                  <c:v>2186.1295923951948</c:v>
                </c:pt>
                <c:pt idx="2">
                  <c:v>-2210.8111150848754</c:v>
                </c:pt>
                <c:pt idx="3">
                  <c:v>1469.808293385245</c:v>
                </c:pt>
                <c:pt idx="4">
                  <c:v>-6649.5107461395664</c:v>
                </c:pt>
                <c:pt idx="5">
                  <c:v>0</c:v>
                </c:pt>
                <c:pt idx="6">
                  <c:v>0</c:v>
                </c:pt>
                <c:pt idx="7">
                  <c:v>0</c:v>
                </c:pt>
              </c:numCache>
            </c:numRef>
          </c:val>
          <c:extLst>
            <c:ext xmlns:c16="http://schemas.microsoft.com/office/drawing/2014/chart" uri="{C3380CC4-5D6E-409C-BE32-E72D297353CC}">
              <c16:uniqueId val="{00000001-B44A-430A-A6A2-B745C7F5094E}"/>
            </c:ext>
          </c:extLst>
        </c:ser>
        <c:ser>
          <c:idx val="2"/>
          <c:order val="2"/>
          <c:tx>
            <c:strRef>
              <c:f>FDB!$B$240</c:f>
              <c:strCache>
                <c:ptCount val="1"/>
                <c:pt idx="0">
                  <c:v>III. Financial Assets (absolut)</c:v>
                </c:pt>
              </c:strCache>
            </c:strRef>
          </c:tx>
          <c:spPr>
            <a:solidFill>
              <a:schemeClr val="accent4"/>
            </a:solidFill>
            <a:ln>
              <a:noFill/>
            </a:ln>
            <a:effectLst/>
          </c:spPr>
          <c:invertIfNegative val="0"/>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FDB!$D$240:$P$240</c15:sqref>
                  </c15:fullRef>
                </c:ext>
              </c:extLst>
              <c:f>FDB!$D$240:$K$240</c:f>
              <c:numCache>
                <c:formatCode>_(* #,##0_);_(* \(#,##0\);_(* "-"_);_(@_)</c:formatCode>
                <c:ptCount val="8"/>
                <c:pt idx="0">
                  <c:v>2.8094564558496669</c:v>
                </c:pt>
                <c:pt idx="1">
                  <c:v>-7.5692370114870178</c:v>
                </c:pt>
                <c:pt idx="2">
                  <c:v>-0.30088888350073828</c:v>
                </c:pt>
                <c:pt idx="3">
                  <c:v>3.0879848510402517</c:v>
                </c:pt>
                <c:pt idx="4">
                  <c:v>-13.165789434876199</c:v>
                </c:pt>
                <c:pt idx="5">
                  <c:v>0</c:v>
                </c:pt>
                <c:pt idx="6">
                  <c:v>0</c:v>
                </c:pt>
                <c:pt idx="7">
                  <c:v>0</c:v>
                </c:pt>
              </c:numCache>
            </c:numRef>
          </c:val>
          <c:extLst>
            <c:ext xmlns:c16="http://schemas.microsoft.com/office/drawing/2014/chart" uri="{C3380CC4-5D6E-409C-BE32-E72D297353CC}">
              <c16:uniqueId val="{00000002-B44A-430A-A6A2-B745C7F5094E}"/>
            </c:ext>
          </c:extLst>
        </c:ser>
        <c:dLbls>
          <c:showLegendKey val="0"/>
          <c:showVal val="0"/>
          <c:showCatName val="0"/>
          <c:showSerName val="0"/>
          <c:showPercent val="0"/>
          <c:showBubbleSize val="0"/>
        </c:dLbls>
        <c:gapWidth val="150"/>
        <c:overlap val="100"/>
        <c:axId val="1136444760"/>
        <c:axId val="1136440440"/>
      </c:barChart>
      <c:lineChart>
        <c:grouping val="standard"/>
        <c:varyColors val="0"/>
        <c:ser>
          <c:idx val="3"/>
          <c:order val="3"/>
          <c:tx>
            <c:strRef>
              <c:f>FDB!$B$241</c:f>
              <c:strCache>
                <c:ptCount val="1"/>
                <c:pt idx="0">
                  <c:v>Total Capex</c:v>
                </c:pt>
              </c:strCache>
            </c:strRef>
          </c:tx>
          <c:spPr>
            <a:ln w="28575" cap="rnd">
              <a:solidFill>
                <a:schemeClr val="accent3"/>
              </a:solidFill>
              <a:prstDash val="sysDash"/>
              <a:round/>
            </a:ln>
            <a:effectLst/>
          </c:spPr>
          <c:marker>
            <c:symbol val="none"/>
          </c:marker>
          <c:dLbls>
            <c:spPr>
              <a:solidFill>
                <a:schemeClr val="accent3"/>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FDB!$D$241:$P$241</c15:sqref>
                  </c15:fullRef>
                </c:ext>
              </c:extLst>
              <c:f>FDB!$D$241:$K$241</c:f>
              <c:numCache>
                <c:formatCode>_(* #,##0_);_(* \(#,##0\);_(* "-"_);_(@_)</c:formatCode>
                <c:ptCount val="8"/>
                <c:pt idx="0">
                  <c:v>9583.4639321074974</c:v>
                </c:pt>
                <c:pt idx="1">
                  <c:v>2156.9861431627724</c:v>
                </c:pt>
                <c:pt idx="2">
                  <c:v>-2216.714017332341</c:v>
                </c:pt>
                <c:pt idx="3">
                  <c:v>1478.8756207965287</c:v>
                </c:pt>
                <c:pt idx="4">
                  <c:v>-6688.6393924089125</c:v>
                </c:pt>
                <c:pt idx="5">
                  <c:v>0</c:v>
                </c:pt>
                <c:pt idx="6">
                  <c:v>0</c:v>
                </c:pt>
                <c:pt idx="7">
                  <c:v>0</c:v>
                </c:pt>
              </c:numCache>
            </c:numRef>
          </c:val>
          <c:smooth val="0"/>
          <c:extLst>
            <c:ext xmlns:c16="http://schemas.microsoft.com/office/drawing/2014/chart" uri="{C3380CC4-5D6E-409C-BE32-E72D297353CC}">
              <c16:uniqueId val="{00000003-B44A-430A-A6A2-B745C7F5094E}"/>
            </c:ext>
          </c:extLst>
        </c:ser>
        <c:dLbls>
          <c:showLegendKey val="0"/>
          <c:showVal val="0"/>
          <c:showCatName val="0"/>
          <c:showSerName val="0"/>
          <c:showPercent val="0"/>
          <c:showBubbleSize val="0"/>
        </c:dLbls>
        <c:marker val="1"/>
        <c:smooth val="0"/>
        <c:axId val="1136444760"/>
        <c:axId val="1136440440"/>
      </c:lineChart>
      <c:catAx>
        <c:axId val="11364447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136440440"/>
        <c:crosses val="autoZero"/>
        <c:auto val="1"/>
        <c:lblAlgn val="ctr"/>
        <c:lblOffset val="100"/>
        <c:noMultiLvlLbl val="0"/>
      </c:catAx>
      <c:valAx>
        <c:axId val="113644044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136444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Multiple!$N$126</c:f>
          <c:strCache>
            <c:ptCount val="1"/>
            <c:pt idx="0">
              <c:v>EV to EBITDA</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solidFill>
              <a:latin typeface="+mn-lt"/>
              <a:ea typeface="+mn-ea"/>
              <a:cs typeface="+mn-cs"/>
            </a:defRPr>
          </a:pPr>
          <a:endParaRPr lang="de-DE"/>
        </a:p>
      </c:txPr>
    </c:title>
    <c:autoTitleDeleted val="0"/>
    <c:plotArea>
      <c:layout/>
      <c:lineChart>
        <c:grouping val="standard"/>
        <c:varyColors val="0"/>
        <c:ser>
          <c:idx val="0"/>
          <c:order val="0"/>
          <c:tx>
            <c:strRef>
              <c:f>Multiple!$L$128</c:f>
              <c:strCache>
                <c:ptCount val="1"/>
                <c:pt idx="0">
                  <c:v>Median</c:v>
                </c:pt>
              </c:strCache>
            </c:strRef>
          </c:tx>
          <c:spPr>
            <a:ln w="28575" cap="rnd">
              <a:solidFill>
                <a:schemeClr val="accent1"/>
              </a:solidFill>
              <a:round/>
            </a:ln>
            <a:effectLst/>
          </c:spPr>
          <c:marker>
            <c:symbol val="none"/>
          </c:marker>
          <c:cat>
            <c:numRef>
              <c:f>Multiple!$M$127:$AI$127</c:f>
              <c:numCache>
                <c:formatCode>m/d/yyyy</c:formatCode>
                <c:ptCount val="23"/>
                <c:pt idx="1">
                  <c:v>46040</c:v>
                </c:pt>
                <c:pt idx="2">
                  <c:v>45860</c:v>
                </c:pt>
                <c:pt idx="3">
                  <c:v>45680</c:v>
                </c:pt>
                <c:pt idx="4">
                  <c:v>45500</c:v>
                </c:pt>
                <c:pt idx="5">
                  <c:v>45320</c:v>
                </c:pt>
                <c:pt idx="6">
                  <c:v>45140</c:v>
                </c:pt>
                <c:pt idx="7">
                  <c:v>44960</c:v>
                </c:pt>
                <c:pt idx="8">
                  <c:v>44780</c:v>
                </c:pt>
                <c:pt idx="9">
                  <c:v>44600</c:v>
                </c:pt>
                <c:pt idx="10">
                  <c:v>44420</c:v>
                </c:pt>
                <c:pt idx="11">
                  <c:v>44240</c:v>
                </c:pt>
                <c:pt idx="12">
                  <c:v>44060</c:v>
                </c:pt>
                <c:pt idx="13">
                  <c:v>43880</c:v>
                </c:pt>
                <c:pt idx="14">
                  <c:v>43700</c:v>
                </c:pt>
                <c:pt idx="15">
                  <c:v>43520</c:v>
                </c:pt>
                <c:pt idx="16">
                  <c:v>43340</c:v>
                </c:pt>
                <c:pt idx="17">
                  <c:v>43160</c:v>
                </c:pt>
                <c:pt idx="18">
                  <c:v>42980</c:v>
                </c:pt>
                <c:pt idx="19">
                  <c:v>42800</c:v>
                </c:pt>
                <c:pt idx="20">
                  <c:v>42620</c:v>
                </c:pt>
                <c:pt idx="21">
                  <c:v>42440</c:v>
                </c:pt>
                <c:pt idx="22">
                  <c:v>42260</c:v>
                </c:pt>
              </c:numCache>
            </c:numRef>
          </c:cat>
          <c:val>
            <c:numRef>
              <c:f>Multiple!$M$128:$AI$128</c:f>
              <c:numCache>
                <c:formatCode>0.0\x\ </c:formatCode>
                <c:ptCount val="2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0-86F4-D341-A133-36A1D0945EF9}"/>
            </c:ext>
          </c:extLst>
        </c:ser>
        <c:dLbls>
          <c:showLegendKey val="0"/>
          <c:showVal val="0"/>
          <c:showCatName val="0"/>
          <c:showSerName val="0"/>
          <c:showPercent val="0"/>
          <c:showBubbleSize val="0"/>
        </c:dLbls>
        <c:smooth val="0"/>
        <c:axId val="992781663"/>
        <c:axId val="1178865039"/>
      </c:lineChart>
      <c:dateAx>
        <c:axId val="992781663"/>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178865039"/>
        <c:crosses val="autoZero"/>
        <c:auto val="0"/>
        <c:lblOffset val="100"/>
        <c:baseTimeUnit val="months"/>
        <c:majorUnit val="6"/>
        <c:majorTimeUnit val="months"/>
      </c:dateAx>
      <c:valAx>
        <c:axId val="1178865039"/>
        <c:scaling>
          <c:orientation val="minMax"/>
        </c:scaling>
        <c:delete val="0"/>
        <c:axPos val="l"/>
        <c:majorGridlines>
          <c:spPr>
            <a:ln w="9525" cap="flat" cmpd="sng" algn="ctr">
              <a:solidFill>
                <a:schemeClr val="tx1">
                  <a:lumMod val="15000"/>
                  <a:lumOff val="85000"/>
                </a:schemeClr>
              </a:solidFill>
              <a:round/>
            </a:ln>
            <a:effectLst/>
          </c:spPr>
        </c:majorGridlines>
        <c:numFmt formatCode="0.0\x\ "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927816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Multiple!$P$126</c:f>
          <c:strCache>
            <c:ptCount val="1"/>
            <c:pt idx="0">
              <c:v>EV to EBITDA (TTM)</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Multiple!$L$128</c:f>
              <c:strCache>
                <c:ptCount val="1"/>
                <c:pt idx="0">
                  <c:v>Median</c:v>
                </c:pt>
              </c:strCache>
            </c:strRef>
          </c:tx>
          <c:spPr>
            <a:ln w="28575" cap="rnd">
              <a:solidFill>
                <a:schemeClr val="accent1"/>
              </a:solidFill>
              <a:round/>
            </a:ln>
            <a:effectLst/>
          </c:spPr>
          <c:marker>
            <c:symbol val="none"/>
          </c:marker>
          <c:cat>
            <c:numRef>
              <c:f>Multiple!$M$127:$AI$127</c:f>
              <c:numCache>
                <c:formatCode>m/d/yyyy</c:formatCode>
                <c:ptCount val="23"/>
                <c:pt idx="1">
                  <c:v>46040</c:v>
                </c:pt>
                <c:pt idx="2">
                  <c:v>45860</c:v>
                </c:pt>
                <c:pt idx="3">
                  <c:v>45680</c:v>
                </c:pt>
                <c:pt idx="4">
                  <c:v>45500</c:v>
                </c:pt>
                <c:pt idx="5">
                  <c:v>45320</c:v>
                </c:pt>
                <c:pt idx="6">
                  <c:v>45140</c:v>
                </c:pt>
                <c:pt idx="7">
                  <c:v>44960</c:v>
                </c:pt>
                <c:pt idx="8">
                  <c:v>44780</c:v>
                </c:pt>
                <c:pt idx="9">
                  <c:v>44600</c:v>
                </c:pt>
                <c:pt idx="10">
                  <c:v>44420</c:v>
                </c:pt>
                <c:pt idx="11">
                  <c:v>44240</c:v>
                </c:pt>
                <c:pt idx="12">
                  <c:v>44060</c:v>
                </c:pt>
                <c:pt idx="13">
                  <c:v>43880</c:v>
                </c:pt>
                <c:pt idx="14">
                  <c:v>43700</c:v>
                </c:pt>
                <c:pt idx="15">
                  <c:v>43520</c:v>
                </c:pt>
                <c:pt idx="16">
                  <c:v>43340</c:v>
                </c:pt>
                <c:pt idx="17">
                  <c:v>43160</c:v>
                </c:pt>
                <c:pt idx="18">
                  <c:v>42980</c:v>
                </c:pt>
                <c:pt idx="19">
                  <c:v>42800</c:v>
                </c:pt>
                <c:pt idx="20">
                  <c:v>42620</c:v>
                </c:pt>
                <c:pt idx="21">
                  <c:v>42440</c:v>
                </c:pt>
                <c:pt idx="22">
                  <c:v>42260</c:v>
                </c:pt>
              </c:numCache>
            </c:numRef>
          </c:cat>
          <c:val>
            <c:numRef>
              <c:f>Multiple!$M$128:$AI$128</c:f>
              <c:numCache>
                <c:formatCode>0.0\x\ </c:formatCode>
                <c:ptCount val="2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0-43D3-B244-9052-A5B2EDD89703}"/>
            </c:ext>
          </c:extLst>
        </c:ser>
        <c:dLbls>
          <c:showLegendKey val="0"/>
          <c:showVal val="0"/>
          <c:showCatName val="0"/>
          <c:showSerName val="0"/>
          <c:showPercent val="0"/>
          <c:showBubbleSize val="0"/>
        </c:dLbls>
        <c:smooth val="0"/>
        <c:axId val="992781663"/>
        <c:axId val="1178865039"/>
      </c:lineChart>
      <c:dateAx>
        <c:axId val="992781663"/>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78865039"/>
        <c:crosses val="autoZero"/>
        <c:auto val="0"/>
        <c:lblOffset val="100"/>
        <c:baseTimeUnit val="months"/>
        <c:majorUnit val="6"/>
        <c:majorTimeUnit val="months"/>
      </c:dateAx>
      <c:valAx>
        <c:axId val="1178865039"/>
        <c:scaling>
          <c:orientation val="minMax"/>
        </c:scaling>
        <c:delete val="0"/>
        <c:axPos val="l"/>
        <c:majorGridlines>
          <c:spPr>
            <a:ln w="9525" cap="flat" cmpd="sng" algn="ctr">
              <a:solidFill>
                <a:schemeClr val="tx1">
                  <a:lumMod val="15000"/>
                  <a:lumOff val="85000"/>
                </a:schemeClr>
              </a:solidFill>
              <a:round/>
            </a:ln>
            <a:effectLst/>
          </c:spPr>
        </c:majorGridlines>
        <c:numFmt formatCode="0.0\x\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927816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sz="1100" b="1">
                <a:solidFill>
                  <a:schemeClr val="tx1">
                    <a:lumMod val="85000"/>
                    <a:lumOff val="15000"/>
                  </a:schemeClr>
                </a:solidFill>
              </a:defRPr>
            </a:pPr>
            <a:r>
              <a:rPr lang="en-US" sz="1100" b="1" i="0" u="none" strike="noStrike" baseline="0">
                <a:solidFill>
                  <a:schemeClr val="tx1">
                    <a:lumMod val="85000"/>
                    <a:lumOff val="15000"/>
                  </a:schemeClr>
                </a:solidFill>
                <a:latin typeface="Calibri"/>
              </a:rPr>
              <a:t>Equity Bridge, in TEUR</a:t>
            </a:r>
          </a:p>
          <a:p>
            <a:pPr algn="ctr" rtl="0">
              <a:defRPr sz="1100" b="1">
                <a:solidFill>
                  <a:schemeClr val="tx1">
                    <a:lumMod val="85000"/>
                    <a:lumOff val="15000"/>
                  </a:schemeClr>
                </a:solidFill>
              </a:defRPr>
            </a:pPr>
            <a:r>
              <a:rPr lang="en-US" sz="1100" b="1" i="0" u="none" strike="noStrike" baseline="0">
                <a:solidFill>
                  <a:schemeClr val="tx1">
                    <a:lumMod val="85000"/>
                    <a:lumOff val="15000"/>
                  </a:schemeClr>
                </a:solidFill>
                <a:latin typeface="Calibri"/>
              </a:rPr>
              <a:t> (Median Valuation Basis)</a:t>
            </a:r>
          </a:p>
        </cx:rich>
      </cx:tx>
    </cx:title>
    <cx:plotArea>
      <cx:plotAreaRegion>
        <cx:series layoutId="waterfall" uniqueId="{97EEBB51-F144-48C8-8B44-8A5F4DD23D4C}">
          <cx:spPr>
            <a:solidFill>
              <a:schemeClr val="accent4"/>
            </a:solidFill>
          </cx:spPr>
          <cx:dataLabels pos="ctr">
            <cx:numFmt formatCode="_(* #,##0_);_(* (#,##0);_(* &quot;-&quot;_);_(@_)" sourceLinked="0"/>
            <cx:txPr>
              <a:bodyPr spcFirstLastPara="1" vertOverflow="ellipsis" horzOverflow="overflow" wrap="square" lIns="0" tIns="0" rIns="0" bIns="0" anchor="ctr" anchorCtr="1"/>
              <a:lstStyle/>
              <a:p>
                <a:pPr algn="ctr" rtl="0">
                  <a:defRPr sz="900" b="1">
                    <a:solidFill>
                      <a:schemeClr val="bg1"/>
                    </a:solidFill>
                  </a:defRPr>
                </a:pPr>
                <a:endParaRPr lang="en-US" sz="900" b="1" i="0" u="none" strike="noStrike" baseline="0">
                  <a:solidFill>
                    <a:schemeClr val="bg1"/>
                  </a:solidFill>
                  <a:latin typeface="Calibri"/>
                </a:endParaRPr>
              </a:p>
            </cx:txPr>
            <cx:visibility seriesName="0" categoryName="0" value="1"/>
            <cx:separator>, </cx:separator>
            <cx:dataLabel idx="5">
              <cx:numFmt formatCode="_(* #,##0_);_(* (#,##0);_(* &quot;-&quot;_);_(@_)" sourceLinked="0"/>
              <cx:txPr>
                <a:bodyPr spcFirstLastPara="1" vertOverflow="ellipsis" horzOverflow="overflow" wrap="square" lIns="0" tIns="0" rIns="0" bIns="0" anchor="ctr" anchorCtr="1"/>
                <a:lstStyle/>
                <a:p>
                  <a:pPr algn="ctr" rtl="0">
                    <a:defRPr>
                      <a:solidFill>
                        <a:sysClr val="windowText" lastClr="000000"/>
                      </a:solidFill>
                    </a:defRPr>
                  </a:pPr>
                  <a:r>
                    <a:rPr lang="en-US" sz="1050" b="1" i="0" u="none" strike="noStrike" baseline="0">
                      <a:solidFill>
                        <a:sysClr val="windowText" lastClr="000000"/>
                      </a:solidFill>
                      <a:latin typeface="Calibri"/>
                    </a:rPr>
                    <a:t> - </a:t>
                  </a:r>
                </a:p>
              </cx:txPr>
              <cx:visibility seriesName="0" categoryName="0" value="1"/>
              <cx:separator>, </cx:separator>
            </cx:dataLabel>
          </cx:dataLabels>
          <cx:dataId val="0"/>
          <cx:layoutPr>
            <cx:subtotals>
              <cx:idx val="6"/>
            </cx:subtotals>
          </cx:layoutPr>
        </cx:series>
      </cx:plotAreaRegion>
      <cx:axis id="0">
        <cx:catScaling gapWidth="0.5"/>
        <cx:majorTickMarks type="out"/>
        <cx:minorTickMarks type="cross"/>
        <cx:tickLabels/>
        <cx:numFmt formatCode="@" sourceLinked="0"/>
        <cx:txPr>
          <a:bodyPr vertOverflow="overflow" horzOverflow="overflow" wrap="square" lIns="0" tIns="0" rIns="0" bIns="0"/>
          <a:lstStyle/>
          <a:p>
            <a:pPr algn="ctr" rtl="0">
              <a:defRPr sz="800" b="0" i="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de-DE" sz="800">
              <a:solidFill>
                <a:schemeClr val="tx1">
                  <a:lumMod val="65000"/>
                  <a:lumOff val="35000"/>
                </a:schemeClr>
              </a:solidFill>
            </a:endParaRPr>
          </a:p>
        </cx:txPr>
      </cx:axis>
      <cx:axis id="1">
        <cx:valScaling/>
        <cx:majorGridlines/>
        <cx:tickLabels/>
        <cx:numFmt formatCode="_(* #,##0_);_(* (#,##0);_(* &quot;-&quot;_);_(@_)" sourceLinked="0"/>
        <cx:txPr>
          <a:bodyPr vertOverflow="overflow" horzOverflow="overflow" wrap="square" lIns="0" tIns="0" rIns="0" bIns="0"/>
          <a:lstStyle/>
          <a:p>
            <a:pPr algn="ctr" rtl="0">
              <a:defRPr sz="800" b="0" i="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de-DE" sz="800">
              <a:solidFill>
                <a:schemeClr val="tx1">
                  <a:lumMod val="65000"/>
                  <a:lumOff val="35000"/>
                </a:schemeClr>
              </a:solidFill>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microsoft.com/office/2014/relationships/chartEx" Target="../charts/chartEx1.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1</xdr:col>
      <xdr:colOff>1647825</xdr:colOff>
      <xdr:row>6</xdr:row>
      <xdr:rowOff>123825</xdr:rowOff>
    </xdr:from>
    <xdr:to>
      <xdr:col>3</xdr:col>
      <xdr:colOff>5057775</xdr:colOff>
      <xdr:row>21</xdr:row>
      <xdr:rowOff>95250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2257425" y="2705100"/>
          <a:ext cx="5743575" cy="240030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3</xdr:col>
      <xdr:colOff>1095374</xdr:colOff>
      <xdr:row>7</xdr:row>
      <xdr:rowOff>161924</xdr:rowOff>
    </xdr:from>
    <xdr:to>
      <xdr:col>3</xdr:col>
      <xdr:colOff>3185159</xdr:colOff>
      <xdr:row>20</xdr:row>
      <xdr:rowOff>133349</xdr:rowOff>
    </xdr:to>
    <xdr:pic>
      <xdr:nvPicPr>
        <xdr:cNvPr id="4" name="Graphic 3" descr="Badge Tm with solid fill">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038599" y="2905124"/>
          <a:ext cx="2085975" cy="2085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27</xdr:row>
          <xdr:rowOff>57150</xdr:rowOff>
        </xdr:from>
        <xdr:to>
          <xdr:col>3</xdr:col>
          <xdr:colOff>0</xdr:colOff>
          <xdr:row>29</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all Gridlines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133350</xdr:rowOff>
        </xdr:from>
        <xdr:to>
          <xdr:col>6</xdr:col>
          <xdr:colOff>0</xdr:colOff>
          <xdr:row>14</xdr:row>
          <xdr:rowOff>19050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Market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1047750</xdr:colOff>
          <xdr:row>20</xdr:row>
          <xdr:rowOff>19050</xdr:rowOff>
        </xdr:from>
        <xdr:to>
          <xdr:col>3</xdr:col>
          <xdr:colOff>19050</xdr:colOff>
          <xdr:row>21</xdr:row>
          <xdr:rowOff>19050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Risk Free Rate from C19</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228803</xdr:colOff>
      <xdr:row>119</xdr:row>
      <xdr:rowOff>6884</xdr:rowOff>
    </xdr:from>
    <xdr:to>
      <xdr:col>12</xdr:col>
      <xdr:colOff>202134</xdr:colOff>
      <xdr:row>134</xdr:row>
      <xdr:rowOff>6886</xdr:rowOff>
    </xdr:to>
    <xdr:graphicFrame macro="">
      <xdr:nvGraphicFramePr>
        <xdr:cNvPr id="26" name="Diagramm 2">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235224</xdr:colOff>
      <xdr:row>118</xdr:row>
      <xdr:rowOff>176292</xdr:rowOff>
    </xdr:from>
    <xdr:to>
      <xdr:col>5</xdr:col>
      <xdr:colOff>815461</xdr:colOff>
      <xdr:row>134</xdr:row>
      <xdr:rowOff>2413</xdr:rowOff>
    </xdr:to>
    <xdr:graphicFrame macro="">
      <xdr:nvGraphicFramePr>
        <xdr:cNvPr id="22" name="Diagramm 2">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73055</xdr:colOff>
      <xdr:row>190</xdr:row>
      <xdr:rowOff>132059</xdr:rowOff>
    </xdr:from>
    <xdr:to>
      <xdr:col>8</xdr:col>
      <xdr:colOff>686984</xdr:colOff>
      <xdr:row>211</xdr:row>
      <xdr:rowOff>151109</xdr:rowOff>
    </xdr:to>
    <xdr:graphicFrame macro="">
      <xdr:nvGraphicFramePr>
        <xdr:cNvPr id="2" name="Diagramm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800064</xdr:colOff>
      <xdr:row>190</xdr:row>
      <xdr:rowOff>127421</xdr:rowOff>
    </xdr:from>
    <xdr:to>
      <xdr:col>16</xdr:col>
      <xdr:colOff>223393</xdr:colOff>
      <xdr:row>211</xdr:row>
      <xdr:rowOff>178442</xdr:rowOff>
    </xdr:to>
    <xdr:graphicFrame macro="">
      <xdr:nvGraphicFramePr>
        <xdr:cNvPr id="8" name="Diagramm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798861</xdr:colOff>
      <xdr:row>212</xdr:row>
      <xdr:rowOff>27421</xdr:rowOff>
    </xdr:from>
    <xdr:to>
      <xdr:col>16</xdr:col>
      <xdr:colOff>193627</xdr:colOff>
      <xdr:row>232</xdr:row>
      <xdr:rowOff>75816</xdr:rowOff>
    </xdr:to>
    <xdr:graphicFrame macro="">
      <xdr:nvGraphicFramePr>
        <xdr:cNvPr id="9" name="Diagramm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130399</xdr:colOff>
      <xdr:row>32</xdr:row>
      <xdr:rowOff>25657</xdr:rowOff>
    </xdr:from>
    <xdr:to>
      <xdr:col>17</xdr:col>
      <xdr:colOff>1285449</xdr:colOff>
      <xdr:row>48</xdr:row>
      <xdr:rowOff>127976</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185426</xdr:colOff>
      <xdr:row>32</xdr:row>
      <xdr:rowOff>44914</xdr:rowOff>
    </xdr:from>
    <xdr:to>
      <xdr:col>9</xdr:col>
      <xdr:colOff>3096</xdr:colOff>
      <xdr:row>48</xdr:row>
      <xdr:rowOff>141112</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162998</xdr:colOff>
      <xdr:row>98</xdr:row>
      <xdr:rowOff>64432</xdr:rowOff>
    </xdr:from>
    <xdr:to>
      <xdr:col>17</xdr:col>
      <xdr:colOff>1513737</xdr:colOff>
      <xdr:row>118</xdr:row>
      <xdr:rowOff>39032</xdr:rowOff>
    </xdr:to>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586861</xdr:colOff>
      <xdr:row>119</xdr:row>
      <xdr:rowOff>6222</xdr:rowOff>
    </xdr:from>
    <xdr:to>
      <xdr:col>17</xdr:col>
      <xdr:colOff>1510786</xdr:colOff>
      <xdr:row>134</xdr:row>
      <xdr:rowOff>6224</xdr:rowOff>
    </xdr:to>
    <xdr:graphicFrame macro="">
      <xdr:nvGraphicFramePr>
        <xdr:cNvPr id="20" name="Diagramm 2">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205861</xdr:colOff>
      <xdr:row>134</xdr:row>
      <xdr:rowOff>72898</xdr:rowOff>
    </xdr:from>
    <xdr:to>
      <xdr:col>12</xdr:col>
      <xdr:colOff>205861</xdr:colOff>
      <xdr:row>149</xdr:row>
      <xdr:rowOff>363619</xdr:rowOff>
    </xdr:to>
    <xdr:graphicFrame macro="">
      <xdr:nvGraphicFramePr>
        <xdr:cNvPr id="21" name="Diagramm 2">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237130</xdr:colOff>
      <xdr:row>134</xdr:row>
      <xdr:rowOff>72898</xdr:rowOff>
    </xdr:from>
    <xdr:to>
      <xdr:col>5</xdr:col>
      <xdr:colOff>815461</xdr:colOff>
      <xdr:row>149</xdr:row>
      <xdr:rowOff>373144</xdr:rowOff>
    </xdr:to>
    <xdr:graphicFrame macro="">
      <xdr:nvGraphicFramePr>
        <xdr:cNvPr id="23" name="Diagramm 2">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577336</xdr:colOff>
      <xdr:row>134</xdr:row>
      <xdr:rowOff>77940</xdr:rowOff>
    </xdr:from>
    <xdr:to>
      <xdr:col>17</xdr:col>
      <xdr:colOff>1505369</xdr:colOff>
      <xdr:row>149</xdr:row>
      <xdr:rowOff>370714</xdr:rowOff>
    </xdr:to>
    <xdr:graphicFrame macro="">
      <xdr:nvGraphicFramePr>
        <xdr:cNvPr id="24" name="Diagramm 2">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629708</xdr:colOff>
      <xdr:row>6</xdr:row>
      <xdr:rowOff>132522</xdr:rowOff>
    </xdr:from>
    <xdr:to>
      <xdr:col>17</xdr:col>
      <xdr:colOff>1345141</xdr:colOff>
      <xdr:row>28</xdr:row>
      <xdr:rowOff>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Dieses Diagramm ist in Ihrer Version von Excel nicht verfügbar.
Wenn Sie diese Form bearbeiten oder diese Arbeitsmappe in einem anderen Dateiformat speichern, wird das Diagramm endgültig beschädigt.</a:t>
              </a:r>
            </a:p>
          </xdr:txBody>
        </xdr:sp>
      </mc:Fallback>
    </mc:AlternateContent>
    <xdr:clientData/>
  </xdr:twoCellAnchor>
  <xdr:twoCellAnchor>
    <xdr:from>
      <xdr:col>1</xdr:col>
      <xdr:colOff>94330</xdr:colOff>
      <xdr:row>211</xdr:row>
      <xdr:rowOff>176962</xdr:rowOff>
    </xdr:from>
    <xdr:to>
      <xdr:col>8</xdr:col>
      <xdr:colOff>700590</xdr:colOff>
      <xdr:row>232</xdr:row>
      <xdr:rowOff>77058</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97092</xdr:colOff>
      <xdr:row>247</xdr:row>
      <xdr:rowOff>178270</xdr:rowOff>
    </xdr:from>
    <xdr:to>
      <xdr:col>16</xdr:col>
      <xdr:colOff>769698</xdr:colOff>
      <xdr:row>268</xdr:row>
      <xdr:rowOff>166767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265910</xdr:colOff>
      <xdr:row>248</xdr:row>
      <xdr:rowOff>24502</xdr:rowOff>
    </xdr:from>
    <xdr:to>
      <xdr:col>8</xdr:col>
      <xdr:colOff>0</xdr:colOff>
      <xdr:row>269</xdr:row>
      <xdr:rowOff>20309</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202558</xdr:colOff>
      <xdr:row>49</xdr:row>
      <xdr:rowOff>75558</xdr:rowOff>
    </xdr:from>
    <xdr:to>
      <xdr:col>17</xdr:col>
      <xdr:colOff>1359798</xdr:colOff>
      <xdr:row>64</xdr:row>
      <xdr:rowOff>38484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64177</xdr:colOff>
      <xdr:row>231</xdr:row>
      <xdr:rowOff>21722</xdr:rowOff>
    </xdr:from>
    <xdr:to>
      <xdr:col>34</xdr:col>
      <xdr:colOff>635000</xdr:colOff>
      <xdr:row>270</xdr:row>
      <xdr:rowOff>74706</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26</xdr:row>
          <xdr:rowOff>76200</xdr:rowOff>
        </xdr:from>
        <xdr:to>
          <xdr:col>22</xdr:col>
          <xdr:colOff>19050</xdr:colOff>
          <xdr:row>28</xdr:row>
          <xdr:rowOff>114300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14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DCF + Update Discounting Periods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2</xdr:row>
          <xdr:rowOff>133350</xdr:rowOff>
        </xdr:from>
        <xdr:to>
          <xdr:col>19</xdr:col>
          <xdr:colOff>419100</xdr:colOff>
          <xdr:row>4</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15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Today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https://steinbeisconsulting-my.sharepoint.com/personal/schmitt_steinbeis-finance_de/Documents/SCM&amp;A%20-%20Server/01%20-%20Projekte/Laufende%20Projekte/10183%20-%20GFD%20(VGN)%20-%20GS/Vermarkten/WiDa/DCF%20Bewertung%20990220%20Downside%20Local%20Cables%20-%20Volume.xls?90168F85" TargetMode="External"/><Relationship Id="rId1" Type="http://schemas.openxmlformats.org/officeDocument/2006/relationships/externalLinkPath" Target="file:///\\90168F85\DCF%20Bewertung%20990220%20Downside%20Local%20Cables%20-%20Volume.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ASKONSA.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Public%20market%20multiple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steinbeisconsulting-my.sharepoint.com/40DD32DB/HUELS-G.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steinbeisconsulting-my.sharepoint.com/TEMP/maa/projekte/Glasgow/Felix/Valuation/old%20valuation%202%20Sept%201998/Glasgow/Felix/Valuation/valuation%202%20Sept%201998/PROJEKTE/Clever%20II/Valuation/H&#252;ls-DCF/H&#252;ls-DCF/HUELS-G.XLS" TargetMode="External"/></Relationships>
</file>

<file path=xl/externalLinks/_rels/externalLink6.xml.rels><?xml version="1.0" encoding="UTF-8" standalone="yes"?>
<Relationships xmlns="http://schemas.openxmlformats.org/package/2006/relationships"><Relationship Id="rId2" Type="http://schemas.microsoft.com/office/2019/04/relationships/externalLinkLongPath" Target="https://steinbeisconsulting-my.sharepoint.com/personal/schmitt_steinbeis-finance_de/Documents/SCM&amp;A%20-%20Server/01%20-%20Projekte/Laufende%20Projekte/10166%20-%20Yardeye%20(SSR)%20-%20ST/Situationsanalyse/00%20Kunde%20-%20Exchange/VIII.%20Wirtschaftliche%20Situation/Business%20Plan/2021-07-28%20Yardeye%20Business%20plan%20-%20Techlology%20Transfer%20+%20Safety_v12Mlk.xlsm?08D497B5" TargetMode="External"/><Relationship Id="rId1" Type="http://schemas.openxmlformats.org/officeDocument/2006/relationships/externalLinkPath" Target="file:///\\08D497B5\2021-07-28%20Yardeye%20Business%20plan%20-%20Techlology%20Transfer%20+%20Safety_v12Mlk.xlsm"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Muster%20neue%20BWA.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Finanzierungen.xls"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DCF%20GEA%20990427%20V9.0.xls"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Sch&#246;ller-Bewertung-11-06-14.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Public%20market%20multiples%20(090101).xls"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Comps%2010_00%20(1).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CONTROLLING\CO-ALLGEMEIN\BERICHTE\BEP\INLAND\NINO\ANFO_BEP.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steinbeisconsulting-my.sharepoint.com/psf/Schmittserver/Users/vastert/Desktop/120906%20DRAFT%20BPModell%20BaseCase%20v1%20(Zins).xlsx"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PathMissing" Target="MODEL_T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wertungspräs."/>
      <sheetName val="Minorities Valuation"/>
      <sheetName val="KPMG Report Input"/>
      <sheetName val="Input parameters"/>
      <sheetName val="Model forecast"/>
      <sheetName val="Financial debt"/>
      <sheetName val="DCF result sheet"/>
      <sheetName val="Result Presentation"/>
      <sheetName val="Sales forecast"/>
      <sheetName val="Beta calc."/>
      <sheetName val="IRR"/>
      <sheetName val="Sheet1"/>
      <sheetName val="DCF Value"/>
      <sheetName val="Memo Bewertung"/>
      <sheetName val="Depreciation"/>
      <sheetName val="WACC"/>
      <sheetName val="LWF - P&amp;L"/>
      <sheetName val="Decin - P&amp;L"/>
      <sheetName val="Bilanz-GuV (Step-up)"/>
      <sheetName val="Modul1"/>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Valuation"/>
      <sheetName val="Base Case Multiples"/>
      <sheetName val="Sensitivitätsanalyse"/>
      <sheetName val="DCFCOVER"/>
      <sheetName val="Memo Planungsparameter"/>
      <sheetName val="Memo Bereinigung"/>
      <sheetName val="Memo Bewertung"/>
      <sheetName val="CF-Bewertung"/>
      <sheetName val="Memo IRR"/>
      <sheetName val="Memo Kapitalkosten"/>
      <sheetName val="Memo Transactions"/>
      <sheetName val="Memo Transactions (2)"/>
      <sheetName val="Memo Transactions (3)"/>
      <sheetName val="Chart"/>
      <sheetName val="Input-Parameter"/>
      <sheetName val="Entwicklung Abschreibungen"/>
      <sheetName val="Memo Cash Flow"/>
      <sheetName val="Bilanz-GuV-Scenario"/>
      <sheetName val="Steuern"/>
      <sheetName val="Financial Statements"/>
      <sheetName val="Memo Juli '96"/>
      <sheetName val="GmbH"/>
      <sheetName val="Brief Juni '96 (I)"/>
      <sheetName val="Comps analysis"/>
      <sheetName val="Kennzahlen"/>
      <sheetName val="Kapitalkosten"/>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Guide"/>
      <sheetName val="Parameters"/>
      <sheetName val="Multiples"/>
      <sheetName val="Market Values"/>
      <sheetName val="Ratios"/>
      <sheetName val="Beta"/>
      <sheetName val="Forecast"/>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Group DCF"/>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Group DCF"/>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PT"/>
      <sheetName val="PPT PL"/>
      <sheetName val="Start"/>
      <sheetName val="Contents"/>
      <sheetName val="Overview"/>
      <sheetName val="&lt;Output&gt;"/>
      <sheetName val="Bridges"/>
      <sheetName val="FS - yearly"/>
      <sheetName val="Revenue Drilldown"/>
      <sheetName val="Market Drilldown"/>
      <sheetName val="FS - monthly"/>
      <sheetName val="Charts"/>
      <sheetName val="Charts - Support tables"/>
      <sheetName val="&lt;Assumptions&gt;"/>
      <sheetName val="Market"/>
      <sheetName val="COGS"/>
      <sheetName val="Revenue"/>
      <sheetName val="Staff"/>
      <sheetName val="OPEX"/>
      <sheetName val="Investments"/>
      <sheetName val="Financing"/>
      <sheetName val="WC &amp; VAT"/>
      <sheetName val="Lists"/>
      <sheetName val="Tabelle2"/>
      <sheetName val="&lt;Other&gt;"/>
      <sheetName val="PowerPoint"/>
      <sheetName val="Translation"/>
      <sheetName val="Muster"/>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
      <sheetName val="Kumulierte Monate"/>
      <sheetName val="Einzelmonate"/>
      <sheetName val="Kumulierte Monate Währung"/>
      <sheetName val="Länderbeauftragte"/>
      <sheetName val="Einzelmonate Währung"/>
      <sheetName val="Länderbeauftragte Währung"/>
      <sheetName val="Bilanzkennzahlen"/>
      <sheetName val="Erläuterungen"/>
      <sheetName val="_lnEdgarSaveSpace"/>
      <sheetName val="Muster neue BWA"/>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Übersicht 31.12.2004"/>
      <sheetName val="Übersicht 1.6.2004"/>
      <sheetName val="Summen"/>
      <sheetName val="Tabelle1"/>
      <sheetName val="Tabelle3"/>
      <sheetName val="VK-Erlös BD div VK-Preise"/>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wertungspräs."/>
      <sheetName val="Minorities Valuation"/>
      <sheetName val="GEA Input"/>
      <sheetName val="DCF result sheet (draft)"/>
      <sheetName val="Beta calc. (draft)"/>
      <sheetName val="DCF result sheet"/>
      <sheetName val="WACC"/>
      <sheetName val="Input parameters"/>
      <sheetName val="Model forecast"/>
      <sheetName val="Präsentation"/>
      <sheetName val="Financial debt"/>
      <sheetName val="Result Presentation"/>
      <sheetName val="Beta calc."/>
      <sheetName val="IRR"/>
      <sheetName val="Sheet1"/>
      <sheetName val="DCF Value"/>
      <sheetName val="Memo Bewertung"/>
      <sheetName val="Depreciation"/>
      <sheetName val="LWF - P&amp;L"/>
      <sheetName val="Decin - P&amp;L"/>
      <sheetName val="Bilanz-GuV (Step-up)"/>
      <sheetName val="Modul1"/>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öller-Bewertung-11-06-14"/>
      <sheetName val="1"/>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ket data"/>
      <sheetName val="Multiples"/>
      <sheetName val="Input"/>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Guide"/>
      <sheetName val="Parameters"/>
      <sheetName val="Multiples"/>
      <sheetName val="Market Values"/>
      <sheetName val="Ratios"/>
      <sheetName val="Beta"/>
      <sheetName val="Forecast"/>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ür Juni 2001"/>
      <sheetName val="für Januar 2002"/>
      <sheetName val="für Juli 2002"/>
      <sheetName val="für Januar 2003"/>
      <sheetName val="für Juli 2003"/>
      <sheetName val="für Januar 2004"/>
      <sheetName val="für Juli 2004"/>
      <sheetName val="für Januar 2005"/>
      <sheetName val="für Juli 2005"/>
      <sheetName val="für Februar 2006"/>
      <sheetName val="für August 2006"/>
      <sheetName val="für Februar 2007"/>
      <sheetName val="für August 2007"/>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Content"/>
      <sheetName val="Section General"/>
      <sheetName val="G-00_Open issues"/>
      <sheetName val="G-01_Read me"/>
      <sheetName val="G-11_Formatting + styles"/>
      <sheetName val="G-12_Data flow"/>
      <sheetName val="G-13_Source of information"/>
      <sheetName val="Section Input"/>
      <sheetName val="I-00_Scenario manager"/>
      <sheetName val="I-01_General"/>
      <sheetName val="I-11.1_Proj New-Margin"/>
      <sheetName val="I-11.2_Proj New-HR IFTK"/>
      <sheetName val="I-11.3_Proj New-HR FTK"/>
      <sheetName val="I-11.4_Proj New-P&amp;L input"/>
      <sheetName val="I-11.5_Proj New-Cash flows"/>
      <sheetName val="I-11.6_Proj New-Targets"/>
      <sheetName val="I-12_MBO-Projects"/>
      <sheetName val="I-13_Line rental"/>
      <sheetName val="I-14_Cell Production"/>
      <sheetName val="I-21_Headcount"/>
      <sheetName val="I-31_Capex - MBO"/>
      <sheetName val="I-32_Capex - Post MBO"/>
      <sheetName val="I-33_Capex general"/>
      <sheetName val="I-41_Other P&amp;L items"/>
      <sheetName val="I-51_Inp_BS"/>
      <sheetName val="Section Calculations"/>
      <sheetName val="C-01_General"/>
      <sheetName val="C-11.1_TK-Integ"/>
      <sheetName val="C-11.2_TK-Integ-Light"/>
      <sheetName val="C-11.3_TK-Full"/>
      <sheetName val="C-11.4_TK-Light"/>
      <sheetName val="C-11.5_TK-Upgrade"/>
      <sheetName val="C-11.6_TK-Upgrade-Light"/>
      <sheetName val="C-11.7_TK-Ramp-up"/>
      <sheetName val="C-12_MBO-Projects"/>
      <sheetName val="C-13_Line-rental"/>
      <sheetName val="C-14_Cell Production"/>
      <sheetName val="C-21_Headcount"/>
      <sheetName val="C-31_Capex-MBO"/>
      <sheetName val="C-32_Capex-Post-MBO"/>
      <sheetName val="C-41_P&amp;L-aggregated"/>
      <sheetName val="C-51_BS"/>
      <sheetName val="C-61_CF"/>
      <sheetName val="Section Output"/>
      <sheetName val="O-01_P&amp;L"/>
      <sheetName val="O-11_NCE"/>
      <sheetName val="O-21_BS"/>
      <sheetName val="O-31_CF"/>
      <sheetName val="O-41_Headcount"/>
      <sheetName val="O-100_ExecSumm"/>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uptmenue"/>
    </sheetNames>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2">
  <a r="1">
    <v t="i">1</v>
  </a>
  <a r="1">
    <v>25286.240000000002</v>
  </a>
</arrayData>
</file>

<file path=xl/richData/rdrichvalue.xml><?xml version="1.0" encoding="utf-8"?>
<rvData xmlns="http://schemas.microsoft.com/office/spreadsheetml/2017/richdata" count="15">
  <rv s="0">
    <v>0</v>
    <v>5</v>
  </rv>
  <rv s="1">
    <v>https://www.bing.com/financeapi/forcetrigger?t=afx2kr&amp;q=DEUTSCHE+BORSE+DAX+INDEX&amp;form=skydnc</v>
    <v>Learn more on Bing</v>
  </rv>
  <rv s="2">
    <v>en-GB</v>
    <v>afx2kr</v>
    <v>268435456</v>
    <v>1</v>
    <v>Powered by Refinitiv</v>
    <v>0</v>
    <v>DEUTSCHE BORSE DAX INDEX</v>
    <v>2</v>
    <v>3</v>
    <v>Finance</v>
    <v>4</v>
    <v>25507.79</v>
    <v>24448.98</v>
    <v>-55.26</v>
    <v>-2.1800000000000001E-3</v>
    <v>DE</v>
    <v>25354.11</v>
    <v>Index</v>
    <v>1</v>
    <v>25198.53</v>
    <v>DEUTSCHE BORSE DAX INDEX</v>
    <v>25336.01</v>
    <v>25352.39</v>
    <v>25297.13</v>
    <v>DAX</v>
    <v>DEUTSCHE BORSE DAX INDEX</v>
  </rv>
  <rv s="3">
    <v>2</v>
  </rv>
  <rv s="1">
    <v>https://www.bing.com/financeapi/forcetrigger?t=afxy6h&amp;q=MDAX+MIDCAP+PF+INDEX&amp;form=skydnc</v>
    <v>Learn more on Bing</v>
  </rv>
  <rv s="2">
    <v>en-GB</v>
    <v>afxy6h</v>
    <v>268435456</v>
    <v>1</v>
    <v>Powered by Refinitiv</v>
    <v>0</v>
    <v>MDAX MIDCAP PF INDEX</v>
    <v>2</v>
    <v>3</v>
    <v>Finance</v>
    <v>4</v>
    <v>32383.56</v>
    <v>30715.23</v>
    <v>-44.34</v>
    <v>-1.3880000000000001E-3</v>
    <v>DE</v>
    <v>31980.74</v>
    <v>Index</v>
    <v>4</v>
    <v>31775.95</v>
    <v>MDAX MIDCAP PF INDEX</v>
    <v>31954.799999999999</v>
    <v>31943.599999999999</v>
    <v>31899.26</v>
    <v>MDAX</v>
    <v>MDAX MIDCAP PF INDEX</v>
  </rv>
  <rv s="3">
    <v>5</v>
  </rv>
  <rv s="1">
    <v>https://www.bing.com/financeapi/forcetrigger?t=a1sf9c&amp;q=ARCX%3aEWG&amp;form=skydnc</v>
    <v>Learn more on Bing</v>
  </rv>
  <rv s="4">
    <v>en-GB</v>
    <v>a1sf9c</v>
    <v>268435456</v>
    <v>1</v>
    <v>Powered by Refinitiv</v>
    <v>5</v>
    <v>iShares:MSCI Germany (ARCX:EWG)</v>
    <v>2</v>
    <v>6</v>
    <v>Finance</v>
    <v>7</v>
    <v>43.89</v>
    <v>32.68</v>
    <v>1.1536999999999999</v>
    <v>0.1</v>
    <v>-2.0769999999999999E-3</v>
    <v>2.313E-3</v>
    <v>-0.09</v>
    <v>USD</v>
    <v>NYSE Arca</v>
    <v>ARCX</v>
    <v>4.8999999999999998E-3</v>
    <v>43.34</v>
    <v>ETF</v>
    <v>46038.957508760941</v>
    <v>7</v>
    <v>43.115000000000002</v>
    <v>1757741220.4400001</v>
    <v>iShares:MSCI Germany</v>
    <v>43.33</v>
    <v>43.24</v>
    <v>43.34</v>
    <v>43.25</v>
    <v>EWG</v>
    <v>iShares:MSCI Germany (ARCX:EWG)</v>
    <v>2776070</v>
    <v>2221906</v>
  </rv>
  <rv s="3">
    <v>8</v>
  </rv>
  <rv s="1">
    <v>https://www.bing.com/financeapi/forcetrigger?t=a3oxnm&amp;q=NASDAQ+Composite+Index&amp;form=skydnc</v>
    <v>Learn more on Bing</v>
  </rv>
  <rv s="2">
    <v>en-GB</v>
    <v>a3oxnm</v>
    <v>268435456</v>
    <v>1</v>
    <v>Powered by Refinitiv</v>
    <v>0</v>
    <v>NASDAQ Composite Index</v>
    <v>2</v>
    <v>8</v>
    <v>Finance</v>
    <v>4</v>
    <v>24019.992999999999</v>
    <v>14784.031000000001</v>
    <v>-14.634</v>
    <v>-6.2189999999999999E-4</v>
    <v>US</v>
    <v>23664.258999999998</v>
    <v>Index</v>
    <v>10</v>
    <v>23446.812999999998</v>
    <v>NASDAQ Composite Index</v>
    <v>23639.687000000002</v>
    <v>23530.022000000001</v>
    <v>23515.387999999999</v>
    <v>COMP</v>
    <v>NASDAQ Composite Index</v>
  </rv>
  <rv s="3">
    <v>11</v>
  </rv>
  <rv s="5">
    <fb>25286.240000000002</fb>
    <v>9</v>
  </rv>
  <rv s="6">
    <v>10</v>
    <v>afx2kr</v>
    <v>Weekly</v>
    <v>46033</v>
    <v>46039</v>
    <v>0</v>
    <v>1</v>
    <v>639039456000000000,639040852797652457,0</v>
    <v>0</v>
    <v>afx2kr</v>
    <v>DAX</v>
    <v>1</v>
  </rv>
</rvData>
</file>

<file path=xl/richData/rdrichvaluestructure.xml><?xml version="1.0" encoding="utf-8"?>
<rvStructures xmlns="http://schemas.microsoft.com/office/spreadsheetml/2017/richdata" count="7">
  <s t="_localImage">
    <k n="_rvRel:LocalImageIdentifier" t="i"/>
    <k n="CalcOrigin" t="i"/>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2">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11">
    <spb s="0">
      <v>0</v>
      <v>Name</v>
      <v>LearnMoreOnLink</v>
    </spb>
    <spb s="1">
      <v>0</v>
      <v>0</v>
      <v>0</v>
    </spb>
    <spb s="2">
      <v>1</v>
      <v>1</v>
      <v>1</v>
    </spb>
    <spb s="3">
      <v>1</v>
      <v>1</v>
      <v>2</v>
      <v>1</v>
      <v>1</v>
      <v>1</v>
      <v>3</v>
      <v>1</v>
      <v>1</v>
      <v>1</v>
      <v>4</v>
    </spb>
    <spb s="4">
      <v>from previous close</v>
      <v>from previous close</v>
    </spb>
    <spb s="0">
      <v>1</v>
      <v>Name</v>
      <v>LearnMoreOnLink</v>
    </spb>
    <spb s="5">
      <v>5</v>
      <v>6</v>
      <v>5</v>
      <v>2</v>
      <v>5</v>
      <v>5</v>
      <v>5</v>
      <v>7</v>
      <v>3</v>
      <v>8</v>
      <v>5</v>
      <v>5</v>
      <v>3</v>
      <v>5</v>
      <v>7</v>
      <v>9</v>
      <v>4</v>
      <v>5</v>
      <v>5</v>
      <v>3</v>
    </spb>
    <spb s="6">
      <v>at close</v>
      <v>from previous close</v>
      <v>Source: Nasdaq</v>
      <v>from previous close</v>
      <v>GMT</v>
      <v>Delayed 15 minutes</v>
      <v>from close</v>
      <v>from close</v>
    </spb>
    <spb s="3">
      <v>5</v>
      <v>5</v>
      <v>2</v>
      <v>5</v>
      <v>5</v>
      <v>5</v>
      <v>3</v>
      <v>5</v>
      <v>5</v>
      <v>5</v>
      <v>4</v>
    </spb>
    <spb s="7">
      <v>1</v>
    </spb>
    <spb s="8">
      <v>10</v>
      <v>1</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UniqueName" t="spb"/>
    <k n="`%ProviderInfo" t="spb"/>
    <k n="LearnMoreOnLink" t="spb"/>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9" formatCode="dd/mm/yyyy"/>
    </x:dxf>
  </dxfs>
  <richProperties>
    <rPr n="NumberFormat" t="s"/>
    <rPr n="IsTitleField" t="b"/>
  </richProperties>
  <richStyles>
    <rSty dxfid="1">
      <rpv i="0">_([$€-x-euro2] * #,##0.00_);_([$€-x-euro2] * (#,##0.00);_([$€-x-euro2] * "-"??_);_(@_)</rpv>
    </rSty>
    <rSty>
      <rpv i="1">1</rpv>
    </rSty>
    <rSty dxfid="3"/>
    <rSty dxfid="0">
      <rpv i="0">0.00</rpv>
    </rSty>
    <rSty dxfid="1">
      <rpv i="0">_([$$-en-US]* #,##0.00_);_([$$-en-US]* (#,##0.00);_([$$-en-US]* "-"??_);_(@_)</rpv>
    </rSty>
    <rSty dxfid="5">
      <rpv i="0">#,##0.00</rpv>
    </rSty>
    <rSty dxfid="4">
      <rpv i="0">#,##0</rpv>
    </rSty>
    <rSty dxfid="1">
      <rpv i="0">_([$$-en-US]* #,##0_);_([$$-en-US]* (#,##0);_([$$-en-US]* "-"_);_(@_)</rpv>
    </rSty>
    <rSty dxfid="2"/>
    <rSty dxfid="6"/>
  </richStyles>
</richStyleSheet>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Steinbeis">
      <a:dk1>
        <a:srgbClr val="000000"/>
      </a:dk1>
      <a:lt1>
        <a:sysClr val="window" lastClr="FFFFFF"/>
      </a:lt1>
      <a:dk2>
        <a:srgbClr val="262626"/>
      </a:dk2>
      <a:lt2>
        <a:srgbClr val="E9E9E9"/>
      </a:lt2>
      <a:accent1>
        <a:srgbClr val="044566"/>
      </a:accent1>
      <a:accent2>
        <a:srgbClr val="2B92A5"/>
      </a:accent2>
      <a:accent3>
        <a:srgbClr val="C53156"/>
      </a:accent3>
      <a:accent4>
        <a:srgbClr val="46545B"/>
      </a:accent4>
      <a:accent5>
        <a:srgbClr val="B1C1C8"/>
      </a:accent5>
      <a:accent6>
        <a:srgbClr val="DCDCDC"/>
      </a:accent6>
      <a:hlink>
        <a:srgbClr val="0563C1"/>
      </a:hlink>
      <a:folHlink>
        <a:srgbClr val="954F72"/>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9FACA87-BB46-954E-AD05-52F4D3B27ACB}">
  <we:reference id="wa200002663" version="1.8.0.0" store="en-US" storeType="OMEX"/>
  <we:alternateReferences>
    <we:reference id="wa200002663" version="1.8.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PBF</we:customFunctionIds>
        <we:customFunctionIds>PBM</we:customFunctionIds>
        <we:customFunctionIds>PBD</we:customFunctionIds>
        <we:customFunctionIds>PBA</we:customFunctionIds>
        <we:customFunctionIds>PBS</we:customFunctionIds>
        <we:customFunctionIds>PBEQR</we:customFunctionIds>
        <we:customFunctionIds>PBIMAGE</we:customFunctionIds>
        <we:customFunctionIds>PBFS</we:customFunctionIds>
        <we:customFunctionIds>PBMATCHPBID</we:customFunctionIds>
        <we:customFunctionIds>PBMATCHSYMBOL</we:customFunctionIds>
        <we:customFunctionIds>PBR</we:customFunctionIds>
        <we:customFunctionIds>PBCHARTMARKET</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www.marketwatch.com/investing/Bond/TMBMKDE-30Y?countryCode=B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www.goskills.com/Excel/Resources/Waterfall-chart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5" Type="http://schemas.openxmlformats.org/officeDocument/2006/relationships/ctrlProp" Target="../ctrlProps/ctrlProp4.xml"/><Relationship Id="rId4"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hyperlink" Target="https://pages.stern.nyu.edu/~adamodar/New_Home_Page/dataarchived.html" TargetMode="External"/></Relationships>
</file>

<file path=xl/worksheets/_rels/sheet27.xml.rels><?xml version="1.0" encoding="UTF-8" standalone="yes"?>
<Relationships xmlns="http://schemas.openxmlformats.org/package/2006/relationships"><Relationship Id="rId8" Type="http://schemas.openxmlformats.org/officeDocument/2006/relationships/hyperlink" Target="http://www.damodaran.com/" TargetMode="External"/><Relationship Id="rId3" Type="http://schemas.openxmlformats.org/officeDocument/2006/relationships/hyperlink" Target="http://www.stern.nyu.edu/~adamodar/New_Home_Page/data.html" TargetMode="External"/><Relationship Id="rId7" Type="http://schemas.openxmlformats.org/officeDocument/2006/relationships/hyperlink" Target="mailto:adamodar@stern.nyu.edu?subject=Data%20on%20website" TargetMode="Externa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hyperlink" Target="https://youtu.be/P87WFfCMvYI?si=HuU1ji5YwZiTrVaU" TargetMode="External"/><Relationship Id="rId11" Type="http://schemas.openxmlformats.org/officeDocument/2006/relationships/hyperlink" Target="http://www.stern.nyu.edu/~adamodar/New_Home_Page/datafile/variable.htm" TargetMode="External"/><Relationship Id="rId5" Type="http://schemas.openxmlformats.org/officeDocument/2006/relationships/hyperlink" Target="http://www.stern.nyu.edu/~adamodar/New_Home_Page/datafile/variable.htm" TargetMode="External"/><Relationship Id="rId10" Type="http://schemas.openxmlformats.org/officeDocument/2006/relationships/hyperlink" Target="http://www.stern.nyu.edu/~adamodar/pc/datasets/indname.xls" TargetMode="External"/><Relationship Id="rId4" Type="http://schemas.openxmlformats.org/officeDocument/2006/relationships/hyperlink" Target="http://www.stern.nyu.edu/~adamodar/pc/datasets/indname.xls" TargetMode="External"/><Relationship Id="rId9" Type="http://schemas.openxmlformats.org/officeDocument/2006/relationships/hyperlink" Target="http://www.stern.nyu.edu/~adamodar/New_Home_Page/data.html" TargetMode="External"/></Relationships>
</file>

<file path=xl/worksheets/_rels/sheet28.xml.rels><?xml version="1.0" encoding="UTF-8" standalone="yes"?>
<Relationships xmlns="http://schemas.openxmlformats.org/package/2006/relationships"><Relationship Id="rId1" Type="http://schemas.openxmlformats.org/officeDocument/2006/relationships/hyperlink" Target="https://www.kroll.com/en/insights/publications/valuation" TargetMode="External"/></Relationships>
</file>

<file path=xl/worksheets/_rels/sheet29.xml.rels><?xml version="1.0" encoding="UTF-8" standalone="yes"?>
<Relationships xmlns="http://schemas.openxmlformats.org/package/2006/relationships"><Relationship Id="rId1" Type="http://schemas.openxmlformats.org/officeDocument/2006/relationships/hyperlink" Target="https://www.dub.de/unternehmenswert-berechnen/kmu-multiple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EBD3E-A4B9-467C-87BC-90BAE7D28B51}">
  <sheetPr codeName="Sheet1"/>
  <dimension ref="A1:A2"/>
  <sheetViews>
    <sheetView workbookViewId="0"/>
  </sheetViews>
  <sheetFormatPr defaultColWidth="8.7109375" defaultRowHeight="12.75"/>
  <sheetData>
    <row r="1" spans="1:1">
      <c r="A1" t="s">
        <v>0</v>
      </c>
    </row>
    <row r="2" spans="1:1">
      <c r="A2" t="s">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10340-9430-4641-A7A7-795BC88DD099}">
  <sheetPr codeName="Sheet11"/>
  <dimension ref="B1:D6"/>
  <sheetViews>
    <sheetView workbookViewId="0"/>
  </sheetViews>
  <sheetFormatPr defaultColWidth="9.140625" defaultRowHeight="12.75"/>
  <cols>
    <col min="1" max="1" width="5.7109375" style="1536" customWidth="1"/>
    <col min="2" max="2" width="25.7109375" style="1536" customWidth="1"/>
    <col min="3" max="3" width="9.140625" style="1536"/>
    <col min="4" max="4" width="86.42578125" style="1536" customWidth="1"/>
    <col min="5" max="16384" width="9.140625" style="1536"/>
  </cols>
  <sheetData>
    <row r="1" spans="2:4" ht="15" customHeight="1"/>
    <row r="3" spans="2:4" ht="51.75" customHeight="1">
      <c r="B3" s="1536" t="e" vm="1">
        <v>#VALUE!</v>
      </c>
      <c r="D3" s="1537" t="s">
        <v>2</v>
      </c>
    </row>
    <row r="5" spans="2:4" ht="90" customHeight="1"/>
    <row r="6" spans="2:4" ht="23.25">
      <c r="B6" s="1538" t="s">
        <v>3</v>
      </c>
      <c r="C6" s="1538" t="str">
        <f>Eckdaten!C7&amp;" "&amp;Eckdaten!C8</f>
        <v>XYZ GmbH</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516F4-CA17-420C-98AE-2D5DA28D0D88}">
  <sheetPr codeName="Sheet12">
    <tabColor theme="8" tint="-0.249977111117893"/>
  </sheetPr>
  <dimension ref="B1:E33"/>
  <sheetViews>
    <sheetView workbookViewId="0"/>
  </sheetViews>
  <sheetFormatPr defaultColWidth="8.7109375" defaultRowHeight="12.75"/>
  <cols>
    <col min="1" max="1" width="5.7109375" customWidth="1"/>
    <col min="2" max="2" width="25.42578125" customWidth="1"/>
    <col min="3" max="3" width="33.42578125" customWidth="1"/>
    <col min="4" max="4" width="17.7109375" customWidth="1"/>
    <col min="5" max="5" width="15.140625" customWidth="1"/>
  </cols>
  <sheetData>
    <row r="1" spans="2:5" ht="15" customHeight="1"/>
    <row r="2" spans="2:5" ht="18.75">
      <c r="B2" s="109" t="s">
        <v>4</v>
      </c>
    </row>
    <row r="4" spans="2:5" ht="13.5" thickBot="1">
      <c r="B4" s="107" t="s">
        <v>5</v>
      </c>
      <c r="C4" s="107" t="s">
        <v>6</v>
      </c>
      <c r="D4" s="107" t="s">
        <v>7</v>
      </c>
      <c r="E4" s="107" t="s">
        <v>8</v>
      </c>
    </row>
    <row r="6" spans="2:5">
      <c r="B6" s="14" t="s">
        <v>9</v>
      </c>
      <c r="C6" s="108" t="s">
        <v>10</v>
      </c>
      <c r="D6" s="14" t="s">
        <v>10</v>
      </c>
      <c r="E6">
        <v>3</v>
      </c>
    </row>
    <row r="8" spans="2:5">
      <c r="B8" s="14" t="s">
        <v>11</v>
      </c>
      <c r="C8" s="108" t="s">
        <v>12</v>
      </c>
      <c r="D8" s="14" t="s">
        <v>13</v>
      </c>
      <c r="E8">
        <v>4</v>
      </c>
    </row>
    <row r="9" spans="2:5">
      <c r="C9" s="108" t="s">
        <v>14</v>
      </c>
      <c r="D9" s="14" t="s">
        <v>15</v>
      </c>
      <c r="E9">
        <v>5</v>
      </c>
    </row>
    <row r="11" spans="2:5">
      <c r="B11" s="14" t="s">
        <v>16</v>
      </c>
      <c r="C11" s="108" t="s">
        <v>17</v>
      </c>
      <c r="D11" s="14" t="s">
        <v>18</v>
      </c>
      <c r="E11">
        <v>6</v>
      </c>
    </row>
    <row r="12" spans="2:5">
      <c r="C12" s="108" t="s">
        <v>19</v>
      </c>
      <c r="D12" s="14" t="s">
        <v>20</v>
      </c>
      <c r="E12">
        <v>7</v>
      </c>
    </row>
    <row r="13" spans="2:5">
      <c r="C13" s="108" t="s">
        <v>21</v>
      </c>
      <c r="D13" s="14" t="s">
        <v>22</v>
      </c>
      <c r="E13">
        <v>8</v>
      </c>
    </row>
    <row r="14" spans="2:5">
      <c r="C14" s="108" t="s">
        <v>23</v>
      </c>
      <c r="D14" s="14" t="s">
        <v>24</v>
      </c>
      <c r="E14">
        <v>9</v>
      </c>
    </row>
    <row r="16" spans="2:5">
      <c r="B16" s="14" t="s">
        <v>25</v>
      </c>
      <c r="C16" s="108" t="s">
        <v>26</v>
      </c>
      <c r="D16" s="14" t="s">
        <v>27</v>
      </c>
      <c r="E16">
        <v>10</v>
      </c>
    </row>
    <row r="17" spans="2:5">
      <c r="C17" s="108" t="s">
        <v>28</v>
      </c>
      <c r="D17" s="14" t="s">
        <v>29</v>
      </c>
      <c r="E17">
        <v>11</v>
      </c>
    </row>
    <row r="18" spans="2:5">
      <c r="C18" s="108" t="s">
        <v>30</v>
      </c>
      <c r="D18" s="14" t="s">
        <v>31</v>
      </c>
      <c r="E18">
        <v>12</v>
      </c>
    </row>
    <row r="20" spans="2:5">
      <c r="B20" s="14" t="s">
        <v>32</v>
      </c>
      <c r="C20" s="108" t="s">
        <v>33</v>
      </c>
      <c r="D20" s="14" t="s">
        <v>34</v>
      </c>
      <c r="E20">
        <v>13</v>
      </c>
    </row>
    <row r="21" spans="2:5">
      <c r="C21" s="108" t="s">
        <v>35</v>
      </c>
      <c r="D21" s="14" t="s">
        <v>36</v>
      </c>
      <c r="E21">
        <v>14</v>
      </c>
    </row>
    <row r="22" spans="2:5">
      <c r="C22" s="108" t="s">
        <v>37</v>
      </c>
      <c r="D22" s="14" t="s">
        <v>38</v>
      </c>
      <c r="E22">
        <v>15</v>
      </c>
    </row>
    <row r="23" spans="2:5">
      <c r="C23" s="108" t="s">
        <v>39</v>
      </c>
      <c r="D23" s="14" t="s">
        <v>40</v>
      </c>
      <c r="E23">
        <v>16</v>
      </c>
    </row>
    <row r="24" spans="2:5">
      <c r="C24" s="108" t="s">
        <v>41</v>
      </c>
      <c r="D24" s="14" t="s">
        <v>42</v>
      </c>
      <c r="E24">
        <v>17</v>
      </c>
    </row>
    <row r="25" spans="2:5">
      <c r="C25" s="108"/>
      <c r="D25" s="14"/>
    </row>
    <row r="26" spans="2:5">
      <c r="B26" s="14" t="s">
        <v>43</v>
      </c>
      <c r="C26" s="1298" t="s">
        <v>44</v>
      </c>
      <c r="D26" s="14" t="s">
        <v>45</v>
      </c>
      <c r="E26">
        <v>18</v>
      </c>
    </row>
    <row r="27" spans="2:5">
      <c r="C27" s="108" t="s">
        <v>46</v>
      </c>
      <c r="D27" s="14" t="s">
        <v>47</v>
      </c>
      <c r="E27">
        <v>19</v>
      </c>
    </row>
    <row r="28" spans="2:5">
      <c r="C28" s="108" t="s">
        <v>48</v>
      </c>
      <c r="D28" s="14" t="s">
        <v>49</v>
      </c>
      <c r="E28">
        <v>20</v>
      </c>
    </row>
    <row r="29" spans="2:5">
      <c r="C29" s="108" t="s">
        <v>50</v>
      </c>
      <c r="D29" s="14" t="s">
        <v>51</v>
      </c>
      <c r="E29">
        <v>21</v>
      </c>
    </row>
    <row r="30" spans="2:5">
      <c r="C30" s="108" t="s">
        <v>52</v>
      </c>
      <c r="D30" s="14" t="s">
        <v>53</v>
      </c>
      <c r="E30">
        <v>22</v>
      </c>
    </row>
    <row r="31" spans="2:5">
      <c r="C31" s="108" t="s">
        <v>54</v>
      </c>
      <c r="D31" s="14" t="s">
        <v>55</v>
      </c>
      <c r="E31">
        <v>23</v>
      </c>
    </row>
    <row r="32" spans="2:5">
      <c r="C32" s="108" t="s">
        <v>56</v>
      </c>
      <c r="D32" s="14" t="s">
        <v>57</v>
      </c>
      <c r="E32">
        <v>24</v>
      </c>
    </row>
    <row r="33" spans="3:5">
      <c r="C33" s="108" t="s">
        <v>58</v>
      </c>
      <c r="D33" s="14" t="s">
        <v>59</v>
      </c>
      <c r="E33">
        <v>25</v>
      </c>
    </row>
  </sheetData>
  <hyperlinks>
    <hyperlink ref="C6" location="Eckdaten!A1" display="Eckdaten" xr:uid="{ECDE9E53-CDC6-4B7B-BF49-9FE0085043BC}"/>
    <hyperlink ref="C8" location="FDB!A1" display="Financial Dashboard" xr:uid="{6A2B64B4-B8B2-4F8A-9AC6-2D111CC28C51}"/>
    <hyperlink ref="C9" location="'IS-IM'!A1" display="3 Income Statements im IM Format" xr:uid="{7327FB42-2C67-48EF-B443-D13B4A86DB62}"/>
    <hyperlink ref="C11" location="'G&amp;V'!A1" display="Gewinn &amp; Verlustrechnung" xr:uid="{64C5A8A3-2727-475C-8BCA-FDC7A6AF4876}"/>
    <hyperlink ref="C12" location="Akt.!A1" display="Aktivseite Bilanz" xr:uid="{642075A6-487B-40E1-81F3-D16B58B637C0}"/>
    <hyperlink ref="C13" location="Pas.!A1" display="Passivseite Bilanz" xr:uid="{4F68A4D1-5B47-4807-9E98-2F6753135265}"/>
    <hyperlink ref="C14" location="CF!A1" display="Cash Flow Rechnung" xr:uid="{DFE1735C-8268-4203-A8A4-F235B42EB3AA}"/>
    <hyperlink ref="C16" location="Planung!A1" display="Zentrale Planungsannahmen" xr:uid="{8F0C816C-A999-46BA-86DF-0A05F01C72FC}"/>
    <hyperlink ref="C17" location="'WC&amp;ND'!A1" display="Working Capital und Net Debt" xr:uid="{438103B9-C516-4614-BB73-89E1CF35C633}"/>
    <hyperlink ref="C18" location="'G&amp;V'!A1" display="G&amp;V Bereinigungen" xr:uid="{4A4B0BF8-BB14-4A9D-9D2A-242DB0087716}"/>
    <hyperlink ref="C20" location="Multiple!A1" display="Capital IQ Multiple Analyse" xr:uid="{F44350BB-C095-40FC-85B9-567A9F8E337C}"/>
    <hyperlink ref="C21" location="MultBew.!A1" display="Multiplikator Bewertung" xr:uid="{959CD269-FC53-4119-BA48-ABE393D2BE8B}"/>
    <hyperlink ref="C24" location="LBO!A1" display="Leveraged Buyout Bewertung" xr:uid="{6D6737C2-B1BB-4534-9B25-994238A1AAE3}"/>
    <hyperlink ref="C28" location="NYU!A1" display="NYU Stern Trading Multupls" xr:uid="{F5403A24-FECE-4F24-9DE7-96165DBA06C4}"/>
    <hyperlink ref="C31" location="Lang.!A1" display="Language Index Sheet" xr:uid="{D021A687-9BF7-4B39-B3C2-3111220BD5F6}"/>
    <hyperlink ref="C32" location="HS!A1" display="Helping Sheet" xr:uid="{964600F4-6636-4E71-B3DF-37427235C09A}"/>
    <hyperlink ref="C33" location="TCDL!A1" display="Think Cell Data Link" xr:uid="{A4B3A6A8-F00E-4910-B4DD-800A773F7D04}"/>
    <hyperlink ref="C27" location="Finance_Magazin!A1" display="FINANCE Multiples" xr:uid="{3A62F8F8-B04D-43DC-B281-49D959471C59}"/>
    <hyperlink ref="C23" location="EW!A1" display="Ertragswertverfahren" xr:uid="{0E6F5BDA-4991-4112-8298-35406CB9FFE9}"/>
    <hyperlink ref="C22" location="DCF!A1" display="Discounten Cashflow Verfahren" xr:uid="{0FA2D0C7-31CE-4A9F-929C-AB6DA05FA5AA}"/>
    <hyperlink ref="C26" location="'Multiples-Aggregation'!A1" display="Multiples Aggregation" xr:uid="{536C1241-72C4-431C-ACD7-1F9643F462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8" tint="-0.249977111117893"/>
    <pageSetUpPr fitToPage="1"/>
  </sheetPr>
  <dimension ref="B1:N60"/>
  <sheetViews>
    <sheetView workbookViewId="0">
      <selection activeCell="K12" sqref="K12"/>
    </sheetView>
  </sheetViews>
  <sheetFormatPr defaultColWidth="11.42578125" defaultRowHeight="12.75"/>
  <cols>
    <col min="1" max="1" width="5.7109375" style="151" customWidth="1"/>
    <col min="2" max="2" width="39.42578125" style="151" customWidth="1"/>
    <col min="3" max="3" width="50.42578125" style="151" customWidth="1"/>
    <col min="4" max="4" width="3.42578125" style="151" customWidth="1"/>
    <col min="5" max="6" width="25.42578125" style="151" bestFit="1" customWidth="1"/>
    <col min="7" max="7" width="3.42578125" style="151" customWidth="1"/>
    <col min="8" max="8" width="10.42578125" style="151" bestFit="1" customWidth="1"/>
    <col min="9" max="9" width="23.42578125" style="151" customWidth="1"/>
    <col min="10" max="10" width="17.42578125" style="151" customWidth="1"/>
    <col min="11" max="11" width="33.7109375" style="151" customWidth="1"/>
    <col min="12" max="16384" width="11.42578125" style="151"/>
  </cols>
  <sheetData>
    <row r="1" spans="2:14" ht="15" customHeight="1"/>
    <row r="2" spans="2:14" ht="18.75">
      <c r="B2" s="115" t="s">
        <v>10</v>
      </c>
    </row>
    <row r="4" spans="2:14">
      <c r="B4" s="1909" t="s">
        <v>60</v>
      </c>
      <c r="C4" s="1909"/>
      <c r="E4" s="1910" t="s">
        <v>61</v>
      </c>
      <c r="F4" s="1910"/>
      <c r="G4" s="152"/>
      <c r="H4" s="187" t="s">
        <v>62</v>
      </c>
      <c r="I4" s="187" t="s">
        <v>63</v>
      </c>
    </row>
    <row r="5" spans="2:14">
      <c r="B5" s="1909"/>
      <c r="C5" s="1909"/>
      <c r="E5" s="1910"/>
      <c r="F5" s="1910"/>
      <c r="G5" s="152"/>
      <c r="H5" s="188" t="s">
        <v>64</v>
      </c>
      <c r="I5" s="151" t="e" vm="2">
        <v>#VALUE!</v>
      </c>
      <c r="J5" s="1572"/>
      <c r="M5" s="166"/>
    </row>
    <row r="6" spans="2:14" ht="13.5" thickBot="1">
      <c r="B6" s="153"/>
      <c r="C6" s="153"/>
      <c r="E6" s="154" t="s">
        <v>65</v>
      </c>
      <c r="F6" s="182">
        <f ca="1">WORKDAY(TODAY(), -1)</f>
        <v>46038</v>
      </c>
      <c r="H6" s="188" t="s">
        <v>66</v>
      </c>
      <c r="I6" s="188" t="e" vm="3">
        <v>#VALUE!</v>
      </c>
      <c r="J6" s="188"/>
      <c r="M6" s="166"/>
    </row>
    <row r="7" spans="2:14" ht="13.5" thickBot="1">
      <c r="B7" s="151" t="s">
        <v>67</v>
      </c>
      <c r="C7" s="155" t="s">
        <v>68</v>
      </c>
      <c r="E7" s="154" t="s">
        <v>69</v>
      </c>
      <c r="F7" s="156" t="e" vm="2">
        <v>#VALUE!</v>
      </c>
      <c r="H7" s="188" t="s">
        <v>70</v>
      </c>
      <c r="I7" s="188" t="e" vm="4">
        <v>#VALUE!</v>
      </c>
      <c r="J7" s="188"/>
    </row>
    <row r="8" spans="2:14">
      <c r="B8" s="151" t="s">
        <v>71</v>
      </c>
      <c r="C8" s="157" t="s">
        <v>72</v>
      </c>
      <c r="E8" s="154" t="s">
        <v>73</v>
      </c>
      <c r="F8" s="158">
        <v>20</v>
      </c>
      <c r="H8" s="188" t="s">
        <v>74</v>
      </c>
      <c r="I8" s="151" t="e" vm="5">
        <v>#VALUE!</v>
      </c>
      <c r="J8" s="188"/>
      <c r="K8" s="116"/>
      <c r="L8" s="116"/>
      <c r="M8" s="116"/>
      <c r="N8" s="159"/>
    </row>
    <row r="9" spans="2:14" ht="13.5" thickBot="1">
      <c r="B9" s="151" t="s">
        <v>75</v>
      </c>
      <c r="C9" s="151" t="s">
        <v>76</v>
      </c>
      <c r="E9" s="154" t="s">
        <v>77</v>
      </c>
      <c r="F9" s="1554" cm="1" vm="6">
        <f t="array" aca="1" ref="F9" ca="1">IFERROR(IF(F7&lt;&gt;"",_xlfn.STOCKHISTORY(F7,F6,F6,1,0,1),""),"history to long")</f>
        <v>25286.240000000002</v>
      </c>
      <c r="J9" s="188"/>
      <c r="K9" s="116"/>
      <c r="L9" s="116"/>
      <c r="M9" s="116"/>
      <c r="N9" s="159"/>
    </row>
    <row r="10" spans="2:14" ht="13.5" thickBot="1">
      <c r="B10" s="151" t="s">
        <v>78</v>
      </c>
      <c r="C10" s="160" t="s">
        <v>79</v>
      </c>
      <c r="E10" s="183" t="str">
        <f>"Index t -"&amp;F8&amp;"y"</f>
        <v>Index t -20y</v>
      </c>
      <c r="F10" s="1554" t="str" cm="1">
        <f t="array" aca="1" ref="F10" ca="1">IFERROR(IF(F7&lt;&gt;"",_xlfn.STOCKHISTORY(F7,F15,F15,1,0,1),""),"history to long")</f>
        <v>history to long</v>
      </c>
      <c r="G10" s="116"/>
      <c r="J10" s="116"/>
      <c r="K10" s="116"/>
      <c r="L10" s="116"/>
      <c r="M10" s="116"/>
      <c r="N10" s="159"/>
    </row>
    <row r="11" spans="2:14">
      <c r="B11" s="151" t="s">
        <v>80</v>
      </c>
      <c r="C11" s="161" t="s">
        <v>81</v>
      </c>
      <c r="E11" s="154" t="s">
        <v>61</v>
      </c>
      <c r="F11" s="162">
        <v>8.14738194396607E-2</v>
      </c>
      <c r="G11" s="116"/>
      <c r="H11" s="116"/>
      <c r="J11" s="116"/>
      <c r="K11" s="116"/>
      <c r="L11" s="116"/>
      <c r="M11" s="116"/>
      <c r="N11" s="159"/>
    </row>
    <row r="12" spans="2:14">
      <c r="B12" s="151" t="s">
        <v>82</v>
      </c>
      <c r="C12" s="163">
        <v>2024</v>
      </c>
      <c r="L12" s="116"/>
      <c r="M12" s="116"/>
      <c r="N12" s="129"/>
    </row>
    <row r="13" spans="2:14">
      <c r="B13" s="151" t="s">
        <v>83</v>
      </c>
      <c r="C13" s="184">
        <f ca="1">TODAY()</f>
        <v>46040</v>
      </c>
      <c r="I13" s="116"/>
    </row>
    <row r="14" spans="2:14" ht="13.5" thickBot="1">
      <c r="B14" s="151" t="s">
        <v>84</v>
      </c>
      <c r="C14" s="157" t="s">
        <v>85</v>
      </c>
      <c r="F14" s="116"/>
      <c r="G14" s="116"/>
      <c r="H14" s="116"/>
      <c r="I14" s="116"/>
      <c r="J14" s="116"/>
      <c r="K14" s="116"/>
      <c r="L14" s="116"/>
      <c r="M14" s="116"/>
      <c r="N14" s="159"/>
    </row>
    <row r="15" spans="2:14" ht="13.5" thickBot="1">
      <c r="B15" s="151" t="s">
        <v>86</v>
      </c>
      <c r="C15" s="160" t="s">
        <v>87</v>
      </c>
      <c r="F15" s="1701">
        <f ca="1">WORKDAY(DATE(YEAR(F6)-F8, MONTH(F6), DAY(F6)), 0)</f>
        <v>38733</v>
      </c>
      <c r="G15" s="116"/>
      <c r="H15" s="116"/>
      <c r="I15" s="116"/>
      <c r="J15" s="116"/>
      <c r="K15" s="116"/>
      <c r="L15" s="116"/>
      <c r="M15" s="116"/>
      <c r="N15" s="159"/>
    </row>
    <row r="16" spans="2:14">
      <c r="F16" s="116"/>
      <c r="G16" s="116"/>
      <c r="H16" s="116"/>
      <c r="I16" s="116"/>
      <c r="J16" s="116"/>
      <c r="K16" s="116"/>
      <c r="L16" s="116"/>
      <c r="M16" s="116"/>
      <c r="N16" s="159"/>
    </row>
    <row r="17" spans="2:14">
      <c r="C17" s="157"/>
      <c r="G17" s="116"/>
      <c r="H17" s="116"/>
      <c r="I17" s="116"/>
      <c r="J17" s="116"/>
      <c r="K17" s="116"/>
      <c r="L17" s="116"/>
      <c r="M17" s="116"/>
      <c r="N17" s="159"/>
    </row>
    <row r="18" spans="2:14" ht="24" customHeight="1">
      <c r="B18" s="1910" t="s">
        <v>88</v>
      </c>
      <c r="C18" s="1910"/>
      <c r="E18" s="1912" t="s">
        <v>89</v>
      </c>
      <c r="F18" s="1913"/>
      <c r="G18" s="1913"/>
      <c r="H18" s="1913"/>
      <c r="I18" s="1913"/>
      <c r="J18" s="1914"/>
      <c r="L18" s="119"/>
      <c r="M18" s="116"/>
      <c r="N18" s="159"/>
    </row>
    <row r="19" spans="2:14" ht="13.5" thickBot="1">
      <c r="B19" s="116" t="s">
        <v>90</v>
      </c>
      <c r="C19" s="1573">
        <v>2.7E-2</v>
      </c>
      <c r="E19" s="1147"/>
      <c r="F19" s="1148"/>
      <c r="G19" s="1148"/>
      <c r="H19" s="1148"/>
      <c r="I19" s="1148"/>
      <c r="J19" s="1149"/>
      <c r="L19" s="119"/>
      <c r="M19" s="116"/>
      <c r="N19" s="159"/>
    </row>
    <row r="20" spans="2:14" ht="13.5" thickBot="1">
      <c r="B20" s="151" t="s">
        <v>91</v>
      </c>
      <c r="C20" s="165">
        <v>5</v>
      </c>
      <c r="D20" s="166"/>
      <c r="E20" s="1150" t="s">
        <v>92</v>
      </c>
      <c r="F20" s="1151"/>
      <c r="G20" s="1151"/>
      <c r="H20" s="1151"/>
      <c r="I20" s="1151"/>
      <c r="J20" s="1149"/>
      <c r="L20" s="119"/>
      <c r="M20" s="116"/>
      <c r="N20" s="159"/>
    </row>
    <row r="21" spans="2:14">
      <c r="B21" s="151" t="s">
        <v>93</v>
      </c>
      <c r="C21" s="185">
        <v>2.7E-2</v>
      </c>
      <c r="E21" s="1150" t="s">
        <v>94</v>
      </c>
      <c r="F21" s="1152"/>
      <c r="G21" s="1152"/>
      <c r="H21" s="1152"/>
      <c r="I21" s="1152"/>
      <c r="J21" s="1149"/>
      <c r="L21" s="119"/>
      <c r="M21" s="116"/>
      <c r="N21" s="159"/>
    </row>
    <row r="22" spans="2:14">
      <c r="B22" s="151" t="s">
        <v>95</v>
      </c>
      <c r="C22" s="186">
        <f>F11-C21</f>
        <v>5.4473819439660703E-2</v>
      </c>
      <c r="E22" s="1153" t="s">
        <v>96</v>
      </c>
      <c r="F22" s="1148"/>
      <c r="G22" s="1148"/>
      <c r="H22" s="1148"/>
      <c r="I22" s="1148"/>
      <c r="J22" s="1149"/>
      <c r="L22" s="119"/>
      <c r="M22" s="116"/>
      <c r="N22" s="159"/>
    </row>
    <row r="23" spans="2:14">
      <c r="B23" s="151" t="s">
        <v>97</v>
      </c>
      <c r="C23" s="167">
        <v>2.5000000000000001E-2</v>
      </c>
      <c r="E23" s="1154" t="s">
        <v>98</v>
      </c>
      <c r="F23" s="1148"/>
      <c r="G23" s="1148"/>
      <c r="H23" s="1148"/>
      <c r="I23" s="1148"/>
      <c r="J23" s="1149"/>
      <c r="L23" s="119"/>
      <c r="M23" s="116"/>
      <c r="N23" s="159"/>
    </row>
    <row r="24" spans="2:14">
      <c r="B24" s="151" t="s">
        <v>99</v>
      </c>
      <c r="C24" s="167">
        <v>0.3</v>
      </c>
      <c r="E24" s="1153" t="s">
        <v>100</v>
      </c>
      <c r="F24" s="1148"/>
      <c r="G24" s="1148"/>
      <c r="H24" s="1148"/>
      <c r="I24" s="1148"/>
      <c r="J24" s="1149"/>
      <c r="L24" s="119"/>
      <c r="M24" s="116"/>
      <c r="N24" s="159"/>
    </row>
    <row r="25" spans="2:14">
      <c r="C25" s="167"/>
      <c r="E25" s="1155" t="s">
        <v>101</v>
      </c>
      <c r="F25" s="1148"/>
      <c r="G25" s="1148"/>
      <c r="H25" s="1148"/>
      <c r="I25" s="1148"/>
      <c r="J25" s="1149"/>
      <c r="L25" s="119"/>
      <c r="M25" s="116"/>
      <c r="N25" s="159"/>
    </row>
    <row r="26" spans="2:14">
      <c r="B26" s="151" t="s">
        <v>102</v>
      </c>
      <c r="C26" s="168" t="s">
        <v>103</v>
      </c>
      <c r="E26" s="1156" t="s">
        <v>104</v>
      </c>
      <c r="F26" s="1157"/>
      <c r="G26" s="1157"/>
      <c r="H26" s="1157"/>
      <c r="I26" s="1157"/>
      <c r="J26" s="1149"/>
      <c r="L26" s="119"/>
      <c r="M26" s="116"/>
      <c r="N26" s="159"/>
    </row>
    <row r="27" spans="2:14">
      <c r="B27" s="169"/>
      <c r="C27" s="170"/>
      <c r="E27" s="1154" t="s">
        <v>105</v>
      </c>
      <c r="F27" s="1158"/>
      <c r="G27" s="1158"/>
      <c r="H27" s="1158"/>
      <c r="I27" s="1158"/>
      <c r="J27" s="1159"/>
      <c r="L27" s="803"/>
    </row>
    <row r="28" spans="2:14">
      <c r="C28" s="171"/>
      <c r="E28" s="1160" t="s">
        <v>106</v>
      </c>
      <c r="F28" s="1158"/>
      <c r="G28" s="1158"/>
      <c r="H28" s="1158"/>
      <c r="I28" s="1158"/>
      <c r="J28" s="1159"/>
      <c r="L28" s="803"/>
    </row>
    <row r="29" spans="2:14">
      <c r="B29" s="172"/>
      <c r="C29" s="164"/>
      <c r="E29" s="1155" t="s">
        <v>107</v>
      </c>
      <c r="F29" s="1158"/>
      <c r="G29" s="1158"/>
      <c r="H29" s="1158"/>
      <c r="I29" s="1158"/>
      <c r="J29" s="1159"/>
      <c r="L29" s="803"/>
    </row>
    <row r="30" spans="2:14">
      <c r="B30" s="172"/>
      <c r="C30" s="164"/>
      <c r="E30" s="1161"/>
      <c r="F30" s="1162"/>
      <c r="G30" s="1162"/>
      <c r="H30" s="1162"/>
      <c r="I30" s="1162"/>
      <c r="J30" s="1159"/>
      <c r="L30" s="803"/>
    </row>
    <row r="31" spans="2:14">
      <c r="B31" s="125"/>
      <c r="C31" s="164"/>
      <c r="E31" s="1163"/>
      <c r="F31" s="1164"/>
      <c r="G31" s="1164"/>
      <c r="H31" s="1164"/>
      <c r="I31" s="1164"/>
      <c r="J31" s="1165"/>
      <c r="L31" s="803"/>
    </row>
    <row r="32" spans="2:14">
      <c r="B32" s="173"/>
      <c r="C32" s="174"/>
      <c r="E32" s="804"/>
      <c r="F32" s="805"/>
      <c r="G32" s="803"/>
      <c r="H32" s="803"/>
      <c r="I32" s="803"/>
      <c r="J32" s="803"/>
      <c r="K32" s="803"/>
      <c r="L32" s="803"/>
    </row>
    <row r="33" spans="2:12">
      <c r="B33" s="173"/>
      <c r="C33" s="174"/>
      <c r="E33" s="804"/>
      <c r="F33" s="805"/>
      <c r="G33" s="803"/>
      <c r="H33" s="803"/>
      <c r="I33" s="803"/>
      <c r="J33" s="803"/>
      <c r="K33" s="803"/>
      <c r="L33" s="803"/>
    </row>
    <row r="34" spans="2:12" ht="28.5" customHeight="1">
      <c r="B34" s="1911" t="s">
        <v>108</v>
      </c>
      <c r="C34" s="1911"/>
      <c r="D34" s="1911"/>
      <c r="E34" s="1911"/>
      <c r="F34" s="1911"/>
      <c r="G34" s="1911"/>
      <c r="H34" s="807"/>
      <c r="I34" s="1908" t="s">
        <v>109</v>
      </c>
      <c r="J34" s="1908"/>
      <c r="K34" s="1473"/>
      <c r="L34" s="803"/>
    </row>
    <row r="35" spans="2:12">
      <c r="D35" s="116"/>
      <c r="E35" s="116"/>
      <c r="F35" s="116"/>
      <c r="G35" s="116"/>
      <c r="H35" s="803"/>
      <c r="I35" s="1473"/>
      <c r="J35" s="1473"/>
      <c r="K35" s="1473"/>
      <c r="L35" s="803"/>
    </row>
    <row r="36" spans="2:12" ht="13.5" thickBot="1">
      <c r="B36" s="833" t="s">
        <v>110</v>
      </c>
      <c r="C36" s="819"/>
      <c r="D36" s="175"/>
      <c r="E36" s="175"/>
      <c r="F36" s="175"/>
      <c r="G36" s="175"/>
      <c r="H36" s="803"/>
      <c r="I36" s="189" t="s">
        <v>111</v>
      </c>
      <c r="J36" s="1473"/>
      <c r="K36" s="1473"/>
      <c r="L36" s="803"/>
    </row>
    <row r="37" spans="2:12" ht="13.5" thickBot="1">
      <c r="B37" s="834" t="s">
        <v>112</v>
      </c>
      <c r="C37" s="820"/>
      <c r="D37" s="176"/>
      <c r="E37" s="176"/>
      <c r="F37" s="176"/>
      <c r="G37" s="176"/>
      <c r="H37" s="803"/>
      <c r="I37" s="803" t="s">
        <v>113</v>
      </c>
      <c r="J37" s="1474"/>
      <c r="K37" s="803"/>
      <c r="L37" s="803"/>
    </row>
    <row r="38" spans="2:12" ht="13.5" thickBot="1">
      <c r="B38" s="835" t="s">
        <v>114</v>
      </c>
      <c r="C38" s="821"/>
      <c r="D38" s="116"/>
      <c r="E38" s="116"/>
      <c r="F38" s="116"/>
      <c r="G38" s="116"/>
      <c r="H38" s="803"/>
      <c r="I38" s="803" t="s">
        <v>115</v>
      </c>
      <c r="J38" s="1475"/>
      <c r="L38" s="803"/>
    </row>
    <row r="39" spans="2:12" ht="13.5" thickBot="1">
      <c r="B39" s="836" t="s">
        <v>116</v>
      </c>
      <c r="C39" s="821"/>
      <c r="D39" s="116"/>
      <c r="E39" s="116"/>
      <c r="F39" s="116"/>
      <c r="G39" s="116"/>
      <c r="H39" s="803"/>
      <c r="I39" s="803" t="s">
        <v>117</v>
      </c>
      <c r="J39" s="1476"/>
      <c r="L39" s="803"/>
    </row>
    <row r="40" spans="2:12" ht="13.5" thickBot="1">
      <c r="B40" s="837" t="s">
        <v>118</v>
      </c>
      <c r="C40" s="821"/>
      <c r="D40" s="116"/>
      <c r="E40" s="116"/>
      <c r="F40" s="116"/>
      <c r="G40" s="116"/>
      <c r="H40" s="803"/>
      <c r="I40" s="803" t="s">
        <v>119</v>
      </c>
      <c r="J40" s="1477"/>
      <c r="L40" s="803"/>
    </row>
    <row r="41" spans="2:12" ht="13.5" thickBot="1">
      <c r="B41" s="1166" t="s">
        <v>120</v>
      </c>
      <c r="C41" s="821"/>
      <c r="D41" s="116"/>
      <c r="E41" s="116"/>
      <c r="F41" s="116"/>
      <c r="G41" s="116"/>
      <c r="H41" s="803"/>
      <c r="I41" s="803" t="s">
        <v>121</v>
      </c>
      <c r="J41" s="1478"/>
      <c r="K41" s="11"/>
      <c r="L41" s="803"/>
    </row>
    <row r="42" spans="2:12" ht="13.5" thickBot="1">
      <c r="B42" s="1166"/>
      <c r="C42" s="821"/>
      <c r="D42" s="116"/>
      <c r="E42" s="116"/>
      <c r="F42" s="116"/>
      <c r="G42" s="116"/>
      <c r="H42" s="803"/>
      <c r="I42" s="803" t="s">
        <v>122</v>
      </c>
      <c r="J42" s="1479"/>
      <c r="K42" s="11"/>
      <c r="L42" s="803"/>
    </row>
    <row r="43" spans="2:12">
      <c r="B43" s="801" t="s">
        <v>123</v>
      </c>
      <c r="C43" s="822"/>
      <c r="D43" s="811" t="s">
        <v>124</v>
      </c>
      <c r="E43" s="802"/>
      <c r="F43" s="802"/>
      <c r="G43" s="802"/>
      <c r="H43" s="803"/>
      <c r="I43" s="189"/>
      <c r="J43" s="11"/>
      <c r="K43" s="11"/>
      <c r="L43" s="803"/>
    </row>
    <row r="44" spans="2:12">
      <c r="B44" s="838" t="s">
        <v>125</v>
      </c>
      <c r="C44" s="823"/>
      <c r="D44" s="812" t="s">
        <v>126</v>
      </c>
      <c r="E44" s="177"/>
      <c r="F44" s="177"/>
      <c r="G44" s="177"/>
      <c r="H44" s="803"/>
      <c r="I44" s="1480" t="s">
        <v>127</v>
      </c>
      <c r="J44" s="11"/>
      <c r="K44" s="11"/>
      <c r="L44" s="803"/>
    </row>
    <row r="45" spans="2:12">
      <c r="B45" s="178" t="s">
        <v>128</v>
      </c>
      <c r="C45" s="824"/>
      <c r="D45" s="813" t="s">
        <v>129</v>
      </c>
      <c r="E45" s="178"/>
      <c r="F45" s="178"/>
      <c r="G45" s="178"/>
      <c r="H45" s="803"/>
      <c r="I45" s="1481" t="s">
        <v>130</v>
      </c>
      <c r="J45" s="11"/>
      <c r="K45" s="11"/>
      <c r="L45" s="803"/>
    </row>
    <row r="46" spans="2:12">
      <c r="B46" s="1470" t="s">
        <v>131</v>
      </c>
      <c r="C46" s="1471"/>
      <c r="D46" s="1472" t="s">
        <v>129</v>
      </c>
      <c r="E46" s="1470"/>
      <c r="F46" s="1470"/>
      <c r="G46" s="1470"/>
      <c r="I46" s="1481" t="s">
        <v>132</v>
      </c>
      <c r="J46" s="190"/>
      <c r="K46" s="11"/>
    </row>
    <row r="47" spans="2:12">
      <c r="B47" s="179" t="s">
        <v>133</v>
      </c>
      <c r="C47" s="825"/>
      <c r="D47" s="814" t="s">
        <v>124</v>
      </c>
      <c r="E47" s="179"/>
      <c r="F47" s="179"/>
      <c r="G47" s="179"/>
      <c r="I47" s="1481" t="s">
        <v>134</v>
      </c>
      <c r="J47" s="11"/>
      <c r="K47" s="11"/>
    </row>
    <row r="48" spans="2:12">
      <c r="B48" s="821"/>
      <c r="C48" s="821"/>
      <c r="J48" s="803"/>
    </row>
    <row r="49" spans="2:10">
      <c r="B49" s="830" t="s">
        <v>135</v>
      </c>
      <c r="C49" s="826" t="s">
        <v>136</v>
      </c>
      <c r="D49" s="806"/>
      <c r="E49" s="806"/>
      <c r="F49" s="806"/>
      <c r="G49" s="806"/>
    </row>
    <row r="50" spans="2:10" ht="38.25">
      <c r="B50" s="808" t="s">
        <v>137</v>
      </c>
      <c r="C50" s="827" t="s">
        <v>138</v>
      </c>
      <c r="D50" s="809"/>
      <c r="E50" s="809"/>
      <c r="F50" s="809"/>
      <c r="G50" s="809"/>
    </row>
    <row r="51" spans="2:10">
      <c r="B51" s="831"/>
      <c r="C51" s="828"/>
      <c r="D51" s="810"/>
      <c r="E51" s="810"/>
      <c r="F51" s="810"/>
      <c r="G51" s="810"/>
    </row>
    <row r="52" spans="2:10">
      <c r="B52" s="832"/>
      <c r="C52" s="829"/>
      <c r="D52" s="810"/>
      <c r="E52" s="810"/>
      <c r="F52" s="810"/>
      <c r="G52" s="810"/>
    </row>
    <row r="53" spans="2:10">
      <c r="B53" s="832"/>
      <c r="C53" s="829"/>
      <c r="D53" s="810"/>
      <c r="E53" s="810"/>
      <c r="F53" s="810"/>
      <c r="G53" s="810"/>
    </row>
    <row r="54" spans="2:10">
      <c r="B54" s="100"/>
      <c r="C54" s="100"/>
      <c r="D54" s="803"/>
      <c r="E54" s="803"/>
      <c r="F54" s="803"/>
      <c r="G54" s="803"/>
      <c r="H54" s="803"/>
    </row>
    <row r="55" spans="2:10">
      <c r="B55" s="100"/>
      <c r="C55" s="100"/>
      <c r="D55" s="803"/>
      <c r="E55" s="803"/>
      <c r="F55" s="803"/>
      <c r="G55" s="803"/>
      <c r="H55" s="803"/>
      <c r="J55" s="180"/>
    </row>
    <row r="56" spans="2:10" ht="14.25">
      <c r="B56" s="100"/>
      <c r="C56" s="100"/>
      <c r="D56" s="803"/>
      <c r="E56" s="803"/>
      <c r="F56" s="803"/>
      <c r="G56" s="803"/>
      <c r="H56" s="803"/>
      <c r="J56" s="181"/>
    </row>
    <row r="57" spans="2:10">
      <c r="B57" s="100"/>
      <c r="C57" s="100"/>
      <c r="D57" s="803"/>
      <c r="E57" s="803"/>
      <c r="F57" s="803"/>
      <c r="G57" s="803"/>
      <c r="H57" s="803"/>
    </row>
    <row r="58" spans="2:10">
      <c r="B58" s="166"/>
      <c r="C58" s="166"/>
    </row>
    <row r="59" spans="2:10">
      <c r="B59" s="166"/>
      <c r="C59" s="166"/>
    </row>
    <row r="60" spans="2:10">
      <c r="B60" s="166"/>
      <c r="C60" s="166"/>
    </row>
  </sheetData>
  <sheetProtection formatCells="0" insertRows="0" insertHyperlinks="0"/>
  <mergeCells count="6">
    <mergeCell ref="I34:J34"/>
    <mergeCell ref="B4:C5"/>
    <mergeCell ref="B18:C18"/>
    <mergeCell ref="E4:F5"/>
    <mergeCell ref="B34:G34"/>
    <mergeCell ref="E18:J18"/>
  </mergeCells>
  <phoneticPr fontId="6" type="noConversion"/>
  <dataValidations count="4">
    <dataValidation type="list" allowBlank="1" showInputMessage="1" showErrorMessage="1" sqref="C15" xr:uid="{9EA5BFBE-A6D4-4AA5-B279-9876C0939651}">
      <formula1>"Deutsch, Englisch"</formula1>
    </dataValidation>
    <dataValidation type="list" allowBlank="1" showInputMessage="1" showErrorMessage="1" sqref="C20" xr:uid="{70CF4C90-4187-462C-905F-D93D2026185F}">
      <formula1>"1,2,3,4,5,6,7,8,9,10"</formula1>
    </dataValidation>
    <dataValidation type="list" allowBlank="1" showInputMessage="1" showErrorMessage="1" sqref="C10" xr:uid="{89EBFDBB-5EBB-4459-8C18-10645726B64E}">
      <formula1>"Gesamtkostenverfahren, Umsatzkostenverfahren"</formula1>
    </dataValidation>
    <dataValidation type="list" allowBlank="1" showInputMessage="1" showErrorMessage="1" sqref="F7" xr:uid="{8E99F499-B3A9-4730-BAEA-BAB2E3C51BD7}">
      <formula1>$I$5:$I$8</formula1>
    </dataValidation>
  </dataValidations>
  <hyperlinks>
    <hyperlink ref="C19" r:id="rId1" display="https://www.marketwatch.com/investing/Bond/TMBMKDE-30Y?countryCode=BX" xr:uid="{77893B9C-CBAA-7143-B6C0-C304AD9D0938}"/>
  </hyperlinks>
  <printOptions horizontalCentered="1"/>
  <pageMargins left="0.23622047244094491" right="0.23622047244094491" top="0.74803149606299213" bottom="0.74803149606299213" header="0.31496062992125984" footer="0.31496062992125984"/>
  <pageSetup paperSize="9" orientation="portrait" cellComments="asDisplayed"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55" r:id="rId5" name="Button 7">
              <controlPr defaultSize="0" print="0" autoFill="0" autoPict="0" macro="[0]!Tabelle1.HideAllGridlines">
                <anchor moveWithCells="1" sizeWithCells="1">
                  <from>
                    <xdr:col>0</xdr:col>
                    <xdr:colOff>171450</xdr:colOff>
                    <xdr:row>27</xdr:row>
                    <xdr:rowOff>57150</xdr:rowOff>
                  </from>
                  <to>
                    <xdr:col>3</xdr:col>
                    <xdr:colOff>0</xdr:colOff>
                    <xdr:row>29</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Tabelle1.Update_Marketreturn_Click">
                <anchor moveWithCells="1" sizeWithCells="1">
                  <from>
                    <xdr:col>5</xdr:col>
                    <xdr:colOff>0</xdr:colOff>
                    <xdr:row>11</xdr:row>
                    <xdr:rowOff>133350</xdr:rowOff>
                  </from>
                  <to>
                    <xdr:col>6</xdr:col>
                    <xdr:colOff>0</xdr:colOff>
                    <xdr:row>14</xdr:row>
                    <xdr:rowOff>19050</xdr:rowOff>
                  </to>
                </anchor>
              </controlPr>
            </control>
          </mc:Choice>
        </mc:AlternateContent>
        <mc:AlternateContent xmlns:mc="http://schemas.openxmlformats.org/markup-compatibility/2006">
          <mc:Choice Requires="x14">
            <control shapeId="2058" r:id="rId7" name="Button 10">
              <controlPr defaultSize="0" print="0" autoFill="0" autoPict="0" macro="[0]!Tabelle1.Update_Riskfreerate">
                <anchor moveWithCells="1" sizeWithCells="1">
                  <from>
                    <xdr:col>2</xdr:col>
                    <xdr:colOff>1047750</xdr:colOff>
                    <xdr:row>20</xdr:row>
                    <xdr:rowOff>19050</xdr:rowOff>
                  </from>
                  <to>
                    <xdr:col>3</xdr:col>
                    <xdr:colOff>19050</xdr:colOff>
                    <xdr:row>21</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22BD-9B57-394E-A7F3-DA5FB4454E90}">
  <sheetPr codeName="Tabelle11">
    <tabColor theme="0" tint="-0.499984740745262"/>
    <pageSetUpPr fitToPage="1"/>
  </sheetPr>
  <dimension ref="A1:V248"/>
  <sheetViews>
    <sheetView workbookViewId="0"/>
  </sheetViews>
  <sheetFormatPr defaultColWidth="11.42578125" defaultRowHeight="12.75"/>
  <cols>
    <col min="1" max="1" width="5.7109375" style="116" customWidth="1"/>
    <col min="2" max="2" width="24.140625" style="116" customWidth="1"/>
    <col min="3" max="17" width="11.42578125" style="116" customWidth="1"/>
    <col min="18" max="18" width="20.42578125" style="116" customWidth="1"/>
    <col min="19" max="16384" width="11.42578125" style="116"/>
  </cols>
  <sheetData>
    <row r="1" spans="2:19" ht="15" customHeight="1"/>
    <row r="2" spans="2:19" ht="18.75">
      <c r="B2" s="115" t="s">
        <v>12</v>
      </c>
    </row>
    <row r="4" spans="2:19" ht="22.5" customHeight="1">
      <c r="B4" s="1915" t="s">
        <v>139</v>
      </c>
      <c r="C4" s="1915"/>
      <c r="D4" s="1915"/>
      <c r="E4" s="1915"/>
      <c r="F4" s="1915"/>
      <c r="G4" s="1915"/>
      <c r="H4" s="1915"/>
      <c r="I4" s="1915"/>
      <c r="J4" s="1915"/>
      <c r="K4" s="1915"/>
      <c r="L4" s="1915"/>
      <c r="M4" s="1915"/>
      <c r="N4" s="1915"/>
      <c r="O4" s="1915"/>
      <c r="P4" s="1915"/>
      <c r="Q4" s="1915"/>
      <c r="R4" s="1915"/>
      <c r="S4" s="117"/>
    </row>
    <row r="6" spans="2:19" ht="18.75" customHeight="1">
      <c r="B6" s="1916" t="s">
        <v>140</v>
      </c>
      <c r="C6" s="1916"/>
      <c r="D6" s="1916"/>
      <c r="E6" s="1916"/>
      <c r="F6" s="1916"/>
      <c r="G6" s="1916"/>
      <c r="H6" s="1916"/>
      <c r="I6" s="1916"/>
      <c r="J6" s="1916"/>
      <c r="K6" s="1916"/>
      <c r="L6" s="1916"/>
      <c r="M6" s="1916"/>
      <c r="N6" s="1916"/>
      <c r="O6" s="1916"/>
      <c r="P6" s="1916"/>
      <c r="Q6" s="1916"/>
      <c r="R6" s="1916"/>
    </row>
    <row r="8" spans="2:19" ht="11.25" customHeight="1">
      <c r="B8" s="1504" t="s">
        <v>141</v>
      </c>
      <c r="C8" s="1500" t="s">
        <v>142</v>
      </c>
      <c r="D8" s="1501" t="s">
        <v>143</v>
      </c>
      <c r="E8" s="1500" t="s">
        <v>144</v>
      </c>
      <c r="F8" s="1501" t="s">
        <v>145</v>
      </c>
      <c r="G8" s="1501" t="s">
        <v>146</v>
      </c>
      <c r="H8" s="1491" t="s">
        <v>147</v>
      </c>
      <c r="I8" s="1370"/>
      <c r="J8" s="1370"/>
      <c r="K8" s="1371" t="s">
        <v>148</v>
      </c>
      <c r="L8" s="1372"/>
      <c r="M8" s="1372"/>
      <c r="N8" s="1372"/>
      <c r="O8" s="1372"/>
      <c r="P8" s="1372"/>
      <c r="Q8" s="1372"/>
      <c r="R8" s="1372"/>
    </row>
    <row r="9" spans="2:19" ht="11.25" customHeight="1">
      <c r="B9" s="1369" t="str">
        <f>"Public Comps (Discount = "&amp;H9&amp;" )"</f>
        <v>Public Comps (Discount = 0.2 )</v>
      </c>
      <c r="C9" s="1373" cm="1">
        <f t="array" aca="1" ref="C9" ca="1">AVERAGE(IF(ISNUMBER(MultBew.!AF$7:AF$9),MultBew.!AF$7:AF$9))/1000*(1-H9)</f>
        <v>0</v>
      </c>
      <c r="D9" s="1373" t="e" cm="1">
        <f t="array" aca="1" ref="D9" ca="1">AVERAGE(IF(ISNUMBER(MultBew.!AG$7:AG$9),MultBew.!AG$7:AG$9))/1000*(1-H9)</f>
        <v>#DIV/0!</v>
      </c>
      <c r="E9" s="1373" t="e" cm="1">
        <f t="array" aca="1" ref="E9" ca="1">AVERAGE(IF(ISNUMBER(MultBew.!AH$7:AH$9),MultBew.!AH$7:AH$9))/1000*(1-H9)</f>
        <v>#DIV/0!</v>
      </c>
      <c r="F9" s="1373" t="e" cm="1">
        <f t="array" aca="1" ref="F9" ca="1">AVERAGE(IF(ISNUMBER(MultBew.!AI$7:AI$9),MultBew.!AI$7:AI$9))/1000*(1-H9)</f>
        <v>#DIV/0!</v>
      </c>
      <c r="G9" s="1373" cm="1">
        <f t="array" aca="1" ref="G9" ca="1">AVERAGE(IF(ISNUMBER(MultBew.!AJ$7:AJ$9),MultBew.!AJ$7:AJ$9))/1000*(1-H9)</f>
        <v>0</v>
      </c>
      <c r="H9" s="1374">
        <v>0.2</v>
      </c>
      <c r="I9" s="1375"/>
      <c r="J9" s="1372"/>
      <c r="K9" s="1372"/>
      <c r="L9" s="1372"/>
      <c r="M9" s="1372"/>
      <c r="N9" s="1372"/>
      <c r="O9" s="1372"/>
      <c r="P9" s="1372"/>
      <c r="Q9" s="1372"/>
      <c r="R9" s="1372"/>
    </row>
    <row r="10" spans="2:19" ht="11.25" customHeight="1">
      <c r="B10" s="1369" t="str">
        <f>"Transactions (Discount = "&amp;H10&amp;" )"</f>
        <v>Transactions (Discount = 0.2 )</v>
      </c>
      <c r="C10" s="1373" cm="1">
        <f t="array" ref="C10">AVERAGE(IF(ISNUMBER(MultBew.!AF$11:AF$13),MultBew.!AF$11:AF$13))/1000*(1-H10)</f>
        <v>1547.8986060790905</v>
      </c>
      <c r="D10" s="1373" cm="1">
        <f t="array" ref="D10">AVERAGE(IF(ISNUMBER(MultBew.!AG$11:AG$13),MultBew.!AG$11:AG$13))/1000*(1-H10)</f>
        <v>4069.786757391214</v>
      </c>
      <c r="E10" s="1373" cm="1">
        <f t="array" ref="E10">AVERAGE(IF(ISNUMBER(MultBew.!AH$11:AH$13),MultBew.!AH$11:AH$13))/1000*(1-H10)</f>
        <v>8044.8511531172671</v>
      </c>
      <c r="F10" s="1373" cm="1">
        <f t="array" ref="F10">AVERAGE(IF(ISNUMBER(MultBew.!AI$11:AI$13),MultBew.!AI$11:AI$13))/1000*(1-H10)</f>
        <v>9979.057406764241</v>
      </c>
      <c r="G10" s="1373" cm="1">
        <f t="array" ref="G10">AVERAGE(IF(ISNUMBER(MultBew.!AJ$11:AJ$13),MultBew.!AJ$11:AJ$13))/1000*(1-H10)</f>
        <v>60936.586076863045</v>
      </c>
      <c r="H10" s="1374">
        <v>0.2</v>
      </c>
      <c r="I10" s="1375"/>
      <c r="J10" s="1372"/>
      <c r="K10" s="1372"/>
      <c r="L10" s="1372"/>
      <c r="M10" s="1372"/>
      <c r="N10" s="1372"/>
      <c r="O10" s="1372"/>
      <c r="P10" s="1372"/>
      <c r="Q10" s="1372"/>
      <c r="R10" s="1372"/>
    </row>
    <row r="11" spans="2:19" ht="11.25" customHeight="1">
      <c r="B11" s="1369" t="str">
        <f>"Database (Discount = "&amp;H11&amp;" )"</f>
        <v>Database (Discount = 0.1 )</v>
      </c>
      <c r="C11" s="1373" cm="1">
        <f t="array" ref="C11">AVERAGE(IF(ISNUMBER(MultBew.!AF$17:AF$19),MultBew.!AF$17:AF$19))/1000*(1-H11)</f>
        <v>5664.9089370488055</v>
      </c>
      <c r="D11" s="1376" t="s">
        <v>149</v>
      </c>
      <c r="E11" s="1373" cm="1">
        <f t="array" ref="E11">AVERAGE(IF(ISNUMBER(MultBew.!AH$17:AH$19),MultBew.!AH$17:AH$19))/1000*(1-H11)</f>
        <v>10060.107983795628</v>
      </c>
      <c r="F11" s="1376" t="s">
        <v>149</v>
      </c>
      <c r="G11" s="1373" cm="1">
        <f t="array" ref="G11">AVERAGE(IF(ISNUMBER(MultBew.!AJ$17:AJ$19),MultBew.!AJ$17:AJ$19))/1000*(1-H11)</f>
        <v>8632.5486557226031</v>
      </c>
      <c r="H11" s="1374">
        <v>0.1</v>
      </c>
      <c r="I11" s="1375"/>
      <c r="J11" s="1372"/>
      <c r="K11" s="1372"/>
      <c r="L11" s="1372"/>
      <c r="M11" s="1372"/>
      <c r="N11" s="1372"/>
      <c r="O11" s="1372"/>
      <c r="P11" s="1372"/>
      <c r="Q11" s="1372"/>
      <c r="R11" s="1372"/>
    </row>
    <row r="12" spans="2:19" ht="11.25" customHeight="1">
      <c r="B12" s="1369" t="s">
        <v>150</v>
      </c>
      <c r="C12" s="1373" t="e">
        <f ca="1">MIN(DCF!$AE$14:$AI$18)/1000*(1-H12)</f>
        <v>#VALUE!</v>
      </c>
      <c r="D12" s="1373" t="e">
        <f ca="1">_xlfn.QUARTILE.EXC(DCF!$AE$14:$AI$18,1)/1000*(1-H12)</f>
        <v>#VALUE!</v>
      </c>
      <c r="E12" s="1373" t="e">
        <f ca="1">MEDIAN(DCF!$AE$14:$AI$18)/1000*(1-H12)</f>
        <v>#VALUE!</v>
      </c>
      <c r="F12" s="1373" t="e">
        <f ca="1">_xlfn.QUARTILE.EXC(DCF!$AE$14:$AI$18,3)/1000*(1-H12)</f>
        <v>#VALUE!</v>
      </c>
      <c r="G12" s="1373" t="e">
        <f ca="1">MAX(DCF!$AE$14:$AI$18)/1000*(1-H12)</f>
        <v>#VALUE!</v>
      </c>
      <c r="H12" s="1377">
        <v>0</v>
      </c>
      <c r="I12" s="1375"/>
      <c r="J12" s="1372"/>
      <c r="K12" s="1372"/>
      <c r="L12" s="1372"/>
      <c r="M12" s="1372"/>
      <c r="N12" s="1372"/>
      <c r="O12" s="1372"/>
      <c r="P12" s="1372"/>
      <c r="Q12" s="1372"/>
      <c r="R12" s="1372"/>
    </row>
    <row r="13" spans="2:19" ht="11.25" customHeight="1">
      <c r="B13" s="1369" t="s">
        <v>151</v>
      </c>
      <c r="C13" s="1373" t="e">
        <f ca="1">MIN(DCF!$AE$28:$AI$32)/1000*(1-H13)</f>
        <v>#VALUE!</v>
      </c>
      <c r="D13" s="1373" t="e">
        <f ca="1">_xlfn.QUARTILE.EXC(DCF!$AE$28:$AI$32,1)/1000*(1-H13)</f>
        <v>#VALUE!</v>
      </c>
      <c r="E13" s="1373" t="e">
        <f ca="1">MEDIAN(DCF!$AE$28:$AI$32)/1000*(1-H13)</f>
        <v>#VALUE!</v>
      </c>
      <c r="F13" s="1373" t="e">
        <f ca="1">_xlfn.QUARTILE.EXC(DCF!$AE$28:$AI$32,3)/1000*(1-H13)</f>
        <v>#VALUE!</v>
      </c>
      <c r="G13" s="1373" t="e">
        <f ca="1">MAX(DCF!$AE$28:$AI$32)/1000*(1-H13)</f>
        <v>#VALUE!</v>
      </c>
      <c r="H13" s="1377">
        <v>0</v>
      </c>
      <c r="I13" s="1375"/>
      <c r="J13" s="1372"/>
      <c r="K13" s="1372"/>
      <c r="L13" s="1372"/>
      <c r="M13" s="1372"/>
      <c r="N13" s="1372"/>
      <c r="O13" s="1372"/>
      <c r="P13" s="1372"/>
      <c r="Q13" s="1372"/>
      <c r="R13" s="1372"/>
    </row>
    <row r="14" spans="2:19" ht="11.25" customHeight="1">
      <c r="B14" s="1369" t="s">
        <v>152</v>
      </c>
      <c r="C14" s="1373" t="e">
        <f ca="1">MIN(DCF!$AE$42:$AI$46)/1000*(1-H14)</f>
        <v>#VALUE!</v>
      </c>
      <c r="D14" s="1373" t="e">
        <f ca="1">_xlfn.QUARTILE.EXC(DCF!$AE$42:$AI$46,1)/1000*(1-H14)</f>
        <v>#VALUE!</v>
      </c>
      <c r="E14" s="1373" t="e">
        <f ca="1">MEDIAN(DCF!$AE$42:$AI$46)/1000*(1-H14)</f>
        <v>#VALUE!</v>
      </c>
      <c r="F14" s="1373" t="e">
        <f ca="1">_xlfn.QUARTILE.EXC(DCF!$AE$42:$AI$46,3)/1000*(1-H14)</f>
        <v>#VALUE!</v>
      </c>
      <c r="G14" s="1373" t="e">
        <f ca="1">MAX(DCF!$AE$42:$AI$46)/1000*(1-H14)</f>
        <v>#VALUE!</v>
      </c>
      <c r="H14" s="1377">
        <v>0</v>
      </c>
      <c r="I14" s="1375"/>
      <c r="J14" s="1372"/>
      <c r="K14" s="1372"/>
      <c r="L14" s="1372"/>
      <c r="M14" s="1372"/>
      <c r="N14" s="1372"/>
      <c r="O14" s="1372"/>
      <c r="P14" s="1372"/>
      <c r="Q14" s="1372"/>
      <c r="R14" s="1372"/>
    </row>
    <row r="15" spans="2:19" ht="11.25" customHeight="1">
      <c r="B15" s="1369" t="str">
        <f>EW!B2</f>
        <v>Ertragswertverfahren (vereinf.)</v>
      </c>
      <c r="C15" s="1373" t="e">
        <f ca="1">EW!G30/1000*(1-H15)</f>
        <v>#REF!</v>
      </c>
      <c r="D15" s="1373" t="e">
        <f ca="1">EW!G31/1000*(1-H15)</f>
        <v>#REF!</v>
      </c>
      <c r="E15" s="1373" t="e">
        <f ca="1">EW!G32/1000*(1-H15)</f>
        <v>#REF!</v>
      </c>
      <c r="F15" s="1373" t="e">
        <f ca="1">EW!G33/1000*(1-H15)</f>
        <v>#REF!</v>
      </c>
      <c r="G15" s="1373" t="e">
        <f ca="1">EW!G34/1000*(1-H15)</f>
        <v>#REF!</v>
      </c>
      <c r="H15" s="1377">
        <v>0</v>
      </c>
      <c r="I15" s="1375"/>
      <c r="J15" s="1372"/>
      <c r="K15" s="1372"/>
      <c r="L15" s="1372"/>
      <c r="M15" s="1372"/>
      <c r="N15" s="1372"/>
      <c r="O15" s="1372"/>
      <c r="P15" s="1372"/>
      <c r="Q15" s="1372"/>
      <c r="R15" s="1372"/>
    </row>
    <row r="16" spans="2:19" ht="11.25" customHeight="1">
      <c r="B16" s="1502" t="s">
        <v>144</v>
      </c>
      <c r="C16" s="1378" cm="1">
        <f t="array" aca="1" ref="C16" ca="1">MEDIAN(IF(ISNUMBER(C9:C15),C9:C15))</f>
        <v>1547.8986060790905</v>
      </c>
      <c r="D16" s="1378" cm="1">
        <f t="array" aca="1" ref="D16" ca="1">MEDIAN(IF(ISNUMBER(D9:D15),D9:D15))</f>
        <v>4069.786757391214</v>
      </c>
      <c r="E16" s="1378" cm="1">
        <f t="array" aca="1" ref="E16" ca="1">MEDIAN(IF(ISNUMBER(E9:E15),E9:E15))</f>
        <v>9052.4795684564469</v>
      </c>
      <c r="F16" s="1378" cm="1">
        <f t="array" aca="1" ref="F16" ca="1">MEDIAN(IF(ISNUMBER(F9:F15),F9:F15))</f>
        <v>9979.057406764241</v>
      </c>
      <c r="G16" s="1378" cm="1">
        <f t="array" aca="1" ref="G16" ca="1">MEDIAN(IF(ISNUMBER(G9:G15),G9:G15))</f>
        <v>8632.5486557226031</v>
      </c>
      <c r="H16" s="1379"/>
      <c r="I16" s="1375"/>
      <c r="J16" s="1372"/>
      <c r="K16" s="1372"/>
      <c r="L16" s="1372"/>
      <c r="M16" s="1372"/>
      <c r="N16" s="1372"/>
      <c r="O16" s="1372"/>
      <c r="P16" s="1372"/>
      <c r="Q16" s="1372"/>
      <c r="R16" s="1372"/>
    </row>
    <row r="17" spans="2:18" ht="9.75" customHeight="1">
      <c r="B17" s="1372"/>
      <c r="C17" s="1380"/>
      <c r="D17" s="1380"/>
      <c r="E17" s="1380"/>
      <c r="F17" s="1380"/>
      <c r="G17" s="1380"/>
      <c r="H17" s="1380"/>
      <c r="I17" s="1375"/>
      <c r="J17" s="1372"/>
      <c r="K17" s="1372"/>
      <c r="L17" s="1372"/>
      <c r="M17" s="1372"/>
      <c r="N17" s="1372"/>
      <c r="O17" s="1372"/>
      <c r="P17" s="1372"/>
      <c r="Q17" s="1372"/>
      <c r="R17" s="1372"/>
    </row>
    <row r="18" spans="2:18" ht="10.5" customHeight="1">
      <c r="B18" s="1504" t="s">
        <v>153</v>
      </c>
      <c r="C18" s="1500" t="s">
        <v>142</v>
      </c>
      <c r="D18" s="1501" t="s">
        <v>143</v>
      </c>
      <c r="E18" s="1500" t="s">
        <v>144</v>
      </c>
      <c r="F18" s="1501" t="s">
        <v>145</v>
      </c>
      <c r="G18" s="1501" t="s">
        <v>146</v>
      </c>
      <c r="H18" s="1491" t="s">
        <v>147</v>
      </c>
      <c r="I18" s="1370"/>
      <c r="J18" s="1372"/>
      <c r="K18" s="1372"/>
      <c r="L18" s="1372"/>
      <c r="M18" s="1372"/>
      <c r="N18" s="1372"/>
      <c r="O18" s="1372"/>
      <c r="P18" s="1372"/>
      <c r="Q18" s="1372"/>
      <c r="R18" s="1372"/>
    </row>
    <row r="19" spans="2:18" ht="10.5" customHeight="1">
      <c r="B19" s="1369" t="str">
        <f>B9</f>
        <v>Public Comps (Discount = 0.2 )</v>
      </c>
      <c r="C19" s="1539" t="str">
        <f ca="1">IFERROR(C9+$E$28,"NA")</f>
        <v>NA</v>
      </c>
      <c r="D19" s="1503" t="str">
        <f t="shared" ref="D19:G19" ca="1" si="0">IFERROR(D9+$E$28,"NA")</f>
        <v>NA</v>
      </c>
      <c r="E19" s="1503" t="str">
        <f t="shared" ca="1" si="0"/>
        <v>NA</v>
      </c>
      <c r="F19" s="1503" t="str">
        <f t="shared" ca="1" si="0"/>
        <v>NA</v>
      </c>
      <c r="G19" s="1503" t="str">
        <f t="shared" ca="1" si="0"/>
        <v>NA</v>
      </c>
      <c r="H19" s="1377">
        <f>H9</f>
        <v>0.2</v>
      </c>
      <c r="I19" s="1372"/>
      <c r="J19" s="1372"/>
      <c r="K19" s="1372"/>
      <c r="L19" s="1372"/>
      <c r="M19" s="1372"/>
      <c r="N19" s="1372"/>
      <c r="O19" s="1372"/>
      <c r="P19" s="1372"/>
      <c r="Q19" s="1372"/>
      <c r="R19" s="1372"/>
    </row>
    <row r="20" spans="2:18" ht="10.5" customHeight="1">
      <c r="B20" s="1369" t="str">
        <f t="shared" ref="B20:B26" si="1">B10</f>
        <v>Transactions (Discount = 0.2 )</v>
      </c>
      <c r="C20" s="1503" t="str">
        <f t="shared" ref="C20:C25" si="2">IFERROR(C10+$E$28,"NA")</f>
        <v>NA</v>
      </c>
      <c r="D20" s="1381" t="str">
        <f t="shared" ref="D20:G20" si="3">IFERROR(D10+$E$28,"NA")</f>
        <v>NA</v>
      </c>
      <c r="E20" s="1381" t="str">
        <f t="shared" si="3"/>
        <v>NA</v>
      </c>
      <c r="F20" s="1381" t="str">
        <f t="shared" si="3"/>
        <v>NA</v>
      </c>
      <c r="G20" s="1381" t="str">
        <f t="shared" si="3"/>
        <v>NA</v>
      </c>
      <c r="H20" s="1377">
        <f t="shared" ref="H20:H25" si="4">H10</f>
        <v>0.2</v>
      </c>
      <c r="I20" s="1372"/>
      <c r="J20" s="1372"/>
      <c r="K20" s="1372"/>
      <c r="L20" s="1372"/>
      <c r="M20" s="1372"/>
      <c r="N20" s="1372"/>
      <c r="O20" s="1372"/>
      <c r="P20" s="1372"/>
      <c r="Q20" s="1372"/>
      <c r="R20" s="1372"/>
    </row>
    <row r="21" spans="2:18" ht="10.5" customHeight="1">
      <c r="B21" s="1369" t="str">
        <f t="shared" si="1"/>
        <v>Database (Discount = 0.1 )</v>
      </c>
      <c r="C21" s="1503" t="str">
        <f t="shared" si="2"/>
        <v>NA</v>
      </c>
      <c r="D21" s="1382" t="str">
        <f t="shared" ref="D21:G21" si="5">IFERROR(D11+$E$28,"NA")</f>
        <v>NA</v>
      </c>
      <c r="E21" s="1381" t="str">
        <f t="shared" si="5"/>
        <v>NA</v>
      </c>
      <c r="F21" s="1382" t="str">
        <f t="shared" si="5"/>
        <v>NA</v>
      </c>
      <c r="G21" s="1381" t="str">
        <f t="shared" si="5"/>
        <v>NA</v>
      </c>
      <c r="H21" s="1377">
        <f t="shared" si="4"/>
        <v>0.1</v>
      </c>
      <c r="I21" s="1372"/>
      <c r="J21" s="1372"/>
      <c r="K21" s="1372"/>
      <c r="L21" s="1372"/>
      <c r="M21" s="1372"/>
      <c r="N21" s="1372"/>
      <c r="O21" s="1372"/>
      <c r="P21" s="1372"/>
      <c r="Q21" s="1372"/>
      <c r="R21" s="1372"/>
    </row>
    <row r="22" spans="2:18" ht="10.5" customHeight="1">
      <c r="B22" s="1369" t="str">
        <f t="shared" si="1"/>
        <v>DCF (Growth)</v>
      </c>
      <c r="C22" s="1503" t="str">
        <f t="shared" ca="1" si="2"/>
        <v>NA</v>
      </c>
      <c r="D22" s="1381" t="str">
        <f t="shared" ref="D22:G22" ca="1" si="6">IFERROR(D12+$E$28,"NA")</f>
        <v>NA</v>
      </c>
      <c r="E22" s="1381" t="str">
        <f t="shared" ca="1" si="6"/>
        <v>NA</v>
      </c>
      <c r="F22" s="1381" t="str">
        <f t="shared" ca="1" si="6"/>
        <v>NA</v>
      </c>
      <c r="G22" s="1381" t="str">
        <f t="shared" ca="1" si="6"/>
        <v>NA</v>
      </c>
      <c r="H22" s="1377">
        <f t="shared" si="4"/>
        <v>0</v>
      </c>
      <c r="I22" s="1372"/>
      <c r="J22" s="1372"/>
      <c r="K22" s="1372"/>
      <c r="L22" s="1372"/>
      <c r="M22" s="1372"/>
      <c r="N22" s="1372"/>
      <c r="O22" s="1372"/>
      <c r="P22" s="1372"/>
      <c r="Q22" s="1372"/>
      <c r="R22" s="1372"/>
    </row>
    <row r="23" spans="2:18" ht="10.5" customHeight="1">
      <c r="B23" s="1369" t="str">
        <f t="shared" si="1"/>
        <v>DCF (Multiple EBITDA)</v>
      </c>
      <c r="C23" s="1503" t="str">
        <f t="shared" ca="1" si="2"/>
        <v>NA</v>
      </c>
      <c r="D23" s="1381" t="str">
        <f t="shared" ref="D23:G23" ca="1" si="7">IFERROR(D13+$E$28,"NA")</f>
        <v>NA</v>
      </c>
      <c r="E23" s="1381" t="str">
        <f t="shared" ca="1" si="7"/>
        <v>NA</v>
      </c>
      <c r="F23" s="1381" t="str">
        <f t="shared" ca="1" si="7"/>
        <v>NA</v>
      </c>
      <c r="G23" s="1381" t="str">
        <f t="shared" ca="1" si="7"/>
        <v>NA</v>
      </c>
      <c r="H23" s="1377">
        <f t="shared" si="4"/>
        <v>0</v>
      </c>
      <c r="I23" s="1372"/>
      <c r="J23" s="1372"/>
      <c r="K23" s="1372"/>
      <c r="L23" s="1372"/>
      <c r="M23" s="1372"/>
      <c r="N23" s="1372"/>
      <c r="O23" s="1372"/>
      <c r="P23" s="1372"/>
      <c r="Q23" s="1372"/>
      <c r="R23" s="1372"/>
    </row>
    <row r="24" spans="2:18" ht="10.5" customHeight="1">
      <c r="B24" s="1369" t="str">
        <f t="shared" si="1"/>
        <v>DCF (Multiple EBIT)</v>
      </c>
      <c r="C24" s="1503" t="str">
        <f t="shared" ca="1" si="2"/>
        <v>NA</v>
      </c>
      <c r="D24" s="1381" t="str">
        <f t="shared" ref="D24:G24" ca="1" si="8">IFERROR(D14+$E$28,"NA")</f>
        <v>NA</v>
      </c>
      <c r="E24" s="1381" t="str">
        <f t="shared" ca="1" si="8"/>
        <v>NA</v>
      </c>
      <c r="F24" s="1381" t="str">
        <f t="shared" ca="1" si="8"/>
        <v>NA</v>
      </c>
      <c r="G24" s="1381" t="str">
        <f t="shared" ca="1" si="8"/>
        <v>NA</v>
      </c>
      <c r="H24" s="1377">
        <f t="shared" si="4"/>
        <v>0</v>
      </c>
      <c r="I24" s="1372"/>
      <c r="J24" s="1372"/>
      <c r="K24" s="1372"/>
      <c r="L24" s="1372"/>
      <c r="M24" s="1372"/>
      <c r="N24" s="1372"/>
      <c r="O24" s="1372"/>
      <c r="P24" s="1372"/>
      <c r="Q24" s="1372"/>
      <c r="R24" s="1372"/>
    </row>
    <row r="25" spans="2:18" ht="10.5" customHeight="1">
      <c r="B25" s="1369" t="str">
        <f t="shared" si="1"/>
        <v>Ertragswertverfahren (vereinf.)</v>
      </c>
      <c r="C25" s="1503" t="str">
        <f t="shared" ca="1" si="2"/>
        <v>NA</v>
      </c>
      <c r="D25" s="1381" t="str">
        <f t="shared" ref="D25:G25" ca="1" si="9">IFERROR(D15+$E$28,"NA")</f>
        <v>NA</v>
      </c>
      <c r="E25" s="1381" t="str">
        <f t="shared" ca="1" si="9"/>
        <v>NA</v>
      </c>
      <c r="F25" s="1381" t="str">
        <f t="shared" ca="1" si="9"/>
        <v>NA</v>
      </c>
      <c r="G25" s="1381" t="str">
        <f t="shared" ca="1" si="9"/>
        <v>NA</v>
      </c>
      <c r="H25" s="1377">
        <f t="shared" si="4"/>
        <v>0</v>
      </c>
      <c r="I25" s="1372"/>
      <c r="J25" s="1372"/>
      <c r="K25" s="1372"/>
      <c r="L25" s="1372"/>
      <c r="M25" s="1372"/>
      <c r="N25" s="1372"/>
      <c r="O25" s="1372"/>
      <c r="P25" s="1372"/>
      <c r="Q25" s="1372"/>
      <c r="R25" s="1372"/>
    </row>
    <row r="26" spans="2:18" ht="10.5" customHeight="1">
      <c r="B26" s="1502" t="str">
        <f t="shared" si="1"/>
        <v>Median</v>
      </c>
      <c r="C26" s="1540" t="e" cm="1">
        <f t="array" aca="1" ref="C26" ca="1">MEDIAN(IF(ISNUMBER(C19:C25),C19:C25))</f>
        <v>#NUM!</v>
      </c>
      <c r="D26" s="1383" t="e" cm="1">
        <f t="array" aca="1" ref="D26" ca="1">MEDIAN(IF(ISNUMBER(D19:D25),D19:D25))</f>
        <v>#NUM!</v>
      </c>
      <c r="E26" s="1383" t="e" cm="1">
        <f t="array" aca="1" ref="E26" ca="1">MEDIAN(IF(ISNUMBER(E19:E25),E19:E25))</f>
        <v>#NUM!</v>
      </c>
      <c r="F26" s="1383" t="e" cm="1">
        <f t="array" aca="1" ref="F26" ca="1">MEDIAN(IF(ISNUMBER(F19:F25),F19:F25))</f>
        <v>#NUM!</v>
      </c>
      <c r="G26" s="1383" t="e" cm="1">
        <f t="array" aca="1" ref="G26" ca="1">MEDIAN(IF(ISNUMBER(G19:G25),G19:G25))</f>
        <v>#NUM!</v>
      </c>
      <c r="H26" s="1384"/>
      <c r="I26" s="1372"/>
      <c r="J26" s="1372"/>
      <c r="K26" s="1372"/>
      <c r="L26" s="1372"/>
      <c r="M26" s="1372"/>
      <c r="N26" s="1372"/>
      <c r="O26" s="1372"/>
      <c r="P26" s="1372"/>
      <c r="Q26" s="1372"/>
      <c r="R26" s="1372"/>
    </row>
    <row r="27" spans="2:18">
      <c r="B27" s="1372"/>
      <c r="C27" s="1372"/>
      <c r="D27" s="1372"/>
      <c r="E27" s="1372"/>
      <c r="F27" s="1372"/>
      <c r="G27" s="1372"/>
      <c r="H27" s="1372"/>
      <c r="I27" s="1372"/>
      <c r="J27" s="1372"/>
      <c r="K27" s="1372"/>
      <c r="L27" s="1372"/>
      <c r="M27" s="1372"/>
      <c r="N27" s="1372"/>
      <c r="O27" s="1372"/>
      <c r="P27" s="1372"/>
      <c r="Q27" s="1372"/>
      <c r="R27" s="1372"/>
    </row>
    <row r="28" spans="2:18">
      <c r="B28" s="1504" t="s">
        <v>154</v>
      </c>
      <c r="C28" s="1385">
        <v>2024</v>
      </c>
      <c r="D28" s="1541" t="s">
        <v>155</v>
      </c>
      <c r="E28" s="1541" t="e">
        <f>INDEX('WC&amp;ND'!G41:I58,18,MATCH(C28,'WC&amp;ND'!G41:I41,0))/1000</f>
        <v>#REF!</v>
      </c>
      <c r="F28" s="1386"/>
      <c r="G28" s="1386"/>
      <c r="H28" s="1372"/>
      <c r="I28" s="1372"/>
      <c r="J28" s="1372"/>
      <c r="K28" s="1372"/>
      <c r="L28" s="1372"/>
      <c r="M28" s="1372"/>
      <c r="N28" s="1372"/>
      <c r="O28" s="1372"/>
      <c r="P28" s="1372"/>
      <c r="Q28" s="1372"/>
      <c r="R28" s="1372"/>
    </row>
    <row r="29" spans="2:18">
      <c r="B29" s="1387" t="s">
        <v>156</v>
      </c>
      <c r="C29" s="1372"/>
      <c r="D29" s="1372"/>
      <c r="E29" s="1372"/>
      <c r="F29" s="1372"/>
      <c r="G29" s="1372"/>
      <c r="H29" s="1372"/>
      <c r="I29" s="1372"/>
      <c r="J29" s="1372"/>
      <c r="K29" s="1372"/>
      <c r="L29" s="1372"/>
      <c r="M29" s="1372"/>
      <c r="N29" s="1372"/>
      <c r="O29" s="1372"/>
      <c r="P29" s="1372"/>
      <c r="Q29" s="1372"/>
      <c r="R29" s="1372"/>
    </row>
    <row r="30" spans="2:18">
      <c r="B30" s="1388" t="s">
        <v>157</v>
      </c>
      <c r="C30" s="1372"/>
      <c r="D30" s="1372"/>
      <c r="E30" s="1372"/>
      <c r="F30" s="1372"/>
      <c r="G30" s="1372"/>
      <c r="H30" s="1372"/>
      <c r="I30" s="1372"/>
      <c r="J30" s="1372"/>
      <c r="K30" s="1372"/>
      <c r="L30" s="1372"/>
      <c r="M30" s="1372"/>
      <c r="N30" s="1372"/>
      <c r="O30" s="1372"/>
      <c r="P30" s="1372"/>
      <c r="Q30" s="1372"/>
      <c r="R30" s="1372"/>
    </row>
    <row r="31" spans="2:18">
      <c r="B31" s="1388" t="s">
        <v>158</v>
      </c>
      <c r="C31" s="1372"/>
      <c r="D31" s="1372"/>
      <c r="E31" s="1372"/>
      <c r="F31" s="1372"/>
      <c r="G31" s="1372"/>
      <c r="H31" s="1372"/>
      <c r="I31" s="1372"/>
      <c r="J31" s="1372"/>
      <c r="K31" s="1372"/>
      <c r="L31" s="1372"/>
      <c r="M31" s="1372"/>
      <c r="N31" s="1372"/>
      <c r="O31" s="1372"/>
      <c r="P31" s="1372"/>
      <c r="Q31" s="1372"/>
      <c r="R31" s="1372"/>
    </row>
    <row r="32" spans="2:18">
      <c r="B32" s="1388" t="s">
        <v>159</v>
      </c>
      <c r="C32" s="1372"/>
      <c r="D32" s="1372"/>
      <c r="E32" s="1372"/>
      <c r="F32" s="1372"/>
      <c r="G32" s="1372"/>
      <c r="H32" s="1372"/>
      <c r="I32" s="1372"/>
      <c r="J32" s="1372"/>
      <c r="K32" s="1372"/>
      <c r="L32" s="1372"/>
      <c r="M32" s="1372"/>
      <c r="N32" s="1372"/>
      <c r="O32" s="1372"/>
      <c r="P32" s="1372"/>
      <c r="Q32" s="1372"/>
      <c r="R32" s="1372"/>
    </row>
    <row r="33" spans="2:18">
      <c r="B33" s="1388"/>
      <c r="C33" s="1372"/>
      <c r="D33" s="1372"/>
      <c r="E33" s="1372"/>
      <c r="F33" s="1372"/>
      <c r="G33" s="1372"/>
      <c r="H33" s="1372"/>
      <c r="I33" s="1372"/>
      <c r="J33" s="1372"/>
      <c r="K33" s="1372"/>
      <c r="L33" s="1372"/>
      <c r="M33" s="1372"/>
      <c r="N33" s="1372"/>
      <c r="O33" s="1372"/>
      <c r="P33" s="1372"/>
      <c r="Q33" s="1372"/>
      <c r="R33" s="1372"/>
    </row>
    <row r="34" spans="2:18">
      <c r="B34" s="1388"/>
      <c r="C34" s="1372"/>
      <c r="D34" s="1372"/>
      <c r="E34" s="1372"/>
      <c r="F34" s="1372"/>
      <c r="G34" s="1372"/>
      <c r="H34" s="1372"/>
      <c r="I34" s="1372"/>
      <c r="J34" s="1372"/>
      <c r="K34" s="1372"/>
      <c r="L34" s="1372"/>
      <c r="M34" s="1372"/>
      <c r="N34" s="1372"/>
      <c r="O34" s="1372"/>
      <c r="P34" s="1372"/>
      <c r="Q34" s="1372"/>
      <c r="R34" s="1372"/>
    </row>
    <row r="35" spans="2:18">
      <c r="B35" s="1564"/>
      <c r="C35" s="1372"/>
      <c r="D35" s="1372"/>
      <c r="E35" s="1372"/>
      <c r="F35" s="1372"/>
      <c r="G35" s="1372"/>
      <c r="H35" s="1372"/>
      <c r="I35" s="1372"/>
      <c r="J35" s="1372"/>
      <c r="K35" s="1372"/>
      <c r="L35" s="1372"/>
      <c r="M35" s="1372"/>
      <c r="N35" s="1372"/>
      <c r="O35" s="1372"/>
      <c r="P35" s="1372"/>
      <c r="Q35" s="1372"/>
      <c r="R35" s="1372"/>
    </row>
    <row r="66" spans="2:22" ht="22.5" customHeight="1">
      <c r="B66" s="1915" t="s">
        <v>160</v>
      </c>
      <c r="C66" s="1915"/>
      <c r="D66" s="1915"/>
      <c r="E66" s="1915"/>
      <c r="F66" s="1915"/>
      <c r="G66" s="1915"/>
      <c r="H66" s="1915"/>
      <c r="I66" s="1915"/>
      <c r="J66" s="1915"/>
      <c r="K66" s="1915"/>
      <c r="L66" s="1915"/>
      <c r="M66" s="1915"/>
      <c r="N66" s="1915"/>
      <c r="O66" s="1915"/>
      <c r="P66" s="1915"/>
      <c r="Q66" s="1915"/>
      <c r="R66" s="1915"/>
    </row>
    <row r="68" spans="2:22" ht="12.75" customHeight="1">
      <c r="B68" s="1916" t="s">
        <v>161</v>
      </c>
      <c r="C68" s="1916"/>
      <c r="D68" s="1916"/>
      <c r="E68" s="1916"/>
      <c r="F68" s="1916"/>
      <c r="G68" s="1916"/>
      <c r="H68" s="1916"/>
      <c r="I68" s="1916"/>
      <c r="J68" s="1916"/>
      <c r="K68" s="1916"/>
      <c r="L68" s="1916"/>
      <c r="M68" s="1916"/>
      <c r="N68" s="1916"/>
      <c r="O68" s="1916"/>
      <c r="P68" s="1916"/>
      <c r="Q68" s="1916"/>
      <c r="R68" s="1916"/>
      <c r="S68" s="1566"/>
      <c r="T68" s="119"/>
    </row>
    <row r="69" spans="2:22" ht="12.75" customHeight="1">
      <c r="B69" s="1916"/>
      <c r="C69" s="1916"/>
      <c r="D69" s="1916"/>
      <c r="E69" s="1916"/>
      <c r="F69" s="1916"/>
      <c r="G69" s="1916"/>
      <c r="H69" s="1916"/>
      <c r="I69" s="1916"/>
      <c r="J69" s="1916"/>
      <c r="K69" s="1916"/>
      <c r="L69" s="1916"/>
      <c r="M69" s="1916"/>
      <c r="N69" s="1916"/>
      <c r="O69" s="1916"/>
      <c r="P69" s="1916"/>
      <c r="Q69" s="1916"/>
      <c r="R69" s="1916"/>
      <c r="S69" s="1566"/>
      <c r="T69" s="119"/>
    </row>
    <row r="70" spans="2:22" s="119" customFormat="1">
      <c r="P70" s="1567"/>
      <c r="Q70" s="120"/>
      <c r="R70" s="1568"/>
      <c r="T70" s="1569"/>
      <c r="U70" s="1570"/>
      <c r="V70" s="1571"/>
    </row>
    <row r="71" spans="2:22" s="125" customFormat="1">
      <c r="B71" s="847" t="str">
        <f>Lang.!$B$222</f>
        <v>Income Statement</v>
      </c>
      <c r="C71" s="121"/>
      <c r="D71" s="141">
        <f>+E71-1</f>
        <v>2022</v>
      </c>
      <c r="E71" s="141">
        <f>+F71-1</f>
        <v>2023</v>
      </c>
      <c r="F71" s="142">
        <f>Eckdaten!$C$12</f>
        <v>2024</v>
      </c>
      <c r="G71" s="143">
        <f>+F71+1</f>
        <v>2025</v>
      </c>
      <c r="H71" s="1492">
        <f>IF(Eckdaten!$C$20+Eckdaten!$C$12&gt;G71,G71+1," ")</f>
        <v>2026</v>
      </c>
      <c r="I71" s="1492">
        <f>IF(Eckdaten!$C$20+Eckdaten!$C$12&gt;H71,H71+1," ")</f>
        <v>2027</v>
      </c>
      <c r="J71" s="1492">
        <f>IF(Eckdaten!$C$20+Eckdaten!$C$12&gt;I71,I71+1," ")</f>
        <v>2028</v>
      </c>
      <c r="K71" s="1492">
        <f>IF(Eckdaten!$C$20+Eckdaten!$C$12&gt;J71,J71+1," ")</f>
        <v>2029</v>
      </c>
      <c r="L71" s="1492" t="str">
        <f>IF(Eckdaten!$C$20+Eckdaten!$C$12&gt;K71,K71+1," ")</f>
        <v xml:space="preserve"> </v>
      </c>
      <c r="M71" s="1492" t="str">
        <f>IF(Eckdaten!$C$20+Eckdaten!$C$12&gt;L71,L71+1," ")</f>
        <v xml:space="preserve"> </v>
      </c>
      <c r="N71" s="1492" t="str">
        <f>IF(Eckdaten!$C$20+Eckdaten!$C$12&gt;M71,M71+1," ")</f>
        <v xml:space="preserve"> </v>
      </c>
      <c r="O71" s="1492" t="str">
        <f>IF(Eckdaten!$C$20+Eckdaten!$C$12&gt;N71,N71+1," ")</f>
        <v xml:space="preserve"> </v>
      </c>
      <c r="P71" s="1492" t="str">
        <f>IF(Eckdaten!$C$20+Eckdaten!$C$12&gt;O71,O71+1," ")</f>
        <v xml:space="preserve"> </v>
      </c>
      <c r="Q71" s="124"/>
      <c r="R71" s="124"/>
      <c r="S71" s="124"/>
      <c r="T71" s="124"/>
    </row>
    <row r="72" spans="2:22">
      <c r="B72" s="848" t="str">
        <f>"in T"&amp;Eckdaten!$C$14</f>
        <v>in TEUR</v>
      </c>
      <c r="C72" s="126"/>
      <c r="D72" s="144" t="str">
        <f>D71&amp;"A"</f>
        <v>2022A</v>
      </c>
      <c r="E72" s="144" t="str">
        <f>E71&amp;"A"</f>
        <v>2023A</v>
      </c>
      <c r="F72" s="144" t="str">
        <f>F71&amp;"A"</f>
        <v>2024A</v>
      </c>
      <c r="G72" s="145" t="str">
        <f>G71&amp;"FC"</f>
        <v>2025FC</v>
      </c>
      <c r="H72" s="1493" t="str">
        <f>H71&amp;"P"</f>
        <v>2026P</v>
      </c>
      <c r="I72" s="1493" t="str">
        <f>I71&amp;"P"</f>
        <v>2027P</v>
      </c>
      <c r="J72" s="1493" t="str">
        <f>J71&amp;"P"</f>
        <v>2028P</v>
      </c>
      <c r="K72" s="1493" t="str">
        <f>K71&amp;"P"</f>
        <v>2029P</v>
      </c>
      <c r="L72" s="1493" t="str">
        <f t="shared" ref="L72:P72" si="10">L71&amp;"P"</f>
        <v xml:space="preserve"> P</v>
      </c>
      <c r="M72" s="1493" t="str">
        <f t="shared" si="10"/>
        <v xml:space="preserve"> P</v>
      </c>
      <c r="N72" s="1493" t="str">
        <f t="shared" si="10"/>
        <v xml:space="preserve"> P</v>
      </c>
      <c r="O72" s="1493" t="str">
        <f t="shared" si="10"/>
        <v xml:space="preserve"> P</v>
      </c>
      <c r="P72" s="1493" t="str">
        <f t="shared" si="10"/>
        <v xml:space="preserve"> P</v>
      </c>
      <c r="Q72" s="119"/>
      <c r="R72" s="119"/>
      <c r="S72" s="119"/>
      <c r="T72" s="124"/>
      <c r="U72" s="125"/>
      <c r="V72" s="125"/>
    </row>
    <row r="73" spans="2:22">
      <c r="E73" s="129"/>
      <c r="F73" s="129"/>
      <c r="G73" s="129"/>
      <c r="H73" s="129"/>
      <c r="I73" s="129"/>
      <c r="N73" s="124"/>
      <c r="O73" s="119"/>
      <c r="P73" s="119"/>
      <c r="Q73" s="119"/>
      <c r="R73" s="119"/>
      <c r="S73" s="119"/>
      <c r="T73" s="124"/>
      <c r="U73" s="125"/>
      <c r="V73" s="125"/>
    </row>
    <row r="74" spans="2:22">
      <c r="B74" s="849" t="str">
        <f>'G&amp;V'!B8</f>
        <v>Total Turnover (reported)</v>
      </c>
      <c r="C74" s="125"/>
      <c r="D74" s="841">
        <f>(IFERROR('G&amp;V'!E8/1000,""))</f>
        <v>38216.485956758937</v>
      </c>
      <c r="E74" s="841">
        <f>(IFERROR('G&amp;V'!F8/1000,""))</f>
        <v>37396.294271356783</v>
      </c>
      <c r="F74" s="841">
        <f>(IFERROR('G&amp;V'!G8/1000,""))</f>
        <v>34006.908524326493</v>
      </c>
      <c r="G74" s="841">
        <f>(IFERROR('G&amp;V'!H8/1000,""))</f>
        <v>34687.046694813027</v>
      </c>
      <c r="H74" s="841">
        <f>(IFERROR('G&amp;V'!I8/1000,""))</f>
        <v>0</v>
      </c>
      <c r="I74" s="841">
        <f>(IFERROR('G&amp;V'!J8/1000,""))</f>
        <v>0</v>
      </c>
      <c r="J74" s="841">
        <f>(IFERROR('G&amp;V'!K8/1000,""))</f>
        <v>0</v>
      </c>
      <c r="K74" s="841">
        <f>(IFERROR('G&amp;V'!L8/1000,""))</f>
        <v>0</v>
      </c>
      <c r="L74" s="850">
        <f>(IFERROR('G&amp;V'!M8/1000,""))</f>
        <v>0</v>
      </c>
      <c r="M74" s="850">
        <f>(IFERROR('G&amp;V'!N8/1000,""))</f>
        <v>0</v>
      </c>
      <c r="N74" s="850">
        <f>(IFERROR('G&amp;V'!O8/1000,""))</f>
        <v>0</v>
      </c>
      <c r="O74" s="850">
        <f>(IFERROR('G&amp;V'!P8/1000,""))</f>
        <v>0</v>
      </c>
      <c r="P74" s="850">
        <f>(IFERROR('G&amp;V'!Q8/1000,""))</f>
        <v>0</v>
      </c>
      <c r="Q74" s="119"/>
      <c r="R74" s="119"/>
      <c r="S74" s="119"/>
      <c r="T74" s="124"/>
      <c r="U74" s="125"/>
      <c r="V74" s="125"/>
    </row>
    <row r="75" spans="2:22">
      <c r="B75" s="851" t="str">
        <f>Lang.!B256</f>
        <v>%YOY Growth</v>
      </c>
      <c r="C75" s="130"/>
      <c r="D75" s="146"/>
      <c r="E75" s="146">
        <f>IFERROR((E74-D74)/D74,"")</f>
        <v>-2.146172430218159E-2</v>
      </c>
      <c r="F75" s="146">
        <f t="shared" ref="F75:P75" si="11">IFERROR((F74-E74)/E74,"")</f>
        <v>-9.0634267728135487E-2</v>
      </c>
      <c r="G75" s="146">
        <f t="shared" si="11"/>
        <v>2.0000000000000132E-2</v>
      </c>
      <c r="H75" s="146">
        <f t="shared" si="11"/>
        <v>-1</v>
      </c>
      <c r="I75" s="146" t="str">
        <f t="shared" si="11"/>
        <v/>
      </c>
      <c r="J75" s="146" t="str">
        <f t="shared" si="11"/>
        <v/>
      </c>
      <c r="K75" s="146" t="str">
        <f t="shared" si="11"/>
        <v/>
      </c>
      <c r="L75" s="146" t="str">
        <f t="shared" si="11"/>
        <v/>
      </c>
      <c r="M75" s="146" t="str">
        <f t="shared" si="11"/>
        <v/>
      </c>
      <c r="N75" s="146" t="str">
        <f t="shared" si="11"/>
        <v/>
      </c>
      <c r="O75" s="146" t="str">
        <f t="shared" si="11"/>
        <v/>
      </c>
      <c r="P75" s="146" t="str">
        <f t="shared" si="11"/>
        <v/>
      </c>
      <c r="Q75" s="119"/>
      <c r="R75" s="119"/>
      <c r="S75" s="119"/>
      <c r="T75" s="124"/>
      <c r="U75" s="125"/>
      <c r="V75" s="125"/>
    </row>
    <row r="76" spans="2:22">
      <c r="B76" s="849" t="str">
        <f>'G&amp;V'!B20</f>
        <v>Gross Profit (adjusted)</v>
      </c>
      <c r="C76" s="125"/>
      <c r="D76" s="842">
        <f>(IFERROR('G&amp;V'!E20/1000,""))</f>
        <v>38216.485956758937</v>
      </c>
      <c r="E76" s="842">
        <f>(IFERROR('G&amp;V'!F20/1000,""))</f>
        <v>37396.294271356783</v>
      </c>
      <c r="F76" s="842">
        <f>(IFERROR('G&amp;V'!G20/1000,""))</f>
        <v>34006.908524326493</v>
      </c>
      <c r="G76" s="842">
        <f>(IFERROR('G&amp;V'!H20/1000,""))</f>
        <v>34687.046694813027</v>
      </c>
      <c r="H76" s="842">
        <f>(IFERROR('G&amp;V'!I20/1000,""))</f>
        <v>0</v>
      </c>
      <c r="I76" s="842">
        <f>(IFERROR('G&amp;V'!J20/1000,""))</f>
        <v>0</v>
      </c>
      <c r="J76" s="842">
        <f>(IFERROR('G&amp;V'!K20/1000,""))</f>
        <v>0</v>
      </c>
      <c r="K76" s="842">
        <f>(IFERROR('G&amp;V'!L20/1000,""))</f>
        <v>0</v>
      </c>
      <c r="L76" s="852" t="str">
        <f>(IFERROR('G&amp;V'!M20/1000,""))</f>
        <v/>
      </c>
      <c r="M76" s="852" t="str">
        <f>(IFERROR('G&amp;V'!N20/1000,""))</f>
        <v/>
      </c>
      <c r="N76" s="852" t="str">
        <f>(IFERROR('G&amp;V'!O20/1000,""))</f>
        <v/>
      </c>
      <c r="O76" s="852" t="str">
        <f>(IFERROR('G&amp;V'!P20/1000,""))</f>
        <v/>
      </c>
      <c r="P76" s="852" t="str">
        <f>(IFERROR('G&amp;V'!Q20/1000,""))</f>
        <v/>
      </c>
      <c r="Q76" s="119"/>
      <c r="R76" s="119"/>
      <c r="S76" s="119"/>
      <c r="T76" s="124"/>
      <c r="U76" s="125"/>
      <c r="V76" s="125"/>
    </row>
    <row r="77" spans="2:22">
      <c r="B77" s="853" t="str">
        <f>'G&amp;V'!B40</f>
        <v>EBITDA (adjusted)</v>
      </c>
      <c r="C77" s="845"/>
      <c r="D77" s="846">
        <f>(IFERROR('G&amp;V'!E40/1000,""))</f>
        <v>2496.1454839361527</v>
      </c>
      <c r="E77" s="846">
        <f>(IFERROR('G&amp;V'!F40/1000,""))</f>
        <v>1744.0484422110496</v>
      </c>
      <c r="F77" s="846">
        <f>(IFERROR('G&amp;V'!G40/1000,""))</f>
        <v>551.8715319662258</v>
      </c>
      <c r="G77" s="846">
        <f>(IFERROR('G&amp;V'!H40/1000,""))</f>
        <v>971.54861223384364</v>
      </c>
      <c r="H77" s="846">
        <f>(IFERROR('G&amp;V'!I40/1000,""))</f>
        <v>0</v>
      </c>
      <c r="I77" s="846">
        <f>(IFERROR('G&amp;V'!J40/1000,""))</f>
        <v>0</v>
      </c>
      <c r="J77" s="846">
        <f>(IFERROR('G&amp;V'!K40/1000,""))</f>
        <v>0</v>
      </c>
      <c r="K77" s="846">
        <f>(IFERROR('G&amp;V'!L40/1000,""))</f>
        <v>0</v>
      </c>
      <c r="L77" s="854" t="str">
        <f>(IFERROR('G&amp;V'!M40/1000,""))</f>
        <v/>
      </c>
      <c r="M77" s="854" t="str">
        <f>(IFERROR('G&amp;V'!N40/1000,""))</f>
        <v/>
      </c>
      <c r="N77" s="854" t="str">
        <f>(IFERROR('G&amp;V'!O40/1000,""))</f>
        <v/>
      </c>
      <c r="O77" s="854" t="str">
        <f>(IFERROR('G&amp;V'!P40/1000,""))</f>
        <v/>
      </c>
      <c r="P77" s="854" t="str">
        <f>(IFERROR('G&amp;V'!Q40/1000,""))</f>
        <v/>
      </c>
      <c r="Q77" s="119"/>
      <c r="R77" s="119"/>
      <c r="S77" s="119"/>
      <c r="T77" s="124"/>
      <c r="U77" s="125"/>
      <c r="V77" s="125"/>
    </row>
    <row r="78" spans="2:22">
      <c r="B78" s="855" t="str">
        <f>Lang.!B256</f>
        <v>%YOY Growth</v>
      </c>
      <c r="C78" s="125"/>
      <c r="D78" s="843"/>
      <c r="E78" s="843">
        <f>IFERROR((E77-D77)/D77,"")</f>
        <v>-0.30130336815910547</v>
      </c>
      <c r="F78" s="843">
        <f t="shared" ref="F78:P78" si="12">IFERROR((F77-E77)/E77,"")</f>
        <v>-0.68356869074887594</v>
      </c>
      <c r="G78" s="843">
        <f t="shared" si="12"/>
        <v>0.76046154939788024</v>
      </c>
      <c r="H78" s="843">
        <f t="shared" si="12"/>
        <v>-1</v>
      </c>
      <c r="I78" s="843" t="str">
        <f t="shared" si="12"/>
        <v/>
      </c>
      <c r="J78" s="843" t="str">
        <f t="shared" si="12"/>
        <v/>
      </c>
      <c r="K78" s="843" t="str">
        <f t="shared" si="12"/>
        <v/>
      </c>
      <c r="L78" s="843" t="str">
        <f t="shared" si="12"/>
        <v/>
      </c>
      <c r="M78" s="843" t="str">
        <f t="shared" si="12"/>
        <v/>
      </c>
      <c r="N78" s="843" t="str">
        <f t="shared" si="12"/>
        <v/>
      </c>
      <c r="O78" s="843" t="str">
        <f t="shared" si="12"/>
        <v/>
      </c>
      <c r="P78" s="843" t="str">
        <f t="shared" si="12"/>
        <v/>
      </c>
      <c r="Q78" s="119"/>
      <c r="R78" s="119"/>
      <c r="S78" s="119"/>
      <c r="T78" s="124"/>
      <c r="U78" s="125"/>
      <c r="V78" s="125"/>
    </row>
    <row r="79" spans="2:22">
      <c r="B79" s="856" t="str">
        <f>B77&amp;" Marge"</f>
        <v>EBITDA (adjusted) Marge</v>
      </c>
      <c r="C79" s="125"/>
      <c r="D79" s="844">
        <f>IFERROR(D77/D$74,"")</f>
        <v>6.5315934247865776E-2</v>
      </c>
      <c r="E79" s="844" t="str">
        <f t="shared" ref="E79:P79" si="13">IFERROR(E77/E$83,"")</f>
        <v/>
      </c>
      <c r="F79" s="844" t="str">
        <f t="shared" si="13"/>
        <v/>
      </c>
      <c r="G79" s="844" t="str">
        <f t="shared" si="13"/>
        <v/>
      </c>
      <c r="H79" s="844" t="str">
        <f t="shared" si="13"/>
        <v/>
      </c>
      <c r="I79" s="844" t="str">
        <f t="shared" si="13"/>
        <v/>
      </c>
      <c r="J79" s="844" t="str">
        <f t="shared" si="13"/>
        <v/>
      </c>
      <c r="K79" s="844" t="str">
        <f t="shared" si="13"/>
        <v/>
      </c>
      <c r="L79" s="844" t="str">
        <f t="shared" si="13"/>
        <v/>
      </c>
      <c r="M79" s="844" t="str">
        <f t="shared" si="13"/>
        <v/>
      </c>
      <c r="N79" s="844" t="str">
        <f t="shared" si="13"/>
        <v/>
      </c>
      <c r="O79" s="844" t="str">
        <f t="shared" si="13"/>
        <v/>
      </c>
      <c r="P79" s="844" t="str">
        <f t="shared" si="13"/>
        <v/>
      </c>
      <c r="Q79" s="119"/>
      <c r="R79" s="119"/>
      <c r="S79" s="119"/>
      <c r="T79" s="124"/>
      <c r="U79" s="125"/>
      <c r="V79" s="125"/>
    </row>
    <row r="80" spans="2:22">
      <c r="B80" s="853" t="str">
        <f>'G&amp;V'!B50</f>
        <v>EBIT (adjusted)</v>
      </c>
      <c r="C80" s="845"/>
      <c r="D80" s="846">
        <f>(IFERROR('G&amp;V'!E50/1000,""))</f>
        <v>2496.1454839361527</v>
      </c>
      <c r="E80" s="846">
        <f>(IFERROR('G&amp;V'!F50/1000,""))</f>
        <v>1744.0484422110496</v>
      </c>
      <c r="F80" s="846">
        <f>(IFERROR('G&amp;V'!G50/1000,""))</f>
        <v>551.8715319662258</v>
      </c>
      <c r="G80" s="846">
        <f>(IFERROR('G&amp;V'!H50/1000,""))</f>
        <v>971.54861223384364</v>
      </c>
      <c r="H80" s="846">
        <f>(IFERROR('G&amp;V'!I50/1000,""))</f>
        <v>0</v>
      </c>
      <c r="I80" s="846">
        <f>(IFERROR('G&amp;V'!J50/1000,""))</f>
        <v>0</v>
      </c>
      <c r="J80" s="846">
        <f>(IFERROR('G&amp;V'!K50/1000,""))</f>
        <v>0</v>
      </c>
      <c r="K80" s="846">
        <f>(IFERROR('G&amp;V'!L50/1000,""))</f>
        <v>0</v>
      </c>
      <c r="L80" s="854" t="str">
        <f>(IFERROR('G&amp;V'!M50/1000,""))</f>
        <v/>
      </c>
      <c r="M80" s="854" t="str">
        <f>(IFERROR('G&amp;V'!N50/1000,""))</f>
        <v/>
      </c>
      <c r="N80" s="854" t="str">
        <f>(IFERROR('G&amp;V'!O50/1000,""))</f>
        <v/>
      </c>
      <c r="O80" s="854" t="str">
        <f>(IFERROR('G&amp;V'!P50/1000,""))</f>
        <v/>
      </c>
      <c r="P80" s="854" t="str">
        <f>(IFERROR('G&amp;V'!Q50/1000,""))</f>
        <v/>
      </c>
      <c r="Q80" s="119"/>
      <c r="R80" s="119"/>
      <c r="S80" s="119"/>
      <c r="T80" s="119"/>
    </row>
    <row r="81" spans="2:20">
      <c r="B81" s="855" t="str">
        <f>Lang.!B256</f>
        <v>%YOY Growth</v>
      </c>
      <c r="C81" s="125"/>
      <c r="D81" s="843"/>
      <c r="E81" s="843">
        <f>IFERROR((E80-D80)/D80,"")</f>
        <v>-0.30130336815910547</v>
      </c>
      <c r="F81" s="843">
        <f t="shared" ref="F81:P81" si="14">IFERROR((F80-E80)/E80,"")</f>
        <v>-0.68356869074887594</v>
      </c>
      <c r="G81" s="843">
        <f t="shared" si="14"/>
        <v>0.76046154939788024</v>
      </c>
      <c r="H81" s="843">
        <f t="shared" si="14"/>
        <v>-1</v>
      </c>
      <c r="I81" s="843" t="str">
        <f t="shared" si="14"/>
        <v/>
      </c>
      <c r="J81" s="843" t="str">
        <f t="shared" si="14"/>
        <v/>
      </c>
      <c r="K81" s="843" t="str">
        <f t="shared" si="14"/>
        <v/>
      </c>
      <c r="L81" s="843" t="str">
        <f t="shared" si="14"/>
        <v/>
      </c>
      <c r="M81" s="843" t="str">
        <f t="shared" si="14"/>
        <v/>
      </c>
      <c r="N81" s="843" t="str">
        <f t="shared" si="14"/>
        <v/>
      </c>
      <c r="O81" s="843" t="str">
        <f t="shared" si="14"/>
        <v/>
      </c>
      <c r="P81" s="843" t="str">
        <f t="shared" si="14"/>
        <v/>
      </c>
      <c r="Q81" s="119"/>
      <c r="R81" s="119"/>
      <c r="S81" s="119"/>
      <c r="T81" s="119"/>
    </row>
    <row r="82" spans="2:20">
      <c r="B82" s="857" t="str">
        <f>B80&amp;" Marge"</f>
        <v>EBIT (adjusted) Marge</v>
      </c>
      <c r="C82" s="130"/>
      <c r="D82" s="147">
        <f>IFERROR(D80/D$74,"")</f>
        <v>6.5315934247865776E-2</v>
      </c>
      <c r="E82" s="147" t="str">
        <f t="shared" ref="E82:P82" si="15">IFERROR(E80/E$83,"")</f>
        <v/>
      </c>
      <c r="F82" s="147" t="str">
        <f t="shared" si="15"/>
        <v/>
      </c>
      <c r="G82" s="147" t="str">
        <f t="shared" si="15"/>
        <v/>
      </c>
      <c r="H82" s="147" t="str">
        <f t="shared" si="15"/>
        <v/>
      </c>
      <c r="I82" s="147" t="str">
        <f t="shared" si="15"/>
        <v/>
      </c>
      <c r="J82" s="147" t="str">
        <f t="shared" si="15"/>
        <v/>
      </c>
      <c r="K82" s="147" t="str">
        <f t="shared" si="15"/>
        <v/>
      </c>
      <c r="L82" s="147" t="str">
        <f t="shared" si="15"/>
        <v/>
      </c>
      <c r="M82" s="147" t="str">
        <f t="shared" si="15"/>
        <v/>
      </c>
      <c r="N82" s="147" t="str">
        <f t="shared" si="15"/>
        <v/>
      </c>
      <c r="O82" s="147" t="str">
        <f t="shared" si="15"/>
        <v/>
      </c>
      <c r="P82" s="147" t="str">
        <f t="shared" si="15"/>
        <v/>
      </c>
      <c r="Q82" s="119"/>
      <c r="R82" s="119"/>
      <c r="S82" s="119"/>
      <c r="T82" s="119"/>
    </row>
    <row r="83" spans="2:20" ht="6" customHeight="1">
      <c r="D83" s="131"/>
      <c r="N83" s="119"/>
      <c r="O83" s="119"/>
      <c r="P83" s="119"/>
      <c r="Q83" s="119"/>
      <c r="R83" s="119"/>
      <c r="S83" s="119"/>
      <c r="T83" s="119"/>
    </row>
    <row r="84" spans="2:20">
      <c r="B84" s="858" t="str">
        <f>'G&amp;V'!B14&amp; " (absolut)"</f>
        <v>Cost of Material (absolut)</v>
      </c>
      <c r="D84" s="148">
        <f>IFERROR(-'G&amp;V'!E14/1000,"")</f>
        <v>0</v>
      </c>
      <c r="E84" s="148">
        <f>IFERROR(-'G&amp;V'!F14/1000,"")</f>
        <v>0</v>
      </c>
      <c r="F84" s="148">
        <f>IFERROR(-'G&amp;V'!G14/1000,"")</f>
        <v>0</v>
      </c>
      <c r="G84" s="148">
        <f>IFERROR(-'G&amp;V'!H14/1000,"")</f>
        <v>0</v>
      </c>
      <c r="H84" s="148">
        <f>IFERROR(-'G&amp;V'!I14/1000,"")</f>
        <v>0</v>
      </c>
      <c r="I84" s="148">
        <f>IFERROR(-'G&amp;V'!J14/1000,"")</f>
        <v>0</v>
      </c>
      <c r="J84" s="148">
        <f>IFERROR(-'G&amp;V'!K14/1000,"")</f>
        <v>0</v>
      </c>
      <c r="K84" s="148">
        <f>IFERROR(-'G&amp;V'!L14/1000,"")</f>
        <v>0</v>
      </c>
      <c r="L84" s="149" t="str">
        <f>IFERROR(-'G&amp;V'!M14/1000,"")</f>
        <v/>
      </c>
      <c r="M84" s="149" t="str">
        <f>IFERROR(-'G&amp;V'!N14/1000,"")</f>
        <v/>
      </c>
      <c r="N84" s="149" t="str">
        <f>IFERROR(-'G&amp;V'!O14/1000,"")</f>
        <v/>
      </c>
      <c r="O84" s="149" t="str">
        <f>IFERROR(-'G&amp;V'!P14/1000,"")</f>
        <v/>
      </c>
      <c r="P84" s="149" t="str">
        <f>IFERROR(-'G&amp;V'!Q14/1000,"")</f>
        <v/>
      </c>
      <c r="Q84" s="119"/>
      <c r="R84" s="119"/>
      <c r="S84" s="119"/>
      <c r="T84" s="119"/>
    </row>
    <row r="85" spans="2:20">
      <c r="B85" s="851" t="str">
        <f>Lang.!$B$219</f>
        <v>(in % of total turnover)</v>
      </c>
      <c r="C85" s="132"/>
      <c r="D85" s="147">
        <f>IFERROR(D84/D$74,"")</f>
        <v>0</v>
      </c>
      <c r="E85" s="147" t="str">
        <f t="shared" ref="E85:P85" si="16">IFERROR(E84/E$83,"")</f>
        <v/>
      </c>
      <c r="F85" s="147" t="str">
        <f t="shared" si="16"/>
        <v/>
      </c>
      <c r="G85" s="147" t="str">
        <f t="shared" si="16"/>
        <v/>
      </c>
      <c r="H85" s="147" t="str">
        <f t="shared" si="16"/>
        <v/>
      </c>
      <c r="I85" s="147" t="str">
        <f t="shared" si="16"/>
        <v/>
      </c>
      <c r="J85" s="147" t="str">
        <f t="shared" si="16"/>
        <v/>
      </c>
      <c r="K85" s="147" t="str">
        <f t="shared" si="16"/>
        <v/>
      </c>
      <c r="L85" s="147" t="str">
        <f t="shared" si="16"/>
        <v/>
      </c>
      <c r="M85" s="147" t="str">
        <f t="shared" si="16"/>
        <v/>
      </c>
      <c r="N85" s="147" t="str">
        <f t="shared" si="16"/>
        <v/>
      </c>
      <c r="O85" s="147" t="str">
        <f t="shared" si="16"/>
        <v/>
      </c>
      <c r="P85" s="147" t="str">
        <f t="shared" si="16"/>
        <v/>
      </c>
      <c r="Q85" s="119"/>
      <c r="R85" s="119"/>
      <c r="S85" s="119"/>
      <c r="T85" s="119"/>
    </row>
    <row r="86" spans="2:20">
      <c r="B86" s="858" t="str">
        <f>'G&amp;V'!B24&amp;" (absolut)"</f>
        <v>Personnel Expenses (absolut)</v>
      </c>
      <c r="D86" s="148">
        <f>IFERROR(-'G&amp;V'!E24/1000,"")</f>
        <v>3420.6684178621945</v>
      </c>
      <c r="E86" s="148">
        <f>IFERROR(-'G&amp;V'!F24/1000,"")</f>
        <v>4168.5431155778897</v>
      </c>
      <c r="F86" s="148">
        <f>IFERROR(-'G&amp;V'!G24/1000,"")</f>
        <v>4283.5406111781258</v>
      </c>
      <c r="G86" s="148">
        <f>IFERROR(-'G&amp;V'!H24/1000,"")</f>
        <v>3780.1709475520111</v>
      </c>
      <c r="H86" s="148">
        <f>IFERROR(-'G&amp;V'!I24/1000,"")</f>
        <v>0</v>
      </c>
      <c r="I86" s="148">
        <f>IFERROR(-'G&amp;V'!J24/1000,"")</f>
        <v>0</v>
      </c>
      <c r="J86" s="148">
        <f>IFERROR(-'G&amp;V'!K24/1000,"")</f>
        <v>0</v>
      </c>
      <c r="K86" s="148">
        <f>IFERROR(-'G&amp;V'!L24/1000,"")</f>
        <v>0</v>
      </c>
      <c r="L86" s="149" t="str">
        <f>IFERROR(-'G&amp;V'!M24/1000,"")</f>
        <v/>
      </c>
      <c r="M86" s="149" t="str">
        <f>IFERROR(-'G&amp;V'!N24/1000,"")</f>
        <v/>
      </c>
      <c r="N86" s="149" t="str">
        <f>IFERROR(-'G&amp;V'!O24/1000,"")</f>
        <v/>
      </c>
      <c r="O86" s="149" t="str">
        <f>IFERROR(-'G&amp;V'!P24/1000,"")</f>
        <v/>
      </c>
      <c r="P86" s="149" t="str">
        <f>IFERROR(-'G&amp;V'!Q24/1000,"")</f>
        <v/>
      </c>
      <c r="Q86" s="119"/>
      <c r="R86" s="119"/>
      <c r="S86" s="119"/>
      <c r="T86" s="119"/>
    </row>
    <row r="87" spans="2:20">
      <c r="B87" s="851" t="str">
        <f>Lang.!$B$219</f>
        <v>(in % of total turnover)</v>
      </c>
      <c r="C87" s="132"/>
      <c r="D87" s="147">
        <f>IFERROR(D86/D$74,"")</f>
        <v>8.9507664878780355E-2</v>
      </c>
      <c r="E87" s="147" t="str">
        <f t="shared" ref="E87:P87" si="17">IFERROR(E86/E$83,"")</f>
        <v/>
      </c>
      <c r="F87" s="147" t="str">
        <f t="shared" si="17"/>
        <v/>
      </c>
      <c r="G87" s="147" t="str">
        <f t="shared" si="17"/>
        <v/>
      </c>
      <c r="H87" s="147" t="str">
        <f t="shared" si="17"/>
        <v/>
      </c>
      <c r="I87" s="147" t="str">
        <f t="shared" si="17"/>
        <v/>
      </c>
      <c r="J87" s="147" t="str">
        <f t="shared" si="17"/>
        <v/>
      </c>
      <c r="K87" s="147" t="str">
        <f t="shared" si="17"/>
        <v/>
      </c>
      <c r="L87" s="147" t="str">
        <f t="shared" si="17"/>
        <v/>
      </c>
      <c r="M87" s="147" t="str">
        <f t="shared" si="17"/>
        <v/>
      </c>
      <c r="N87" s="147" t="str">
        <f t="shared" si="17"/>
        <v/>
      </c>
      <c r="O87" s="147" t="str">
        <f t="shared" si="17"/>
        <v/>
      </c>
      <c r="P87" s="147" t="str">
        <f t="shared" si="17"/>
        <v/>
      </c>
      <c r="Q87" s="119"/>
      <c r="R87" s="119"/>
      <c r="S87" s="119"/>
      <c r="T87" s="119"/>
    </row>
    <row r="88" spans="2:20">
      <c r="B88" s="858" t="str">
        <f>'G&amp;V'!B44&amp;" (absolut)"</f>
        <v>Depreciation and Amortization (absolut)</v>
      </c>
      <c r="D88" s="148">
        <f>IFERROR(-'G&amp;V'!E44/1000,"")</f>
        <v>0</v>
      </c>
      <c r="E88" s="148">
        <f>IFERROR(-'G&amp;V'!F44/1000,"")</f>
        <v>0</v>
      </c>
      <c r="F88" s="148">
        <f>IFERROR(-'G&amp;V'!G44/1000,"")</f>
        <v>0</v>
      </c>
      <c r="G88" s="148">
        <f>IFERROR(-'G&amp;V'!H44/1000,"")</f>
        <v>0</v>
      </c>
      <c r="H88" s="148">
        <f>IFERROR(-'G&amp;V'!I44/1000,"")</f>
        <v>0</v>
      </c>
      <c r="I88" s="148">
        <f>IFERROR(-'G&amp;V'!J44/1000,"")</f>
        <v>0</v>
      </c>
      <c r="J88" s="148">
        <f>IFERROR(-'G&amp;V'!K44/1000,"")</f>
        <v>0</v>
      </c>
      <c r="K88" s="148">
        <f>IFERROR(-'G&amp;V'!L44/1000,"")</f>
        <v>0</v>
      </c>
      <c r="L88" s="149" t="str">
        <f>IFERROR(-'G&amp;V'!M44/1000,"")</f>
        <v/>
      </c>
      <c r="M88" s="149" t="str">
        <f>IFERROR(-'G&amp;V'!N44/1000,"")</f>
        <v/>
      </c>
      <c r="N88" s="149" t="str">
        <f>IFERROR(-'G&amp;V'!O44/1000,"")</f>
        <v/>
      </c>
      <c r="O88" s="149" t="str">
        <f>IFERROR(-'G&amp;V'!P44/1000,"")</f>
        <v/>
      </c>
      <c r="P88" s="149" t="str">
        <f>IFERROR(-'G&amp;V'!Q44/1000,"")</f>
        <v/>
      </c>
      <c r="Q88" s="119"/>
      <c r="R88" s="119"/>
      <c r="S88" s="119"/>
      <c r="T88" s="119"/>
    </row>
    <row r="89" spans="2:20">
      <c r="B89" s="851" t="str">
        <f>Lang.!$B$219</f>
        <v>(in % of total turnover)</v>
      </c>
      <c r="C89" s="132"/>
      <c r="D89" s="147">
        <f>IFERROR(D88/D$74,"")</f>
        <v>0</v>
      </c>
      <c r="E89" s="147" t="str">
        <f t="shared" ref="E89:P89" si="18">IFERROR(E88/E$83,"")</f>
        <v/>
      </c>
      <c r="F89" s="147" t="str">
        <f t="shared" si="18"/>
        <v/>
      </c>
      <c r="G89" s="147" t="str">
        <f t="shared" si="18"/>
        <v/>
      </c>
      <c r="H89" s="147" t="str">
        <f t="shared" si="18"/>
        <v/>
      </c>
      <c r="I89" s="147" t="str">
        <f t="shared" si="18"/>
        <v/>
      </c>
      <c r="J89" s="147" t="str">
        <f t="shared" si="18"/>
        <v/>
      </c>
      <c r="K89" s="147" t="str">
        <f t="shared" si="18"/>
        <v/>
      </c>
      <c r="L89" s="147" t="str">
        <f t="shared" si="18"/>
        <v/>
      </c>
      <c r="M89" s="147" t="str">
        <f t="shared" si="18"/>
        <v/>
      </c>
      <c r="N89" s="147" t="str">
        <f t="shared" si="18"/>
        <v/>
      </c>
      <c r="O89" s="147" t="str">
        <f t="shared" si="18"/>
        <v/>
      </c>
      <c r="P89" s="147" t="str">
        <f t="shared" si="18"/>
        <v/>
      </c>
      <c r="Q89" s="119"/>
      <c r="R89" s="119"/>
      <c r="S89" s="119"/>
      <c r="T89" s="119"/>
    </row>
    <row r="90" spans="2:20">
      <c r="B90" s="858" t="str">
        <f>'G&amp;V'!B66</f>
        <v>Extraordinary Items</v>
      </c>
      <c r="D90" s="148">
        <f>IFERROR('G&amp;V'!E66/1000,"")</f>
        <v>0</v>
      </c>
      <c r="E90" s="148">
        <f>IFERROR('G&amp;V'!F66/1000,"")</f>
        <v>0</v>
      </c>
      <c r="F90" s="148">
        <f>IFERROR('G&amp;V'!G66/1000,"")</f>
        <v>0</v>
      </c>
      <c r="G90" s="148">
        <f>IFERROR('G&amp;V'!H66/1000,"")</f>
        <v>0</v>
      </c>
      <c r="H90" s="148">
        <f>IFERROR('G&amp;V'!I66/1000,"")</f>
        <v>0</v>
      </c>
      <c r="I90" s="148">
        <f>IFERROR('G&amp;V'!J66/1000,"")</f>
        <v>0</v>
      </c>
      <c r="J90" s="148">
        <f>IFERROR('G&amp;V'!K66/1000,"")</f>
        <v>0</v>
      </c>
      <c r="K90" s="148">
        <f>IFERROR('G&amp;V'!L66/1000,"")</f>
        <v>0</v>
      </c>
      <c r="L90" s="149">
        <f>IFERROR('G&amp;V'!M66/1000,"")</f>
        <v>0</v>
      </c>
      <c r="M90" s="149">
        <f>IFERROR('G&amp;V'!N66/1000,"")</f>
        <v>0</v>
      </c>
      <c r="N90" s="149">
        <f>IFERROR('G&amp;V'!O66/1000,"")</f>
        <v>0</v>
      </c>
      <c r="O90" s="149">
        <f>IFERROR('G&amp;V'!P66/1000,"")</f>
        <v>0</v>
      </c>
      <c r="P90" s="149">
        <f>IFERROR('G&amp;V'!Q66/1000,"")</f>
        <v>0</v>
      </c>
      <c r="Q90" s="119"/>
      <c r="R90" s="119"/>
      <c r="S90" s="119"/>
      <c r="T90" s="119"/>
    </row>
    <row r="91" spans="2:20">
      <c r="B91" s="851" t="str">
        <f>Lang.!B252</f>
        <v>(in % of EBIT (adjusted))</v>
      </c>
      <c r="C91" s="132"/>
      <c r="D91" s="150">
        <f>IFERROR(D90/D$80,"")</f>
        <v>0</v>
      </c>
      <c r="E91" s="150" t="str">
        <f t="shared" ref="E91:P91" si="19">IFERROR(E90/E$89,"")</f>
        <v/>
      </c>
      <c r="F91" s="150" t="str">
        <f t="shared" si="19"/>
        <v/>
      </c>
      <c r="G91" s="150" t="str">
        <f t="shared" si="19"/>
        <v/>
      </c>
      <c r="H91" s="150" t="str">
        <f t="shared" si="19"/>
        <v/>
      </c>
      <c r="I91" s="150" t="str">
        <f t="shared" si="19"/>
        <v/>
      </c>
      <c r="J91" s="150" t="str">
        <f t="shared" si="19"/>
        <v/>
      </c>
      <c r="K91" s="150" t="str">
        <f t="shared" si="19"/>
        <v/>
      </c>
      <c r="L91" s="150" t="str">
        <f t="shared" si="19"/>
        <v/>
      </c>
      <c r="M91" s="150" t="str">
        <f t="shared" si="19"/>
        <v/>
      </c>
      <c r="N91" s="150" t="str">
        <f t="shared" si="19"/>
        <v/>
      </c>
      <c r="O91" s="150" t="str">
        <f t="shared" si="19"/>
        <v/>
      </c>
      <c r="P91" s="150" t="str">
        <f t="shared" si="19"/>
        <v/>
      </c>
      <c r="Q91" s="119"/>
      <c r="R91" s="119"/>
      <c r="S91" s="119"/>
      <c r="T91" s="119"/>
    </row>
    <row r="92" spans="2:20">
      <c r="B92" s="858" t="str">
        <f>'G&amp;V'!B54</f>
        <v>Financial Result</v>
      </c>
      <c r="D92" s="148">
        <f>IFERROR('G&amp;V'!E56/1000,"")</f>
        <v>579.8225904223076</v>
      </c>
      <c r="E92" s="148">
        <f>IFERROR('G&amp;V'!F56/1000,"")</f>
        <v>774.90050251256275</v>
      </c>
      <c r="F92" s="148">
        <f>IFERROR('G&amp;V'!G56/1000,"")</f>
        <v>411.22778447929227</v>
      </c>
      <c r="G92" s="148">
        <f>IFERROR('G&amp;V'!H56/1000,"")</f>
        <v>1412.4715311677039</v>
      </c>
      <c r="H92" s="148">
        <f>IFERROR('G&amp;V'!I56/1000,"")</f>
        <v>0</v>
      </c>
      <c r="I92" s="148">
        <f>IFERROR('G&amp;V'!J56/1000,"")</f>
        <v>0</v>
      </c>
      <c r="J92" s="148">
        <f>IFERROR('G&amp;V'!K56/1000,"")</f>
        <v>0</v>
      </c>
      <c r="K92" s="148">
        <f>IFERROR('G&amp;V'!L56/1000,"")</f>
        <v>0</v>
      </c>
      <c r="L92" s="149" t="str">
        <f>IFERROR('G&amp;V'!M56/1000,"")</f>
        <v/>
      </c>
      <c r="M92" s="149" t="str">
        <f>IFERROR('G&amp;V'!N56/1000,"")</f>
        <v/>
      </c>
      <c r="N92" s="149" t="str">
        <f>IFERROR('G&amp;V'!O56/1000,"")</f>
        <v/>
      </c>
      <c r="O92" s="149" t="str">
        <f>IFERROR('G&amp;V'!P56/1000,"")</f>
        <v/>
      </c>
      <c r="P92" s="149" t="str">
        <f>IFERROR('G&amp;V'!Q56/1000,"")</f>
        <v/>
      </c>
      <c r="Q92" s="119"/>
      <c r="R92" s="119"/>
      <c r="S92" s="119"/>
      <c r="T92" s="119"/>
    </row>
    <row r="93" spans="2:20">
      <c r="B93" s="851" t="str">
        <f>Lang.!B252</f>
        <v>(in % of EBIT (adjusted))</v>
      </c>
      <c r="C93" s="132"/>
      <c r="D93" s="147">
        <f>IFERROR(D92/D$80,"")</f>
        <v>0.23228717803258397</v>
      </c>
      <c r="E93" s="147" t="str">
        <f t="shared" ref="E93:P93" si="20">IFERROR(E92/E$89,"")</f>
        <v/>
      </c>
      <c r="F93" s="147" t="str">
        <f t="shared" si="20"/>
        <v/>
      </c>
      <c r="G93" s="147" t="str">
        <f t="shared" si="20"/>
        <v/>
      </c>
      <c r="H93" s="147" t="str">
        <f t="shared" si="20"/>
        <v/>
      </c>
      <c r="I93" s="147" t="str">
        <f t="shared" si="20"/>
        <v/>
      </c>
      <c r="J93" s="147" t="str">
        <f t="shared" si="20"/>
        <v/>
      </c>
      <c r="K93" s="147" t="str">
        <f t="shared" si="20"/>
        <v/>
      </c>
      <c r="L93" s="147" t="str">
        <f t="shared" si="20"/>
        <v/>
      </c>
      <c r="M93" s="147" t="str">
        <f t="shared" si="20"/>
        <v/>
      </c>
      <c r="N93" s="147" t="str">
        <f t="shared" si="20"/>
        <v/>
      </c>
      <c r="O93" s="147" t="str">
        <f t="shared" si="20"/>
        <v/>
      </c>
      <c r="P93" s="147" t="str">
        <f t="shared" si="20"/>
        <v/>
      </c>
      <c r="Q93" s="119"/>
      <c r="R93" s="119"/>
      <c r="S93" s="119"/>
      <c r="T93" s="119"/>
    </row>
    <row r="94" spans="2:20" ht="4.5" customHeight="1">
      <c r="B94" s="855"/>
      <c r="D94" s="844"/>
      <c r="E94" s="844"/>
      <c r="F94" s="844"/>
      <c r="G94" s="844"/>
      <c r="H94" s="844"/>
      <c r="I94" s="844"/>
      <c r="J94" s="844"/>
      <c r="K94" s="844"/>
      <c r="L94" s="844"/>
      <c r="M94" s="844"/>
      <c r="N94" s="844"/>
      <c r="O94" s="844"/>
      <c r="P94" s="844"/>
      <c r="Q94" s="119"/>
      <c r="R94" s="119"/>
      <c r="S94" s="119"/>
      <c r="T94" s="119"/>
    </row>
    <row r="95" spans="2:20">
      <c r="B95" s="859" t="str">
        <f>'G&amp;V'!B80</f>
        <v>Net Profit (loss) (adjusted)</v>
      </c>
      <c r="C95" s="125"/>
      <c r="D95" s="839">
        <f>IFERROR('G&amp;V'!E80/1000,"")</f>
        <v>1975.1371994342342</v>
      </c>
      <c r="E95" s="839">
        <f>IFERROR('G&amp;V'!F80/1000,"")</f>
        <v>1291.1993969849188</v>
      </c>
      <c r="F95" s="839">
        <f>IFERROR('G&amp;V'!G80/1000,"")</f>
        <v>359.70526739043174</v>
      </c>
      <c r="G95" s="839">
        <f>IFERROR('G&amp;V'!H80/1000,"")</f>
        <v>1184.4134470919091</v>
      </c>
      <c r="H95" s="839">
        <f>IFERROR('G&amp;V'!I80/1000,"")</f>
        <v>0</v>
      </c>
      <c r="I95" s="839">
        <f>IFERROR('G&amp;V'!J80/1000,"")</f>
        <v>0</v>
      </c>
      <c r="J95" s="839">
        <f>IFERROR('G&amp;V'!K80/1000,"")</f>
        <v>0</v>
      </c>
      <c r="K95" s="839">
        <f>IFERROR('G&amp;V'!L80/1000,"")</f>
        <v>0</v>
      </c>
      <c r="L95" s="840" t="str">
        <f>IFERROR('G&amp;V'!M80/1000,"")</f>
        <v/>
      </c>
      <c r="M95" s="840" t="str">
        <f>IFERROR('G&amp;V'!N80/1000,"")</f>
        <v/>
      </c>
      <c r="N95" s="840" t="str">
        <f>IFERROR('G&amp;V'!O80/1000,"")</f>
        <v/>
      </c>
      <c r="O95" s="840" t="str">
        <f>IFERROR('G&amp;V'!P80/1000,"")</f>
        <v/>
      </c>
      <c r="P95" s="840" t="str">
        <f>IFERROR('G&amp;V'!Q80/1000,"")</f>
        <v/>
      </c>
      <c r="Q95" s="119"/>
      <c r="R95" s="119"/>
      <c r="S95" s="119"/>
      <c r="T95" s="119"/>
    </row>
    <row r="96" spans="2:20">
      <c r="B96" s="855" t="str">
        <f>Lang.!B256</f>
        <v>%YOY Growth</v>
      </c>
      <c r="C96" s="125"/>
      <c r="D96" s="839"/>
      <c r="E96" s="839"/>
      <c r="F96" s="839"/>
      <c r="G96" s="839"/>
      <c r="H96" s="839"/>
      <c r="I96" s="839"/>
      <c r="J96" s="839"/>
      <c r="K96" s="839"/>
      <c r="L96" s="840"/>
      <c r="M96" s="840"/>
      <c r="N96" s="840"/>
      <c r="O96" s="840"/>
      <c r="P96" s="840"/>
      <c r="Q96" s="119"/>
      <c r="R96" s="119"/>
      <c r="S96" s="119"/>
      <c r="T96" s="119"/>
    </row>
    <row r="97" spans="2:20">
      <c r="B97" s="851" t="str">
        <f>Lang.!$B$219</f>
        <v>(in % of total turnover)</v>
      </c>
      <c r="C97" s="132"/>
      <c r="D97" s="147">
        <f>IFERROR(D95/D$74,"")</f>
        <v>5.1682857541351546E-2</v>
      </c>
      <c r="E97" s="147" t="str">
        <f t="shared" ref="E97:P97" si="21">IFERROR(E95/E$83,"")</f>
        <v/>
      </c>
      <c r="F97" s="147" t="str">
        <f t="shared" si="21"/>
        <v/>
      </c>
      <c r="G97" s="147" t="str">
        <f t="shared" si="21"/>
        <v/>
      </c>
      <c r="H97" s="147" t="str">
        <f t="shared" si="21"/>
        <v/>
      </c>
      <c r="I97" s="147" t="str">
        <f t="shared" si="21"/>
        <v/>
      </c>
      <c r="J97" s="147" t="str">
        <f t="shared" si="21"/>
        <v/>
      </c>
      <c r="K97" s="147" t="str">
        <f t="shared" si="21"/>
        <v/>
      </c>
      <c r="L97" s="147" t="str">
        <f t="shared" si="21"/>
        <v/>
      </c>
      <c r="M97" s="147" t="str">
        <f t="shared" si="21"/>
        <v/>
      </c>
      <c r="N97" s="147" t="str">
        <f t="shared" si="21"/>
        <v/>
      </c>
      <c r="O97" s="147" t="str">
        <f t="shared" si="21"/>
        <v/>
      </c>
      <c r="P97" s="147" t="str">
        <f t="shared" si="21"/>
        <v/>
      </c>
      <c r="Q97" s="119"/>
      <c r="R97" s="119"/>
      <c r="S97" s="119"/>
      <c r="T97" s="119"/>
    </row>
    <row r="98" spans="2:20">
      <c r="N98" s="119"/>
      <c r="O98" s="119"/>
      <c r="P98" s="119"/>
      <c r="Q98" s="119"/>
      <c r="R98" s="119"/>
      <c r="S98" s="119"/>
      <c r="T98" s="119"/>
    </row>
    <row r="99" spans="2:20">
      <c r="N99" s="119"/>
      <c r="O99" s="119"/>
      <c r="P99" s="119"/>
      <c r="Q99" s="119"/>
      <c r="R99" s="119"/>
      <c r="S99" s="119"/>
      <c r="T99" s="119"/>
    </row>
    <row r="100" spans="2:20">
      <c r="B100" s="1297" t="s">
        <v>162</v>
      </c>
      <c r="N100" s="119"/>
      <c r="O100" s="119"/>
      <c r="P100" s="119"/>
      <c r="Q100" s="124"/>
      <c r="R100" s="119"/>
      <c r="T100" s="119"/>
    </row>
    <row r="101" spans="2:20">
      <c r="Q101" s="133"/>
    </row>
    <row r="129" spans="10:10">
      <c r="J129" s="134"/>
    </row>
    <row r="150" spans="1:19" ht="44.25" customHeight="1"/>
    <row r="151" spans="1:19">
      <c r="B151" s="1916" t="s">
        <v>163</v>
      </c>
      <c r="C151" s="1916"/>
      <c r="D151" s="1916"/>
      <c r="E151" s="1916"/>
      <c r="F151" s="1916"/>
      <c r="G151" s="1916"/>
      <c r="H151" s="1916"/>
      <c r="I151" s="1916"/>
      <c r="J151" s="1916"/>
      <c r="K151" s="1916"/>
      <c r="L151" s="1916"/>
      <c r="M151" s="1916"/>
      <c r="N151" s="1916"/>
      <c r="O151" s="1916"/>
      <c r="P151" s="1916"/>
      <c r="Q151" s="1916"/>
      <c r="R151" s="1916"/>
    </row>
    <row r="152" spans="1:19">
      <c r="B152" s="1916"/>
      <c r="C152" s="1916"/>
      <c r="D152" s="1916"/>
      <c r="E152" s="1916"/>
      <c r="F152" s="1916"/>
      <c r="G152" s="1916"/>
      <c r="H152" s="1916"/>
      <c r="I152" s="1916"/>
      <c r="J152" s="1916"/>
      <c r="K152" s="1916"/>
      <c r="L152" s="1916"/>
      <c r="M152" s="1916"/>
      <c r="N152" s="1916"/>
      <c r="O152" s="1916"/>
      <c r="P152" s="1916"/>
      <c r="Q152" s="1916"/>
      <c r="R152" s="1916"/>
    </row>
    <row r="153" spans="1:19" ht="15.75">
      <c r="A153" s="119"/>
      <c r="B153" s="135"/>
      <c r="C153" s="135"/>
      <c r="D153" s="135"/>
      <c r="E153" s="135"/>
      <c r="F153" s="135"/>
      <c r="G153" s="135"/>
      <c r="H153" s="135"/>
      <c r="I153" s="135"/>
      <c r="J153" s="135"/>
      <c r="K153" s="135"/>
      <c r="L153" s="135"/>
      <c r="M153" s="135"/>
      <c r="N153" s="135"/>
      <c r="O153" s="135"/>
      <c r="P153" s="135"/>
      <c r="Q153" s="135"/>
      <c r="R153" s="135"/>
      <c r="S153" s="119"/>
    </row>
    <row r="154" spans="1:19" ht="15.75">
      <c r="A154" s="119"/>
      <c r="B154" s="847" t="str">
        <f>Lang.!B223</f>
        <v>Balance Sheet</v>
      </c>
      <c r="C154" s="121"/>
      <c r="D154" s="141">
        <f>+E154-1</f>
        <v>2022</v>
      </c>
      <c r="E154" s="141">
        <f>+F154-1</f>
        <v>2023</v>
      </c>
      <c r="F154" s="142">
        <f>Eckdaten!$C$12</f>
        <v>2024</v>
      </c>
      <c r="G154" s="143">
        <f>+F154+1</f>
        <v>2025</v>
      </c>
      <c r="H154" s="1492">
        <f>IF(Eckdaten!$C$20+Eckdaten!$C$12&gt;G154,G154+1," ")</f>
        <v>2026</v>
      </c>
      <c r="I154" s="1492">
        <f>IF(Eckdaten!$C$20+Eckdaten!$C$12&gt;H154,H154+1," ")</f>
        <v>2027</v>
      </c>
      <c r="J154" s="1492">
        <f>IF(Eckdaten!$C$20+Eckdaten!$C$12&gt;I154,I154+1," ")</f>
        <v>2028</v>
      </c>
      <c r="K154" s="1492">
        <f>IF(Eckdaten!$C$20+Eckdaten!$C$12&gt;J154,J154+1," ")</f>
        <v>2029</v>
      </c>
      <c r="L154" s="1492" t="str">
        <f>IF(Eckdaten!$C$20+Eckdaten!$C$12&gt;K154,K154+1," ")</f>
        <v xml:space="preserve"> </v>
      </c>
      <c r="M154" s="1492" t="str">
        <f>IF(Eckdaten!$C$20+Eckdaten!$C$12&gt;L154,L154+1," ")</f>
        <v xml:space="preserve"> </v>
      </c>
      <c r="N154" s="1492" t="str">
        <f>IF(Eckdaten!$C$20+Eckdaten!$C$12&gt;M154,M154+1," ")</f>
        <v xml:space="preserve"> </v>
      </c>
      <c r="O154" s="1492" t="str">
        <f>IF(Eckdaten!$C$20+Eckdaten!$C$12&gt;N154,N154+1," ")</f>
        <v xml:space="preserve"> </v>
      </c>
      <c r="P154" s="1492" t="str">
        <f>IF(Eckdaten!$C$20+Eckdaten!$C$12&gt;O154,O154+1," ")</f>
        <v xml:space="preserve"> </v>
      </c>
      <c r="Q154" s="136"/>
      <c r="R154" s="136"/>
      <c r="S154" s="119"/>
    </row>
    <row r="155" spans="1:19" ht="15.75">
      <c r="A155" s="119"/>
      <c r="B155" s="848" t="str">
        <f>"in T"&amp;Eckdaten!$C$14</f>
        <v>in TEUR</v>
      </c>
      <c r="C155" s="126"/>
      <c r="D155" s="144" t="str">
        <f>D154&amp;"A"</f>
        <v>2022A</v>
      </c>
      <c r="E155" s="144" t="str">
        <f>E154&amp;"A"</f>
        <v>2023A</v>
      </c>
      <c r="F155" s="144" t="str">
        <f>F154&amp;"A"</f>
        <v>2024A</v>
      </c>
      <c r="G155" s="145" t="str">
        <f>G154&amp;"FC"</f>
        <v>2025FC</v>
      </c>
      <c r="H155" s="1493" t="str">
        <f t="shared" ref="H155:P155" si="22">H154&amp;"P"</f>
        <v>2026P</v>
      </c>
      <c r="I155" s="1493" t="str">
        <f t="shared" si="22"/>
        <v>2027P</v>
      </c>
      <c r="J155" s="1493" t="str">
        <f t="shared" si="22"/>
        <v>2028P</v>
      </c>
      <c r="K155" s="1493" t="str">
        <f t="shared" si="22"/>
        <v>2029P</v>
      </c>
      <c r="L155" s="1493" t="str">
        <f t="shared" si="22"/>
        <v xml:space="preserve"> P</v>
      </c>
      <c r="M155" s="1493" t="str">
        <f t="shared" si="22"/>
        <v xml:space="preserve"> P</v>
      </c>
      <c r="N155" s="1493" t="str">
        <f t="shared" si="22"/>
        <v xml:space="preserve"> P</v>
      </c>
      <c r="O155" s="1493" t="str">
        <f t="shared" si="22"/>
        <v xml:space="preserve"> P</v>
      </c>
      <c r="P155" s="1493" t="str">
        <f t="shared" si="22"/>
        <v xml:space="preserve"> P</v>
      </c>
      <c r="Q155" s="136"/>
      <c r="R155" s="136"/>
      <c r="S155" s="119"/>
    </row>
    <row r="156" spans="1:19" ht="15.75">
      <c r="A156" s="119"/>
      <c r="B156" s="136"/>
      <c r="C156" s="136"/>
      <c r="D156" s="136"/>
      <c r="E156" s="136"/>
      <c r="F156" s="136"/>
      <c r="G156" s="136"/>
      <c r="H156" s="136"/>
      <c r="I156" s="136"/>
      <c r="J156" s="136"/>
      <c r="K156" s="136"/>
      <c r="L156" s="136"/>
      <c r="M156" s="136"/>
      <c r="N156" s="136"/>
      <c r="O156" s="136"/>
      <c r="P156" s="136"/>
      <c r="Q156" s="136"/>
      <c r="R156" s="136"/>
      <c r="S156" s="119"/>
    </row>
    <row r="157" spans="1:19" ht="15.75">
      <c r="A157" s="119"/>
      <c r="B157" s="860" t="str">
        <f>Akt.!B28</f>
        <v>I. Inventories</v>
      </c>
      <c r="C157" s="137"/>
      <c r="D157" s="1269">
        <f>IFERROR(Akt.!E28/1000,"")</f>
        <v>144.37078197615682</v>
      </c>
      <c r="E157" s="1269">
        <f>IFERROR(Akt.!F28/1000,"")</f>
        <v>133.18753768844221</v>
      </c>
      <c r="F157" s="1269">
        <f>IFERROR(Akt.!G28/1000,"")</f>
        <v>141.27121029352634</v>
      </c>
      <c r="G157" s="1269" t="str">
        <f>IFERROR(Akt.!H28/1000,"")</f>
        <v/>
      </c>
      <c r="H157" s="1269">
        <f>IFERROR(Akt.!I28/1000,"")</f>
        <v>0</v>
      </c>
      <c r="I157" s="1269">
        <f>IFERROR(Akt.!J28/1000,"")</f>
        <v>0</v>
      </c>
      <c r="J157" s="1269">
        <f>IFERROR(Akt.!K28/1000,"")</f>
        <v>0</v>
      </c>
      <c r="K157" s="1269">
        <f>IFERROR(Akt.!L28/1000,"")</f>
        <v>0</v>
      </c>
      <c r="L157" s="1269">
        <f>IFERROR(Akt.!M28/1000,"")</f>
        <v>0</v>
      </c>
      <c r="M157" s="1269">
        <f>IFERROR(Akt.!N28/1000,"")</f>
        <v>0</v>
      </c>
      <c r="N157" s="1269">
        <f>IFERROR(Akt.!O28/1000,"")</f>
        <v>0</v>
      </c>
      <c r="O157" s="1269">
        <f>IFERROR(Akt.!P28/1000,"")</f>
        <v>0</v>
      </c>
      <c r="P157" s="1269">
        <f>IFERROR(Akt.!Q28/1000,"")</f>
        <v>0</v>
      </c>
      <c r="Q157" s="136"/>
      <c r="R157" s="136"/>
      <c r="S157" s="119"/>
    </row>
    <row r="158" spans="1:19" ht="15.75">
      <c r="A158" s="119"/>
      <c r="B158" s="861" t="str">
        <f>Akt.!B29</f>
        <v>1. Raw Materials and Supplies</v>
      </c>
      <c r="C158" s="137"/>
      <c r="D158" s="1269">
        <f>IFERROR(Akt.!E29/1000,"")</f>
        <v>144.37078197615682</v>
      </c>
      <c r="E158" s="1269">
        <f>IFERROR(Akt.!F29/1000,"")</f>
        <v>133.18753768844221</v>
      </c>
      <c r="F158" s="1269">
        <f>IFERROR(Akt.!G29/1000,"")</f>
        <v>141.27121029352634</v>
      </c>
      <c r="G158" s="1269" t="str">
        <f>IFERROR(Akt.!H29/1000,"")</f>
        <v/>
      </c>
      <c r="H158" s="1269">
        <f>IFERROR(Akt.!I29/1000,"")</f>
        <v>0</v>
      </c>
      <c r="I158" s="1269">
        <f>IFERROR(Akt.!J29/1000,"")</f>
        <v>0</v>
      </c>
      <c r="J158" s="1269">
        <f>IFERROR(Akt.!K29/1000,"")</f>
        <v>0</v>
      </c>
      <c r="K158" s="1269">
        <f>IFERROR(Akt.!L29/1000,"")</f>
        <v>0</v>
      </c>
      <c r="L158" s="1269" t="str">
        <f>IFERROR(Akt.!M29/1000,"")</f>
        <v/>
      </c>
      <c r="M158" s="1269" t="str">
        <f>IFERROR(Akt.!N29/1000,"")</f>
        <v/>
      </c>
      <c r="N158" s="1269" t="str">
        <f>IFERROR(Akt.!O29/1000,"")</f>
        <v/>
      </c>
      <c r="O158" s="1269" t="str">
        <f>IFERROR(Akt.!P29/1000,"")</f>
        <v/>
      </c>
      <c r="P158" s="1269" t="str">
        <f>IFERROR(Akt.!Q29/1000,"")</f>
        <v/>
      </c>
      <c r="Q158" s="136"/>
      <c r="R158" s="136"/>
      <c r="S158" s="119"/>
    </row>
    <row r="159" spans="1:19" ht="15.75">
      <c r="A159" s="119"/>
      <c r="B159" s="861" t="str">
        <f>Akt.!B30</f>
        <v>2. Unfinished Goods and Services</v>
      </c>
      <c r="C159" s="137"/>
      <c r="D159" s="1269">
        <f>IFERROR(Akt.!E30/1000,"")</f>
        <v>0</v>
      </c>
      <c r="E159" s="1269">
        <f>IFERROR(Akt.!F30/1000,"")</f>
        <v>0</v>
      </c>
      <c r="F159" s="1269">
        <f>IFERROR(Akt.!G30/1000,"")</f>
        <v>0</v>
      </c>
      <c r="G159" s="1269" t="str">
        <f>IFERROR(Akt.!H30/1000,"")</f>
        <v/>
      </c>
      <c r="H159" s="1269">
        <f>IFERROR(Akt.!I30/1000,"")</f>
        <v>0</v>
      </c>
      <c r="I159" s="1269">
        <f>IFERROR(Akt.!J30/1000,"")</f>
        <v>0</v>
      </c>
      <c r="J159" s="1269">
        <f>IFERROR(Akt.!K30/1000,"")</f>
        <v>0</v>
      </c>
      <c r="K159" s="1269">
        <f>IFERROR(Akt.!L30/1000,"")</f>
        <v>0</v>
      </c>
      <c r="L159" s="1269" t="str">
        <f>IFERROR(Akt.!M30/1000,"")</f>
        <v/>
      </c>
      <c r="M159" s="1269" t="str">
        <f>IFERROR(Akt.!N30/1000,"")</f>
        <v/>
      </c>
      <c r="N159" s="1269" t="str">
        <f>IFERROR(Akt.!O30/1000,"")</f>
        <v/>
      </c>
      <c r="O159" s="1269" t="str">
        <f>IFERROR(Akt.!P30/1000,"")</f>
        <v/>
      </c>
      <c r="P159" s="1269" t="str">
        <f>IFERROR(Akt.!Q30/1000,"")</f>
        <v/>
      </c>
      <c r="Q159" s="136"/>
      <c r="R159" s="136"/>
      <c r="S159" s="119"/>
    </row>
    <row r="160" spans="1:19" ht="15.75">
      <c r="A160" s="119"/>
      <c r="B160" s="861" t="str">
        <f>Akt.!B31</f>
        <v>3. Finished products and Goods</v>
      </c>
      <c r="C160" s="137"/>
      <c r="D160" s="1269">
        <f>IFERROR(Akt.!E31/1000,"")</f>
        <v>0</v>
      </c>
      <c r="E160" s="1269">
        <f>IFERROR(Akt.!F31/1000,"")</f>
        <v>0</v>
      </c>
      <c r="F160" s="1269">
        <f>IFERROR(Akt.!G31/1000,"")</f>
        <v>0</v>
      </c>
      <c r="G160" s="1269" t="str">
        <f>IFERROR(Akt.!H31/1000,"")</f>
        <v/>
      </c>
      <c r="H160" s="1269">
        <f>IFERROR(Akt.!I31/1000,"")</f>
        <v>0</v>
      </c>
      <c r="I160" s="1269">
        <f>IFERROR(Akt.!J31/1000,"")</f>
        <v>0</v>
      </c>
      <c r="J160" s="1269">
        <f>IFERROR(Akt.!K31/1000,"")</f>
        <v>0</v>
      </c>
      <c r="K160" s="1269">
        <f>IFERROR(Akt.!L31/1000,"")</f>
        <v>0</v>
      </c>
      <c r="L160" s="1269" t="str">
        <f>IFERROR(Akt.!M31/1000,"")</f>
        <v/>
      </c>
      <c r="M160" s="1269" t="str">
        <f>IFERROR(Akt.!N31/1000,"")</f>
        <v/>
      </c>
      <c r="N160" s="1269" t="str">
        <f>IFERROR(Akt.!O31/1000,"")</f>
        <v/>
      </c>
      <c r="O160" s="1269" t="str">
        <f>IFERROR(Akt.!P31/1000,"")</f>
        <v/>
      </c>
      <c r="P160" s="1269" t="str">
        <f>IFERROR(Akt.!Q31/1000,"")</f>
        <v/>
      </c>
      <c r="Q160" s="136"/>
      <c r="R160" s="136"/>
      <c r="S160" s="119"/>
    </row>
    <row r="161" spans="1:19" ht="15.75">
      <c r="A161" s="119"/>
      <c r="B161" s="861" t="str">
        <f>Akt.!B32</f>
        <v>4. Advance Payments Made</v>
      </c>
      <c r="C161" s="137"/>
      <c r="D161" s="1269">
        <f>IFERROR(Akt.!E32/1000,"")</f>
        <v>0</v>
      </c>
      <c r="E161" s="1269">
        <f>IFERROR(Akt.!F32/1000,"")</f>
        <v>0</v>
      </c>
      <c r="F161" s="1269">
        <f>IFERROR(Akt.!G32/1000,"")</f>
        <v>0</v>
      </c>
      <c r="G161" s="1269" t="str">
        <f>IFERROR(Akt.!H32/1000,"")</f>
        <v/>
      </c>
      <c r="H161" s="1269">
        <f>IFERROR(Akt.!I32/1000,"")</f>
        <v>0</v>
      </c>
      <c r="I161" s="1269">
        <f>IFERROR(Akt.!J32/1000,"")</f>
        <v>0</v>
      </c>
      <c r="J161" s="1269">
        <f>IFERROR(Akt.!K32/1000,"")</f>
        <v>0</v>
      </c>
      <c r="K161" s="1269">
        <f>IFERROR(Akt.!L32/1000,"")</f>
        <v>0</v>
      </c>
      <c r="L161" s="1269" t="str">
        <f>IFERROR(Akt.!M32/1000,"")</f>
        <v/>
      </c>
      <c r="M161" s="1269" t="str">
        <f>IFERROR(Akt.!N32/1000,"")</f>
        <v/>
      </c>
      <c r="N161" s="1269" t="str">
        <f>IFERROR(Akt.!O32/1000,"")</f>
        <v/>
      </c>
      <c r="O161" s="1269" t="str">
        <f>IFERROR(Akt.!P32/1000,"")</f>
        <v/>
      </c>
      <c r="P161" s="1269" t="str">
        <f>IFERROR(Akt.!Q32/1000,"")</f>
        <v/>
      </c>
      <c r="Q161" s="136"/>
      <c r="R161" s="136"/>
      <c r="S161" s="119"/>
    </row>
    <row r="162" spans="1:19" ht="15.75">
      <c r="A162" s="119"/>
      <c r="B162" s="136"/>
      <c r="C162" s="136"/>
      <c r="D162" s="1270"/>
      <c r="E162" s="1270"/>
      <c r="F162" s="1270"/>
      <c r="G162" s="1270"/>
      <c r="H162" s="1270"/>
      <c r="I162" s="1270"/>
      <c r="J162" s="1270"/>
      <c r="K162" s="1270"/>
      <c r="L162" s="1270"/>
      <c r="M162" s="1270"/>
      <c r="N162" s="1270"/>
      <c r="O162" s="1270"/>
      <c r="P162" s="1270"/>
      <c r="Q162" s="136"/>
      <c r="R162" s="136"/>
      <c r="S162" s="119"/>
    </row>
    <row r="163" spans="1:19">
      <c r="A163" s="119"/>
      <c r="B163" s="862" t="str">
        <f>'WC&amp;ND'!B13</f>
        <v>Trade Working Capital</v>
      </c>
      <c r="C163" s="138"/>
      <c r="D163" s="1269">
        <f>IFERROR('WC&amp;ND'!E13/1000,"")</f>
        <v>3266.3429449124797</v>
      </c>
      <c r="E163" s="1269" t="str">
        <f>IFERROR('WC&amp;ND'!F13/1000,"")</f>
        <v/>
      </c>
      <c r="F163" s="1269">
        <f>IFERROR('WC&amp;ND'!G13/1000,"")</f>
        <v>2388.2515078407723</v>
      </c>
      <c r="G163" s="1269" t="str">
        <f>IFERROR('WC&amp;ND'!H13/1000,"")</f>
        <v/>
      </c>
      <c r="H163" s="1269">
        <f>IFERROR('WC&amp;ND'!I13/1000,"")</f>
        <v>0</v>
      </c>
      <c r="I163" s="1269">
        <f>IFERROR('WC&amp;ND'!J13/1000,"")</f>
        <v>0</v>
      </c>
      <c r="J163" s="1269">
        <f>IFERROR('WC&amp;ND'!K13/1000,"")</f>
        <v>0</v>
      </c>
      <c r="K163" s="1269">
        <f>IFERROR('WC&amp;ND'!L13/1000,"")</f>
        <v>0</v>
      </c>
      <c r="L163" s="1269" t="str">
        <f>IFERROR('WC&amp;ND'!M13/1000,"")</f>
        <v/>
      </c>
      <c r="M163" s="1269" t="str">
        <f>IFERROR('WC&amp;ND'!N13/1000,"")</f>
        <v/>
      </c>
      <c r="N163" s="1269" t="str">
        <f>IFERROR('WC&amp;ND'!O13/1000,"")</f>
        <v/>
      </c>
      <c r="O163" s="1269" t="str">
        <f>IFERROR('WC&amp;ND'!P13/1000,"")</f>
        <v/>
      </c>
      <c r="P163" s="1269" t="str">
        <f>IFERROR('WC&amp;ND'!Q13/1000,"")</f>
        <v/>
      </c>
      <c r="Q163" s="138"/>
      <c r="R163" s="138"/>
      <c r="S163" s="138"/>
    </row>
    <row r="164" spans="1:19">
      <c r="A164" s="119"/>
      <c r="B164" s="861" t="str">
        <f>'WC&amp;ND'!B7</f>
        <v>( + ) Inventories</v>
      </c>
      <c r="C164" s="138"/>
      <c r="D164" s="1269">
        <f>IFERROR('WC&amp;ND'!E7/1000,"")</f>
        <v>144.37078197615682</v>
      </c>
      <c r="E164" s="1269">
        <f>IFERROR('WC&amp;ND'!F7/1000,"")</f>
        <v>133.18753768844221</v>
      </c>
      <c r="F164" s="1269">
        <f>IFERROR('WC&amp;ND'!G7/1000,"")</f>
        <v>141.27121029352634</v>
      </c>
      <c r="G164" s="1269" t="str">
        <f>IFERROR('WC&amp;ND'!H7/1000,"")</f>
        <v/>
      </c>
      <c r="H164" s="1269">
        <f>IFERROR('WC&amp;ND'!I7/1000,"")</f>
        <v>0</v>
      </c>
      <c r="I164" s="1269">
        <f>IFERROR('WC&amp;ND'!J7/1000,"")</f>
        <v>0</v>
      </c>
      <c r="J164" s="1269">
        <f>IFERROR('WC&amp;ND'!K7/1000,"")</f>
        <v>0</v>
      </c>
      <c r="K164" s="1269">
        <f>IFERROR('WC&amp;ND'!L7/1000,"")</f>
        <v>0</v>
      </c>
      <c r="L164" s="1269" t="str">
        <f>IFERROR('WC&amp;ND'!M7/1000,"")</f>
        <v/>
      </c>
      <c r="M164" s="1269" t="str">
        <f>IFERROR('WC&amp;ND'!N7/1000,"")</f>
        <v/>
      </c>
      <c r="N164" s="1269" t="str">
        <f>IFERROR('WC&amp;ND'!O7/1000,"")</f>
        <v/>
      </c>
      <c r="O164" s="1269" t="str">
        <f>IFERROR('WC&amp;ND'!P7/1000,"")</f>
        <v/>
      </c>
      <c r="P164" s="1269" t="str">
        <f>IFERROR('WC&amp;ND'!Q7/1000,"")</f>
        <v/>
      </c>
      <c r="Q164" s="138"/>
      <c r="R164" s="138"/>
      <c r="S164" s="138"/>
    </row>
    <row r="165" spans="1:19">
      <c r="A165" s="119"/>
      <c r="B165" s="861" t="str">
        <f>'WC&amp;ND'!B8</f>
        <v>( + ) Trade receivables</v>
      </c>
      <c r="C165" s="138"/>
      <c r="D165" s="1269">
        <f>IFERROR('WC&amp;ND'!E8/1000,"")</f>
        <v>6410.4427157001419</v>
      </c>
      <c r="E165" s="1269">
        <f>IFERROR('WC&amp;ND'!F8/1000,"")</f>
        <v>5777.0556783919601</v>
      </c>
      <c r="F165" s="1269">
        <f>IFERROR('WC&amp;ND'!G8/1000,"")</f>
        <v>5051.4991958182545</v>
      </c>
      <c r="G165" s="1269">
        <f>IFERROR('WC&amp;ND'!H8/1000,"")</f>
        <v>5443.1561619286913</v>
      </c>
      <c r="H165" s="1269">
        <f>IFERROR('WC&amp;ND'!I8/1000,"")</f>
        <v>0</v>
      </c>
      <c r="I165" s="1269">
        <f>IFERROR('WC&amp;ND'!J8/1000,"")</f>
        <v>0</v>
      </c>
      <c r="J165" s="1269">
        <f>IFERROR('WC&amp;ND'!K8/1000,"")</f>
        <v>0</v>
      </c>
      <c r="K165" s="1269">
        <f>IFERROR('WC&amp;ND'!L8/1000,"")</f>
        <v>0</v>
      </c>
      <c r="L165" s="1269" t="str">
        <f>IFERROR('WC&amp;ND'!M8/1000,"")</f>
        <v/>
      </c>
      <c r="M165" s="1269" t="str">
        <f>IFERROR('WC&amp;ND'!N8/1000,"")</f>
        <v/>
      </c>
      <c r="N165" s="1269" t="str">
        <f>IFERROR('WC&amp;ND'!O8/1000,"")</f>
        <v/>
      </c>
      <c r="O165" s="1269" t="str">
        <f>IFERROR('WC&amp;ND'!P8/1000,"")</f>
        <v/>
      </c>
      <c r="P165" s="1269" t="str">
        <f>IFERROR('WC&amp;ND'!Q8/1000,"")</f>
        <v/>
      </c>
      <c r="Q165" s="138"/>
      <c r="R165" s="138"/>
      <c r="S165" s="138"/>
    </row>
    <row r="166" spans="1:19">
      <c r="B166" s="861" t="str">
        <f>'WC&amp;ND'!B10</f>
        <v>( - ) Trade Payables</v>
      </c>
      <c r="C166" s="138"/>
      <c r="D166" s="1269">
        <f>IFERROR('WC&amp;ND'!E10/1000,"")</f>
        <v>-3288.4705527638193</v>
      </c>
      <c r="E166" s="1269" t="str">
        <f>IFERROR('WC&amp;ND'!F10/1000,"")</f>
        <v/>
      </c>
      <c r="F166" s="1269">
        <f>IFERROR('WC&amp;ND'!G10/1000,"")</f>
        <v>-2804.5188982710092</v>
      </c>
      <c r="G166" s="1269" t="str">
        <f>IFERROR('WC&amp;ND'!H10/1000,"")</f>
        <v/>
      </c>
      <c r="H166" s="1269">
        <f>IFERROR('WC&amp;ND'!I10/1000,"")</f>
        <v>0</v>
      </c>
      <c r="I166" s="1269">
        <f>IFERROR('WC&amp;ND'!J10/1000,"")</f>
        <v>0</v>
      </c>
      <c r="J166" s="1269">
        <f>IFERROR('WC&amp;ND'!K10/1000,"")</f>
        <v>0</v>
      </c>
      <c r="K166" s="1269">
        <f>IFERROR('WC&amp;ND'!L10/1000,"")</f>
        <v>0</v>
      </c>
      <c r="L166" s="1269" t="str">
        <f>IFERROR('WC&amp;ND'!M10/1000,"")</f>
        <v/>
      </c>
      <c r="M166" s="1269" t="str">
        <f>IFERROR('WC&amp;ND'!N10/1000,"")</f>
        <v/>
      </c>
      <c r="N166" s="1269" t="str">
        <f>IFERROR('WC&amp;ND'!O10/1000,"")</f>
        <v/>
      </c>
      <c r="O166" s="1269" t="str">
        <f>IFERROR('WC&amp;ND'!P10/1000,"")</f>
        <v/>
      </c>
      <c r="P166" s="1269" t="str">
        <f>IFERROR('WC&amp;ND'!Q10/1000,"")</f>
        <v/>
      </c>
      <c r="Q166" s="138"/>
      <c r="R166" s="138"/>
      <c r="S166" s="138"/>
    </row>
    <row r="167" spans="1:19">
      <c r="B167" s="861" t="str">
        <f>Lang.!B195</f>
        <v>( - )  NWC adjustments</v>
      </c>
      <c r="C167" s="138"/>
      <c r="D167" s="1269">
        <f>IFERROR('WC&amp;ND'!E11/1000,"")</f>
        <v>0</v>
      </c>
      <c r="E167" s="1269" t="str">
        <f>IFERROR('WC&amp;ND'!F11/1000,"")</f>
        <v/>
      </c>
      <c r="F167" s="1269">
        <f>IFERROR('WC&amp;ND'!G11/1000,"")</f>
        <v>0</v>
      </c>
      <c r="G167" s="1269">
        <f>IFERROR('WC&amp;ND'!H11/1000,"")</f>
        <v>0</v>
      </c>
      <c r="H167" s="1269">
        <f>IFERROR('WC&amp;ND'!I11/1000,"")</f>
        <v>0</v>
      </c>
      <c r="I167" s="1269">
        <f>IFERROR('WC&amp;ND'!J11/1000,"")</f>
        <v>0</v>
      </c>
      <c r="J167" s="1269">
        <f>IFERROR('WC&amp;ND'!K11/1000,"")</f>
        <v>0</v>
      </c>
      <c r="K167" s="1269">
        <f>IFERROR('WC&amp;ND'!L11/1000,"")</f>
        <v>0</v>
      </c>
      <c r="L167" s="1269" t="str">
        <f>IFERROR('WC&amp;ND'!M11/1000,"")</f>
        <v/>
      </c>
      <c r="M167" s="1269" t="str">
        <f>IFERROR('WC&amp;ND'!N11/1000,"")</f>
        <v/>
      </c>
      <c r="N167" s="1269" t="str">
        <f>IFERROR('WC&amp;ND'!O11/1000,"")</f>
        <v/>
      </c>
      <c r="O167" s="1269" t="str">
        <f>IFERROR('WC&amp;ND'!P11/1000,"")</f>
        <v/>
      </c>
      <c r="P167" s="1269" t="str">
        <f>IFERROR('WC&amp;ND'!Q11/1000,"")</f>
        <v/>
      </c>
      <c r="Q167" s="138"/>
      <c r="R167" s="138"/>
      <c r="S167" s="138"/>
    </row>
    <row r="168" spans="1:19">
      <c r="D168" s="1271"/>
      <c r="E168" s="1271"/>
      <c r="F168" s="1271"/>
      <c r="G168" s="1271"/>
      <c r="H168" s="1271"/>
      <c r="I168" s="1271"/>
      <c r="J168" s="1271"/>
      <c r="K168" s="1271"/>
      <c r="L168" s="1271"/>
      <c r="M168" s="1271"/>
      <c r="N168" s="1271"/>
      <c r="O168" s="1271"/>
      <c r="P168" s="1271"/>
    </row>
    <row r="169" spans="1:19" s="125" customFormat="1">
      <c r="B169" s="125" t="str">
        <f>'G&amp;V'!B41</f>
        <v>EBITDA (reported)</v>
      </c>
      <c r="D169" s="1268">
        <f>IFERROR('G&amp;V'!E41/1000,"")</f>
        <v>2496.1454839361495</v>
      </c>
      <c r="E169" s="1268">
        <f>IFERROR('G&amp;V'!F41/1000,"")</f>
        <v>1744.0484422110469</v>
      </c>
      <c r="F169" s="1268">
        <f>IFERROR('G&amp;V'!G41/1000,"")</f>
        <v>551.87153196622432</v>
      </c>
      <c r="G169" s="1268">
        <f>IFERROR('G&amp;V'!H41/1000,"")</f>
        <v>971.54861223384364</v>
      </c>
      <c r="H169" s="1268">
        <f>IFERROR('G&amp;V'!I41/1000,"")</f>
        <v>0</v>
      </c>
      <c r="I169" s="1268">
        <f>IFERROR('G&amp;V'!J41/1000,"")</f>
        <v>0</v>
      </c>
      <c r="J169" s="1268">
        <f>IFERROR('G&amp;V'!K41/1000,"")</f>
        <v>0</v>
      </c>
      <c r="K169" s="1268">
        <f>IFERROR('G&amp;V'!L41/1000,"")</f>
        <v>0</v>
      </c>
      <c r="L169" s="1268" t="str">
        <f>IFERROR('G&amp;V'!M41/1000,"")</f>
        <v/>
      </c>
      <c r="M169" s="1268" t="str">
        <f>IFERROR('G&amp;V'!N41/1000,"")</f>
        <v/>
      </c>
      <c r="N169" s="1268" t="str">
        <f>IFERROR('G&amp;V'!O41/1000,"")</f>
        <v/>
      </c>
      <c r="O169" s="1268" t="str">
        <f>IFERROR('G&amp;V'!P41/1000,"")</f>
        <v/>
      </c>
      <c r="P169" s="1268" t="str">
        <f>IFERROR('G&amp;V'!Q41/1000,"")</f>
        <v/>
      </c>
    </row>
    <row r="170" spans="1:19">
      <c r="B170" s="125"/>
    </row>
    <row r="171" spans="1:19">
      <c r="B171" s="867" t="str">
        <f>Lang.!B257</f>
        <v>Debt-equity ratio &amp; interest cover</v>
      </c>
      <c r="C171" s="868"/>
      <c r="D171" s="868"/>
      <c r="E171" s="868"/>
      <c r="F171" s="868"/>
      <c r="G171" s="868"/>
      <c r="H171" s="868"/>
      <c r="I171" s="868"/>
      <c r="J171" s="868"/>
      <c r="K171" s="868"/>
      <c r="L171" s="868"/>
      <c r="M171" s="868"/>
      <c r="N171" s="868"/>
      <c r="O171" s="868"/>
      <c r="P171" s="868"/>
      <c r="Q171" s="858"/>
      <c r="R171" s="858"/>
    </row>
    <row r="172" spans="1:19">
      <c r="B172" s="869" t="str">
        <f>Lang.!B258</f>
        <v>Cash and cash equivalents</v>
      </c>
      <c r="C172" s="858"/>
      <c r="D172" s="1214">
        <f>IFERROR(Akt.!E41/1000,"")</f>
        <v>3309.3180440493029</v>
      </c>
      <c r="E172" s="1214">
        <f>IFERROR(Akt.!F41/1000,"")</f>
        <v>1087.2637185929648</v>
      </c>
      <c r="F172" s="1214">
        <f>IFERROR(Akt.!G41/1000,"")</f>
        <v>1272.3543003618818</v>
      </c>
      <c r="G172" s="1214" t="str">
        <f>IFERROR(Akt.!H41/1000,"")</f>
        <v/>
      </c>
      <c r="H172" s="1214">
        <f>IFERROR(Akt.!I41/1000,"")</f>
        <v>0</v>
      </c>
      <c r="I172" s="1214">
        <f>IFERROR(Akt.!J41/1000,"")</f>
        <v>0</v>
      </c>
      <c r="J172" s="1214">
        <f>IFERROR(Akt.!K41/1000,"")</f>
        <v>0</v>
      </c>
      <c r="K172" s="1214">
        <f>IFERROR(Akt.!L41/1000,"")</f>
        <v>0</v>
      </c>
      <c r="L172" s="1214" t="str">
        <f>IFERROR(Akt.!M41/1000,"")</f>
        <v/>
      </c>
      <c r="M172" s="1214" t="str">
        <f>IFERROR(Akt.!N41/1000,"")</f>
        <v/>
      </c>
      <c r="N172" s="1214" t="str">
        <f>IFERROR(Akt.!O41/1000,"")</f>
        <v/>
      </c>
      <c r="O172" s="1214" t="str">
        <f>IFERROR(Akt.!P41/1000,"")</f>
        <v/>
      </c>
      <c r="P172" s="1214" t="str">
        <f>IFERROR(Akt.!Q41/1000,"")</f>
        <v/>
      </c>
      <c r="Q172" s="858"/>
      <c r="R172" s="858"/>
    </row>
    <row r="173" spans="1:19">
      <c r="B173" s="869" t="str">
        <f>Lang.!B259</f>
        <v>Bank debt</v>
      </c>
      <c r="C173" s="858"/>
      <c r="D173" s="1214">
        <f>IFERROR((Pas.!E22+Pas.!F23)/1000,"")</f>
        <v>11663.180100502514</v>
      </c>
      <c r="E173" s="1214" t="str">
        <f>IFERROR((Pas.!F22+Pas.!#REF!)/1000,"")</f>
        <v/>
      </c>
      <c r="F173" s="1214">
        <f>IFERROR((Pas.!G22+Pas.!G23)/1000,"")</f>
        <v>8608.8242862887018</v>
      </c>
      <c r="G173" s="1214">
        <f>IFERROR((Pas.!H22+Pas.!H23)/1000,"")</f>
        <v>10776.564614694453</v>
      </c>
      <c r="H173" s="1214">
        <f>IFERROR((Pas.!I22+Pas.!I23)/1000,"")</f>
        <v>0</v>
      </c>
      <c r="I173" s="1214">
        <f>IFERROR((Pas.!J22+Pas.!J23)/1000,"")</f>
        <v>0</v>
      </c>
      <c r="J173" s="1214">
        <f>IFERROR((Pas.!K22+Pas.!K23)/1000,"")</f>
        <v>0</v>
      </c>
      <c r="K173" s="1214">
        <f>IFERROR((Pas.!L22+Pas.!L23)/1000,"")</f>
        <v>0</v>
      </c>
      <c r="L173" s="1214" t="str">
        <f>IFERROR((Pas.!M22+Pas.!M23)/1000,"")</f>
        <v/>
      </c>
      <c r="M173" s="1214" t="str">
        <f>IFERROR((Pas.!N22+Pas.!N23)/1000,"")</f>
        <v/>
      </c>
      <c r="N173" s="1214" t="str">
        <f>IFERROR((Pas.!O22+Pas.!O23)/1000,"")</f>
        <v/>
      </c>
      <c r="O173" s="1214" t="str">
        <f>IFERROR((Pas.!P22+Pas.!P23)/1000,"")</f>
        <v/>
      </c>
      <c r="P173" s="1214" t="str">
        <f>IFERROR((Pas.!Q22+Pas.!Q23)/1000,"")</f>
        <v/>
      </c>
      <c r="Q173" s="858"/>
      <c r="R173" s="858"/>
    </row>
    <row r="174" spans="1:19">
      <c r="B174" s="869" t="str">
        <f>Lang.!B260</f>
        <v>Net bank debt</v>
      </c>
      <c r="C174" s="858"/>
      <c r="D174" s="1214">
        <f>IFERROR(D173-D172,"")</f>
        <v>8353.8620564532102</v>
      </c>
      <c r="E174" s="1214" t="str">
        <f t="shared" ref="E174:P174" si="23">IFERROR(E173-E172,"")</f>
        <v/>
      </c>
      <c r="F174" s="1214">
        <f t="shared" si="23"/>
        <v>7336.4699859268203</v>
      </c>
      <c r="G174" s="1214" t="str">
        <f t="shared" si="23"/>
        <v/>
      </c>
      <c r="H174" s="1214">
        <f t="shared" si="23"/>
        <v>0</v>
      </c>
      <c r="I174" s="1214">
        <f t="shared" si="23"/>
        <v>0</v>
      </c>
      <c r="J174" s="1214">
        <f t="shared" si="23"/>
        <v>0</v>
      </c>
      <c r="K174" s="1214">
        <f t="shared" si="23"/>
        <v>0</v>
      </c>
      <c r="L174" s="1214" t="str">
        <f t="shared" si="23"/>
        <v/>
      </c>
      <c r="M174" s="1214" t="str">
        <f t="shared" si="23"/>
        <v/>
      </c>
      <c r="N174" s="1214" t="str">
        <f t="shared" si="23"/>
        <v/>
      </c>
      <c r="O174" s="1214" t="str">
        <f t="shared" si="23"/>
        <v/>
      </c>
      <c r="P174" s="1214" t="str">
        <f t="shared" si="23"/>
        <v/>
      </c>
      <c r="Q174" s="858"/>
      <c r="R174" s="858"/>
    </row>
    <row r="175" spans="1:19">
      <c r="B175" s="869" t="str">
        <f>Lang.!B261</f>
        <v>Other interest-bearing liabilities</v>
      </c>
      <c r="C175" s="858"/>
      <c r="D175" s="1214">
        <f>IFERROR((Pas.!F27+Pas.!F26)/1000,"")</f>
        <v>1306.795175879397</v>
      </c>
      <c r="E175" s="1214" t="str">
        <f>IFERROR((Pas.!#REF!+Pas.!#REF!)/1000,"")</f>
        <v/>
      </c>
      <c r="F175" s="1214">
        <f>IFERROR((Pas.!G27+Pas.!G26)/1000,"")</f>
        <v>1070.7677925211099</v>
      </c>
      <c r="G175" s="1214">
        <f>IFERROR((Pas.!H27+Pas.!H26)/1000,"")</f>
        <v>1410.3795851253738</v>
      </c>
      <c r="H175" s="1214">
        <f>IFERROR((Pas.!I27+Pas.!I26)/1000,"")</f>
        <v>0</v>
      </c>
      <c r="I175" s="1214">
        <f>IFERROR((Pas.!J27+Pas.!J26)/1000,"")</f>
        <v>0</v>
      </c>
      <c r="J175" s="1214">
        <f>IFERROR((Pas.!K27+Pas.!K26)/1000,"")</f>
        <v>0</v>
      </c>
      <c r="K175" s="1214">
        <f>IFERROR((Pas.!L27+Pas.!L26)/1000,"")</f>
        <v>0</v>
      </c>
      <c r="L175" s="1214" t="str">
        <f>IFERROR((Pas.!M27+Pas.!M26)/1000,"")</f>
        <v/>
      </c>
      <c r="M175" s="1214" t="str">
        <f>IFERROR((Pas.!N27+Pas.!N26)/1000,"")</f>
        <v/>
      </c>
      <c r="N175" s="1214" t="str">
        <f>IFERROR((Pas.!O27+Pas.!O26)/1000,"")</f>
        <v/>
      </c>
      <c r="O175" s="1214" t="str">
        <f>IFERROR((Pas.!P27+Pas.!P26)/1000,"")</f>
        <v/>
      </c>
      <c r="P175" s="1214" t="str">
        <f>IFERROR((Pas.!Q27+Pas.!Q26)/1000,"")</f>
        <v/>
      </c>
      <c r="Q175" s="858"/>
      <c r="R175" s="858"/>
    </row>
    <row r="176" spans="1:19">
      <c r="B176" s="869" t="str">
        <f>Lang.!B262</f>
        <v>Total debt</v>
      </c>
      <c r="C176" s="858"/>
      <c r="D176" s="1214">
        <f>IFERROR(D175+D173,"")</f>
        <v>12969.975276381911</v>
      </c>
      <c r="E176" s="1214" t="str">
        <f t="shared" ref="E176:P176" si="24">IFERROR(E175+E173,"")</f>
        <v/>
      </c>
      <c r="F176" s="1214">
        <f t="shared" si="24"/>
        <v>9679.5920788098119</v>
      </c>
      <c r="G176" s="1214">
        <f t="shared" si="24"/>
        <v>12186.944199819827</v>
      </c>
      <c r="H176" s="1214">
        <f t="shared" si="24"/>
        <v>0</v>
      </c>
      <c r="I176" s="1214">
        <f t="shared" si="24"/>
        <v>0</v>
      </c>
      <c r="J176" s="1214">
        <f t="shared" si="24"/>
        <v>0</v>
      </c>
      <c r="K176" s="1214">
        <f t="shared" si="24"/>
        <v>0</v>
      </c>
      <c r="L176" s="1214" t="str">
        <f t="shared" si="24"/>
        <v/>
      </c>
      <c r="M176" s="1214" t="str">
        <f t="shared" si="24"/>
        <v/>
      </c>
      <c r="N176" s="1214" t="str">
        <f t="shared" si="24"/>
        <v/>
      </c>
      <c r="O176" s="1214" t="str">
        <f t="shared" si="24"/>
        <v/>
      </c>
      <c r="P176" s="1214" t="str">
        <f t="shared" si="24"/>
        <v/>
      </c>
      <c r="Q176" s="858"/>
      <c r="R176" s="858"/>
    </row>
    <row r="177" spans="2:18">
      <c r="B177" s="869" t="str">
        <f>Lang.!B265</f>
        <v>Net debt</v>
      </c>
      <c r="C177" s="858"/>
      <c r="D177" s="1214">
        <f t="shared" ref="D177" si="25">IFERROR(D176-D172,"")</f>
        <v>9660.6572323326072</v>
      </c>
      <c r="E177" s="1214" t="str">
        <f t="shared" ref="E177:P177" si="26">IFERROR(E176-E172,"")</f>
        <v/>
      </c>
      <c r="F177" s="1214">
        <f t="shared" si="26"/>
        <v>8407.2377784479304</v>
      </c>
      <c r="G177" s="1214" t="str">
        <f t="shared" si="26"/>
        <v/>
      </c>
      <c r="H177" s="1214">
        <f t="shared" si="26"/>
        <v>0</v>
      </c>
      <c r="I177" s="1214">
        <f t="shared" si="26"/>
        <v>0</v>
      </c>
      <c r="J177" s="1214">
        <f t="shared" si="26"/>
        <v>0</v>
      </c>
      <c r="K177" s="1214">
        <f t="shared" si="26"/>
        <v>0</v>
      </c>
      <c r="L177" s="1214" t="str">
        <f t="shared" si="26"/>
        <v/>
      </c>
      <c r="M177" s="1214" t="str">
        <f t="shared" si="26"/>
        <v/>
      </c>
      <c r="N177" s="1214" t="str">
        <f t="shared" si="26"/>
        <v/>
      </c>
      <c r="O177" s="1214" t="str">
        <f t="shared" si="26"/>
        <v/>
      </c>
      <c r="P177" s="1214" t="str">
        <f t="shared" si="26"/>
        <v/>
      </c>
      <c r="Q177" s="858"/>
      <c r="R177" s="858"/>
    </row>
    <row r="178" spans="2:18">
      <c r="B178" s="869" t="str">
        <f>Lang.!B266</f>
        <v>Interest expense</v>
      </c>
      <c r="C178" s="858"/>
      <c r="D178" s="1214">
        <f>IFERROR(('G&amp;V'!E57)/1000,"")</f>
        <v>-736.46312386340674</v>
      </c>
      <c r="E178" s="1214">
        <f>IFERROR(('G&amp;V'!F57)/1000,"")</f>
        <v>-957.14974874371876</v>
      </c>
      <c r="F178" s="1214">
        <f>IFERROR(('G&amp;V'!G57)/1000,"")</f>
        <v>-471.23763570566939</v>
      </c>
      <c r="G178" s="1214">
        <f>IFERROR(('G&amp;V'!H57)/1000,"")</f>
        <v>-692.00093327024865</v>
      </c>
      <c r="H178" s="1214">
        <f>IFERROR(('G&amp;V'!I57)/1000,"")</f>
        <v>0</v>
      </c>
      <c r="I178" s="1214">
        <f>IFERROR(('G&amp;V'!J57)/1000,"")</f>
        <v>0</v>
      </c>
      <c r="J178" s="1214">
        <f>IFERROR(('G&amp;V'!K57)/1000,"")</f>
        <v>0</v>
      </c>
      <c r="K178" s="1214">
        <f>IFERROR(('G&amp;V'!L57)/1000,"")</f>
        <v>0</v>
      </c>
      <c r="L178" s="1214" t="str">
        <f>IFERROR(('G&amp;V'!M57)/1000,"")</f>
        <v/>
      </c>
      <c r="M178" s="1214" t="str">
        <f>IFERROR(('G&amp;V'!N57)/1000,"")</f>
        <v/>
      </c>
      <c r="N178" s="1214" t="str">
        <f>IFERROR(('G&amp;V'!O57)/1000,"")</f>
        <v/>
      </c>
      <c r="O178" s="1214" t="str">
        <f>IFERROR(('G&amp;V'!P57)/1000,"")</f>
        <v/>
      </c>
      <c r="P178" s="1214" t="str">
        <f>IFERROR(('G&amp;V'!Q57)/1000,"")</f>
        <v/>
      </c>
      <c r="Q178" s="858"/>
      <c r="R178" s="858"/>
    </row>
    <row r="179" spans="2:18">
      <c r="B179" s="869" t="str">
        <f>Lang.!B267</f>
        <v>Financial result</v>
      </c>
      <c r="C179" s="858"/>
      <c r="D179" s="1214">
        <f>IFERROR(('G&amp;V'!E56+'G&amp;V'!E57)/1000,"")</f>
        <v>-156.64053344109911</v>
      </c>
      <c r="E179" s="1214">
        <f>IFERROR(('G&amp;V'!F56+'G&amp;V'!F57)/1000,"")</f>
        <v>-182.24924623115592</v>
      </c>
      <c r="F179" s="1214">
        <f>IFERROR(('G&amp;V'!G56+'G&amp;V'!G57)/1000,"")</f>
        <v>-60.00985122637713</v>
      </c>
      <c r="G179" s="1214">
        <f>IFERROR(('G&amp;V'!H56+'G&amp;V'!H57)/1000,"")</f>
        <v>720.47059789745526</v>
      </c>
      <c r="H179" s="1214">
        <f>IFERROR(('G&amp;V'!I56+'G&amp;V'!I57)/1000,"")</f>
        <v>0</v>
      </c>
      <c r="I179" s="1214">
        <f>IFERROR(('G&amp;V'!J56+'G&amp;V'!J57)/1000,"")</f>
        <v>0</v>
      </c>
      <c r="J179" s="1214">
        <f>IFERROR(('G&amp;V'!K56+'G&amp;V'!K57)/1000,"")</f>
        <v>0</v>
      </c>
      <c r="K179" s="1214">
        <f>IFERROR(('G&amp;V'!L56+'G&amp;V'!L57)/1000,"")</f>
        <v>0</v>
      </c>
      <c r="L179" s="1214" t="str">
        <f>IFERROR(('G&amp;V'!M56+'G&amp;V'!M57)/1000,"")</f>
        <v/>
      </c>
      <c r="M179" s="1214" t="str">
        <f>IFERROR(('G&amp;V'!N56+'G&amp;V'!N57)/1000,"")</f>
        <v/>
      </c>
      <c r="N179" s="1214" t="str">
        <f>IFERROR(('G&amp;V'!O56+'G&amp;V'!O57)/1000,"")</f>
        <v/>
      </c>
      <c r="O179" s="1214" t="str">
        <f>IFERROR(('G&amp;V'!P56+'G&amp;V'!P57)/1000,"")</f>
        <v/>
      </c>
      <c r="P179" s="1214" t="str">
        <f>IFERROR(('G&amp;V'!Q56+'G&amp;V'!Q57)/1000,"")</f>
        <v/>
      </c>
      <c r="Q179" s="858"/>
      <c r="R179" s="858"/>
    </row>
    <row r="180" spans="2:18">
      <c r="B180" s="869" t="str">
        <f>Lang.!B268</f>
        <v/>
      </c>
      <c r="C180" s="858"/>
      <c r="D180" s="1214"/>
      <c r="E180" s="1214"/>
      <c r="F180" s="1214"/>
      <c r="G180" s="1214"/>
      <c r="H180" s="1214"/>
      <c r="I180" s="1214"/>
      <c r="J180" s="1214"/>
      <c r="K180" s="1214"/>
      <c r="L180" s="1214"/>
      <c r="M180" s="1214"/>
      <c r="N180" s="1214"/>
      <c r="O180" s="1214"/>
      <c r="P180" s="1214"/>
      <c r="Q180" s="858"/>
      <c r="R180" s="858"/>
    </row>
    <row r="181" spans="2:18">
      <c r="B181" s="870" t="str">
        <f>Lang.!B269</f>
        <v>Equity ratio</v>
      </c>
      <c r="C181" s="858"/>
      <c r="D181" s="871"/>
      <c r="E181" s="871"/>
      <c r="F181" s="871"/>
      <c r="G181" s="871"/>
      <c r="H181" s="871"/>
      <c r="I181" s="871"/>
      <c r="J181" s="871"/>
      <c r="K181" s="871"/>
      <c r="L181" s="871"/>
      <c r="M181" s="871"/>
      <c r="N181" s="871"/>
      <c r="O181" s="871"/>
      <c r="P181" s="871"/>
      <c r="Q181" s="858"/>
      <c r="R181" s="858"/>
    </row>
    <row r="182" spans="2:18">
      <c r="B182" s="869" t="str">
        <f>Lang.!B270</f>
        <v>Equity ratio</v>
      </c>
      <c r="C182" s="858"/>
      <c r="D182" s="871">
        <f>IFERROR(Pas.!E7/Pas.!E32,"")</f>
        <v>7.6183522923576524E-2</v>
      </c>
      <c r="E182" s="871">
        <f>IFERROR(Pas.!F7/Pas.!F32,"")</f>
        <v>0.13561419304919625</v>
      </c>
      <c r="F182" s="871">
        <f>IFERROR(Pas.!G7/Pas.!G32,"")</f>
        <v>0.18908699841055962</v>
      </c>
      <c r="G182" s="871" t="str">
        <f>IFERROR(Pas.!H7/Pas.!H32,"")</f>
        <v/>
      </c>
      <c r="H182" s="871" t="str">
        <f>IFERROR(Pas.!I7/Pas.!I32,"")</f>
        <v/>
      </c>
      <c r="I182" s="871" t="str">
        <f>IFERROR(Pas.!J7/Pas.!J32,"")</f>
        <v/>
      </c>
      <c r="J182" s="871" t="str">
        <f>IFERROR(Pas.!K7/Pas.!K32,"")</f>
        <v/>
      </c>
      <c r="K182" s="871" t="str">
        <f>IFERROR(Pas.!L7/Pas.!L32,"")</f>
        <v/>
      </c>
      <c r="L182" s="871" t="str">
        <f>IFERROR(Pas.!M7/Pas.!M32,"")</f>
        <v/>
      </c>
      <c r="M182" s="871" t="str">
        <f>IFERROR(Pas.!N7/Pas.!N32,"")</f>
        <v/>
      </c>
      <c r="N182" s="871" t="str">
        <f>IFERROR(Pas.!O7/Pas.!O32,"")</f>
        <v/>
      </c>
      <c r="O182" s="871" t="str">
        <f>IFERROR(Pas.!P7/Pas.!P32,"")</f>
        <v/>
      </c>
      <c r="P182" s="871" t="str">
        <f>IFERROR(Pas.!Q7/Pas.!Q32,"")</f>
        <v/>
      </c>
      <c r="Q182" s="858"/>
      <c r="R182" s="858"/>
    </row>
    <row r="183" spans="2:18">
      <c r="B183" s="870" t="str">
        <f>Lang.!B271</f>
        <v>Leverage</v>
      </c>
      <c r="C183" s="858"/>
      <c r="D183" s="871"/>
      <c r="E183" s="871"/>
      <c r="F183" s="871"/>
      <c r="G183" s="871"/>
      <c r="H183" s="871"/>
      <c r="I183" s="871"/>
      <c r="J183" s="871"/>
      <c r="K183" s="871"/>
      <c r="L183" s="871"/>
      <c r="M183" s="871"/>
      <c r="N183" s="871"/>
      <c r="O183" s="871"/>
      <c r="P183" s="871"/>
      <c r="Q183" s="858"/>
      <c r="R183" s="858"/>
    </row>
    <row r="184" spans="2:18">
      <c r="B184" s="869" t="str">
        <f>Lang.!B272</f>
        <v>Bank debt / EBITDA</v>
      </c>
      <c r="C184" s="858"/>
      <c r="D184" s="871">
        <f>IFERROR(D173/D169,"")</f>
        <v>4.6724760938657104</v>
      </c>
      <c r="E184" s="871" t="str">
        <f t="shared" ref="E184:P184" si="27">IFERROR(E173/E169,"")</f>
        <v/>
      </c>
      <c r="F184" s="871">
        <f t="shared" si="27"/>
        <v>15.599326632444559</v>
      </c>
      <c r="G184" s="871">
        <f t="shared" si="27"/>
        <v>11.09215172457127</v>
      </c>
      <c r="H184" s="871" t="str">
        <f t="shared" si="27"/>
        <v/>
      </c>
      <c r="I184" s="871" t="str">
        <f t="shared" si="27"/>
        <v/>
      </c>
      <c r="J184" s="871" t="str">
        <f t="shared" si="27"/>
        <v/>
      </c>
      <c r="K184" s="871" t="str">
        <f t="shared" si="27"/>
        <v/>
      </c>
      <c r="L184" s="871" t="str">
        <f t="shared" si="27"/>
        <v/>
      </c>
      <c r="M184" s="871" t="str">
        <f t="shared" si="27"/>
        <v/>
      </c>
      <c r="N184" s="871" t="str">
        <f t="shared" si="27"/>
        <v/>
      </c>
      <c r="O184" s="871" t="str">
        <f t="shared" si="27"/>
        <v/>
      </c>
      <c r="P184" s="871" t="str">
        <f t="shared" si="27"/>
        <v/>
      </c>
      <c r="Q184" s="858"/>
      <c r="R184" s="858"/>
    </row>
    <row r="185" spans="2:18">
      <c r="B185" s="869" t="str">
        <f>Lang.!B273</f>
        <v>Net bank debt / EBITDA</v>
      </c>
      <c r="C185" s="858"/>
      <c r="D185" s="871">
        <f>IFERROR(D174/D169,"")</f>
        <v>3.3467047935363445</v>
      </c>
      <c r="E185" s="871" t="str">
        <f t="shared" ref="E185:P185" si="28">IFERROR(E174/E169,"")</f>
        <v/>
      </c>
      <c r="F185" s="871">
        <f t="shared" si="28"/>
        <v>13.293800388268311</v>
      </c>
      <c r="G185" s="871" t="str">
        <f t="shared" si="28"/>
        <v/>
      </c>
      <c r="H185" s="871" t="str">
        <f t="shared" si="28"/>
        <v/>
      </c>
      <c r="I185" s="871" t="str">
        <f t="shared" si="28"/>
        <v/>
      </c>
      <c r="J185" s="871" t="str">
        <f t="shared" si="28"/>
        <v/>
      </c>
      <c r="K185" s="871" t="str">
        <f t="shared" si="28"/>
        <v/>
      </c>
      <c r="L185" s="871" t="str">
        <f t="shared" si="28"/>
        <v/>
      </c>
      <c r="M185" s="871" t="str">
        <f t="shared" si="28"/>
        <v/>
      </c>
      <c r="N185" s="871" t="str">
        <f t="shared" si="28"/>
        <v/>
      </c>
      <c r="O185" s="871" t="str">
        <f t="shared" si="28"/>
        <v/>
      </c>
      <c r="P185" s="871" t="str">
        <f t="shared" si="28"/>
        <v/>
      </c>
      <c r="Q185" s="858"/>
      <c r="R185" s="858"/>
    </row>
    <row r="186" spans="2:18">
      <c r="B186" s="869" t="str">
        <f>Lang.!B274</f>
        <v>Other interest-bearing liabilities / EBITDA</v>
      </c>
      <c r="C186" s="858"/>
      <c r="D186" s="871">
        <f>IFERROR(D175/D169,"")</f>
        <v>0.52352524493833719</v>
      </c>
      <c r="E186" s="871" t="str">
        <f t="shared" ref="E186:P186" si="29">IFERROR(E175/E169,"")</f>
        <v/>
      </c>
      <c r="F186" s="871">
        <f t="shared" si="29"/>
        <v>1.940248283338962</v>
      </c>
      <c r="G186" s="871">
        <f t="shared" si="29"/>
        <v>1.4516819512330352</v>
      </c>
      <c r="H186" s="871" t="str">
        <f t="shared" si="29"/>
        <v/>
      </c>
      <c r="I186" s="871" t="str">
        <f t="shared" si="29"/>
        <v/>
      </c>
      <c r="J186" s="871" t="str">
        <f t="shared" si="29"/>
        <v/>
      </c>
      <c r="K186" s="871" t="str">
        <f t="shared" si="29"/>
        <v/>
      </c>
      <c r="L186" s="871" t="str">
        <f t="shared" si="29"/>
        <v/>
      </c>
      <c r="M186" s="871" t="str">
        <f t="shared" si="29"/>
        <v/>
      </c>
      <c r="N186" s="871" t="str">
        <f t="shared" si="29"/>
        <v/>
      </c>
      <c r="O186" s="871" t="str">
        <f t="shared" si="29"/>
        <v/>
      </c>
      <c r="P186" s="871" t="str">
        <f t="shared" si="29"/>
        <v/>
      </c>
      <c r="Q186" s="858"/>
      <c r="R186" s="858"/>
    </row>
    <row r="187" spans="2:18">
      <c r="B187" s="869" t="str">
        <f>Lang.!B276</f>
        <v>Total debt / EBITDA</v>
      </c>
      <c r="C187" s="858"/>
      <c r="D187" s="871">
        <f>IFERROR(D176/D169,"")</f>
        <v>5.1960013388040478</v>
      </c>
      <c r="E187" s="871" t="str">
        <f t="shared" ref="E187:P187" si="30">IFERROR(E176/E169,"")</f>
        <v/>
      </c>
      <c r="F187" s="871">
        <f t="shared" si="30"/>
        <v>17.539574915783522</v>
      </c>
      <c r="G187" s="871">
        <f t="shared" si="30"/>
        <v>12.543833675804306</v>
      </c>
      <c r="H187" s="871" t="str">
        <f t="shared" si="30"/>
        <v/>
      </c>
      <c r="I187" s="871" t="str">
        <f t="shared" si="30"/>
        <v/>
      </c>
      <c r="J187" s="871" t="str">
        <f t="shared" si="30"/>
        <v/>
      </c>
      <c r="K187" s="871" t="str">
        <f t="shared" si="30"/>
        <v/>
      </c>
      <c r="L187" s="871" t="str">
        <f t="shared" si="30"/>
        <v/>
      </c>
      <c r="M187" s="871" t="str">
        <f t="shared" si="30"/>
        <v/>
      </c>
      <c r="N187" s="871" t="str">
        <f t="shared" si="30"/>
        <v/>
      </c>
      <c r="O187" s="871" t="str">
        <f t="shared" si="30"/>
        <v/>
      </c>
      <c r="P187" s="871" t="str">
        <f t="shared" si="30"/>
        <v/>
      </c>
      <c r="Q187" s="858"/>
      <c r="R187" s="858"/>
    </row>
    <row r="188" spans="2:18">
      <c r="B188" s="869" t="str">
        <f>Lang.!B275</f>
        <v>Net Debt / EBITDA</v>
      </c>
      <c r="C188" s="858"/>
      <c r="D188" s="871">
        <f>IFERROR(D177/D169,"")</f>
        <v>3.8702300384746819</v>
      </c>
      <c r="E188" s="871" t="str">
        <f t="shared" ref="E188:P188" si="31">IFERROR(E177/E169,"")</f>
        <v/>
      </c>
      <c r="F188" s="871">
        <f t="shared" si="31"/>
        <v>15.234048671607272</v>
      </c>
      <c r="G188" s="871" t="str">
        <f t="shared" si="31"/>
        <v/>
      </c>
      <c r="H188" s="871" t="str">
        <f t="shared" si="31"/>
        <v/>
      </c>
      <c r="I188" s="871" t="str">
        <f t="shared" si="31"/>
        <v/>
      </c>
      <c r="J188" s="871" t="str">
        <f t="shared" si="31"/>
        <v/>
      </c>
      <c r="K188" s="871" t="str">
        <f t="shared" si="31"/>
        <v/>
      </c>
      <c r="L188" s="871" t="str">
        <f t="shared" si="31"/>
        <v/>
      </c>
      <c r="M188" s="871" t="str">
        <f t="shared" si="31"/>
        <v/>
      </c>
      <c r="N188" s="871" t="str">
        <f t="shared" si="31"/>
        <v/>
      </c>
      <c r="O188" s="871" t="str">
        <f t="shared" si="31"/>
        <v/>
      </c>
      <c r="P188" s="871" t="str">
        <f t="shared" si="31"/>
        <v/>
      </c>
      <c r="Q188" s="858"/>
      <c r="R188" s="858"/>
    </row>
    <row r="189" spans="2:18">
      <c r="B189" s="870" t="str">
        <f>Lang.!B278</f>
        <v>EBITDA / Interest expense</v>
      </c>
      <c r="C189" s="858"/>
      <c r="D189" s="871">
        <f>IFERROR(D169/D178,"")</f>
        <v>-3.3893692746510342</v>
      </c>
      <c r="E189" s="871">
        <f t="shared" ref="E189:P189" si="32">IFERROR(E169/E178,"")</f>
        <v>-1.8221270438613717</v>
      </c>
      <c r="F189" s="871">
        <f t="shared" si="32"/>
        <v>-1.1711109006389255</v>
      </c>
      <c r="G189" s="871">
        <f t="shared" si="32"/>
        <v>-1.4039700895235969</v>
      </c>
      <c r="H189" s="871" t="str">
        <f t="shared" si="32"/>
        <v/>
      </c>
      <c r="I189" s="871" t="str">
        <f t="shared" si="32"/>
        <v/>
      </c>
      <c r="J189" s="871" t="str">
        <f t="shared" si="32"/>
        <v/>
      </c>
      <c r="K189" s="871" t="str">
        <f t="shared" si="32"/>
        <v/>
      </c>
      <c r="L189" s="871" t="str">
        <f t="shared" si="32"/>
        <v/>
      </c>
      <c r="M189" s="871" t="str">
        <f t="shared" si="32"/>
        <v/>
      </c>
      <c r="N189" s="871" t="str">
        <f t="shared" si="32"/>
        <v/>
      </c>
      <c r="O189" s="871" t="str">
        <f t="shared" si="32"/>
        <v/>
      </c>
      <c r="P189" s="871" t="str">
        <f t="shared" si="32"/>
        <v/>
      </c>
      <c r="Q189" s="858"/>
      <c r="R189" s="858"/>
    </row>
    <row r="190" spans="2:18">
      <c r="B190" s="870" t="str">
        <f>Lang.!B279</f>
        <v>EBITDA / Financial Result</v>
      </c>
      <c r="C190" s="858"/>
      <c r="D190" s="871">
        <f>IFERROR(D169/D179,"")</f>
        <v>-15.935501680826214</v>
      </c>
      <c r="E190" s="871">
        <f t="shared" ref="E190:P190" si="33">IFERROR(E169/E179,"")</f>
        <v>-9.5695783564393029</v>
      </c>
      <c r="F190" s="871">
        <f t="shared" si="33"/>
        <v>-9.1963489441822013</v>
      </c>
      <c r="G190" s="871">
        <f t="shared" si="33"/>
        <v>1.348491687334789</v>
      </c>
      <c r="H190" s="871" t="str">
        <f t="shared" si="33"/>
        <v/>
      </c>
      <c r="I190" s="871" t="str">
        <f t="shared" si="33"/>
        <v/>
      </c>
      <c r="J190" s="871" t="str">
        <f t="shared" si="33"/>
        <v/>
      </c>
      <c r="K190" s="871" t="str">
        <f t="shared" si="33"/>
        <v/>
      </c>
      <c r="L190" s="871" t="str">
        <f t="shared" si="33"/>
        <v/>
      </c>
      <c r="M190" s="871" t="str">
        <f t="shared" si="33"/>
        <v/>
      </c>
      <c r="N190" s="871" t="str">
        <f t="shared" si="33"/>
        <v/>
      </c>
      <c r="O190" s="871" t="str">
        <f t="shared" si="33"/>
        <v/>
      </c>
      <c r="P190" s="871" t="str">
        <f t="shared" si="33"/>
        <v/>
      </c>
      <c r="Q190" s="858"/>
      <c r="R190" s="858"/>
    </row>
    <row r="191" spans="2:18">
      <c r="D191" s="872"/>
      <c r="E191" s="872"/>
      <c r="F191" s="872"/>
      <c r="G191" s="872"/>
      <c r="H191" s="872"/>
      <c r="I191" s="872"/>
      <c r="J191" s="872"/>
      <c r="K191" s="872"/>
      <c r="L191" s="872"/>
      <c r="M191" s="872"/>
      <c r="N191" s="872"/>
      <c r="O191" s="872"/>
      <c r="P191" s="872"/>
    </row>
    <row r="193" spans="10:14">
      <c r="J193" s="858" t="str">
        <f>Lang.!B248&amp;" "&amp;G155</f>
        <v>Structure of Assets 2025FC</v>
      </c>
      <c r="M193" s="858" t="str">
        <f>Lang.!B249&amp;" "&amp;G155</f>
        <v>Structure of Liabilities 2025FC</v>
      </c>
    </row>
    <row r="194" spans="10:14">
      <c r="J194" s="858" t="str">
        <f>IF(K194&lt;&gt;"",Akt.!B9,"")</f>
        <v>I. Intangibles</v>
      </c>
      <c r="K194" s="863">
        <f>Akt.!H9/1000</f>
        <v>25.962856834469594</v>
      </c>
      <c r="M194" s="858" t="str">
        <f>Pas.!B7</f>
        <v>A. Equity</v>
      </c>
      <c r="N194" s="863">
        <f>Pas.!H7/1000</f>
        <v>4095.4323453629199</v>
      </c>
    </row>
    <row r="195" spans="10:14">
      <c r="J195" s="858" t="str">
        <f>IF(K195&lt;&gt;"",Akt.!B14,"")</f>
        <v>II. PP&amp;E</v>
      </c>
      <c r="K195" s="863">
        <f>Akt.!H14/1000</f>
        <v>6649.5107461395664</v>
      </c>
      <c r="M195" s="858" t="str">
        <f>Pas.!B14</f>
        <v>B. Provisions</v>
      </c>
      <c r="N195" s="863">
        <f>Pas.!H14/1000</f>
        <v>0</v>
      </c>
    </row>
    <row r="196" spans="10:14">
      <c r="J196" s="858" t="str">
        <f>IF(K196&lt;&gt;"",Akt.!B20,"")</f>
        <v>III. Financial Assets</v>
      </c>
      <c r="K196" s="863">
        <f>Akt.!H20/1000</f>
        <v>13.165789434876199</v>
      </c>
      <c r="M196" s="858" t="str">
        <f>Pas.!B20</f>
        <v>C. Liabilities</v>
      </c>
      <c r="N196" s="863" t="e">
        <f>Pas.!H20/1000</f>
        <v>#VALUE!</v>
      </c>
    </row>
    <row r="197" spans="10:14">
      <c r="J197" s="858" t="e">
        <f>IF(K197&lt;&gt;"",Akt.!B28,"")</f>
        <v>#VALUE!</v>
      </c>
      <c r="K197" s="863" t="e">
        <f>Akt.!H28/1000</f>
        <v>#VALUE!</v>
      </c>
      <c r="M197" s="858" t="str">
        <f>Pas.!B29</f>
        <v>D. Accrued expenses / Deferred income</v>
      </c>
      <c r="N197" s="863">
        <f>Pas.!H29/1000</f>
        <v>0</v>
      </c>
    </row>
    <row r="198" spans="10:14">
      <c r="J198" s="858" t="str">
        <f>IF(K198&lt;&gt;"",Akt.!B34,"")</f>
        <v>II. Receivables and other assets</v>
      </c>
      <c r="K198" s="863">
        <f>Akt.!H34/1000</f>
        <v>7774.9955937661325</v>
      </c>
      <c r="M198" s="858" t="str">
        <f>Pas.!B30</f>
        <v>E. Deferred Tax Liabilities</v>
      </c>
      <c r="N198" s="863">
        <f>Pas.!H30/1000</f>
        <v>0</v>
      </c>
    </row>
    <row r="199" spans="10:14">
      <c r="J199" s="858" t="str">
        <f>IF(K199&lt;&gt;"",Akt.!B39,"")</f>
        <v>III. Securities</v>
      </c>
      <c r="K199" s="863">
        <f>Akt.!H39/1000</f>
        <v>0</v>
      </c>
    </row>
    <row r="200" spans="10:14">
      <c r="J200" s="858" t="e">
        <f>IF(K200&lt;&gt;"",Akt.!B41,"")</f>
        <v>#VALUE!</v>
      </c>
      <c r="K200" s="863" t="e">
        <f>Akt.!H41/1000</f>
        <v>#VALUE!</v>
      </c>
      <c r="M200" s="116" t="s">
        <v>164</v>
      </c>
      <c r="N200" s="863" t="e">
        <f>SUM(N194:N198)</f>
        <v>#VALUE!</v>
      </c>
    </row>
    <row r="201" spans="10:14">
      <c r="J201" s="858" t="str">
        <f>IF(K201&lt;&gt;"",Akt.!B43,"")</f>
        <v>C. Prepaid expenses / Accrued income</v>
      </c>
      <c r="K201" s="863">
        <f>Akt.!H43/1000</f>
        <v>168.06439325150092</v>
      </c>
    </row>
    <row r="202" spans="10:14">
      <c r="J202" s="858" t="str">
        <f>IF(K202&lt;&gt;"",Akt.!B14,"")</f>
        <v>II. PP&amp;E</v>
      </c>
      <c r="K202" s="863">
        <f>Akt.!H44/1000</f>
        <v>0</v>
      </c>
    </row>
    <row r="204" spans="10:14">
      <c r="J204" s="116" t="s">
        <v>164</v>
      </c>
      <c r="K204" s="863" t="e">
        <f>SUM(K194:K202)</f>
        <v>#VALUE!</v>
      </c>
    </row>
    <row r="233" spans="2:18" ht="15.75">
      <c r="B233" s="135"/>
      <c r="C233" s="135"/>
      <c r="D233" s="135"/>
      <c r="E233" s="135"/>
      <c r="F233" s="135"/>
      <c r="G233" s="135"/>
      <c r="H233" s="135"/>
      <c r="I233" s="135"/>
      <c r="J233" s="135"/>
      <c r="K233" s="135"/>
      <c r="L233" s="135"/>
      <c r="M233" s="135"/>
      <c r="N233" s="135"/>
      <c r="O233" s="135"/>
      <c r="P233" s="135"/>
      <c r="Q233" s="135"/>
      <c r="R233" s="135"/>
    </row>
    <row r="234" spans="2:18" ht="15.75">
      <c r="B234" s="847" t="str">
        <f>CF!B4</f>
        <v>Statement of Cash Flows</v>
      </c>
      <c r="C234" s="121"/>
      <c r="D234" s="141">
        <f>+E234-1</f>
        <v>2022</v>
      </c>
      <c r="E234" s="141">
        <f>+F234-1</f>
        <v>2023</v>
      </c>
      <c r="F234" s="142">
        <f>Eckdaten!$C$12</f>
        <v>2024</v>
      </c>
      <c r="G234" s="143">
        <f>+F234+1</f>
        <v>2025</v>
      </c>
      <c r="H234" s="1492">
        <f>IF(Eckdaten!$C$20+Eckdaten!$C$12&gt;G234,G234+1," ")</f>
        <v>2026</v>
      </c>
      <c r="I234" s="1492">
        <f>IF(Eckdaten!$C$20+Eckdaten!$C$12&gt;H234,H234+1," ")</f>
        <v>2027</v>
      </c>
      <c r="J234" s="1492">
        <f>IF(Eckdaten!$C$20+Eckdaten!$C$12&gt;I234,I234+1," ")</f>
        <v>2028</v>
      </c>
      <c r="K234" s="1492">
        <f>IF(Eckdaten!$C$20+Eckdaten!$C$12&gt;J234,J234+1," ")</f>
        <v>2029</v>
      </c>
      <c r="L234" s="1492" t="str">
        <f>IF(Eckdaten!$C$20+Eckdaten!$C$12&gt;K234,K234+1," ")</f>
        <v xml:space="preserve"> </v>
      </c>
      <c r="M234" s="1492" t="str">
        <f>IF(Eckdaten!$C$20+Eckdaten!$C$12&gt;L234,L234+1," ")</f>
        <v xml:space="preserve"> </v>
      </c>
      <c r="N234" s="1492" t="str">
        <f>IF(Eckdaten!$C$20+Eckdaten!$C$12&gt;M234,M234+1," ")</f>
        <v xml:space="preserve"> </v>
      </c>
      <c r="O234" s="1492" t="str">
        <f>IF(Eckdaten!$C$20+Eckdaten!$C$12&gt;N234,N234+1," ")</f>
        <v xml:space="preserve"> </v>
      </c>
      <c r="P234" s="1492" t="str">
        <f>IF(Eckdaten!$C$20+Eckdaten!$C$12&gt;O234,O234+1," ")</f>
        <v xml:space="preserve"> </v>
      </c>
      <c r="Q234" s="136"/>
      <c r="R234" s="136"/>
    </row>
    <row r="235" spans="2:18" ht="15.75">
      <c r="B235" s="848" t="str">
        <f>"in T"&amp;Eckdaten!$C$14</f>
        <v>in TEUR</v>
      </c>
      <c r="C235" s="126"/>
      <c r="D235" s="144" t="str">
        <f>D234&amp;"A"</f>
        <v>2022A</v>
      </c>
      <c r="E235" s="144" t="str">
        <f>E234&amp;"A"</f>
        <v>2023A</v>
      </c>
      <c r="F235" s="144" t="str">
        <f>F234&amp;"A"</f>
        <v>2024A</v>
      </c>
      <c r="G235" s="145" t="str">
        <f>G234&amp;"FC"</f>
        <v>2025FC</v>
      </c>
      <c r="H235" s="1493" t="str">
        <f>H234&amp;"P"</f>
        <v>2026P</v>
      </c>
      <c r="I235" s="1493" t="str">
        <f>I234&amp;"P"</f>
        <v>2027P</v>
      </c>
      <c r="J235" s="1493" t="str">
        <f>J234&amp;"P"</f>
        <v>2028P</v>
      </c>
      <c r="K235" s="1493" t="str">
        <f>K234&amp;"P"</f>
        <v>2029P</v>
      </c>
      <c r="L235" s="1493" t="str">
        <f t="shared" ref="L235:P235" si="34">L234&amp;"P"</f>
        <v xml:space="preserve"> P</v>
      </c>
      <c r="M235" s="1493" t="str">
        <f t="shared" si="34"/>
        <v xml:space="preserve"> P</v>
      </c>
      <c r="N235" s="1493" t="str">
        <f t="shared" si="34"/>
        <v xml:space="preserve"> P</v>
      </c>
      <c r="O235" s="1493" t="str">
        <f t="shared" si="34"/>
        <v xml:space="preserve"> P</v>
      </c>
      <c r="P235" s="1493" t="str">
        <f t="shared" si="34"/>
        <v xml:space="preserve"> P</v>
      </c>
      <c r="Q235" s="136"/>
      <c r="R235" s="136"/>
    </row>
    <row r="237" spans="2:18">
      <c r="B237" s="864" t="str">
        <f>Lang.!B250</f>
        <v>Capex Overview</v>
      </c>
      <c r="D237" s="139"/>
      <c r="E237" s="139"/>
      <c r="F237" s="139"/>
      <c r="G237" s="139"/>
      <c r="H237" s="139"/>
      <c r="I237" s="139"/>
      <c r="J237" s="139"/>
      <c r="K237" s="139"/>
      <c r="L237" s="139"/>
      <c r="M237" s="139"/>
      <c r="N237" s="139"/>
      <c r="O237" s="139"/>
      <c r="P237" s="139"/>
      <c r="Q237" s="139"/>
      <c r="R237" s="139"/>
    </row>
    <row r="238" spans="2:18">
      <c r="B238" s="865" t="str">
        <f>Akt.!B9&amp;" (absolut)"</f>
        <v>I. Intangibles (absolut)</v>
      </c>
      <c r="D238" s="1272">
        <f>IFERROR(-CF!E24/1000,"")</f>
        <v>4.0113154172560117</v>
      </c>
      <c r="E238" s="1272">
        <f>IFERROR(-CF!F24/1000,"")</f>
        <v>-21.574212220934946</v>
      </c>
      <c r="F238" s="1272">
        <f>IFERROR(-CF!G24/1000,"")</f>
        <v>-5.602013363964983</v>
      </c>
      <c r="G238" s="1272">
        <f>IFERROR(-CF!H24/1000,"")</f>
        <v>5.9793425602436221</v>
      </c>
      <c r="H238" s="1272">
        <f>IFERROR(-CF!I24/1000,"")</f>
        <v>-25.962856834469594</v>
      </c>
      <c r="I238" s="1272">
        <f>IFERROR(-CF!J24/1000,"")</f>
        <v>0</v>
      </c>
      <c r="J238" s="1272">
        <f>IFERROR(-CF!K24/1000,"")</f>
        <v>0</v>
      </c>
      <c r="K238" s="1272">
        <f>IFERROR(-CF!L24/1000,"")</f>
        <v>0</v>
      </c>
      <c r="L238" s="1272" t="str">
        <f>IFERROR(-CF!M24/1000,"")</f>
        <v/>
      </c>
      <c r="M238" s="1272" t="str">
        <f>IFERROR(-CF!N24/1000,"")</f>
        <v/>
      </c>
      <c r="N238" s="1272" t="str">
        <f>IFERROR(-CF!O24/1000,"")</f>
        <v/>
      </c>
      <c r="O238" s="1272" t="str">
        <f>IFERROR(-CF!P24/1000,"")</f>
        <v/>
      </c>
      <c r="P238" s="1272" t="str">
        <f>IFERROR(-CF!Q24/1000,"")</f>
        <v/>
      </c>
      <c r="Q238" s="139"/>
      <c r="R238" s="139"/>
    </row>
    <row r="239" spans="2:18">
      <c r="B239" s="865" t="str">
        <f>Akt.!B14 &amp;" (absolut)"</f>
        <v>II. PP&amp;E (absolut)</v>
      </c>
      <c r="D239" s="1272">
        <f>IFERROR(-CF!E25/1000,"")</f>
        <v>9576.643160234391</v>
      </c>
      <c r="E239" s="1272">
        <f>IFERROR(-CF!F25/1000,"")</f>
        <v>2186.1295923951948</v>
      </c>
      <c r="F239" s="1272">
        <f>IFERROR(-CF!G25/1000,"")</f>
        <v>-2210.8111150848754</v>
      </c>
      <c r="G239" s="1272">
        <f>IFERROR(-CF!H25/1000,"")</f>
        <v>1469.808293385245</v>
      </c>
      <c r="H239" s="1272">
        <f>IFERROR(-CF!I25/1000,"")</f>
        <v>-6649.5107461395664</v>
      </c>
      <c r="I239" s="1272">
        <f>IFERROR(-CF!J25/1000,"")</f>
        <v>0</v>
      </c>
      <c r="J239" s="1272">
        <f>IFERROR(-CF!K25/1000,"")</f>
        <v>0</v>
      </c>
      <c r="K239" s="1272">
        <f>IFERROR(-CF!L25/1000,"")</f>
        <v>0</v>
      </c>
      <c r="L239" s="1272" t="str">
        <f>IFERROR(-CF!M25/1000,"")</f>
        <v/>
      </c>
      <c r="M239" s="1272" t="str">
        <f>IFERROR(-CF!N25/1000,"")</f>
        <v/>
      </c>
      <c r="N239" s="1272" t="str">
        <f>IFERROR(-CF!O25/1000,"")</f>
        <v/>
      </c>
      <c r="O239" s="1272" t="str">
        <f>IFERROR(-CF!P25/1000,"")</f>
        <v/>
      </c>
      <c r="P239" s="1272" t="str">
        <f>IFERROR(-CF!Q25/1000,"")</f>
        <v/>
      </c>
      <c r="Q239" s="139"/>
      <c r="R239" s="139"/>
    </row>
    <row r="240" spans="2:18">
      <c r="B240" s="865" t="str">
        <f>Akt.!B20&amp;" (absolut)"</f>
        <v>III. Financial Assets (absolut)</v>
      </c>
      <c r="D240" s="1272">
        <f>IFERROR(-CF!E26/1000,"")</f>
        <v>2.8094564558496669</v>
      </c>
      <c r="E240" s="1272">
        <f>IFERROR(-CF!F26/1000,"")</f>
        <v>-7.5692370114870178</v>
      </c>
      <c r="F240" s="1272">
        <f>IFERROR(-CF!G26/1000,"")</f>
        <v>-0.30088888350073828</v>
      </c>
      <c r="G240" s="1272">
        <f>IFERROR(-CF!H26/1000,"")</f>
        <v>3.0879848510402517</v>
      </c>
      <c r="H240" s="1272">
        <f>IFERROR(-CF!I26/1000,"")</f>
        <v>-13.165789434876199</v>
      </c>
      <c r="I240" s="1272">
        <f>IFERROR(-CF!J26/1000,"")</f>
        <v>0</v>
      </c>
      <c r="J240" s="1272">
        <f>IFERROR(-CF!K26/1000,"")</f>
        <v>0</v>
      </c>
      <c r="K240" s="1272">
        <f>IFERROR(-CF!L26/1000,"")</f>
        <v>0</v>
      </c>
      <c r="L240" s="1272" t="str">
        <f>IFERROR(-CF!M26/1000,"")</f>
        <v/>
      </c>
      <c r="M240" s="1272" t="str">
        <f>IFERROR(-CF!N26/1000,"")</f>
        <v/>
      </c>
      <c r="N240" s="1272" t="str">
        <f>IFERROR(-CF!O26/1000,"")</f>
        <v/>
      </c>
      <c r="O240" s="1272">
        <f>IFERROR(-CF!P26/1000,"")</f>
        <v>0</v>
      </c>
      <c r="P240" s="1272">
        <f>IFERROR(-CF!Q26/1000,"")</f>
        <v>0</v>
      </c>
      <c r="Q240" s="139"/>
      <c r="R240" s="139"/>
    </row>
    <row r="241" spans="2:18">
      <c r="B241" s="858" t="str">
        <f>"Total Capex"</f>
        <v>Total Capex</v>
      </c>
      <c r="D241" s="1272">
        <f>IFERROR(-CF!E27/1000,"")</f>
        <v>9583.4639321074974</v>
      </c>
      <c r="E241" s="1272">
        <f>IFERROR(-CF!F27/1000,"")</f>
        <v>2156.9861431627724</v>
      </c>
      <c r="F241" s="1272">
        <f>IFERROR(-CF!G27/1000,"")</f>
        <v>-2216.714017332341</v>
      </c>
      <c r="G241" s="1272">
        <f>IFERROR(-CF!H27/1000,"")</f>
        <v>1478.8756207965287</v>
      </c>
      <c r="H241" s="1272">
        <f>IFERROR(-CF!I27/1000,"")</f>
        <v>-6688.6393924089125</v>
      </c>
      <c r="I241" s="1272">
        <f>IFERROR(-CF!J27/1000,"")</f>
        <v>0</v>
      </c>
      <c r="J241" s="1272">
        <f>IFERROR(-CF!K27/1000,"")</f>
        <v>0</v>
      </c>
      <c r="K241" s="1272">
        <f>IFERROR(-CF!L27/1000,"")</f>
        <v>0</v>
      </c>
      <c r="L241" s="1272" t="str">
        <f>IFERROR(-CF!M27/1000,"")</f>
        <v/>
      </c>
      <c r="M241" s="1272" t="str">
        <f>IFERROR(-CF!N27/1000,"")</f>
        <v/>
      </c>
      <c r="N241" s="1272">
        <f>IFERROR(-CF!O27/1000,"")</f>
        <v>0</v>
      </c>
      <c r="O241" s="1272">
        <f>IFERROR(-CF!P27/1000,"")</f>
        <v>0</v>
      </c>
      <c r="P241" s="1272">
        <f>IFERROR(-CF!Q27/1000,"")</f>
        <v>0</v>
      </c>
      <c r="Q241" s="139"/>
      <c r="R241" s="139"/>
    </row>
    <row r="242" spans="2:18">
      <c r="D242" s="1271"/>
      <c r="E242" s="1271"/>
      <c r="F242" s="1271"/>
      <c r="G242" s="1271"/>
      <c r="H242" s="1271"/>
      <c r="I242" s="1271"/>
      <c r="J242" s="1271"/>
      <c r="K242" s="1271"/>
      <c r="L242" s="1271"/>
      <c r="M242" s="1271"/>
      <c r="N242" s="1271"/>
      <c r="O242" s="1271"/>
      <c r="P242" s="1271"/>
    </row>
    <row r="243" spans="2:18">
      <c r="B243" s="125" t="s">
        <v>165</v>
      </c>
      <c r="C243" s="125"/>
      <c r="D243" s="1273" t="str">
        <f>'WC&amp;ND'!E35</f>
        <v/>
      </c>
      <c r="E243" s="1273" t="str">
        <f>'WC&amp;ND'!F35</f>
        <v/>
      </c>
      <c r="F243" s="1273" t="str">
        <f>'WC&amp;ND'!G35</f>
        <v/>
      </c>
      <c r="G243" s="1273" t="str">
        <f>'WC&amp;ND'!H35</f>
        <v/>
      </c>
      <c r="H243" s="1273" t="str">
        <f>'WC&amp;ND'!I35</f>
        <v/>
      </c>
      <c r="I243" s="1273" t="str">
        <f>'WC&amp;ND'!J35</f>
        <v/>
      </c>
      <c r="J243" s="1273" t="str">
        <f>'WC&amp;ND'!K35</f>
        <v/>
      </c>
      <c r="K243" s="1273" t="str">
        <f>'WC&amp;ND'!L35</f>
        <v/>
      </c>
      <c r="L243" s="1273" t="str">
        <f>'WC&amp;ND'!M35</f>
        <v/>
      </c>
      <c r="M243" s="1273" t="str">
        <f>'WC&amp;ND'!N35</f>
        <v/>
      </c>
      <c r="N243" s="1273" t="str">
        <f>'WC&amp;ND'!O35</f>
        <v/>
      </c>
      <c r="O243" s="1273" t="str">
        <f>'WC&amp;ND'!P35</f>
        <v/>
      </c>
      <c r="P243" s="1273" t="str">
        <f>'WC&amp;ND'!Q35</f>
        <v/>
      </c>
    </row>
    <row r="244" spans="2:18">
      <c r="B244" s="865" t="s">
        <v>166</v>
      </c>
      <c r="D244" s="1214" t="str">
        <f>'WC&amp;ND'!E31</f>
        <v/>
      </c>
      <c r="E244" s="1214" t="str">
        <f>'WC&amp;ND'!F31</f>
        <v/>
      </c>
      <c r="F244" s="1214" t="str">
        <f>'WC&amp;ND'!G31</f>
        <v/>
      </c>
      <c r="G244" s="1214" t="str">
        <f>'WC&amp;ND'!H31</f>
        <v/>
      </c>
      <c r="H244" s="1214" t="str">
        <f>'WC&amp;ND'!I31</f>
        <v/>
      </c>
      <c r="I244" s="1214" t="str">
        <f>'WC&amp;ND'!J31</f>
        <v/>
      </c>
      <c r="J244" s="1214" t="str">
        <f>'WC&amp;ND'!K31</f>
        <v/>
      </c>
      <c r="K244" s="1214" t="str">
        <f>'WC&amp;ND'!L31</f>
        <v/>
      </c>
      <c r="L244" s="1214" t="str">
        <f>'WC&amp;ND'!M31</f>
        <v/>
      </c>
      <c r="M244" s="1214" t="str">
        <f>'WC&amp;ND'!N31</f>
        <v/>
      </c>
      <c r="N244" s="1214" t="str">
        <f>'WC&amp;ND'!O31</f>
        <v/>
      </c>
      <c r="O244" s="1214" t="str">
        <f>'WC&amp;ND'!P31</f>
        <v/>
      </c>
      <c r="P244" s="1214" t="str">
        <f>'WC&amp;ND'!Q31</f>
        <v/>
      </c>
    </row>
    <row r="245" spans="2:18">
      <c r="B245" s="865" t="s">
        <v>167</v>
      </c>
      <c r="D245" s="1214" t="str">
        <f>IFERROR(-'WC&amp;ND'!E32,"")</f>
        <v/>
      </c>
      <c r="E245" s="1214" t="str">
        <f>IFERROR(-'WC&amp;ND'!F32,"")</f>
        <v/>
      </c>
      <c r="F245" s="1214" t="str">
        <f>IFERROR(-'WC&amp;ND'!G32,"")</f>
        <v/>
      </c>
      <c r="G245" s="1214" t="str">
        <f>IFERROR(-'WC&amp;ND'!H32,"")</f>
        <v/>
      </c>
      <c r="H245" s="1214" t="str">
        <f>IFERROR(-'WC&amp;ND'!I32,"")</f>
        <v/>
      </c>
      <c r="I245" s="1214" t="str">
        <f>IFERROR(-'WC&amp;ND'!J32,"")</f>
        <v/>
      </c>
      <c r="J245" s="1214" t="str">
        <f>IFERROR(-'WC&amp;ND'!K32,"")</f>
        <v/>
      </c>
      <c r="K245" s="1214" t="str">
        <f>IFERROR(-'WC&amp;ND'!L32,"")</f>
        <v/>
      </c>
      <c r="L245" s="1214" t="str">
        <f>IFERROR(-'WC&amp;ND'!M32,"")</f>
        <v/>
      </c>
      <c r="M245" s="1214" t="str">
        <f>IFERROR(-'WC&amp;ND'!N32,"")</f>
        <v/>
      </c>
      <c r="N245" s="1214" t="str">
        <f>IFERROR(-'WC&amp;ND'!O32,"")</f>
        <v/>
      </c>
      <c r="O245" s="1214" t="str">
        <f>IFERROR(-'WC&amp;ND'!P32,"")</f>
        <v/>
      </c>
      <c r="P245" s="1214" t="str">
        <f>IFERROR(-'WC&amp;ND'!Q32,"")</f>
        <v/>
      </c>
    </row>
    <row r="246" spans="2:18">
      <c r="B246" s="865" t="s">
        <v>168</v>
      </c>
      <c r="D246" s="1214">
        <f>'WC&amp;ND'!E33</f>
        <v>61.22518940851846</v>
      </c>
      <c r="E246" s="1214">
        <f>'WC&amp;ND'!F33</f>
        <v>56.385943144857009</v>
      </c>
      <c r="F246" s="1214">
        <f>'WC&amp;ND'!G33</f>
        <v>54.2183128805937</v>
      </c>
      <c r="G246" s="1214">
        <f>'WC&amp;ND'!H33</f>
        <v>57.276481811323059</v>
      </c>
      <c r="H246" s="1214" t="str">
        <f>'WC&amp;ND'!I33</f>
        <v/>
      </c>
      <c r="I246" s="1214" t="str">
        <f>'WC&amp;ND'!J33</f>
        <v/>
      </c>
      <c r="J246" s="1214" t="str">
        <f>'WC&amp;ND'!K33</f>
        <v/>
      </c>
      <c r="K246" s="1214" t="str">
        <f>'WC&amp;ND'!L33</f>
        <v/>
      </c>
      <c r="L246" s="1214" t="str">
        <f>'WC&amp;ND'!M33</f>
        <v/>
      </c>
      <c r="M246" s="1214" t="str">
        <f>'WC&amp;ND'!N33</f>
        <v/>
      </c>
      <c r="N246" s="1214" t="str">
        <f>'WC&amp;ND'!O33</f>
        <v/>
      </c>
      <c r="O246" s="1214" t="str">
        <f>'WC&amp;ND'!P33</f>
        <v/>
      </c>
      <c r="P246" s="1214" t="str">
        <f>'WC&amp;ND'!Q33</f>
        <v/>
      </c>
    </row>
    <row r="247" spans="2:18">
      <c r="B247" s="140"/>
    </row>
    <row r="248" spans="2:18">
      <c r="B248" s="140"/>
    </row>
  </sheetData>
  <sheetProtection formatCells="0" insertColumns="0" insertRows="0" insertHyperlinks="0"/>
  <mergeCells count="5">
    <mergeCell ref="B4:R4"/>
    <mergeCell ref="B6:R6"/>
    <mergeCell ref="B66:R66"/>
    <mergeCell ref="B68:R69"/>
    <mergeCell ref="B151:R152"/>
  </mergeCells>
  <hyperlinks>
    <hyperlink ref="K8" r:id="rId1" display="https://www.goskills.com/Excel/Resources/Waterfall-charts" xr:uid="{5021DFCF-5877-444F-9A1F-0577D89D0CE3}"/>
  </hyperlinks>
  <pageMargins left="0.70866141732283472" right="0.70866141732283472" top="0.78740157480314965" bottom="0.78740157480314965" header="0.31496062992125984" footer="0.31496062992125984"/>
  <pageSetup paperSize="9" scale="81" orientation="landscape"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1F25F84-2CF6-4791-B49F-3A4196102CD0}">
          <x14:formula1>
            <xm:f>HS!$B$18:$B$20</xm:f>
          </x14:formula1>
          <xm:sqref>C28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5F97A-15A5-A14E-BF0A-B3740475112B}">
  <sheetPr codeName="Tabelle12">
    <tabColor theme="0" tint="-0.499984740745262"/>
    <pageSetUpPr fitToPage="1"/>
  </sheetPr>
  <dimension ref="A1:V142"/>
  <sheetViews>
    <sheetView workbookViewId="0"/>
  </sheetViews>
  <sheetFormatPr defaultColWidth="11.42578125" defaultRowHeight="12.75"/>
  <cols>
    <col min="1" max="1" width="5.7109375" style="10" customWidth="1"/>
    <col min="2" max="2" width="59.42578125" style="10" customWidth="1"/>
    <col min="3" max="3" width="30.7109375" style="10" hidden="1" customWidth="1"/>
    <col min="4" max="12" width="10.7109375" style="10" customWidth="1"/>
    <col min="13" max="17" width="5.7109375" style="10" customWidth="1"/>
    <col min="18" max="19" width="11.42578125" style="11"/>
    <col min="20" max="20" width="9.7109375" style="11" customWidth="1"/>
    <col min="21" max="21" width="11.42578125" style="11"/>
    <col min="22" max="22" width="3" style="11" bestFit="1" customWidth="1"/>
    <col min="23" max="23" width="11.42578125" style="11"/>
    <col min="24" max="24" width="2.42578125" style="11" bestFit="1" customWidth="1"/>
    <col min="25" max="16384" width="11.42578125" style="11"/>
  </cols>
  <sheetData>
    <row r="1" spans="1:22" ht="15" customHeight="1" thickBot="1"/>
    <row r="2" spans="1:22" ht="19.5" thickBot="1">
      <c r="B2" s="115" t="s">
        <v>169</v>
      </c>
      <c r="E2" s="1259" t="s">
        <v>170</v>
      </c>
      <c r="F2" s="1260"/>
      <c r="G2" s="1261" t="s">
        <v>171</v>
      </c>
      <c r="H2" s="1262">
        <v>1</v>
      </c>
      <c r="I2" s="1261" t="s">
        <v>172</v>
      </c>
      <c r="J2" s="1263">
        <v>1</v>
      </c>
    </row>
    <row r="3" spans="1:22" ht="18.75">
      <c r="B3" s="115"/>
    </row>
    <row r="4" spans="1:22" ht="10.5" customHeight="1">
      <c r="B4" s="1482" t="str">
        <f>Lang.!B222</f>
        <v>Income Statement</v>
      </c>
      <c r="C4" s="1483"/>
      <c r="D4" s="1484">
        <f t="shared" ref="D4:E4" si="0">+E4-1</f>
        <v>2021</v>
      </c>
      <c r="E4" s="1484">
        <f t="shared" si="0"/>
        <v>2022</v>
      </c>
      <c r="F4" s="1484">
        <f>+G4-1</f>
        <v>2023</v>
      </c>
      <c r="G4" s="1485">
        <f>Eckdaten!C12</f>
        <v>2024</v>
      </c>
      <c r="H4" s="1489">
        <f>+G4+1</f>
        <v>2025</v>
      </c>
      <c r="I4" s="1494">
        <f>IF(Eckdaten!$C$20+Eckdaten!$C$12&gt;H4,H4+1," ")</f>
        <v>2026</v>
      </c>
      <c r="J4" s="1494">
        <f>IF(Eckdaten!$C$20+Eckdaten!$C$12&gt;I4,I4+1," ")</f>
        <v>2027</v>
      </c>
      <c r="K4" s="1494">
        <f>IF(Eckdaten!$C$20+Eckdaten!$C$12&gt;J4,J4+1," ")</f>
        <v>2028</v>
      </c>
      <c r="L4" s="1494">
        <f>IF(Eckdaten!$C$20+Eckdaten!$C$12&gt;K4,K4+1," ")</f>
        <v>2029</v>
      </c>
      <c r="M4" s="1494" t="str">
        <f>IF(Eckdaten!$C$20+Eckdaten!$C$12&gt;L4,L4+1," ")</f>
        <v xml:space="preserve"> </v>
      </c>
      <c r="N4" s="1494" t="str">
        <f>IF(Eckdaten!$C$20+Eckdaten!$C$12&gt;M4,M4+1," ")</f>
        <v xml:space="preserve"> </v>
      </c>
      <c r="O4" s="1494" t="str">
        <f>IF(Eckdaten!$C$20+Eckdaten!$C$12&gt;N4,N4+1," ")</f>
        <v xml:space="preserve"> </v>
      </c>
      <c r="P4" s="1494" t="str">
        <f>IF(Eckdaten!$C$20+Eckdaten!$C$12&gt;O4,O4+1," ")</f>
        <v xml:space="preserve"> </v>
      </c>
      <c r="Q4" s="1494" t="str">
        <f>IF(Eckdaten!$C$20+Eckdaten!$C$12&gt;P4,P4+1," ")</f>
        <v xml:space="preserve"> </v>
      </c>
      <c r="S4" s="1917"/>
      <c r="T4" s="1917"/>
      <c r="U4" s="1917"/>
      <c r="V4" s="1917"/>
    </row>
    <row r="5" spans="1:22" ht="10.5" customHeight="1">
      <c r="B5" s="1486" t="str">
        <f>"in T"&amp;Eckdaten!C14</f>
        <v>in TEUR</v>
      </c>
      <c r="C5" s="1487"/>
      <c r="D5" s="1488" t="s">
        <v>173</v>
      </c>
      <c r="E5" s="1488" t="s">
        <v>173</v>
      </c>
      <c r="F5" s="1488" t="s">
        <v>173</v>
      </c>
      <c r="G5" s="1488" t="s">
        <v>173</v>
      </c>
      <c r="H5" s="1490" t="s">
        <v>174</v>
      </c>
      <c r="I5" s="1495" t="str">
        <f>IF(I4=" "," ","P")</f>
        <v>P</v>
      </c>
      <c r="J5" s="1495" t="str">
        <f t="shared" ref="J5:Q5" si="1">IF(J4=" "," ","P")</f>
        <v>P</v>
      </c>
      <c r="K5" s="1495" t="str">
        <f t="shared" si="1"/>
        <v>P</v>
      </c>
      <c r="L5" s="1495" t="str">
        <f t="shared" si="1"/>
        <v>P</v>
      </c>
      <c r="M5" s="1495" t="str">
        <f t="shared" si="1"/>
        <v xml:space="preserve"> </v>
      </c>
      <c r="N5" s="1495" t="str">
        <f t="shared" si="1"/>
        <v xml:space="preserve"> </v>
      </c>
      <c r="O5" s="1495" t="str">
        <f t="shared" si="1"/>
        <v xml:space="preserve"> </v>
      </c>
      <c r="P5" s="1495" t="str">
        <f t="shared" si="1"/>
        <v xml:space="preserve"> </v>
      </c>
      <c r="Q5" s="1495" t="str">
        <f t="shared" si="1"/>
        <v xml:space="preserve"> </v>
      </c>
      <c r="S5" s="1917"/>
      <c r="T5" s="1917"/>
      <c r="U5" s="1917"/>
      <c r="V5" s="1917"/>
    </row>
    <row r="6" spans="1:22" ht="10.5" customHeight="1">
      <c r="B6" s="1300" t="str">
        <f>'G&amp;V'!B7</f>
        <v>Total Turnover (adjusted)</v>
      </c>
      <c r="C6" s="1301"/>
      <c r="D6" s="1302">
        <f>IFERROR(ROUND(('G&amp;V'!D8+'G&amp;V'!D12)/1000,$H$2),"")</f>
        <v>0</v>
      </c>
      <c r="E6" s="1302">
        <f>IFERROR(ROUND(('G&amp;V'!E8+'G&amp;V'!E12)/1000,$H$2),"")</f>
        <v>38216.5</v>
      </c>
      <c r="F6" s="1302">
        <f>IFERROR(ROUND(('G&amp;V'!F8+'G&amp;V'!F12)/1000,$H$2),"")</f>
        <v>37396.300000000003</v>
      </c>
      <c r="G6" s="1302">
        <f>IFERROR(ROUND(('G&amp;V'!G8+'G&amp;V'!G12)/1000,$H$2),"")</f>
        <v>34006.9</v>
      </c>
      <c r="H6" s="1302">
        <f>IFERROR(ROUND(('G&amp;V'!H8+'G&amp;V'!H12)/1000,$H$2),"")</f>
        <v>34687</v>
      </c>
      <c r="I6" s="1302">
        <f>IFERROR(ROUND(('G&amp;V'!I8+'G&amp;V'!I12)/1000,$J$2),"")</f>
        <v>0</v>
      </c>
      <c r="J6" s="1302">
        <f>IFERROR(ROUND(('G&amp;V'!J8+'G&amp;V'!J12)/1000,$J$2),"")</f>
        <v>0</v>
      </c>
      <c r="K6" s="1302">
        <f>IFERROR(ROUND(('G&amp;V'!K8+'G&amp;V'!K12)/1000,$J$2),"")</f>
        <v>0</v>
      </c>
      <c r="L6" s="1302">
        <f>IFERROR(ROUND(('G&amp;V'!L8+'G&amp;V'!L12)/1000,$J$2),"")</f>
        <v>0</v>
      </c>
      <c r="M6" s="1302" t="str">
        <f>IFERROR(ROUND(('G&amp;V'!M8+'G&amp;V'!M12)/1000,$J$2),"")</f>
        <v/>
      </c>
      <c r="N6" s="1302" t="str">
        <f>IFERROR(ROUND(('G&amp;V'!N8+'G&amp;V'!N12)/1000,$J$2),"")</f>
        <v/>
      </c>
      <c r="O6" s="1302" t="str">
        <f>IFERROR(ROUND(('G&amp;V'!O8+'G&amp;V'!O12)/1000,$J$2),"")</f>
        <v/>
      </c>
      <c r="P6" s="1302" t="str">
        <f>IFERROR(ROUND(('G&amp;V'!P8+'G&amp;V'!P12)/1000,$J$2),"")</f>
        <v/>
      </c>
      <c r="Q6" s="1302" t="str">
        <f>IFERROR(ROUND(('G&amp;V'!Q8+'G&amp;V'!Q12)/1000,$J$2),"")</f>
        <v/>
      </c>
    </row>
    <row r="7" spans="1:22" ht="10.5" customHeight="1">
      <c r="B7" s="1754" t="str">
        <f>'G&amp;V'!B8</f>
        <v>Total Turnover (reported)</v>
      </c>
      <c r="C7" s="1303"/>
      <c r="D7" s="1302">
        <f>IFERROR(ROUND('G&amp;V'!D8/1000,$H$2),"")</f>
        <v>0</v>
      </c>
      <c r="E7" s="1302">
        <f>IFERROR(ROUND('G&amp;V'!E8/1000,$H$2),"")</f>
        <v>38216.5</v>
      </c>
      <c r="F7" s="1302">
        <f>IFERROR(ROUND('G&amp;V'!F8/1000,$H$2),"")</f>
        <v>37396.300000000003</v>
      </c>
      <c r="G7" s="1302">
        <f>IFERROR(ROUND('G&amp;V'!G8/1000,$H$2),"")</f>
        <v>34006.9</v>
      </c>
      <c r="H7" s="1302">
        <f>IFERROR(ROUND('G&amp;V'!H8/1000,$H$2),"")</f>
        <v>34687</v>
      </c>
      <c r="I7" s="1302">
        <f>IFERROR(ROUND('G&amp;V'!I8/1000,$J$2),"")</f>
        <v>0</v>
      </c>
      <c r="J7" s="1302">
        <f>IFERROR(ROUND('G&amp;V'!J8/1000,$J$2),"")</f>
        <v>0</v>
      </c>
      <c r="K7" s="1302">
        <f>IFERROR(ROUND('G&amp;V'!K8/1000,$J$2),"")</f>
        <v>0</v>
      </c>
      <c r="L7" s="1302">
        <f>IFERROR(ROUND('G&amp;V'!L8/1000,$J$2),"")</f>
        <v>0</v>
      </c>
      <c r="M7" s="1302">
        <f>IFERROR(ROUND('G&amp;V'!M8/1000,$J$2),"")</f>
        <v>0</v>
      </c>
      <c r="N7" s="1302">
        <f>IFERROR(ROUND('G&amp;V'!N8/1000,$J$2),"")</f>
        <v>0</v>
      </c>
      <c r="O7" s="1302">
        <f>IFERROR(ROUND('G&amp;V'!O8/1000,$J$2),"")</f>
        <v>0</v>
      </c>
      <c r="P7" s="1302">
        <f>IFERROR(ROUND('G&amp;V'!P8/1000,$J$2),"")</f>
        <v>0</v>
      </c>
      <c r="Q7" s="1302">
        <f>IFERROR(ROUND('G&amp;V'!Q8/1000,$J$2),"")</f>
        <v>0</v>
      </c>
    </row>
    <row r="8" spans="1:22" ht="10.5" customHeight="1">
      <c r="B8" s="1304" t="str">
        <f>'G&amp;V'!B9</f>
        <v>Revenue</v>
      </c>
      <c r="C8" s="1301"/>
      <c r="D8" s="1305">
        <f>IFERROR(ROUND(INDEX('G&amp;V'!$B$4:$Q$82,MATCH($B8,'G&amp;V'!$B$4:$B$82,0),MATCH(D$4,'G&amp;V'!$B$4:$Q$4,0))/1000,$H$2),"")</f>
        <v>0</v>
      </c>
      <c r="E8" s="1305">
        <f>IFERROR(ROUND(INDEX('G&amp;V'!$B$4:$Q$82,MATCH($B8,'G&amp;V'!$B$4:$B$82,0),MATCH(E$4,'G&amp;V'!$B$4:$Q$4,0))/1000,$H$2),"")</f>
        <v>38216.5</v>
      </c>
      <c r="F8" s="1305">
        <f>IFERROR(ROUND(INDEX('G&amp;V'!$B$4:$Q$82,MATCH($B8,'G&amp;V'!$B$4:$B$82,0),MATCH(F$4,'G&amp;V'!$B$4:$Q$4,0))/1000,$H$2),"")</f>
        <v>37396.300000000003</v>
      </c>
      <c r="G8" s="1305">
        <f>IFERROR(ROUND(INDEX('G&amp;V'!$B$4:$Q$82,MATCH($B8,'G&amp;V'!$B$4:$B$82,0),MATCH(G$4,'G&amp;V'!$B$4:$Q$4,0))/1000,$H$2),"")</f>
        <v>34006.9</v>
      </c>
      <c r="H8" s="1305">
        <f>IFERROR(ROUND(INDEX('G&amp;V'!$B$4:$Q$82,MATCH($B8,'G&amp;V'!$B$4:$B$82,0),MATCH(H$4,'G&amp;V'!$B$4:$Q$4,0))/1000,$H$2),"")</f>
        <v>34687</v>
      </c>
      <c r="I8" s="1305" t="str">
        <f>IFERROR(ROUND(INDEX('G&amp;V'!$B$4:$Q$82,MATCH($B8,'G&amp;V'!$B$4:$B$82,0),MATCH(I$4,'G&amp;V'!$B$4:$Q$4,0))/1000,$J$2),"")</f>
        <v/>
      </c>
      <c r="J8" s="1305" t="str">
        <f>IFERROR(ROUND(INDEX('G&amp;V'!$B$4:$Q$82,MATCH($B8,'G&amp;V'!$B$4:$B$82,0),MATCH(J$4,'G&amp;V'!$B$4:$Q$4,0))/1000,$J$2),"")</f>
        <v/>
      </c>
      <c r="K8" s="1305" t="str">
        <f>IFERROR(ROUND(INDEX('G&amp;V'!$B$4:$Q$82,MATCH($B8,'G&amp;V'!$B$4:$B$82,0),MATCH(K$4,'G&amp;V'!$B$4:$Q$4,0))/1000,$J$2),"")</f>
        <v/>
      </c>
      <c r="L8" s="1305" t="str">
        <f>IFERROR(ROUND(INDEX('G&amp;V'!$B$4:$Q$82,MATCH($B8,'G&amp;V'!$B$4:$B$82,0),MATCH(L$4,'G&amp;V'!$B$4:$Q$4,0))/1000,$J$2),"")</f>
        <v/>
      </c>
      <c r="M8" s="1305" t="str">
        <f>IFERROR(ROUND(INDEX('G&amp;V'!$B$4:$Q$82,MATCH($B8,'G&amp;V'!$B$4:$B$82,0),MATCH(M$4,'G&amp;V'!$B$4:$Q$4,0))/1000,$J$2),"")</f>
        <v/>
      </c>
      <c r="N8" s="1305" t="str">
        <f>IFERROR(ROUND(INDEX('G&amp;V'!$B$4:$Q$82,MATCH($B8,'G&amp;V'!$B$4:$B$82,0),MATCH(N$4,'G&amp;V'!$B$4:$Q$4,0))/1000,$J$2),"")</f>
        <v/>
      </c>
      <c r="O8" s="1305" t="str">
        <f>IFERROR(ROUND(INDEX('G&amp;V'!$B$4:$Q$82,MATCH($B8,'G&amp;V'!$B$4:$B$82,0),MATCH(O$4,'G&amp;V'!$B$4:$Q$4,0))/1000,$J$2),"")</f>
        <v/>
      </c>
      <c r="P8" s="1305" t="str">
        <f>IFERROR(ROUND(INDEX('G&amp;V'!$B$4:$Q$82,MATCH($B8,'G&amp;V'!$B$4:$B$82,0),MATCH(P$4,'G&amp;V'!$B$4:$Q$4,0))/1000,$J$2),"")</f>
        <v/>
      </c>
      <c r="Q8" s="1305" t="str">
        <f>IFERROR(ROUND(INDEX('G&amp;V'!$B$4:$Q$82,MATCH($B8,'G&amp;V'!$B$4:$B$82,0),MATCH(Q$4,'G&amp;V'!$B$4:$Q$4,0))/1000,$J$2),"")</f>
        <v/>
      </c>
      <c r="S8" s="189"/>
    </row>
    <row r="9" spans="1:22" ht="10.5" customHeight="1">
      <c r="B9" s="1304" t="str">
        <f>'G&amp;V'!B10</f>
        <v>Change in Inventory</v>
      </c>
      <c r="C9" s="1301"/>
      <c r="D9" s="1302">
        <f>IFERROR(ROUND(INDEX('G&amp;V'!$B$4:$Q$82,MATCH($B9,'G&amp;V'!$B$4:$B$82,0),MATCH(D$4,'G&amp;V'!$B$4:$Q$4,0))/1000,$H$2),"")</f>
        <v>0</v>
      </c>
      <c r="E9" s="1302">
        <f>IFERROR(ROUND(INDEX('G&amp;V'!$B$4:$Q$82,MATCH($B9,'G&amp;V'!$B$4:$B$82,0),MATCH(E$4,'G&amp;V'!$B$4:$Q$4,0))/1000,$H$2),"")</f>
        <v>0</v>
      </c>
      <c r="F9" s="1302">
        <f>IFERROR(ROUND(INDEX('G&amp;V'!$B$4:$Q$82,MATCH($B9,'G&amp;V'!$B$4:$B$82,0),MATCH(F$4,'G&amp;V'!$B$4:$Q$4,0))/1000,$H$2),"")</f>
        <v>0</v>
      </c>
      <c r="G9" s="1302">
        <f>IFERROR(ROUND(INDEX('G&amp;V'!$B$4:$Q$82,MATCH($B9,'G&amp;V'!$B$4:$B$82,0),MATCH(G$4,'G&amp;V'!$B$4:$Q$4,0))/1000,$H$2),"")</f>
        <v>0</v>
      </c>
      <c r="H9" s="1302">
        <f>IFERROR(ROUND(INDEX('G&amp;V'!$B$4:$Q$82,MATCH($B9,'G&amp;V'!$B$4:$B$82,0),MATCH(H$4,'G&amp;V'!$B$4:$Q$4,0))/1000,$H$2),"")</f>
        <v>0</v>
      </c>
      <c r="I9" s="1302" t="str">
        <f>IFERROR(ROUND(INDEX('G&amp;V'!$B$4:$Q$82,MATCH($B9,'G&amp;V'!$B$4:$B$82,0),MATCH(I$4,'G&amp;V'!$B$4:$Q$4,0))/1000,$J$2),"")</f>
        <v/>
      </c>
      <c r="J9" s="1302" t="str">
        <f>IFERROR(ROUND(INDEX('G&amp;V'!$B$4:$Q$82,MATCH($B9,'G&amp;V'!$B$4:$B$82,0),MATCH(J$4,'G&amp;V'!$B$4:$Q$4,0))/1000,$J$2),"")</f>
        <v/>
      </c>
      <c r="K9" s="1302" t="str">
        <f>IFERROR(ROUND(INDEX('G&amp;V'!$B$4:$Q$82,MATCH($B9,'G&amp;V'!$B$4:$B$82,0),MATCH(K$4,'G&amp;V'!$B$4:$Q$4,0))/1000,$J$2),"")</f>
        <v/>
      </c>
      <c r="L9" s="1302" t="str">
        <f>IFERROR(ROUND(INDEX('G&amp;V'!$B$4:$Q$82,MATCH($B9,'G&amp;V'!$B$4:$B$82,0),MATCH(L$4,'G&amp;V'!$B$4:$Q$4,0))/1000,$J$2),"")</f>
        <v/>
      </c>
      <c r="M9" s="1302" t="str">
        <f>IFERROR(ROUND(INDEX('G&amp;V'!$B$4:$Q$82,MATCH($B9,'G&amp;V'!$B$4:$B$82,0),MATCH(M$4,'G&amp;V'!$B$4:$Q$4,0))/1000,$J$2),"")</f>
        <v/>
      </c>
      <c r="N9" s="1302" t="str">
        <f>IFERROR(ROUND(INDEX('G&amp;V'!$B$4:$Q$82,MATCH($B9,'G&amp;V'!$B$4:$B$82,0),MATCH(N$4,'G&amp;V'!$B$4:$Q$4,0))/1000,$J$2),"")</f>
        <v/>
      </c>
      <c r="O9" s="1302" t="str">
        <f>IFERROR(ROUND(INDEX('G&amp;V'!$B$4:$Q$82,MATCH($B9,'G&amp;V'!$B$4:$B$82,0),MATCH(O$4,'G&amp;V'!$B$4:$Q$4,0))/1000,$J$2),"")</f>
        <v/>
      </c>
      <c r="P9" s="1302" t="str">
        <f>IFERROR(ROUND(INDEX('G&amp;V'!$B$4:$Q$82,MATCH($B9,'G&amp;V'!$B$4:$B$82,0),MATCH(P$4,'G&amp;V'!$B$4:$Q$4,0))/1000,$J$2),"")</f>
        <v/>
      </c>
      <c r="Q9" s="1302" t="str">
        <f>IFERROR(ROUND(INDEX('G&amp;V'!$B$4:$Q$82,MATCH($B9,'G&amp;V'!$B$4:$B$82,0),MATCH(Q$4,'G&amp;V'!$B$4:$Q$4,0))/1000,$J$2),"")</f>
        <v/>
      </c>
      <c r="S9" s="1755"/>
      <c r="V9" s="1756"/>
    </row>
    <row r="10" spans="1:22" ht="10.5" customHeight="1">
      <c r="B10" s="1306" t="str">
        <f>'G&amp;V'!B14</f>
        <v>Cost of Material</v>
      </c>
      <c r="C10" s="1307"/>
      <c r="D10" s="1302">
        <f>IFERROR(ROUND(INDEX('G&amp;V'!$B$4:$Q$82,MATCH($B10,'G&amp;V'!$B$4:$B$82,0),MATCH(D$4,'G&amp;V'!$B$4:$Q$4,0))/1000,$H$2),"")</f>
        <v>0</v>
      </c>
      <c r="E10" s="1302">
        <f>IFERROR(ROUND(INDEX('G&amp;V'!$B$4:$Q$82,MATCH($B10,'G&amp;V'!$B$4:$B$82,0),MATCH(E$4,'G&amp;V'!$B$4:$Q$4,0))/1000,$H$2),"")</f>
        <v>0</v>
      </c>
      <c r="F10" s="1302">
        <f>IFERROR(ROUND(INDEX('G&amp;V'!$B$4:$Q$82,MATCH($B10,'G&amp;V'!$B$4:$B$82,0),MATCH(F$4,'G&amp;V'!$B$4:$Q$4,0))/1000,$H$2),"")</f>
        <v>0</v>
      </c>
      <c r="G10" s="1302">
        <f>IFERROR(ROUND(INDEX('G&amp;V'!$B$4:$Q$82,MATCH($B10,'G&amp;V'!$B$4:$B$82,0),MATCH(G$4,'G&amp;V'!$B$4:$Q$4,0))/1000,$H$2),"")</f>
        <v>0</v>
      </c>
      <c r="H10" s="1302">
        <f>IFERROR(ROUND(INDEX('G&amp;V'!$B$4:$Q$82,MATCH($B10,'G&amp;V'!$B$4:$B$82,0),MATCH(H$4,'G&amp;V'!$B$4:$Q$4,0))/1000,$H$2),"")</f>
        <v>0</v>
      </c>
      <c r="I10" s="1302" t="str">
        <f>IFERROR(ROUND(INDEX('G&amp;V'!$B$4:$Q$82,MATCH($B10,'G&amp;V'!$B$4:$B$82,0),MATCH(I$4,'G&amp;V'!$B$4:$Q$4,0))/1000,$J$2),"")</f>
        <v/>
      </c>
      <c r="J10" s="1302" t="str">
        <f>IFERROR(ROUND(INDEX('G&amp;V'!$B$4:$Q$82,MATCH($B10,'G&amp;V'!$B$4:$B$82,0),MATCH(J$4,'G&amp;V'!$B$4:$Q$4,0))/1000,$J$2),"")</f>
        <v/>
      </c>
      <c r="K10" s="1302" t="str">
        <f>IFERROR(ROUND(INDEX('G&amp;V'!$B$4:$Q$82,MATCH($B10,'G&amp;V'!$B$4:$B$82,0),MATCH(K$4,'G&amp;V'!$B$4:$Q$4,0))/1000,$J$2),"")</f>
        <v/>
      </c>
      <c r="L10" s="1302" t="str">
        <f>IFERROR(ROUND(INDEX('G&amp;V'!$B$4:$Q$82,MATCH($B10,'G&amp;V'!$B$4:$B$82,0),MATCH(L$4,'G&amp;V'!$B$4:$Q$4,0))/1000,$J$2),"")</f>
        <v/>
      </c>
      <c r="M10" s="1302" t="str">
        <f>IFERROR(ROUND(INDEX('G&amp;V'!$B$4:$Q$82,MATCH($B10,'G&amp;V'!$B$4:$B$82,0),MATCH(M$4,'G&amp;V'!$B$4:$Q$4,0))/1000,$J$2),"")</f>
        <v/>
      </c>
      <c r="N10" s="1302" t="str">
        <f>IFERROR(ROUND(INDEX('G&amp;V'!$B$4:$Q$82,MATCH($B10,'G&amp;V'!$B$4:$B$82,0),MATCH(N$4,'G&amp;V'!$B$4:$Q$4,0))/1000,$J$2),"")</f>
        <v/>
      </c>
      <c r="O10" s="1302" t="str">
        <f>IFERROR(ROUND(INDEX('G&amp;V'!$B$4:$Q$82,MATCH($B10,'G&amp;V'!$B$4:$B$82,0),MATCH(O$4,'G&amp;V'!$B$4:$Q$4,0))/1000,$J$2),"")</f>
        <v/>
      </c>
      <c r="P10" s="1302" t="str">
        <f>IFERROR(ROUND(INDEX('G&amp;V'!$B$4:$Q$82,MATCH($B10,'G&amp;V'!$B$4:$B$82,0),MATCH(P$4,'G&amp;V'!$B$4:$Q$4,0))/1000,$J$2),"")</f>
        <v/>
      </c>
      <c r="Q10" s="1302" t="str">
        <f>IFERROR(ROUND(INDEX('G&amp;V'!$B$4:$Q$82,MATCH($B10,'G&amp;V'!$B$4:$B$82,0),MATCH(Q$4,'G&amp;V'!$B$4:$Q$4,0))/1000,$J$2),"")</f>
        <v/>
      </c>
      <c r="S10" s="1757"/>
      <c r="T10" s="190"/>
    </row>
    <row r="11" spans="1:22" ht="10.5" customHeight="1">
      <c r="B11" s="1308" t="str">
        <f>B10&amp;" "&amp;Lang.!B219</f>
        <v>Cost of Material (in % of total turnover)</v>
      </c>
      <c r="C11" s="1309"/>
      <c r="D11" s="1310" t="str">
        <f t="shared" ref="D11:Q11" si="2">IFERROR(D10/D6,"")</f>
        <v/>
      </c>
      <c r="E11" s="1310">
        <f t="shared" si="2"/>
        <v>0</v>
      </c>
      <c r="F11" s="1310">
        <f t="shared" si="2"/>
        <v>0</v>
      </c>
      <c r="G11" s="1310">
        <f t="shared" si="2"/>
        <v>0</v>
      </c>
      <c r="H11" s="1310">
        <f t="shared" si="2"/>
        <v>0</v>
      </c>
      <c r="I11" s="1310" t="str">
        <f t="shared" si="2"/>
        <v/>
      </c>
      <c r="J11" s="1310" t="str">
        <f t="shared" si="2"/>
        <v/>
      </c>
      <c r="K11" s="1310" t="str">
        <f t="shared" si="2"/>
        <v/>
      </c>
      <c r="L11" s="1310" t="str">
        <f t="shared" si="2"/>
        <v/>
      </c>
      <c r="M11" s="1310" t="str">
        <f t="shared" si="2"/>
        <v/>
      </c>
      <c r="N11" s="1310" t="str">
        <f t="shared" si="2"/>
        <v/>
      </c>
      <c r="O11" s="1310" t="str">
        <f t="shared" si="2"/>
        <v/>
      </c>
      <c r="P11" s="1310" t="str">
        <f t="shared" si="2"/>
        <v/>
      </c>
      <c r="Q11" s="1310" t="str">
        <f t="shared" si="2"/>
        <v/>
      </c>
    </row>
    <row r="12" spans="1:22" s="190" customFormat="1" ht="10.5" customHeight="1">
      <c r="A12" s="191"/>
      <c r="B12" s="1311" t="str">
        <f>'G&amp;V'!B20</f>
        <v>Gross Profit (adjusted)</v>
      </c>
      <c r="C12" s="1312"/>
      <c r="D12" s="1313">
        <f>IFERROR(ROUND(INDEX('G&amp;V'!$B$4:$Q$82,MATCH($B12,'G&amp;V'!$B$4:$B$82,0),MATCH(D$4,'G&amp;V'!$B$4:$Q$4,0))/1000,$H$2),"")</f>
        <v>0</v>
      </c>
      <c r="E12" s="1313">
        <f>IFERROR(ROUND(INDEX('G&amp;V'!$B$4:$Q$82,MATCH($B12,'G&amp;V'!$B$4:$B$82,0),MATCH(E$4,'G&amp;V'!$B$4:$Q$4,0))/1000,$H$2),"")</f>
        <v>38216.5</v>
      </c>
      <c r="F12" s="1313">
        <f>IFERROR(ROUND(INDEX('G&amp;V'!$B$4:$Q$82,MATCH($B12,'G&amp;V'!$B$4:$B$82,0),MATCH(F$4,'G&amp;V'!$B$4:$Q$4,0))/1000,$H$2),"")</f>
        <v>37396.300000000003</v>
      </c>
      <c r="G12" s="1313">
        <f>IFERROR(ROUND(INDEX('G&amp;V'!$B$4:$Q$82,MATCH($B12,'G&amp;V'!$B$4:$B$82,0),MATCH(G$4,'G&amp;V'!$B$4:$Q$4,0))/1000,$H$2),"")</f>
        <v>34006.9</v>
      </c>
      <c r="H12" s="1313">
        <f>IFERROR(ROUND(INDEX('G&amp;V'!$B$4:$Q$82,MATCH($B12,'G&amp;V'!$B$4:$B$82,0),MATCH(H$4,'G&amp;V'!$B$4:$Q$4,0))/1000,$H$2),"")</f>
        <v>34687</v>
      </c>
      <c r="I12" s="1313" t="str">
        <f>IFERROR(ROUND(INDEX('G&amp;V'!$B$4:$Q$82,MATCH($B12,'G&amp;V'!$B$4:$B$82,0),MATCH(I$4,'G&amp;V'!$B$4:$Q$4,0))/1000,$J$2),"")</f>
        <v/>
      </c>
      <c r="J12" s="1313" t="str">
        <f>IFERROR(ROUND(INDEX('G&amp;V'!$B$4:$Q$82,MATCH($B12,'G&amp;V'!$B$4:$B$82,0),MATCH(J$4,'G&amp;V'!$B$4:$Q$4,0))/1000,$J$2),"")</f>
        <v/>
      </c>
      <c r="K12" s="1313" t="str">
        <f>IFERROR(ROUND(INDEX('G&amp;V'!$B$4:$Q$82,MATCH($B12,'G&amp;V'!$B$4:$B$82,0),MATCH(K$4,'G&amp;V'!$B$4:$Q$4,0))/1000,$J$2),"")</f>
        <v/>
      </c>
      <c r="L12" s="1313" t="str">
        <f>IFERROR(ROUND(INDEX('G&amp;V'!$B$4:$Q$82,MATCH($B12,'G&amp;V'!$B$4:$B$82,0),MATCH(L$4,'G&amp;V'!$B$4:$Q$4,0))/1000,$J$2),"")</f>
        <v/>
      </c>
      <c r="M12" s="1313" t="str">
        <f>IFERROR(ROUND(INDEX('G&amp;V'!$B$4:$Q$82,MATCH($B12,'G&amp;V'!$B$4:$B$82,0),MATCH(M$4,'G&amp;V'!$B$4:$Q$4,0))/1000,$J$2),"")</f>
        <v/>
      </c>
      <c r="N12" s="1313" t="str">
        <f>IFERROR(ROUND(INDEX('G&amp;V'!$B$4:$Q$82,MATCH($B12,'G&amp;V'!$B$4:$B$82,0),MATCH(N$4,'G&amp;V'!$B$4:$Q$4,0))/1000,$J$2),"")</f>
        <v/>
      </c>
      <c r="O12" s="1313" t="str">
        <f>IFERROR(ROUND(INDEX('G&amp;V'!$B$4:$Q$82,MATCH($B12,'G&amp;V'!$B$4:$B$82,0),MATCH(O$4,'G&amp;V'!$B$4:$Q$4,0))/1000,$J$2),"")</f>
        <v/>
      </c>
      <c r="P12" s="1313" t="str">
        <f>IFERROR(ROUND(INDEX('G&amp;V'!$B$4:$Q$82,MATCH($B12,'G&amp;V'!$B$4:$B$82,0),MATCH(P$4,'G&amp;V'!$B$4:$Q$4,0))/1000,$J$2),"")</f>
        <v/>
      </c>
      <c r="Q12" s="1313" t="str">
        <f>IFERROR(ROUND(INDEX('G&amp;V'!$B$4:$Q$82,MATCH($B12,'G&amp;V'!$B$4:$B$82,0),MATCH(Q$4,'G&amp;V'!$B$4:$Q$4,0))/1000,$J$2),"")</f>
        <v/>
      </c>
    </row>
    <row r="13" spans="1:22" s="190" customFormat="1" ht="10.5" customHeight="1">
      <c r="A13" s="191"/>
      <c r="B13" s="1300" t="str">
        <f>'G&amp;V'!B21</f>
        <v>Gross Profit (reported)</v>
      </c>
      <c r="C13" s="1314"/>
      <c r="D13" s="1314">
        <f>IFERROR(ROUND(INDEX('G&amp;V'!$B$4:$Q$82,MATCH($B13,'G&amp;V'!$B$4:$B$82,0),MATCH(D$4,'G&amp;V'!$B$4:$Q$4,0))/1000,$H$2),"")</f>
        <v>0</v>
      </c>
      <c r="E13" s="1314">
        <f>IFERROR(ROUND(INDEX('G&amp;V'!$B$4:$Q$82,MATCH($B13,'G&amp;V'!$B$4:$B$82,0),MATCH(E$4,'G&amp;V'!$B$4:$Q$4,0))/1000,$H$2),"")</f>
        <v>38216.5</v>
      </c>
      <c r="F13" s="1314">
        <f>IFERROR(ROUND(INDEX('G&amp;V'!$B$4:$Q$82,MATCH($B13,'G&amp;V'!$B$4:$B$82,0),MATCH(F$4,'G&amp;V'!$B$4:$Q$4,0))/1000,$H$2),"")</f>
        <v>37396.300000000003</v>
      </c>
      <c r="G13" s="1314">
        <f>IFERROR(ROUND(INDEX('G&amp;V'!$B$4:$Q$82,MATCH($B13,'G&amp;V'!$B$4:$B$82,0),MATCH(G$4,'G&amp;V'!$B$4:$Q$4,0))/1000,$H$2),"")</f>
        <v>34006.9</v>
      </c>
      <c r="H13" s="1314">
        <f>IFERROR(ROUND(INDEX('G&amp;V'!$B$4:$Q$82,MATCH($B13,'G&amp;V'!$B$4:$B$82,0),MATCH(H$4,'G&amp;V'!$B$4:$Q$4,0))/1000,$H$2),"")</f>
        <v>34687</v>
      </c>
      <c r="I13" s="1314" t="str">
        <f>IFERROR(ROUND(INDEX('G&amp;V'!$B$4:$Q$82,MATCH($B13,'G&amp;V'!$B$4:$B$82,0),MATCH(I$4,'G&amp;V'!$B$4:$Q$4,0))/1000,$J$2),"")</f>
        <v/>
      </c>
      <c r="J13" s="1314" t="str">
        <f>IFERROR(ROUND(INDEX('G&amp;V'!$B$4:$Q$82,MATCH($B13,'G&amp;V'!$B$4:$B$82,0),MATCH(J$4,'G&amp;V'!$B$4:$Q$4,0))/1000,$J$2),"")</f>
        <v/>
      </c>
      <c r="K13" s="1314" t="str">
        <f>IFERROR(ROUND(INDEX('G&amp;V'!$B$4:$Q$82,MATCH($B13,'G&amp;V'!$B$4:$B$82,0),MATCH(K$4,'G&amp;V'!$B$4:$Q$4,0))/1000,$J$2),"")</f>
        <v/>
      </c>
      <c r="L13" s="1314" t="str">
        <f>IFERROR(ROUND(INDEX('G&amp;V'!$B$4:$Q$82,MATCH($B13,'G&amp;V'!$B$4:$B$82,0),MATCH(L$4,'G&amp;V'!$B$4:$Q$4,0))/1000,$J$2),"")</f>
        <v/>
      </c>
      <c r="M13" s="1314" t="str">
        <f>IFERROR(ROUND(INDEX('G&amp;V'!$B$4:$Q$82,MATCH($B13,'G&amp;V'!$B$4:$B$82,0),MATCH(M$4,'G&amp;V'!$B$4:$Q$4,0))/1000,$J$2),"")</f>
        <v/>
      </c>
      <c r="N13" s="1314" t="str">
        <f>IFERROR(ROUND(INDEX('G&amp;V'!$B$4:$Q$82,MATCH($B13,'G&amp;V'!$B$4:$B$82,0),MATCH(N$4,'G&amp;V'!$B$4:$Q$4,0))/1000,$J$2),"")</f>
        <v/>
      </c>
      <c r="O13" s="1314" t="str">
        <f>IFERROR(ROUND(INDEX('G&amp;V'!$B$4:$Q$82,MATCH($B13,'G&amp;V'!$B$4:$B$82,0),MATCH(O$4,'G&amp;V'!$B$4:$Q$4,0))/1000,$J$2),"")</f>
        <v/>
      </c>
      <c r="P13" s="1314" t="str">
        <f>IFERROR(ROUND(INDEX('G&amp;V'!$B$4:$Q$82,MATCH($B13,'G&amp;V'!$B$4:$B$82,0),MATCH(P$4,'G&amp;V'!$B$4:$Q$4,0))/1000,$J$2),"")</f>
        <v/>
      </c>
      <c r="Q13" s="1314" t="str">
        <f>IFERROR(ROUND(INDEX('G&amp;V'!$B$4:$Q$82,MATCH($B13,'G&amp;V'!$B$4:$B$82,0),MATCH(Q$4,'G&amp;V'!$B$4:$Q$4,0))/1000,$J$2),"")</f>
        <v/>
      </c>
    </row>
    <row r="14" spans="1:22" s="190" customFormat="1" ht="10.5" customHeight="1">
      <c r="A14" s="191"/>
      <c r="B14" s="1306" t="str">
        <f>'G&amp;V'!B24</f>
        <v>Personnel Expenses</v>
      </c>
      <c r="C14" s="1307"/>
      <c r="D14" s="1315">
        <f>IFERROR(ROUND(INDEX('G&amp;V'!$B$4:$Q$82,MATCH($B14,'G&amp;V'!$B$4:$B$82,0),MATCH(D$4,'G&amp;V'!$B$4:$Q$4,0))/1000,$H$2),"")</f>
        <v>0</v>
      </c>
      <c r="E14" s="1315">
        <f>IFERROR(ROUND(INDEX('G&amp;V'!$B$4:$Q$82,MATCH($B14,'G&amp;V'!$B$4:$B$82,0),MATCH(E$4,'G&amp;V'!$B$4:$Q$4,0))/1000,$H$2),"")</f>
        <v>-3420.7</v>
      </c>
      <c r="F14" s="1315">
        <f>IFERROR(ROUND(INDEX('G&amp;V'!$B$4:$Q$82,MATCH($B14,'G&amp;V'!$B$4:$B$82,0),MATCH(F$4,'G&amp;V'!$B$4:$Q$4,0))/1000,$H$2),"")</f>
        <v>-4168.5</v>
      </c>
      <c r="G14" s="1315">
        <f>IFERROR(ROUND(INDEX('G&amp;V'!$B$4:$Q$82,MATCH($B14,'G&amp;V'!$B$4:$B$82,0),MATCH(G$4,'G&amp;V'!$B$4:$Q$4,0))/1000,$H$2),"")</f>
        <v>-4283.5</v>
      </c>
      <c r="H14" s="1315">
        <f>IFERROR(ROUND(INDEX('G&amp;V'!$B$4:$Q$82,MATCH($B14,'G&amp;V'!$B$4:$B$82,0),MATCH(H$4,'G&amp;V'!$B$4:$Q$4,0))/1000,$H$2),"")</f>
        <v>-3780.2</v>
      </c>
      <c r="I14" s="1315" t="str">
        <f>IFERROR(ROUND(INDEX('G&amp;V'!$B$4:$Q$82,MATCH($B14,'G&amp;V'!$B$4:$B$82,0),MATCH(I$4,'G&amp;V'!$B$4:$Q$4,0))/1000,$J$2),"")</f>
        <v/>
      </c>
      <c r="J14" s="1315" t="str">
        <f>IFERROR(ROUND(INDEX('G&amp;V'!$B$4:$Q$82,MATCH($B14,'G&amp;V'!$B$4:$B$82,0),MATCH(J$4,'G&amp;V'!$B$4:$Q$4,0))/1000,$J$2),"")</f>
        <v/>
      </c>
      <c r="K14" s="1315" t="str">
        <f>IFERROR(ROUND(INDEX('G&amp;V'!$B$4:$Q$82,MATCH($B14,'G&amp;V'!$B$4:$B$82,0),MATCH(K$4,'G&amp;V'!$B$4:$Q$4,0))/1000,$J$2),"")</f>
        <v/>
      </c>
      <c r="L14" s="1315" t="str">
        <f>IFERROR(ROUND(INDEX('G&amp;V'!$B$4:$Q$82,MATCH($B14,'G&amp;V'!$B$4:$B$82,0),MATCH(L$4,'G&amp;V'!$B$4:$Q$4,0))/1000,$J$2),"")</f>
        <v/>
      </c>
      <c r="M14" s="1315" t="str">
        <f>IFERROR(ROUND(INDEX('G&amp;V'!$B$4:$Q$82,MATCH($B14,'G&amp;V'!$B$4:$B$82,0),MATCH(M$4,'G&amp;V'!$B$4:$Q$4,0))/1000,$J$2),"")</f>
        <v/>
      </c>
      <c r="N14" s="1315" t="str">
        <f>IFERROR(ROUND(INDEX('G&amp;V'!$B$4:$Q$82,MATCH($B14,'G&amp;V'!$B$4:$B$82,0),MATCH(N$4,'G&amp;V'!$B$4:$Q$4,0))/1000,$J$2),"")</f>
        <v/>
      </c>
      <c r="O14" s="1315" t="str">
        <f>IFERROR(ROUND(INDEX('G&amp;V'!$B$4:$Q$82,MATCH($B14,'G&amp;V'!$B$4:$B$82,0),MATCH(O$4,'G&amp;V'!$B$4:$Q$4,0))/1000,$J$2),"")</f>
        <v/>
      </c>
      <c r="P14" s="1315" t="str">
        <f>IFERROR(ROUND(INDEX('G&amp;V'!$B$4:$Q$82,MATCH($B14,'G&amp;V'!$B$4:$B$82,0),MATCH(P$4,'G&amp;V'!$B$4:$Q$4,0))/1000,$J$2),"")</f>
        <v/>
      </c>
      <c r="Q14" s="1315" t="str">
        <f>IFERROR(ROUND(INDEX('G&amp;V'!$B$4:$Q$82,MATCH($B14,'G&amp;V'!$B$4:$B$82,0),MATCH(Q$4,'G&amp;V'!$B$4:$Q$4,0))/1000,$J$2),"")</f>
        <v/>
      </c>
    </row>
    <row r="15" spans="1:22" s="190" customFormat="1" ht="10.5" customHeight="1">
      <c r="A15" s="191"/>
      <c r="B15" s="1308" t="str">
        <f>B14&amp;" "&amp;Lang.!B219</f>
        <v>Personnel Expenses (in % of total turnover)</v>
      </c>
      <c r="C15" s="1309"/>
      <c r="D15" s="1310" t="str">
        <f t="shared" ref="D15:Q15" si="3">IFERROR(D14/D6,"")</f>
        <v/>
      </c>
      <c r="E15" s="1310">
        <f t="shared" si="3"/>
        <v>-8.9508458388392442E-2</v>
      </c>
      <c r="F15" s="1310">
        <f t="shared" si="3"/>
        <v>-0.11146824685864644</v>
      </c>
      <c r="G15" s="1310">
        <f t="shared" si="3"/>
        <v>-0.12595973170150762</v>
      </c>
      <c r="H15" s="1310">
        <f t="shared" si="3"/>
        <v>-0.1089803096260847</v>
      </c>
      <c r="I15" s="1310" t="str">
        <f t="shared" si="3"/>
        <v/>
      </c>
      <c r="J15" s="1310" t="str">
        <f t="shared" si="3"/>
        <v/>
      </c>
      <c r="K15" s="1310" t="str">
        <f t="shared" si="3"/>
        <v/>
      </c>
      <c r="L15" s="1310" t="str">
        <f t="shared" si="3"/>
        <v/>
      </c>
      <c r="M15" s="1310" t="str">
        <f t="shared" si="3"/>
        <v/>
      </c>
      <c r="N15" s="1310" t="str">
        <f t="shared" si="3"/>
        <v/>
      </c>
      <c r="O15" s="1310" t="str">
        <f t="shared" si="3"/>
        <v/>
      </c>
      <c r="P15" s="1310" t="str">
        <f t="shared" si="3"/>
        <v/>
      </c>
      <c r="Q15" s="1310" t="str">
        <f t="shared" si="3"/>
        <v/>
      </c>
    </row>
    <row r="16" spans="1:22" s="190" customFormat="1" ht="10.5" customHeight="1">
      <c r="A16" s="191"/>
      <c r="B16" s="1718" t="str">
        <f>'G&amp;V'!B30</f>
        <v>Other Operating Income</v>
      </c>
      <c r="C16" s="1309"/>
      <c r="D16" s="1315">
        <f>IFERROR(ROUND(INDEX('G&amp;V'!$B$4:$Q$82,MATCH($B16,'G&amp;V'!$B$4:$B$82,0),MATCH(D$4,'G&amp;V'!$B$4:$Q$4,0))/1000,$H$2),"")</f>
        <v>0</v>
      </c>
      <c r="E16" s="1315">
        <f>IFERROR(ROUND(INDEX('G&amp;V'!$B$4:$Q$82,MATCH($B16,'G&amp;V'!$B$4:$B$82,0),MATCH(E$4,'G&amp;V'!$B$4:$Q$4,0))/1000,$H$2),"")</f>
        <v>448.5</v>
      </c>
      <c r="F16" s="1315">
        <f>IFERROR(ROUND(INDEX('G&amp;V'!$B$4:$Q$82,MATCH($B16,'G&amp;V'!$B$4:$B$82,0),MATCH(F$4,'G&amp;V'!$B$4:$Q$4,0))/1000,$H$2),"")</f>
        <v>551.5</v>
      </c>
      <c r="G16" s="1315">
        <f>IFERROR(ROUND(INDEX('G&amp;V'!$B$4:$Q$82,MATCH($B16,'G&amp;V'!$B$4:$B$82,0),MATCH(G$4,'G&amp;V'!$B$4:$Q$4,0))/1000,$H$2),"")</f>
        <v>601</v>
      </c>
      <c r="H16" s="1315">
        <f>IFERROR(ROUND(INDEX('G&amp;V'!$B$4:$Q$82,MATCH($B16,'G&amp;V'!$B$4:$B$82,0),MATCH(H$4,'G&amp;V'!$B$4:$Q$4,0))/1000,$H$2),"")</f>
        <v>0</v>
      </c>
      <c r="I16" s="1315" t="str">
        <f>IFERROR(ROUND(INDEX('G&amp;V'!$B$4:$Q$82,MATCH($B16,'G&amp;V'!$B$4:$B$82,0),MATCH(I$4,'G&amp;V'!$B$4:$Q$4,0))/1000,$H$2),"")</f>
        <v/>
      </c>
      <c r="J16" s="1315" t="str">
        <f>IFERROR(ROUND(INDEX('G&amp;V'!$B$4:$Q$82,MATCH($B16,'G&amp;V'!$B$4:$B$82,0),MATCH(J$4,'G&amp;V'!$B$4:$Q$4,0))/1000,$H$2),"")</f>
        <v/>
      </c>
      <c r="K16" s="1315" t="str">
        <f>IFERROR(ROUND(INDEX('G&amp;V'!$B$4:$Q$82,MATCH($B16,'G&amp;V'!$B$4:$B$82,0),MATCH(K$4,'G&amp;V'!$B$4:$Q$4,0))/1000,$H$2),"")</f>
        <v/>
      </c>
      <c r="L16" s="1315" t="str">
        <f>IFERROR(ROUND(INDEX('G&amp;V'!$B$4:$Q$82,MATCH($B16,'G&amp;V'!$B$4:$B$82,0),MATCH(L$4,'G&amp;V'!$B$4:$Q$4,0))/1000,$H$2),"")</f>
        <v/>
      </c>
      <c r="M16" s="1315" t="str">
        <f>IFERROR(ROUND(INDEX('G&amp;V'!$B$4:$Q$82,MATCH($B16,'G&amp;V'!$B$4:$B$82,0),MATCH(M$4,'G&amp;V'!$B$4:$Q$4,0))/1000,$H$2),"")</f>
        <v/>
      </c>
      <c r="N16" s="1315" t="str">
        <f>IFERROR(ROUND(INDEX('G&amp;V'!$B$4:$Q$82,MATCH($B16,'G&amp;V'!$B$4:$B$82,0),MATCH(N$4,'G&amp;V'!$B$4:$Q$4,0))/1000,$H$2),"")</f>
        <v/>
      </c>
      <c r="O16" s="1315" t="str">
        <f>IFERROR(ROUND(INDEX('G&amp;V'!$B$4:$Q$82,MATCH($B16,'G&amp;V'!$B$4:$B$82,0),MATCH(O$4,'G&amp;V'!$B$4:$Q$4,0))/1000,$H$2),"")</f>
        <v/>
      </c>
      <c r="P16" s="1315" t="str">
        <f>IFERROR(ROUND(INDEX('G&amp;V'!$B$4:$Q$82,MATCH($B16,'G&amp;V'!$B$4:$B$82,0),MATCH(P$4,'G&amp;V'!$B$4:$Q$4,0))/1000,$H$2),"")</f>
        <v/>
      </c>
      <c r="Q16" s="1315" t="str">
        <f>IFERROR(ROUND(INDEX('G&amp;V'!$B$4:$Q$82,MATCH($B16,'G&amp;V'!$B$4:$B$82,0),MATCH(Q$4,'G&amp;V'!$B$4:$Q$4,0))/1000,$H$2),"")</f>
        <v/>
      </c>
    </row>
    <row r="17" spans="1:22" ht="10.5" customHeight="1">
      <c r="B17" s="1306" t="str">
        <f>'G&amp;V'!B35</f>
        <v>Other Operating Expenses</v>
      </c>
      <c r="C17" s="1316"/>
      <c r="D17" s="1315">
        <f>IFERROR(ROUND(INDEX('G&amp;V'!$B$4:$Q$82,MATCH($B17,'G&amp;V'!$B$4:$B$82,0),MATCH(D$4,'G&amp;V'!$B$4:$Q$4,0))/1000,$H$2),"")</f>
        <v>0</v>
      </c>
      <c r="E17" s="1315">
        <f>IFERROR(ROUND(INDEX('G&amp;V'!$B$4:$Q$82,MATCH($B17,'G&amp;V'!$B$4:$B$82,0),MATCH(E$4,'G&amp;V'!$B$4:$Q$4,0))/1000,$H$2),"")</f>
        <v>-32748.2</v>
      </c>
      <c r="F17" s="1315">
        <f>IFERROR(ROUND(INDEX('G&amp;V'!$B$4:$Q$82,MATCH($B17,'G&amp;V'!$B$4:$B$82,0),MATCH(F$4,'G&amp;V'!$B$4:$Q$4,0))/1000,$H$2),"")</f>
        <v>-32035.200000000001</v>
      </c>
      <c r="G17" s="1315">
        <f>IFERROR(ROUND(INDEX('G&amp;V'!$B$4:$Q$82,MATCH($B17,'G&amp;V'!$B$4:$B$82,0),MATCH(G$4,'G&amp;V'!$B$4:$Q$4,0))/1000,$H$2),"")</f>
        <v>-29772.5</v>
      </c>
      <c r="H17" s="1315">
        <f>IFERROR(ROUND(INDEX('G&amp;V'!$B$4:$Q$82,MATCH($B17,'G&amp;V'!$B$4:$B$82,0),MATCH(H$4,'G&amp;V'!$B$4:$Q$4,0))/1000,$H$2),"")</f>
        <v>-29935.3</v>
      </c>
      <c r="I17" s="1315" t="str">
        <f>IFERROR(ROUND(INDEX('G&amp;V'!$B$4:$Q$82,MATCH($B17,'G&amp;V'!$B$4:$B$82,0),MATCH(I$4,'G&amp;V'!$B$4:$Q$4,0))/1000,$J$2),"")</f>
        <v/>
      </c>
      <c r="J17" s="1315" t="str">
        <f>IFERROR(ROUND(INDEX('G&amp;V'!$B$4:$Q$82,MATCH($B17,'G&amp;V'!$B$4:$B$82,0),MATCH(J$4,'G&amp;V'!$B$4:$Q$4,0))/1000,$J$2),"")</f>
        <v/>
      </c>
      <c r="K17" s="1315" t="str">
        <f>IFERROR(ROUND(INDEX('G&amp;V'!$B$4:$Q$82,MATCH($B17,'G&amp;V'!$B$4:$B$82,0),MATCH(K$4,'G&amp;V'!$B$4:$Q$4,0))/1000,$J$2),"")</f>
        <v/>
      </c>
      <c r="L17" s="1315" t="str">
        <f>IFERROR(ROUND(INDEX('G&amp;V'!$B$4:$Q$82,MATCH($B17,'G&amp;V'!$B$4:$B$82,0),MATCH(L$4,'G&amp;V'!$B$4:$Q$4,0))/1000,$J$2),"")</f>
        <v/>
      </c>
      <c r="M17" s="1315" t="str">
        <f>IFERROR(ROUND(INDEX('G&amp;V'!$B$4:$Q$82,MATCH($B17,'G&amp;V'!$B$4:$B$82,0),MATCH(M$4,'G&amp;V'!$B$4:$Q$4,0))/1000,$J$2),"")</f>
        <v/>
      </c>
      <c r="N17" s="1315" t="str">
        <f>IFERROR(ROUND(INDEX('G&amp;V'!$B$4:$Q$82,MATCH($B17,'G&amp;V'!$B$4:$B$82,0),MATCH(N$4,'G&amp;V'!$B$4:$Q$4,0))/1000,$J$2),"")</f>
        <v/>
      </c>
      <c r="O17" s="1315" t="str">
        <f>IFERROR(ROUND(INDEX('G&amp;V'!$B$4:$Q$82,MATCH($B17,'G&amp;V'!$B$4:$B$82,0),MATCH(O$4,'G&amp;V'!$B$4:$Q$4,0))/1000,$J$2),"")</f>
        <v/>
      </c>
      <c r="P17" s="1315" t="str">
        <f>IFERROR(ROUND(INDEX('G&amp;V'!$B$4:$Q$82,MATCH($B17,'G&amp;V'!$B$4:$B$82,0),MATCH(P$4,'G&amp;V'!$B$4:$Q$4,0))/1000,$J$2),"")</f>
        <v/>
      </c>
      <c r="Q17" s="1315" t="str">
        <f>IFERROR(ROUND(INDEX('G&amp;V'!$B$4:$Q$82,MATCH($B17,'G&amp;V'!$B$4:$B$82,0),MATCH(Q$4,'G&amp;V'!$B$4:$Q$4,0))/1000,$J$2),"")</f>
        <v/>
      </c>
    </row>
    <row r="18" spans="1:22" s="1758" customFormat="1" ht="10.5" customHeight="1">
      <c r="A18" s="192"/>
      <c r="B18" s="1311" t="str">
        <f>'G&amp;V'!B40</f>
        <v>EBITDA (adjusted)</v>
      </c>
      <c r="C18" s="1312"/>
      <c r="D18" s="1313">
        <f>IFERROR(ROUND(INDEX('G&amp;V'!$B$4:$Q$82,MATCH($B18,'G&amp;V'!$B$4:$B$82,0),MATCH(D$4,'G&amp;V'!$B$4:$Q$4,0))/1000,$H$2),"")</f>
        <v>0</v>
      </c>
      <c r="E18" s="1313">
        <f>IFERROR(ROUND(INDEX('G&amp;V'!$B$4:$Q$82,MATCH($B18,'G&amp;V'!$B$4:$B$82,0),MATCH(E$4,'G&amp;V'!$B$4:$Q$4,0))/1000,$H$2),"")</f>
        <v>2496.1</v>
      </c>
      <c r="F18" s="1313">
        <f>IFERROR(ROUND(INDEX('G&amp;V'!$B$4:$Q$82,MATCH($B18,'G&amp;V'!$B$4:$B$82,0),MATCH(F$4,'G&amp;V'!$B$4:$Q$4,0))/1000,$H$2),"")</f>
        <v>1744</v>
      </c>
      <c r="G18" s="1313">
        <f>IFERROR(ROUND(INDEX('G&amp;V'!$B$4:$Q$82,MATCH($B18,'G&amp;V'!$B$4:$B$82,0),MATCH(G$4,'G&amp;V'!$B$4:$Q$4,0))/1000,$H$2),"")</f>
        <v>551.9</v>
      </c>
      <c r="H18" s="1313">
        <f>IFERROR(ROUND(INDEX('G&amp;V'!$B$4:$Q$82,MATCH($B18,'G&amp;V'!$B$4:$B$82,0),MATCH(H$4,'G&amp;V'!$B$4:$Q$4,0))/1000,$H$2),"")</f>
        <v>971.5</v>
      </c>
      <c r="I18" s="1313" t="str">
        <f>IFERROR(ROUND(INDEX('G&amp;V'!$B$4:$Q$82,MATCH($B18,'G&amp;V'!$B$4:$B$82,0),MATCH(I$4,'G&amp;V'!$B$4:$Q$4,0))/1000,$J$2),"")</f>
        <v/>
      </c>
      <c r="J18" s="1313" t="str">
        <f>IFERROR(ROUND(INDEX('G&amp;V'!$B$4:$Q$82,MATCH($B18,'G&amp;V'!$B$4:$B$82,0),MATCH(J$4,'G&amp;V'!$B$4:$Q$4,0))/1000,$J$2),"")</f>
        <v/>
      </c>
      <c r="K18" s="1313" t="str">
        <f>IFERROR(ROUND(INDEX('G&amp;V'!$B$4:$Q$82,MATCH($B18,'G&amp;V'!$B$4:$B$82,0),MATCH(K$4,'G&amp;V'!$B$4:$Q$4,0))/1000,$J$2),"")</f>
        <v/>
      </c>
      <c r="L18" s="1313" t="str">
        <f>IFERROR(ROUND(INDEX('G&amp;V'!$B$4:$Q$82,MATCH($B18,'G&amp;V'!$B$4:$B$82,0),MATCH(L$4,'G&amp;V'!$B$4:$Q$4,0))/1000,$J$2),"")</f>
        <v/>
      </c>
      <c r="M18" s="1313" t="str">
        <f>IFERROR(ROUND(INDEX('G&amp;V'!$B$4:$Q$82,MATCH($B18,'G&amp;V'!$B$4:$B$82,0),MATCH(M$4,'G&amp;V'!$B$4:$Q$4,0))/1000,$J$2),"")</f>
        <v/>
      </c>
      <c r="N18" s="1313" t="str">
        <f>IFERROR(ROUND(INDEX('G&amp;V'!$B$4:$Q$82,MATCH($B18,'G&amp;V'!$B$4:$B$82,0),MATCH(N$4,'G&amp;V'!$B$4:$Q$4,0))/1000,$J$2),"")</f>
        <v/>
      </c>
      <c r="O18" s="1313" t="str">
        <f>IFERROR(ROUND(INDEX('G&amp;V'!$B$4:$Q$82,MATCH($B18,'G&amp;V'!$B$4:$B$82,0),MATCH(O$4,'G&amp;V'!$B$4:$Q$4,0))/1000,$J$2),"")</f>
        <v/>
      </c>
      <c r="P18" s="1313" t="str">
        <f>IFERROR(ROUND(INDEX('G&amp;V'!$B$4:$Q$82,MATCH($B18,'G&amp;V'!$B$4:$B$82,0),MATCH(P$4,'G&amp;V'!$B$4:$Q$4,0))/1000,$J$2),"")</f>
        <v/>
      </c>
      <c r="Q18" s="1313" t="str">
        <f>IFERROR(ROUND(INDEX('G&amp;V'!$B$4:$Q$82,MATCH($B18,'G&amp;V'!$B$4:$B$82,0),MATCH(Q$4,'G&amp;V'!$B$4:$Q$4,0))/1000,$J$2),"")</f>
        <v/>
      </c>
    </row>
    <row r="19" spans="1:22" s="1758" customFormat="1" ht="10.5" customHeight="1">
      <c r="A19" s="192"/>
      <c r="B19" s="1300" t="str">
        <f>'G&amp;V'!B41</f>
        <v>EBITDA (reported)</v>
      </c>
      <c r="C19" s="1317"/>
      <c r="D19" s="1314">
        <f>IFERROR(ROUND(INDEX('G&amp;V'!$B$4:$Q$82,MATCH($B19,'G&amp;V'!$B$4:$B$82,0),MATCH(D$4,'G&amp;V'!$B$4:$Q$4,0))/1000,$H$2),"")</f>
        <v>0</v>
      </c>
      <c r="E19" s="1314">
        <f>IFERROR(ROUND(INDEX('G&amp;V'!$B$4:$Q$82,MATCH($B19,'G&amp;V'!$B$4:$B$82,0),MATCH(E$4,'G&amp;V'!$B$4:$Q$4,0))/1000,$H$2),"")</f>
        <v>2496.1</v>
      </c>
      <c r="F19" s="1314">
        <f>IFERROR(ROUND(INDEX('G&amp;V'!$B$4:$Q$82,MATCH($B19,'G&amp;V'!$B$4:$B$82,0),MATCH(F$4,'G&amp;V'!$B$4:$Q$4,0))/1000,$H$2),"")</f>
        <v>1744</v>
      </c>
      <c r="G19" s="1314">
        <f>IFERROR(ROUND(INDEX('G&amp;V'!$B$4:$Q$82,MATCH($B19,'G&amp;V'!$B$4:$B$82,0),MATCH(G$4,'G&amp;V'!$B$4:$Q$4,0))/1000,$H$2),"")</f>
        <v>551.9</v>
      </c>
      <c r="H19" s="1314">
        <f>IFERROR(ROUND(INDEX('G&amp;V'!$B$4:$Q$82,MATCH($B19,'G&amp;V'!$B$4:$B$82,0),MATCH(H$4,'G&amp;V'!$B$4:$Q$4,0))/1000,$H$2),"")</f>
        <v>971.5</v>
      </c>
      <c r="I19" s="1314" t="str">
        <f>IFERROR(ROUND(INDEX('G&amp;V'!$B$4:$Q$82,MATCH($B19,'G&amp;V'!$B$4:$B$82,0),MATCH(I$4,'G&amp;V'!$B$4:$Q$4,0))/1000,$J$2),"")</f>
        <v/>
      </c>
      <c r="J19" s="1314" t="str">
        <f>IFERROR(ROUND(INDEX('G&amp;V'!$B$4:$Q$82,MATCH($B19,'G&amp;V'!$B$4:$B$82,0),MATCH(J$4,'G&amp;V'!$B$4:$Q$4,0))/1000,$J$2),"")</f>
        <v/>
      </c>
      <c r="K19" s="1314" t="str">
        <f>IFERROR(ROUND(INDEX('G&amp;V'!$B$4:$Q$82,MATCH($B19,'G&amp;V'!$B$4:$B$82,0),MATCH(K$4,'G&amp;V'!$B$4:$Q$4,0))/1000,$J$2),"")</f>
        <v/>
      </c>
      <c r="L19" s="1314" t="str">
        <f>IFERROR(ROUND(INDEX('G&amp;V'!$B$4:$Q$82,MATCH($B19,'G&amp;V'!$B$4:$B$82,0),MATCH(L$4,'G&amp;V'!$B$4:$Q$4,0))/1000,$J$2),"")</f>
        <v/>
      </c>
      <c r="M19" s="1314" t="str">
        <f>IFERROR(ROUND(INDEX('G&amp;V'!$B$4:$Q$82,MATCH($B19,'G&amp;V'!$B$4:$B$82,0),MATCH(M$4,'G&amp;V'!$B$4:$Q$4,0))/1000,$J$2),"")</f>
        <v/>
      </c>
      <c r="N19" s="1314" t="str">
        <f>IFERROR(ROUND(INDEX('G&amp;V'!$B$4:$Q$82,MATCH($B19,'G&amp;V'!$B$4:$B$82,0),MATCH(N$4,'G&amp;V'!$B$4:$Q$4,0))/1000,$J$2),"")</f>
        <v/>
      </c>
      <c r="O19" s="1314" t="str">
        <f>IFERROR(ROUND(INDEX('G&amp;V'!$B$4:$Q$82,MATCH($B19,'G&amp;V'!$B$4:$B$82,0),MATCH(O$4,'G&amp;V'!$B$4:$Q$4,0))/1000,$J$2),"")</f>
        <v/>
      </c>
      <c r="P19" s="1314" t="str">
        <f>IFERROR(ROUND(INDEX('G&amp;V'!$B$4:$Q$82,MATCH($B19,'G&amp;V'!$B$4:$B$82,0),MATCH(P$4,'G&amp;V'!$B$4:$Q$4,0))/1000,$J$2),"")</f>
        <v/>
      </c>
      <c r="Q19" s="1314" t="str">
        <f>IFERROR(ROUND(INDEX('G&amp;V'!$B$4:$Q$82,MATCH($B19,'G&amp;V'!$B$4:$B$82,0),MATCH(Q$4,'G&amp;V'!$B$4:$Q$4,0))/1000,$J$2),"")</f>
        <v/>
      </c>
    </row>
    <row r="20" spans="1:22" s="1758" customFormat="1" ht="10.5" customHeight="1">
      <c r="A20" s="192"/>
      <c r="B20" s="1308" t="str">
        <f>'G&amp;V'!B42</f>
        <v>EBITDA (adjusted) Margin</v>
      </c>
      <c r="C20" s="1318"/>
      <c r="D20" s="1310" t="str">
        <f t="shared" ref="D20:Q20" si="4">IFERROR(D18/D6,"")</f>
        <v/>
      </c>
      <c r="E20" s="1310">
        <f t="shared" si="4"/>
        <v>6.5314720081640132E-2</v>
      </c>
      <c r="F20" s="1310">
        <f t="shared" si="4"/>
        <v>4.6635629728074696E-2</v>
      </c>
      <c r="G20" s="1310">
        <f t="shared" si="4"/>
        <v>1.6229059396769479E-2</v>
      </c>
      <c r="H20" s="1310">
        <f t="shared" si="4"/>
        <v>2.8007610920517772E-2</v>
      </c>
      <c r="I20" s="1310" t="str">
        <f t="shared" si="4"/>
        <v/>
      </c>
      <c r="J20" s="1310" t="str">
        <f t="shared" si="4"/>
        <v/>
      </c>
      <c r="K20" s="1310" t="str">
        <f t="shared" si="4"/>
        <v/>
      </c>
      <c r="L20" s="1310" t="str">
        <f t="shared" si="4"/>
        <v/>
      </c>
      <c r="M20" s="1310" t="str">
        <f t="shared" si="4"/>
        <v/>
      </c>
      <c r="N20" s="1310" t="str">
        <f t="shared" si="4"/>
        <v/>
      </c>
      <c r="O20" s="1310" t="str">
        <f t="shared" si="4"/>
        <v/>
      </c>
      <c r="P20" s="1310" t="str">
        <f t="shared" si="4"/>
        <v/>
      </c>
      <c r="Q20" s="1310" t="str">
        <f t="shared" si="4"/>
        <v/>
      </c>
    </row>
    <row r="21" spans="1:22" s="1759" customFormat="1" ht="10.5" customHeight="1">
      <c r="A21" s="1244"/>
      <c r="B21" s="1319" t="str">
        <f>'G&amp;V'!B41&amp;" Marge"</f>
        <v>EBITDA (reported) Marge</v>
      </c>
      <c r="C21" s="1320"/>
      <c r="D21" s="1321" t="str">
        <f>IFERROR('G&amp;V'!D41/'G&amp;V'!D8,"")</f>
        <v/>
      </c>
      <c r="E21" s="1321">
        <f>IFERROR('G&amp;V'!E41/'G&amp;V'!E8,"")</f>
        <v>6.5315934247865692E-2</v>
      </c>
      <c r="F21" s="1321">
        <f>IFERROR('G&amp;V'!F41/'G&amp;V'!F8,"")</f>
        <v>4.6636932246703344E-2</v>
      </c>
      <c r="G21" s="1321">
        <f>IFERROR('G&amp;V'!G41/'G&amp;V'!G8,"")</f>
        <v>1.6228218203705538E-2</v>
      </c>
      <c r="H21" s="1321">
        <f>IFERROR('G&amp;V'!H41/'G&amp;V'!H8,"")</f>
        <v>2.8008974669472955E-2</v>
      </c>
      <c r="I21" s="1321" t="str">
        <f>IFERROR('G&amp;V'!I41/'G&amp;V'!I8,"")</f>
        <v/>
      </c>
      <c r="J21" s="1321" t="str">
        <f>IFERROR('G&amp;V'!J41/'G&amp;V'!J8,"")</f>
        <v/>
      </c>
      <c r="K21" s="1321" t="str">
        <f>IFERROR('G&amp;V'!K41/'G&amp;V'!K8,"")</f>
        <v/>
      </c>
      <c r="L21" s="1321" t="str">
        <f>IFERROR('G&amp;V'!L41/'G&amp;V'!L8,"")</f>
        <v/>
      </c>
      <c r="M21" s="1321" t="str">
        <f>IFERROR('G&amp;V'!M41/'G&amp;V'!M8,"")</f>
        <v/>
      </c>
      <c r="N21" s="1321" t="str">
        <f>IFERROR('G&amp;V'!N41/'G&amp;V'!N8,"")</f>
        <v/>
      </c>
      <c r="O21" s="1321" t="str">
        <f>IFERROR('G&amp;V'!O41/'G&amp;V'!O8,"")</f>
        <v/>
      </c>
      <c r="P21" s="1321" t="str">
        <f>IFERROR('G&amp;V'!P41/'G&amp;V'!P8,"")</f>
        <v/>
      </c>
      <c r="Q21" s="1321" t="str">
        <f>IFERROR('G&amp;V'!Q41/'G&amp;V'!Q8,"")</f>
        <v/>
      </c>
    </row>
    <row r="22" spans="1:22" ht="10.5" customHeight="1">
      <c r="B22" s="1306" t="str">
        <f>'G&amp;V'!B44</f>
        <v>Depreciation and Amortization</v>
      </c>
      <c r="C22" s="1307"/>
      <c r="D22" s="1315">
        <f>IFERROR(ROUND(INDEX('G&amp;V'!$B$4:$Q$82,MATCH($B22,'G&amp;V'!$B$4:$B$82,0),MATCH(D$4,'G&amp;V'!$B$4:$Q$4,0))/1000,$H$2),"")</f>
        <v>0</v>
      </c>
      <c r="E22" s="1315">
        <f>IFERROR(ROUND(INDEX('G&amp;V'!$B$4:$Q$82,MATCH($B22,'G&amp;V'!$B$4:$B$82,0),MATCH(E$4,'G&amp;V'!$B$4:$Q$4,0))/1000,$H$2),"")</f>
        <v>0</v>
      </c>
      <c r="F22" s="1315">
        <f>IFERROR(ROUND(INDEX('G&amp;V'!$B$4:$Q$82,MATCH($B22,'G&amp;V'!$B$4:$B$82,0),MATCH(F$4,'G&amp;V'!$B$4:$Q$4,0))/1000,$H$2),"")</f>
        <v>0</v>
      </c>
      <c r="G22" s="1315">
        <f>IFERROR(ROUND(INDEX('G&amp;V'!$B$4:$Q$82,MATCH($B22,'G&amp;V'!$B$4:$B$82,0),MATCH(G$4,'G&amp;V'!$B$4:$Q$4,0))/1000,$H$2),"")</f>
        <v>0</v>
      </c>
      <c r="H22" s="1315">
        <f>IFERROR(ROUND(INDEX('G&amp;V'!$B$4:$Q$82,MATCH($B22,'G&amp;V'!$B$4:$B$82,0),MATCH(H$4,'G&amp;V'!$B$4:$Q$4,0))/1000,$H$2),"")</f>
        <v>0</v>
      </c>
      <c r="I22" s="1315" t="str">
        <f>IFERROR(ROUND(INDEX('G&amp;V'!$B$4:$Q$82,MATCH($B22,'G&amp;V'!$B$4:$B$82,0),MATCH(I$4,'G&amp;V'!$B$4:$Q$4,0))/1000,$J$2),"")</f>
        <v/>
      </c>
      <c r="J22" s="1315" t="str">
        <f>IFERROR(ROUND(INDEX('G&amp;V'!$B$4:$Q$82,MATCH($B22,'G&amp;V'!$B$4:$B$82,0),MATCH(J$4,'G&amp;V'!$B$4:$Q$4,0))/1000,$J$2),"")</f>
        <v/>
      </c>
      <c r="K22" s="1315" t="str">
        <f>IFERROR(ROUND(INDEX('G&amp;V'!$B$4:$Q$82,MATCH($B22,'G&amp;V'!$B$4:$B$82,0),MATCH(K$4,'G&amp;V'!$B$4:$Q$4,0))/1000,$J$2),"")</f>
        <v/>
      </c>
      <c r="L22" s="1315" t="str">
        <f>IFERROR(ROUND(INDEX('G&amp;V'!$B$4:$Q$82,MATCH($B22,'G&amp;V'!$B$4:$B$82,0),MATCH(L$4,'G&amp;V'!$B$4:$Q$4,0))/1000,$J$2),"")</f>
        <v/>
      </c>
      <c r="M22" s="1315" t="str">
        <f>IFERROR(ROUND(INDEX('G&amp;V'!$B$4:$Q$82,MATCH($B22,'G&amp;V'!$B$4:$B$82,0),MATCH(M$4,'G&amp;V'!$B$4:$Q$4,0))/1000,$J$2),"")</f>
        <v/>
      </c>
      <c r="N22" s="1315" t="str">
        <f>IFERROR(ROUND(INDEX('G&amp;V'!$B$4:$Q$82,MATCH($B22,'G&amp;V'!$B$4:$B$82,0),MATCH(N$4,'G&amp;V'!$B$4:$Q$4,0))/1000,$J$2),"")</f>
        <v/>
      </c>
      <c r="O22" s="1315" t="str">
        <f>IFERROR(ROUND(INDEX('G&amp;V'!$B$4:$Q$82,MATCH($B22,'G&amp;V'!$B$4:$B$82,0),MATCH(O$4,'G&amp;V'!$B$4:$Q$4,0))/1000,$J$2),"")</f>
        <v/>
      </c>
      <c r="P22" s="1315" t="str">
        <f>IFERROR(ROUND(INDEX('G&amp;V'!$B$4:$Q$82,MATCH($B22,'G&amp;V'!$B$4:$B$82,0),MATCH(P$4,'G&amp;V'!$B$4:$Q$4,0))/1000,$J$2),"")</f>
        <v/>
      </c>
      <c r="Q22" s="1315" t="str">
        <f>IFERROR(ROUND(INDEX('G&amp;V'!$B$4:$Q$82,MATCH($B22,'G&amp;V'!$B$4:$B$82,0),MATCH(Q$4,'G&amp;V'!$B$4:$Q$4,0))/1000,$J$2),"")</f>
        <v/>
      </c>
    </row>
    <row r="23" spans="1:22" ht="10.5" customHeight="1">
      <c r="B23" s="1322" t="str">
        <f>'G&amp;V'!B46</f>
        <v>a) Intangibles</v>
      </c>
      <c r="C23" s="1316"/>
      <c r="D23" s="1315">
        <f>IFERROR(ROUND(INDEX('G&amp;V'!$B$4:$Q$82,MATCH($B23,'G&amp;V'!$B$4:$B$82,0),MATCH(D$4,'G&amp;V'!$B$4:$Q$4,0))/1000,$H$2),"")</f>
        <v>0</v>
      </c>
      <c r="E23" s="1315">
        <f>IFERROR(ROUND(INDEX('G&amp;V'!$B$4:$Q$82,MATCH($B23,'G&amp;V'!$B$4:$B$82,0),MATCH(E$4,'G&amp;V'!$B$4:$Q$4,0))/1000,$H$2),"")</f>
        <v>0</v>
      </c>
      <c r="F23" s="1315">
        <f>IFERROR(ROUND(INDEX('G&amp;V'!$B$4:$Q$82,MATCH($B23,'G&amp;V'!$B$4:$B$82,0),MATCH(F$4,'G&amp;V'!$B$4:$Q$4,0))/1000,$H$2),"")</f>
        <v>0</v>
      </c>
      <c r="G23" s="1315">
        <f>IFERROR(ROUND(INDEX('G&amp;V'!$B$4:$Q$82,MATCH($B23,'G&amp;V'!$B$4:$B$82,0),MATCH(G$4,'G&amp;V'!$B$4:$Q$4,0))/1000,$H$2),"")</f>
        <v>0</v>
      </c>
      <c r="H23" s="1315">
        <f>IFERROR(ROUND(INDEX('G&amp;V'!$B$4:$Q$82,MATCH($B23,'G&amp;V'!$B$4:$B$82,0),MATCH(H$4,'G&amp;V'!$B$4:$Q$4,0))/1000,$H$2),"")</f>
        <v>0</v>
      </c>
      <c r="I23" s="1315" t="str">
        <f>IFERROR(ROUND(INDEX('G&amp;V'!$B$4:$Q$82,MATCH($B23,'G&amp;V'!$B$4:$B$82,0),MATCH(I$4,'G&amp;V'!$B$4:$Q$4,0))/1000,$J$2),"")</f>
        <v/>
      </c>
      <c r="J23" s="1315" t="str">
        <f>IFERROR(ROUND(INDEX('G&amp;V'!$B$4:$Q$82,MATCH($B23,'G&amp;V'!$B$4:$B$82,0),MATCH(J$4,'G&amp;V'!$B$4:$Q$4,0))/1000,$J$2),"")</f>
        <v/>
      </c>
      <c r="K23" s="1315" t="str">
        <f>IFERROR(ROUND(INDEX('G&amp;V'!$B$4:$Q$82,MATCH($B23,'G&amp;V'!$B$4:$B$82,0),MATCH(K$4,'G&amp;V'!$B$4:$Q$4,0))/1000,$J$2),"")</f>
        <v/>
      </c>
      <c r="L23" s="1315" t="str">
        <f>IFERROR(ROUND(INDEX('G&amp;V'!$B$4:$Q$82,MATCH($B23,'G&amp;V'!$B$4:$B$82,0),MATCH(L$4,'G&amp;V'!$B$4:$Q$4,0))/1000,$J$2),"")</f>
        <v/>
      </c>
      <c r="M23" s="1315" t="str">
        <f>IFERROR(ROUND(INDEX('G&amp;V'!$B$4:$Q$82,MATCH($B23,'G&amp;V'!$B$4:$B$82,0),MATCH(M$4,'G&amp;V'!$B$4:$Q$4,0))/1000,$J$2),"")</f>
        <v/>
      </c>
      <c r="N23" s="1315" t="str">
        <f>IFERROR(ROUND(INDEX('G&amp;V'!$B$4:$Q$82,MATCH($B23,'G&amp;V'!$B$4:$B$82,0),MATCH(N$4,'G&amp;V'!$B$4:$Q$4,0))/1000,$J$2),"")</f>
        <v/>
      </c>
      <c r="O23" s="1315" t="str">
        <f>IFERROR(ROUND(INDEX('G&amp;V'!$B$4:$Q$82,MATCH($B23,'G&amp;V'!$B$4:$B$82,0),MATCH(O$4,'G&amp;V'!$B$4:$Q$4,0))/1000,$J$2),"")</f>
        <v/>
      </c>
      <c r="P23" s="1315" t="str">
        <f>IFERROR(ROUND(INDEX('G&amp;V'!$B$4:$Q$82,MATCH($B23,'G&amp;V'!$B$4:$B$82,0),MATCH(P$4,'G&amp;V'!$B$4:$Q$4,0))/1000,$J$2),"")</f>
        <v/>
      </c>
      <c r="Q23" s="1315" t="str">
        <f>IFERROR(ROUND(INDEX('G&amp;V'!$B$4:$Q$82,MATCH($B23,'G&amp;V'!$B$4:$B$82,0),MATCH(Q$4,'G&amp;V'!$B$4:$Q$4,0))/1000,$J$2),"")</f>
        <v/>
      </c>
    </row>
    <row r="24" spans="1:22" s="1758" customFormat="1" ht="10.5" customHeight="1">
      <c r="A24" s="192"/>
      <c r="B24" s="1322" t="str">
        <f>'G&amp;V'!B47</f>
        <v>b) PP&amp;E/Current Assets</v>
      </c>
      <c r="C24" s="1316"/>
      <c r="D24" s="1315">
        <f>IFERROR(ROUND(INDEX('G&amp;V'!$B$4:$Q$82,MATCH($B24,'G&amp;V'!$B$4:$B$82,0),MATCH(D$4,'G&amp;V'!$B$4:$Q$4,0))/1000,$H$2),"")</f>
        <v>0</v>
      </c>
      <c r="E24" s="1315">
        <f>IFERROR(ROUND(INDEX('G&amp;V'!$B$4:$Q$82,MATCH($B24,'G&amp;V'!$B$4:$B$82,0),MATCH(E$4,'G&amp;V'!$B$4:$Q$4,0))/1000,$H$2),"")</f>
        <v>0</v>
      </c>
      <c r="F24" s="1315">
        <f>IFERROR(ROUND(INDEX('G&amp;V'!$B$4:$Q$82,MATCH($B24,'G&amp;V'!$B$4:$B$82,0),MATCH(F$4,'G&amp;V'!$B$4:$Q$4,0))/1000,$H$2),"")</f>
        <v>0</v>
      </c>
      <c r="G24" s="1315">
        <f>IFERROR(ROUND(INDEX('G&amp;V'!$B$4:$Q$82,MATCH($B24,'G&amp;V'!$B$4:$B$82,0),MATCH(G$4,'G&amp;V'!$B$4:$Q$4,0))/1000,$H$2),"")</f>
        <v>0</v>
      </c>
      <c r="H24" s="1315">
        <f>IFERROR(ROUND(INDEX('G&amp;V'!$B$4:$Q$82,MATCH($B24,'G&amp;V'!$B$4:$B$82,0),MATCH(H$4,'G&amp;V'!$B$4:$Q$4,0))/1000,$H$2),"")</f>
        <v>0</v>
      </c>
      <c r="I24" s="1315" t="str">
        <f>IFERROR(ROUND(INDEX('G&amp;V'!$B$4:$Q$82,MATCH($B24,'G&amp;V'!$B$4:$B$82,0),MATCH(I$4,'G&amp;V'!$B$4:$Q$4,0))/1000,$J$2),"")</f>
        <v/>
      </c>
      <c r="J24" s="1315" t="str">
        <f>IFERROR(ROUND(INDEX('G&amp;V'!$B$4:$Q$82,MATCH($B24,'G&amp;V'!$B$4:$B$82,0),MATCH(J$4,'G&amp;V'!$B$4:$Q$4,0))/1000,$J$2),"")</f>
        <v/>
      </c>
      <c r="K24" s="1315" t="str">
        <f>IFERROR(ROUND(INDEX('G&amp;V'!$B$4:$Q$82,MATCH($B24,'G&amp;V'!$B$4:$B$82,0),MATCH(K$4,'G&amp;V'!$B$4:$Q$4,0))/1000,$J$2),"")</f>
        <v/>
      </c>
      <c r="L24" s="1315" t="str">
        <f>IFERROR(ROUND(INDEX('G&amp;V'!$B$4:$Q$82,MATCH($B24,'G&amp;V'!$B$4:$B$82,0),MATCH(L$4,'G&amp;V'!$B$4:$Q$4,0))/1000,$J$2),"")</f>
        <v/>
      </c>
      <c r="M24" s="1315" t="str">
        <f>IFERROR(ROUND(INDEX('G&amp;V'!$B$4:$Q$82,MATCH($B24,'G&amp;V'!$B$4:$B$82,0),MATCH(M$4,'G&amp;V'!$B$4:$Q$4,0))/1000,$J$2),"")</f>
        <v/>
      </c>
      <c r="N24" s="1315" t="str">
        <f>IFERROR(ROUND(INDEX('G&amp;V'!$B$4:$Q$82,MATCH($B24,'G&amp;V'!$B$4:$B$82,0),MATCH(N$4,'G&amp;V'!$B$4:$Q$4,0))/1000,$J$2),"")</f>
        <v/>
      </c>
      <c r="O24" s="1315" t="str">
        <f>IFERROR(ROUND(INDEX('G&amp;V'!$B$4:$Q$82,MATCH($B24,'G&amp;V'!$B$4:$B$82,0),MATCH(O$4,'G&amp;V'!$B$4:$Q$4,0))/1000,$J$2),"")</f>
        <v/>
      </c>
      <c r="P24" s="1315" t="str">
        <f>IFERROR(ROUND(INDEX('G&amp;V'!$B$4:$Q$82,MATCH($B24,'G&amp;V'!$B$4:$B$82,0),MATCH(P$4,'G&amp;V'!$B$4:$Q$4,0))/1000,$J$2),"")</f>
        <v/>
      </c>
      <c r="Q24" s="1315" t="str">
        <f>IFERROR(ROUND(INDEX('G&amp;V'!$B$4:$Q$82,MATCH($B24,'G&amp;V'!$B$4:$B$82,0),MATCH(Q$4,'G&amp;V'!$B$4:$Q$4,0))/1000,$J$2),"")</f>
        <v/>
      </c>
    </row>
    <row r="25" spans="1:22" s="1758" customFormat="1" ht="10.5" customHeight="1">
      <c r="A25" s="192"/>
      <c r="B25" s="1311" t="str">
        <f>'G&amp;V'!B50</f>
        <v>EBIT (adjusted)</v>
      </c>
      <c r="C25" s="1312"/>
      <c r="D25" s="1313">
        <f>IFERROR(ROUND(INDEX('G&amp;V'!$B$4:$Q$82,MATCH($B25,'G&amp;V'!$B$4:$B$82,0),MATCH(D$4,'G&amp;V'!$B$4:$Q$4,0))/1000,$H$2),"")</f>
        <v>0</v>
      </c>
      <c r="E25" s="1313">
        <f>IFERROR(ROUND(INDEX('G&amp;V'!$B$4:$Q$82,MATCH($B25,'G&amp;V'!$B$4:$B$82,0),MATCH(E$4,'G&amp;V'!$B$4:$Q$4,0))/1000,$H$2),"")</f>
        <v>2496.1</v>
      </c>
      <c r="F25" s="1313">
        <f>IFERROR(ROUND(INDEX('G&amp;V'!$B$4:$Q$82,MATCH($B25,'G&amp;V'!$B$4:$B$82,0),MATCH(F$4,'G&amp;V'!$B$4:$Q$4,0))/1000,$H$2),"")</f>
        <v>1744</v>
      </c>
      <c r="G25" s="1313">
        <f>IFERROR(ROUND(INDEX('G&amp;V'!$B$4:$Q$82,MATCH($B25,'G&amp;V'!$B$4:$B$82,0),MATCH(G$4,'G&amp;V'!$B$4:$Q$4,0))/1000,$H$2),"")</f>
        <v>551.9</v>
      </c>
      <c r="H25" s="1313">
        <f>IFERROR(ROUND(INDEX('G&amp;V'!$B$4:$Q$82,MATCH($B25,'G&amp;V'!$B$4:$B$82,0),MATCH(H$4,'G&amp;V'!$B$4:$Q$4,0))/1000,$H$2),"")</f>
        <v>971.5</v>
      </c>
      <c r="I25" s="1313" t="str">
        <f>IFERROR(ROUND(INDEX('G&amp;V'!$B$4:$Q$82,MATCH($B25,'G&amp;V'!$B$4:$B$82,0),MATCH(I$4,'G&amp;V'!$B$4:$Q$4,0))/1000,$J$2),"")</f>
        <v/>
      </c>
      <c r="J25" s="1313" t="str">
        <f>IFERROR(ROUND(INDEX('G&amp;V'!$B$4:$Q$82,MATCH($B25,'G&amp;V'!$B$4:$B$82,0),MATCH(J$4,'G&amp;V'!$B$4:$Q$4,0))/1000,$J$2),"")</f>
        <v/>
      </c>
      <c r="K25" s="1313" t="str">
        <f>IFERROR(ROUND(INDEX('G&amp;V'!$B$4:$Q$82,MATCH($B25,'G&amp;V'!$B$4:$B$82,0),MATCH(K$4,'G&amp;V'!$B$4:$Q$4,0))/1000,$J$2),"")</f>
        <v/>
      </c>
      <c r="L25" s="1313" t="str">
        <f>IFERROR(ROUND(INDEX('G&amp;V'!$B$4:$Q$82,MATCH($B25,'G&amp;V'!$B$4:$B$82,0),MATCH(L$4,'G&amp;V'!$B$4:$Q$4,0))/1000,$J$2),"")</f>
        <v/>
      </c>
      <c r="M25" s="1313" t="str">
        <f>IFERROR(ROUND(INDEX('G&amp;V'!$B$4:$Q$82,MATCH($B25,'G&amp;V'!$B$4:$B$82,0),MATCH(M$4,'G&amp;V'!$B$4:$Q$4,0))/1000,$J$2),"")</f>
        <v/>
      </c>
      <c r="N25" s="1313" t="str">
        <f>IFERROR(ROUND(INDEX('G&amp;V'!$B$4:$Q$82,MATCH($B25,'G&amp;V'!$B$4:$B$82,0),MATCH(N$4,'G&amp;V'!$B$4:$Q$4,0))/1000,$J$2),"")</f>
        <v/>
      </c>
      <c r="O25" s="1313" t="str">
        <f>IFERROR(ROUND(INDEX('G&amp;V'!$B$4:$Q$82,MATCH($B25,'G&amp;V'!$B$4:$B$82,0),MATCH(O$4,'G&amp;V'!$B$4:$Q$4,0))/1000,$J$2),"")</f>
        <v/>
      </c>
      <c r="P25" s="1313" t="str">
        <f>IFERROR(ROUND(INDEX('G&amp;V'!$B$4:$Q$82,MATCH($B25,'G&amp;V'!$B$4:$B$82,0),MATCH(P$4,'G&amp;V'!$B$4:$Q$4,0))/1000,$J$2),"")</f>
        <v/>
      </c>
      <c r="Q25" s="1313" t="str">
        <f>IFERROR(ROUND(INDEX('G&amp;V'!$B$4:$Q$82,MATCH($B25,'G&amp;V'!$B$4:$B$82,0),MATCH(Q$4,'G&amp;V'!$B$4:$Q$4,0))/1000,$J$2),"")</f>
        <v/>
      </c>
    </row>
    <row r="26" spans="1:22" s="1758" customFormat="1" ht="10.5" customHeight="1">
      <c r="A26" s="192"/>
      <c r="B26" s="1300" t="str">
        <f>'G&amp;V'!B51</f>
        <v>EBIT (reported)</v>
      </c>
      <c r="C26" s="1317"/>
      <c r="D26" s="1314">
        <f>IFERROR(ROUND(INDEX('G&amp;V'!$B$4:$Q$82,MATCH($B26,'G&amp;V'!$B$4:$B$82,0),MATCH(D$4,'G&amp;V'!$B$4:$Q$4,0))/1000,$H$2),"")</f>
        <v>0</v>
      </c>
      <c r="E26" s="1314">
        <f>IFERROR(ROUND(INDEX('G&amp;V'!$B$4:$Q$82,MATCH($B26,'G&amp;V'!$B$4:$B$82,0),MATCH(E$4,'G&amp;V'!$B$4:$Q$4,0))/1000,$H$2),"")</f>
        <v>2496.1</v>
      </c>
      <c r="F26" s="1314">
        <f>IFERROR(ROUND(INDEX('G&amp;V'!$B$4:$Q$82,MATCH($B26,'G&amp;V'!$B$4:$B$82,0),MATCH(F$4,'G&amp;V'!$B$4:$Q$4,0))/1000,$H$2),"")</f>
        <v>1744</v>
      </c>
      <c r="G26" s="1314">
        <f>IFERROR(ROUND(INDEX('G&amp;V'!$B$4:$Q$82,MATCH($B26,'G&amp;V'!$B$4:$B$82,0),MATCH(G$4,'G&amp;V'!$B$4:$Q$4,0))/1000,$H$2),"")</f>
        <v>551.9</v>
      </c>
      <c r="H26" s="1314">
        <f>IFERROR(ROUND(INDEX('G&amp;V'!$B$4:$Q$82,MATCH($B26,'G&amp;V'!$B$4:$B$82,0),MATCH(H$4,'G&amp;V'!$B$4:$Q$4,0))/1000,$H$2),"")</f>
        <v>971.5</v>
      </c>
      <c r="I26" s="1314" t="str">
        <f>IFERROR(ROUND(INDEX('G&amp;V'!$B$4:$Q$82,MATCH($B26,'G&amp;V'!$B$4:$B$82,0),MATCH(I$4,'G&amp;V'!$B$4:$Q$4,0))/1000,$J$2),"")</f>
        <v/>
      </c>
      <c r="J26" s="1314" t="str">
        <f>IFERROR(ROUND(INDEX('G&amp;V'!$B$4:$Q$82,MATCH($B26,'G&amp;V'!$B$4:$B$82,0),MATCH(J$4,'G&amp;V'!$B$4:$Q$4,0))/1000,$J$2),"")</f>
        <v/>
      </c>
      <c r="K26" s="1314" t="str">
        <f>IFERROR(ROUND(INDEX('G&amp;V'!$B$4:$Q$82,MATCH($B26,'G&amp;V'!$B$4:$B$82,0),MATCH(K$4,'G&amp;V'!$B$4:$Q$4,0))/1000,$J$2),"")</f>
        <v/>
      </c>
      <c r="L26" s="1314" t="str">
        <f>IFERROR(ROUND(INDEX('G&amp;V'!$B$4:$Q$82,MATCH($B26,'G&amp;V'!$B$4:$B$82,0),MATCH(L$4,'G&amp;V'!$B$4:$Q$4,0))/1000,$J$2),"")</f>
        <v/>
      </c>
      <c r="M26" s="1314" t="str">
        <f>IFERROR(ROUND(INDEX('G&amp;V'!$B$4:$Q$82,MATCH($B26,'G&amp;V'!$B$4:$B$82,0),MATCH(M$4,'G&amp;V'!$B$4:$Q$4,0))/1000,$J$2),"")</f>
        <v/>
      </c>
      <c r="N26" s="1314" t="str">
        <f>IFERROR(ROUND(INDEX('G&amp;V'!$B$4:$Q$82,MATCH($B26,'G&amp;V'!$B$4:$B$82,0),MATCH(N$4,'G&amp;V'!$B$4:$Q$4,0))/1000,$J$2),"")</f>
        <v/>
      </c>
      <c r="O26" s="1314" t="str">
        <f>IFERROR(ROUND(INDEX('G&amp;V'!$B$4:$Q$82,MATCH($B26,'G&amp;V'!$B$4:$B$82,0),MATCH(O$4,'G&amp;V'!$B$4:$Q$4,0))/1000,$J$2),"")</f>
        <v/>
      </c>
      <c r="P26" s="1314" t="str">
        <f>IFERROR(ROUND(INDEX('G&amp;V'!$B$4:$Q$82,MATCH($B26,'G&amp;V'!$B$4:$B$82,0),MATCH(P$4,'G&amp;V'!$B$4:$Q$4,0))/1000,$J$2),"")</f>
        <v/>
      </c>
      <c r="Q26" s="1314" t="str">
        <f>IFERROR(ROUND(INDEX('G&amp;V'!$B$4:$Q$82,MATCH($B26,'G&amp;V'!$B$4:$B$82,0),MATCH(Q$4,'G&amp;V'!$B$4:$Q$4,0))/1000,$J$2),"")</f>
        <v/>
      </c>
      <c r="V26" s="1758" t="s">
        <v>175</v>
      </c>
    </row>
    <row r="27" spans="1:22" s="1758" customFormat="1" ht="10.5" customHeight="1">
      <c r="A27" s="192"/>
      <c r="B27" s="1308" t="str">
        <f>'G&amp;V'!B52</f>
        <v>EBIT (adjusted) Margin</v>
      </c>
      <c r="C27" s="1318"/>
      <c r="D27" s="1310" t="str">
        <f t="shared" ref="D27:Q27" si="5">IFERROR(D25/D6,"")</f>
        <v/>
      </c>
      <c r="E27" s="1310">
        <f t="shared" si="5"/>
        <v>6.5314720081640132E-2</v>
      </c>
      <c r="F27" s="1310">
        <f t="shared" si="5"/>
        <v>4.6635629728074696E-2</v>
      </c>
      <c r="G27" s="1310">
        <f t="shared" si="5"/>
        <v>1.6229059396769479E-2</v>
      </c>
      <c r="H27" s="1310">
        <f t="shared" si="5"/>
        <v>2.8007610920517772E-2</v>
      </c>
      <c r="I27" s="1310" t="str">
        <f t="shared" si="5"/>
        <v/>
      </c>
      <c r="J27" s="1310" t="str">
        <f t="shared" si="5"/>
        <v/>
      </c>
      <c r="K27" s="1310" t="str">
        <f t="shared" si="5"/>
        <v/>
      </c>
      <c r="L27" s="1310" t="str">
        <f t="shared" si="5"/>
        <v/>
      </c>
      <c r="M27" s="1310" t="str">
        <f t="shared" si="5"/>
        <v/>
      </c>
      <c r="N27" s="1310" t="str">
        <f t="shared" si="5"/>
        <v/>
      </c>
      <c r="O27" s="1310" t="str">
        <f t="shared" si="5"/>
        <v/>
      </c>
      <c r="P27" s="1310" t="str">
        <f t="shared" si="5"/>
        <v/>
      </c>
      <c r="Q27" s="1310" t="str">
        <f t="shared" si="5"/>
        <v/>
      </c>
    </row>
    <row r="28" spans="1:22" s="1759" customFormat="1" ht="10.5" customHeight="1">
      <c r="A28" s="192"/>
      <c r="B28" s="1319" t="str">
        <f>'G&amp;V'!B51&amp;" Marge"</f>
        <v>EBIT (reported) Marge</v>
      </c>
      <c r="C28" s="1320"/>
      <c r="D28" s="1321" t="str">
        <f>IFERROR('G&amp;V'!D51/'G&amp;V'!D8,"")</f>
        <v/>
      </c>
      <c r="E28" s="1321">
        <f>IFERROR('G&amp;V'!E51/'G&amp;V'!E8,"")</f>
        <v>6.5315934247865692E-2</v>
      </c>
      <c r="F28" s="1321">
        <f>IFERROR('G&amp;V'!F51/'G&amp;V'!F8,"")</f>
        <v>4.6636932246703344E-2</v>
      </c>
      <c r="G28" s="1321">
        <f>IFERROR('G&amp;V'!G51/'G&amp;V'!G8,"")</f>
        <v>1.6228218203705538E-2</v>
      </c>
      <c r="H28" s="1321">
        <f>IFERROR('G&amp;V'!H51/'G&amp;V'!H8,"")</f>
        <v>2.8008974669472955E-2</v>
      </c>
      <c r="I28" s="1321" t="str">
        <f>IFERROR('G&amp;V'!I51/'G&amp;V'!I8,"")</f>
        <v/>
      </c>
      <c r="J28" s="1321" t="str">
        <f>IFERROR('G&amp;V'!J51/'G&amp;V'!J8,"")</f>
        <v/>
      </c>
      <c r="K28" s="1321" t="str">
        <f>IFERROR('G&amp;V'!K51/'G&amp;V'!K8,"")</f>
        <v/>
      </c>
      <c r="L28" s="1321" t="str">
        <f>IFERROR('G&amp;V'!L51/'G&amp;V'!L8,"")</f>
        <v/>
      </c>
      <c r="M28" s="1321" t="str">
        <f>IFERROR('G&amp;V'!M51/'G&amp;V'!M8,"")</f>
        <v/>
      </c>
      <c r="N28" s="1321" t="str">
        <f>IFERROR('G&amp;V'!N51/'G&amp;V'!N8,"")</f>
        <v/>
      </c>
      <c r="O28" s="1321" t="str">
        <f>IFERROR('G&amp;V'!O51/'G&amp;V'!O8,"")</f>
        <v/>
      </c>
      <c r="P28" s="1321" t="str">
        <f>IFERROR('G&amp;V'!P51/'G&amp;V'!P8,"")</f>
        <v/>
      </c>
      <c r="Q28" s="1321" t="str">
        <f>IFERROR('G&amp;V'!Q51/'G&amp;V'!Q8,"")</f>
        <v/>
      </c>
    </row>
    <row r="29" spans="1:22" s="1758" customFormat="1" ht="10.5" customHeight="1">
      <c r="A29" s="192"/>
      <c r="B29" s="1306" t="str">
        <f>'G&amp;V'!B54</f>
        <v>Financial Result</v>
      </c>
      <c r="C29" s="1307"/>
      <c r="D29" s="1315">
        <f>IFERROR(ROUND(INDEX('G&amp;V'!$B$4:$Q$82,MATCH($B29,'G&amp;V'!$B$4:$B$82,0),MATCH(D$4,'G&amp;V'!$B$4:$Q$4,0))/1000,$H$2),"")</f>
        <v>0</v>
      </c>
      <c r="E29" s="1315">
        <f>IFERROR(ROUND(INDEX('G&amp;V'!$B$4:$Q$82,MATCH($B29,'G&amp;V'!$B$4:$B$82,0),MATCH(E$4,'G&amp;V'!$B$4:$Q$4,0))/1000,$H$2),"")</f>
        <v>-156.6</v>
      </c>
      <c r="F29" s="1315">
        <f>IFERROR(ROUND(INDEX('G&amp;V'!$B$4:$Q$82,MATCH($B29,'G&amp;V'!$B$4:$B$82,0),MATCH(F$4,'G&amp;V'!$B$4:$Q$4,0))/1000,$H$2),"")</f>
        <v>-182.2</v>
      </c>
      <c r="G29" s="1315">
        <f>IFERROR(ROUND(INDEX('G&amp;V'!$B$4:$Q$82,MATCH($B29,'G&amp;V'!$B$4:$B$82,0),MATCH(G$4,'G&amp;V'!$B$4:$Q$4,0))/1000,$H$2),"")</f>
        <v>-60</v>
      </c>
      <c r="H29" s="1315">
        <f>IFERROR(ROUND(INDEX('G&amp;V'!$B$4:$Q$82,MATCH($B29,'G&amp;V'!$B$4:$B$82,0),MATCH(H$4,'G&amp;V'!$B$4:$Q$4,0))/1000,$H$2),"")</f>
        <v>720.5</v>
      </c>
      <c r="I29" s="1315" t="str">
        <f>IFERROR(ROUND(INDEX('G&amp;V'!$B$4:$Q$82,MATCH($B29,'G&amp;V'!$B$4:$B$82,0),MATCH(I$4,'G&amp;V'!$B$4:$Q$4,0))/1000,$J$2),"")</f>
        <v/>
      </c>
      <c r="J29" s="1315" t="str">
        <f>IFERROR(ROUND(INDEX('G&amp;V'!$B$4:$Q$82,MATCH($B29,'G&amp;V'!$B$4:$B$82,0),MATCH(J$4,'G&amp;V'!$B$4:$Q$4,0))/1000,$J$2),"")</f>
        <v/>
      </c>
      <c r="K29" s="1315" t="str">
        <f>IFERROR(ROUND(INDEX('G&amp;V'!$B$4:$Q$82,MATCH($B29,'G&amp;V'!$B$4:$B$82,0),MATCH(K$4,'G&amp;V'!$B$4:$Q$4,0))/1000,$J$2),"")</f>
        <v/>
      </c>
      <c r="L29" s="1315" t="str">
        <f>IFERROR(ROUND(INDEX('G&amp;V'!$B$4:$Q$82,MATCH($B29,'G&amp;V'!$B$4:$B$82,0),MATCH(L$4,'G&amp;V'!$B$4:$Q$4,0))/1000,$J$2),"")</f>
        <v/>
      </c>
      <c r="M29" s="1315" t="str">
        <f>IFERROR(ROUND(INDEX('G&amp;V'!$B$4:$Q$82,MATCH($B29,'G&amp;V'!$B$4:$B$82,0),MATCH(M$4,'G&amp;V'!$B$4:$Q$4,0))/1000,$J$2),"")</f>
        <v/>
      </c>
      <c r="N29" s="1315" t="str">
        <f>IFERROR(ROUND(INDEX('G&amp;V'!$B$4:$Q$82,MATCH($B29,'G&amp;V'!$B$4:$B$82,0),MATCH(N$4,'G&amp;V'!$B$4:$Q$4,0))/1000,$J$2),"")</f>
        <v/>
      </c>
      <c r="O29" s="1315" t="str">
        <f>IFERROR(ROUND(INDEX('G&amp;V'!$B$4:$Q$82,MATCH($B29,'G&amp;V'!$B$4:$B$82,0),MATCH(O$4,'G&amp;V'!$B$4:$Q$4,0))/1000,$J$2),"")</f>
        <v/>
      </c>
      <c r="P29" s="1315" t="str">
        <f>IFERROR(ROUND(INDEX('G&amp;V'!$B$4:$Q$82,MATCH($B29,'G&amp;V'!$B$4:$B$82,0),MATCH(P$4,'G&amp;V'!$B$4:$Q$4,0))/1000,$J$2),"")</f>
        <v/>
      </c>
      <c r="Q29" s="1315" t="str">
        <f>IFERROR(ROUND(INDEX('G&amp;V'!$B$4:$Q$82,MATCH($B29,'G&amp;V'!$B$4:$B$82,0),MATCH(Q$4,'G&amp;V'!$B$4:$Q$4,0))/1000,$J$2),"")</f>
        <v/>
      </c>
    </row>
    <row r="30" spans="1:22" ht="10.5" customHeight="1">
      <c r="B30" s="1306" t="str">
        <f>'G&amp;V'!B60</f>
        <v>Depreciation of current assets and amortisation of financial assets</v>
      </c>
      <c r="C30" s="1307"/>
      <c r="D30" s="1315">
        <f>IFERROR(ROUND(INDEX('G&amp;V'!$B$4:$Q$82,MATCH($B30,'G&amp;V'!$B$4:$B$82,0),MATCH(D$4,'G&amp;V'!$B$4:$Q$4,0))/1000,$H$2),"")</f>
        <v>0</v>
      </c>
      <c r="E30" s="1315">
        <f>IFERROR(ROUND(INDEX('G&amp;V'!$B$4:$Q$82,MATCH($B30,'G&amp;V'!$B$4:$B$82,0),MATCH(E$4,'G&amp;V'!$B$4:$Q$4,0))/1000,$H$2),"")</f>
        <v>0</v>
      </c>
      <c r="F30" s="1315">
        <f>IFERROR(ROUND(INDEX('G&amp;V'!$B$4:$Q$82,MATCH($B30,'G&amp;V'!$B$4:$B$82,0),MATCH(F$4,'G&amp;V'!$B$4:$Q$4,0))/1000,$H$2),"")</f>
        <v>0</v>
      </c>
      <c r="G30" s="1315">
        <f>IFERROR(ROUND(INDEX('G&amp;V'!$B$4:$Q$82,MATCH($B30,'G&amp;V'!$B$4:$B$82,0),MATCH(G$4,'G&amp;V'!$B$4:$Q$4,0))/1000,$H$2),"")</f>
        <v>0</v>
      </c>
      <c r="H30" s="1315">
        <f>IFERROR(ROUND(INDEX('G&amp;V'!$B$4:$Q$82,MATCH($B30,'G&amp;V'!$B$4:$B$82,0),MATCH(H$4,'G&amp;V'!$B$4:$Q$4,0))/1000,$H$2),"")</f>
        <v>0</v>
      </c>
      <c r="I30" s="1315" t="str">
        <f>IFERROR(ROUND(INDEX('G&amp;V'!$B$4:$Q$82,MATCH($B30,'G&amp;V'!$B$4:$B$82,0),MATCH(I$4,'G&amp;V'!$B$4:$Q$4,0))/1000,$J$2),"")</f>
        <v/>
      </c>
      <c r="J30" s="1315" t="str">
        <f>IFERROR(ROUND(INDEX('G&amp;V'!$B$4:$Q$82,MATCH($B30,'G&amp;V'!$B$4:$B$82,0),MATCH(J$4,'G&amp;V'!$B$4:$Q$4,0))/1000,$J$2),"")</f>
        <v/>
      </c>
      <c r="K30" s="1315" t="str">
        <f>IFERROR(ROUND(INDEX('G&amp;V'!$B$4:$Q$82,MATCH($B30,'G&amp;V'!$B$4:$B$82,0),MATCH(K$4,'G&amp;V'!$B$4:$Q$4,0))/1000,$J$2),"")</f>
        <v/>
      </c>
      <c r="L30" s="1315" t="str">
        <f>IFERROR(ROUND(INDEX('G&amp;V'!$B$4:$Q$82,MATCH($B30,'G&amp;V'!$B$4:$B$82,0),MATCH(L$4,'G&amp;V'!$B$4:$Q$4,0))/1000,$J$2),"")</f>
        <v/>
      </c>
      <c r="M30" s="1315" t="str">
        <f>IFERROR(ROUND(INDEX('G&amp;V'!$B$4:$Q$82,MATCH($B30,'G&amp;V'!$B$4:$B$82,0),MATCH(M$4,'G&amp;V'!$B$4:$Q$4,0))/1000,$J$2),"")</f>
        <v/>
      </c>
      <c r="N30" s="1315" t="str">
        <f>IFERROR(ROUND(INDEX('G&amp;V'!$B$4:$Q$82,MATCH($B30,'G&amp;V'!$B$4:$B$82,0),MATCH(N$4,'G&amp;V'!$B$4:$Q$4,0))/1000,$J$2),"")</f>
        <v/>
      </c>
      <c r="O30" s="1315" t="str">
        <f>IFERROR(ROUND(INDEX('G&amp;V'!$B$4:$Q$82,MATCH($B30,'G&amp;V'!$B$4:$B$82,0),MATCH(O$4,'G&amp;V'!$B$4:$Q$4,0))/1000,$J$2),"")</f>
        <v/>
      </c>
      <c r="P30" s="1315" t="str">
        <f>IFERROR(ROUND(INDEX('G&amp;V'!$B$4:$Q$82,MATCH($B30,'G&amp;V'!$B$4:$B$82,0),MATCH(P$4,'G&amp;V'!$B$4:$Q$4,0))/1000,$J$2),"")</f>
        <v/>
      </c>
      <c r="Q30" s="1315" t="str">
        <f>IFERROR(ROUND(INDEX('G&amp;V'!$B$4:$Q$82,MATCH($B30,'G&amp;V'!$B$4:$B$82,0),MATCH(Q$4,'G&amp;V'!$B$4:$Q$4,0))/1000,$J$2),"")</f>
        <v/>
      </c>
    </row>
    <row r="31" spans="1:22" s="193" customFormat="1" ht="10.5" customHeight="1">
      <c r="A31" s="194"/>
      <c r="B31" s="1306" t="str">
        <f>'G&amp;V'!B65</f>
        <v>Extraordinary Items</v>
      </c>
      <c r="C31" s="1307"/>
      <c r="D31" s="1315">
        <f>IFERROR(ROUND(INDEX('G&amp;V'!$B$4:$Q$82,MATCH($B31,'G&amp;V'!$B$4:$B$82,0),MATCH(D$4,'G&amp;V'!$B$4:$Q$4,0))/1000,$H$2),"")</f>
        <v>0</v>
      </c>
      <c r="E31" s="1315">
        <f>IFERROR(ROUND(INDEX('G&amp;V'!$B$4:$Q$82,MATCH($B31,'G&amp;V'!$B$4:$B$82,0),MATCH(E$4,'G&amp;V'!$B$4:$Q$4,0))/1000,$H$2),"")</f>
        <v>0</v>
      </c>
      <c r="F31" s="1315">
        <f>IFERROR(ROUND(INDEX('G&amp;V'!$B$4:$Q$82,MATCH($B31,'G&amp;V'!$B$4:$B$82,0),MATCH(F$4,'G&amp;V'!$B$4:$Q$4,0))/1000,$H$2),"")</f>
        <v>0</v>
      </c>
      <c r="G31" s="1315">
        <f>IFERROR(ROUND(INDEX('G&amp;V'!$B$4:$Q$82,MATCH($B31,'G&amp;V'!$B$4:$B$82,0),MATCH(G$4,'G&amp;V'!$B$4:$Q$4,0))/1000,$H$2),"")</f>
        <v>0</v>
      </c>
      <c r="H31" s="1315">
        <f>IFERROR(ROUND(INDEX('G&amp;V'!$B$4:$Q$82,MATCH($B31,'G&amp;V'!$B$4:$B$82,0),MATCH(H$4,'G&amp;V'!$B$4:$Q$4,0))/1000,$H$2),"")</f>
        <v>0</v>
      </c>
      <c r="I31" s="1315" t="str">
        <f>IFERROR(ROUND(INDEX('G&amp;V'!$B$4:$Q$82,MATCH($B31,'G&amp;V'!$B$4:$B$82,0),MATCH(I$4,'G&amp;V'!$B$4:$Q$4,0))/1000,$J$2),"")</f>
        <v/>
      </c>
      <c r="J31" s="1315" t="str">
        <f>IFERROR(ROUND(INDEX('G&amp;V'!$B$4:$Q$82,MATCH($B31,'G&amp;V'!$B$4:$B$82,0),MATCH(J$4,'G&amp;V'!$B$4:$Q$4,0))/1000,$J$2),"")</f>
        <v/>
      </c>
      <c r="K31" s="1315" t="str">
        <f>IFERROR(ROUND(INDEX('G&amp;V'!$B$4:$Q$82,MATCH($B31,'G&amp;V'!$B$4:$B$82,0),MATCH(K$4,'G&amp;V'!$B$4:$Q$4,0))/1000,$J$2),"")</f>
        <v/>
      </c>
      <c r="L31" s="1315" t="str">
        <f>IFERROR(ROUND(INDEX('G&amp;V'!$B$4:$Q$82,MATCH($B31,'G&amp;V'!$B$4:$B$82,0),MATCH(L$4,'G&amp;V'!$B$4:$Q$4,0))/1000,$J$2),"")</f>
        <v/>
      </c>
      <c r="M31" s="1315" t="str">
        <f>IFERROR(ROUND(INDEX('G&amp;V'!$B$4:$Q$82,MATCH($B31,'G&amp;V'!$B$4:$B$82,0),MATCH(M$4,'G&amp;V'!$B$4:$Q$4,0))/1000,$J$2),"")</f>
        <v/>
      </c>
      <c r="N31" s="1315" t="str">
        <f>IFERROR(ROUND(INDEX('G&amp;V'!$B$4:$Q$82,MATCH($B31,'G&amp;V'!$B$4:$B$82,0),MATCH(N$4,'G&amp;V'!$B$4:$Q$4,0))/1000,$J$2),"")</f>
        <v/>
      </c>
      <c r="O31" s="1315" t="str">
        <f>IFERROR(ROUND(INDEX('G&amp;V'!$B$4:$Q$82,MATCH($B31,'G&amp;V'!$B$4:$B$82,0),MATCH(O$4,'G&amp;V'!$B$4:$Q$4,0))/1000,$J$2),"")</f>
        <v/>
      </c>
      <c r="P31" s="1315" t="str">
        <f>IFERROR(ROUND(INDEX('G&amp;V'!$B$4:$Q$82,MATCH($B31,'G&amp;V'!$B$4:$B$82,0),MATCH(P$4,'G&amp;V'!$B$4:$Q$4,0))/1000,$J$2),"")</f>
        <v/>
      </c>
      <c r="Q31" s="1315" t="str">
        <f>IFERROR(ROUND(INDEX('G&amp;V'!$B$4:$Q$82,MATCH($B31,'G&amp;V'!$B$4:$B$82,0),MATCH(Q$4,'G&amp;V'!$B$4:$Q$4,0))/1000,$J$2),"")</f>
        <v/>
      </c>
    </row>
    <row r="32" spans="1:22" s="193" customFormat="1" ht="10.5" customHeight="1">
      <c r="A32" s="194"/>
      <c r="B32" s="1311" t="str">
        <f>'G&amp;V'!B70</f>
        <v>EBT (adjusted)</v>
      </c>
      <c r="C32" s="1312"/>
      <c r="D32" s="1313">
        <f>IFERROR(ROUND(INDEX('G&amp;V'!$B$4:$Q$82,MATCH($B32,'G&amp;V'!$B$4:$B$82,0),MATCH(D$4,'G&amp;V'!$B$4:$Q$4,0))/1000,$H$2),"")</f>
        <v>0</v>
      </c>
      <c r="E32" s="1313">
        <f>IFERROR(ROUND(INDEX('G&amp;V'!$B$4:$Q$82,MATCH($B32,'G&amp;V'!$B$4:$B$82,0),MATCH(E$4,'G&amp;V'!$B$4:$Q$4,0))/1000,$H$2),"")</f>
        <v>2339.5</v>
      </c>
      <c r="F32" s="1313">
        <f>IFERROR(ROUND(INDEX('G&amp;V'!$B$4:$Q$82,MATCH($B32,'G&amp;V'!$B$4:$B$82,0),MATCH(F$4,'G&amp;V'!$B$4:$Q$4,0))/1000,$H$2),"")</f>
        <v>1561.8</v>
      </c>
      <c r="G32" s="1313">
        <f>IFERROR(ROUND(INDEX('G&amp;V'!$B$4:$Q$82,MATCH($B32,'G&amp;V'!$B$4:$B$82,0),MATCH(G$4,'G&amp;V'!$B$4:$Q$4,0))/1000,$H$2),"")</f>
        <v>491.9</v>
      </c>
      <c r="H32" s="1313">
        <f>IFERROR(ROUND(INDEX('G&amp;V'!$B$4:$Q$82,MATCH($B32,'G&amp;V'!$B$4:$B$82,0),MATCH(H$4,'G&amp;V'!$B$4:$Q$4,0))/1000,$H$2),"")</f>
        <v>1692</v>
      </c>
      <c r="I32" s="1313" t="str">
        <f>IFERROR(ROUND(INDEX('G&amp;V'!$B$4:$Q$82,MATCH($B32,'G&amp;V'!$B$4:$B$82,0),MATCH(I$4,'G&amp;V'!$B$4:$Q$4,0))/1000,$J$2),"")</f>
        <v/>
      </c>
      <c r="J32" s="1313" t="str">
        <f>IFERROR(ROUND(INDEX('G&amp;V'!$B$4:$Q$82,MATCH($B32,'G&amp;V'!$B$4:$B$82,0),MATCH(J$4,'G&amp;V'!$B$4:$Q$4,0))/1000,$J$2),"")</f>
        <v/>
      </c>
      <c r="K32" s="1313" t="str">
        <f>IFERROR(ROUND(INDEX('G&amp;V'!$B$4:$Q$82,MATCH($B32,'G&amp;V'!$B$4:$B$82,0),MATCH(K$4,'G&amp;V'!$B$4:$Q$4,0))/1000,$J$2),"")</f>
        <v/>
      </c>
      <c r="L32" s="1313" t="str">
        <f>IFERROR(ROUND(INDEX('G&amp;V'!$B$4:$Q$82,MATCH($B32,'G&amp;V'!$B$4:$B$82,0),MATCH(L$4,'G&amp;V'!$B$4:$Q$4,0))/1000,$J$2),"")</f>
        <v/>
      </c>
      <c r="M32" s="1313" t="str">
        <f>IFERROR(ROUND(INDEX('G&amp;V'!$B$4:$Q$82,MATCH($B32,'G&amp;V'!$B$4:$B$82,0),MATCH(M$4,'G&amp;V'!$B$4:$Q$4,0))/1000,$J$2),"")</f>
        <v/>
      </c>
      <c r="N32" s="1313" t="str">
        <f>IFERROR(ROUND(INDEX('G&amp;V'!$B$4:$Q$82,MATCH($B32,'G&amp;V'!$B$4:$B$82,0),MATCH(N$4,'G&amp;V'!$B$4:$Q$4,0))/1000,$J$2),"")</f>
        <v/>
      </c>
      <c r="O32" s="1313" t="str">
        <f>IFERROR(ROUND(INDEX('G&amp;V'!$B$4:$Q$82,MATCH($B32,'G&amp;V'!$B$4:$B$82,0),MATCH(O$4,'G&amp;V'!$B$4:$Q$4,0))/1000,$J$2),"")</f>
        <v/>
      </c>
      <c r="P32" s="1313" t="str">
        <f>IFERROR(ROUND(INDEX('G&amp;V'!$B$4:$Q$82,MATCH($B32,'G&amp;V'!$B$4:$B$82,0),MATCH(P$4,'G&amp;V'!$B$4:$Q$4,0))/1000,$J$2),"")</f>
        <v/>
      </c>
      <c r="Q32" s="1313" t="str">
        <f>IFERROR(ROUND(INDEX('G&amp;V'!$B$4:$Q$82,MATCH($B32,'G&amp;V'!$B$4:$B$82,0),MATCH(Q$4,'G&amp;V'!$B$4:$Q$4,0))/1000,$J$2),"")</f>
        <v/>
      </c>
    </row>
    <row r="33" spans="1:19" s="193" customFormat="1" ht="10.5" customHeight="1">
      <c r="A33" s="194"/>
      <c r="B33" s="1300" t="str">
        <f>'G&amp;V'!B71</f>
        <v>EBT (reported)</v>
      </c>
      <c r="C33" s="1317"/>
      <c r="D33" s="1314">
        <f>IFERROR(ROUND(INDEX('G&amp;V'!$B$4:$Q$82,MATCH($B33,'G&amp;V'!$B$4:$B$82,0),MATCH(D$4,'G&amp;V'!$B$4:$Q$4,0))/1000,$H$2),"")</f>
        <v>0</v>
      </c>
      <c r="E33" s="1314">
        <f>IFERROR(ROUND(INDEX('G&amp;V'!$B$4:$Q$82,MATCH($B33,'G&amp;V'!$B$4:$B$82,0),MATCH(E$4,'G&amp;V'!$B$4:$Q$4,0))/1000,$H$2),"")</f>
        <v>2339.5</v>
      </c>
      <c r="F33" s="1314">
        <f>IFERROR(ROUND(INDEX('G&amp;V'!$B$4:$Q$82,MATCH($B33,'G&amp;V'!$B$4:$B$82,0),MATCH(F$4,'G&amp;V'!$B$4:$Q$4,0))/1000,$H$2),"")</f>
        <v>1561.8</v>
      </c>
      <c r="G33" s="1314">
        <f>IFERROR(ROUND(INDEX('G&amp;V'!$B$4:$Q$82,MATCH($B33,'G&amp;V'!$B$4:$B$82,0),MATCH(G$4,'G&amp;V'!$B$4:$Q$4,0))/1000,$H$2),"")</f>
        <v>491.9</v>
      </c>
      <c r="H33" s="1314">
        <f>IFERROR(ROUND(INDEX('G&amp;V'!$B$4:$Q$82,MATCH($B33,'G&amp;V'!$B$4:$B$82,0),MATCH(H$4,'G&amp;V'!$B$4:$Q$4,0))/1000,$H$2),"")</f>
        <v>1692</v>
      </c>
      <c r="I33" s="1314" t="str">
        <f>IFERROR(ROUND(INDEX('G&amp;V'!$B$4:$Q$82,MATCH($B33,'G&amp;V'!$B$4:$B$82,0),MATCH(I$4,'G&amp;V'!$B$4:$Q$4,0))/1000,$J$2),"")</f>
        <v/>
      </c>
      <c r="J33" s="1314" t="str">
        <f>IFERROR(ROUND(INDEX('G&amp;V'!$B$4:$Q$82,MATCH($B33,'G&amp;V'!$B$4:$B$82,0),MATCH(J$4,'G&amp;V'!$B$4:$Q$4,0))/1000,$J$2),"")</f>
        <v/>
      </c>
      <c r="K33" s="1314" t="str">
        <f>IFERROR(ROUND(INDEX('G&amp;V'!$B$4:$Q$82,MATCH($B33,'G&amp;V'!$B$4:$B$82,0),MATCH(K$4,'G&amp;V'!$B$4:$Q$4,0))/1000,$J$2),"")</f>
        <v/>
      </c>
      <c r="L33" s="1314" t="str">
        <f>IFERROR(ROUND(INDEX('G&amp;V'!$B$4:$Q$82,MATCH($B33,'G&amp;V'!$B$4:$B$82,0),MATCH(L$4,'G&amp;V'!$B$4:$Q$4,0))/1000,$J$2),"")</f>
        <v/>
      </c>
      <c r="M33" s="1314" t="str">
        <f>IFERROR(ROUND(INDEX('G&amp;V'!$B$4:$Q$82,MATCH($B33,'G&amp;V'!$B$4:$B$82,0),MATCH(M$4,'G&amp;V'!$B$4:$Q$4,0))/1000,$J$2),"")</f>
        <v/>
      </c>
      <c r="N33" s="1314" t="str">
        <f>IFERROR(ROUND(INDEX('G&amp;V'!$B$4:$Q$82,MATCH($B33,'G&amp;V'!$B$4:$B$82,0),MATCH(N$4,'G&amp;V'!$B$4:$Q$4,0))/1000,$J$2),"")</f>
        <v/>
      </c>
      <c r="O33" s="1314" t="str">
        <f>IFERROR(ROUND(INDEX('G&amp;V'!$B$4:$Q$82,MATCH($B33,'G&amp;V'!$B$4:$B$82,0),MATCH(O$4,'G&amp;V'!$B$4:$Q$4,0))/1000,$J$2),"")</f>
        <v/>
      </c>
      <c r="P33" s="1314" t="str">
        <f>IFERROR(ROUND(INDEX('G&amp;V'!$B$4:$Q$82,MATCH($B33,'G&amp;V'!$B$4:$B$82,0),MATCH(P$4,'G&amp;V'!$B$4:$Q$4,0))/1000,$J$2),"")</f>
        <v/>
      </c>
      <c r="Q33" s="1314" t="str">
        <f>IFERROR(ROUND(INDEX('G&amp;V'!$B$4:$Q$82,MATCH($B33,'G&amp;V'!$B$4:$B$82,0),MATCH(Q$4,'G&amp;V'!$B$4:$Q$4,0))/1000,$J$2),"")</f>
        <v/>
      </c>
    </row>
    <row r="34" spans="1:19" s="193" customFormat="1" ht="10.5" customHeight="1" thickBot="1">
      <c r="A34" s="194"/>
      <c r="B34" s="1323" t="str">
        <f>'G&amp;V'!B74</f>
        <v>Taxes on income and earnings + other taxes</v>
      </c>
      <c r="C34" s="1324"/>
      <c r="D34" s="1325">
        <f>IFERROR(ROUND(INDEX('G&amp;V'!$B$4:$Q$82,MATCH($B34,'G&amp;V'!$B$4:$B$82,0),MATCH(D$4,'G&amp;V'!$B$4:$Q$4,0))/1000,$H$2),"")</f>
        <v>0</v>
      </c>
      <c r="E34" s="1325">
        <f>IFERROR(ROUND(INDEX('G&amp;V'!$B$4:$Q$82,MATCH($B34,'G&amp;V'!$B$4:$B$82,0),MATCH(E$4,'G&amp;V'!$B$4:$Q$4,0))/1000,$H$2),"")</f>
        <v>-364.4</v>
      </c>
      <c r="F34" s="1325">
        <f>IFERROR(ROUND(INDEX('G&amp;V'!$B$4:$Q$82,MATCH($B34,'G&amp;V'!$B$4:$B$82,0),MATCH(F$4,'G&amp;V'!$B$4:$Q$4,0))/1000,$H$2),"")</f>
        <v>-270.60000000000002</v>
      </c>
      <c r="G34" s="1325">
        <f>IFERROR(ROUND(INDEX('G&amp;V'!$B$4:$Q$82,MATCH($B34,'G&amp;V'!$B$4:$B$82,0),MATCH(G$4,'G&amp;V'!$B$4:$Q$4,0))/1000,$H$2),"")</f>
        <v>-132.19999999999999</v>
      </c>
      <c r="H34" s="1325">
        <f>IFERROR(ROUND(INDEX('G&amp;V'!$B$4:$Q$82,MATCH($B34,'G&amp;V'!$B$4:$B$82,0),MATCH(H$4,'G&amp;V'!$B$4:$Q$4,0))/1000,$H$2),"")</f>
        <v>-507.6</v>
      </c>
      <c r="I34" s="1325" t="str">
        <f>IFERROR(ROUND(INDEX('G&amp;V'!$B$4:$Q$82,MATCH($B34,'G&amp;V'!$B$4:$B$82,0),MATCH(I$4,'G&amp;V'!$B$4:$Q$4,0))/1000,$J$2),"")</f>
        <v/>
      </c>
      <c r="J34" s="1325" t="str">
        <f>IFERROR(ROUND(INDEX('G&amp;V'!$B$4:$Q$82,MATCH($B34,'G&amp;V'!$B$4:$B$82,0),MATCH(J$4,'G&amp;V'!$B$4:$Q$4,0))/1000,$J$2),"")</f>
        <v/>
      </c>
      <c r="K34" s="1325" t="str">
        <f>IFERROR(ROUND(INDEX('G&amp;V'!$B$4:$Q$82,MATCH($B34,'G&amp;V'!$B$4:$B$82,0),MATCH(K$4,'G&amp;V'!$B$4:$Q$4,0))/1000,$J$2),"")</f>
        <v/>
      </c>
      <c r="L34" s="1325" t="str">
        <f>IFERROR(ROUND(INDEX('G&amp;V'!$B$4:$Q$82,MATCH($B34,'G&amp;V'!$B$4:$B$82,0),MATCH(L$4,'G&amp;V'!$B$4:$Q$4,0))/1000,$J$2),"")</f>
        <v/>
      </c>
      <c r="M34" s="1325" t="str">
        <f>IFERROR(ROUND(INDEX('G&amp;V'!$B$4:$Q$82,MATCH($B34,'G&amp;V'!$B$4:$B$82,0),MATCH(M$4,'G&amp;V'!$B$4:$Q$4,0))/1000,$J$2),"")</f>
        <v/>
      </c>
      <c r="N34" s="1325" t="str">
        <f>IFERROR(ROUND(INDEX('G&amp;V'!$B$4:$Q$82,MATCH($B34,'G&amp;V'!$B$4:$B$82,0),MATCH(N$4,'G&amp;V'!$B$4:$Q$4,0))/1000,$J$2),"")</f>
        <v/>
      </c>
      <c r="O34" s="1325" t="str">
        <f>IFERROR(ROUND(INDEX('G&amp;V'!$B$4:$Q$82,MATCH($B34,'G&amp;V'!$B$4:$B$82,0),MATCH(O$4,'G&amp;V'!$B$4:$Q$4,0))/1000,$J$2),"")</f>
        <v/>
      </c>
      <c r="P34" s="1325" t="str">
        <f>IFERROR(ROUND(INDEX('G&amp;V'!$B$4:$Q$82,MATCH($B34,'G&amp;V'!$B$4:$B$82,0),MATCH(P$4,'G&amp;V'!$B$4:$Q$4,0))/1000,$J$2),"")</f>
        <v/>
      </c>
      <c r="Q34" s="1325" t="str">
        <f>IFERROR(ROUND(INDEX('G&amp;V'!$B$4:$Q$82,MATCH($B34,'G&amp;V'!$B$4:$B$82,0),MATCH(Q$4,'G&amp;V'!$B$4:$Q$4,0))/1000,$J$2),"")</f>
        <v/>
      </c>
    </row>
    <row r="35" spans="1:19" s="193" customFormat="1" ht="10.5" customHeight="1">
      <c r="A35" s="194"/>
      <c r="B35" s="1326" t="str">
        <f>'G&amp;V'!B80</f>
        <v>Net Profit (loss) (adjusted)</v>
      </c>
      <c r="C35" s="1317"/>
      <c r="D35" s="1314">
        <f>IFERROR(ROUND(INDEX('G&amp;V'!$B$4:$Q$82,MATCH($B35,'G&amp;V'!$B$4:$B$82,0),MATCH(D$4,'G&amp;V'!$B$4:$Q$4,0))/1000,$H$2),"")</f>
        <v>0</v>
      </c>
      <c r="E35" s="1314">
        <f>IFERROR(ROUND(INDEX('G&amp;V'!$B$4:$Q$82,MATCH($B35,'G&amp;V'!$B$4:$B$82,0),MATCH(E$4,'G&amp;V'!$B$4:$Q$4,0))/1000,$H$2),"")</f>
        <v>1975.1</v>
      </c>
      <c r="F35" s="1314">
        <f>IFERROR(ROUND(INDEX('G&amp;V'!$B$4:$Q$82,MATCH($B35,'G&amp;V'!$B$4:$B$82,0),MATCH(F$4,'G&amp;V'!$B$4:$Q$4,0))/1000,$H$2),"")</f>
        <v>1291.2</v>
      </c>
      <c r="G35" s="1314">
        <f>IFERROR(ROUND(INDEX('G&amp;V'!$B$4:$Q$82,MATCH($B35,'G&amp;V'!$B$4:$B$82,0),MATCH(G$4,'G&amp;V'!$B$4:$Q$4,0))/1000,$H$2),"")</f>
        <v>359.7</v>
      </c>
      <c r="H35" s="1314">
        <f>IFERROR(ROUND(INDEX('G&amp;V'!$B$4:$Q$82,MATCH($B35,'G&amp;V'!$B$4:$B$82,0),MATCH(H$4,'G&amp;V'!$B$4:$Q$4,0))/1000,$H$2),"")</f>
        <v>1184.4000000000001</v>
      </c>
      <c r="I35" s="1314" t="str">
        <f>IFERROR(ROUND(INDEX('G&amp;V'!$B$4:$Q$82,MATCH($B35,'G&amp;V'!$B$4:$B$82,0),MATCH(I$4,'G&amp;V'!$B$4:$Q$4,0))/1000,$J$2),"")</f>
        <v/>
      </c>
      <c r="J35" s="1314" t="str">
        <f>IFERROR(ROUND(INDEX('G&amp;V'!$B$4:$Q$82,MATCH($B35,'G&amp;V'!$B$4:$B$82,0),MATCH(J$4,'G&amp;V'!$B$4:$Q$4,0))/1000,$J$2),"")</f>
        <v/>
      </c>
      <c r="K35" s="1314" t="str">
        <f>IFERROR(ROUND(INDEX('G&amp;V'!$B$4:$Q$82,MATCH($B35,'G&amp;V'!$B$4:$B$82,0),MATCH(K$4,'G&amp;V'!$B$4:$Q$4,0))/1000,$J$2),"")</f>
        <v/>
      </c>
      <c r="L35" s="1314" t="str">
        <f>IFERROR(ROUND(INDEX('G&amp;V'!$B$4:$Q$82,MATCH($B35,'G&amp;V'!$B$4:$B$82,0),MATCH(L$4,'G&amp;V'!$B$4:$Q$4,0))/1000,$J$2),"")</f>
        <v/>
      </c>
      <c r="M35" s="1314" t="str">
        <f>IFERROR(ROUND(INDEX('G&amp;V'!$B$4:$Q$82,MATCH($B35,'G&amp;V'!$B$4:$B$82,0),MATCH(M$4,'G&amp;V'!$B$4:$Q$4,0))/1000,$J$2),"")</f>
        <v/>
      </c>
      <c r="N35" s="1314" t="str">
        <f>IFERROR(ROUND(INDEX('G&amp;V'!$B$4:$Q$82,MATCH($B35,'G&amp;V'!$B$4:$B$82,0),MATCH(N$4,'G&amp;V'!$B$4:$Q$4,0))/1000,$J$2),"")</f>
        <v/>
      </c>
      <c r="O35" s="1314" t="str">
        <f>IFERROR(ROUND(INDEX('G&amp;V'!$B$4:$Q$82,MATCH($B35,'G&amp;V'!$B$4:$B$82,0),MATCH(O$4,'G&amp;V'!$B$4:$Q$4,0))/1000,$J$2),"")</f>
        <v/>
      </c>
      <c r="P35" s="1314" t="str">
        <f>IFERROR(ROUND(INDEX('G&amp;V'!$B$4:$Q$82,MATCH($B35,'G&amp;V'!$B$4:$B$82,0),MATCH(P$4,'G&amp;V'!$B$4:$Q$4,0))/1000,$J$2),"")</f>
        <v/>
      </c>
      <c r="Q35" s="1314" t="str">
        <f>IFERROR(ROUND(INDEX('G&amp;V'!$B$4:$Q$82,MATCH($B35,'G&amp;V'!$B$4:$B$82,0),MATCH(Q$4,'G&amp;V'!$B$4:$Q$4,0))/1000,$J$2),"")</f>
        <v/>
      </c>
    </row>
    <row r="36" spans="1:19" s="193" customFormat="1" ht="10.5" customHeight="1">
      <c r="A36" s="194"/>
      <c r="B36" s="1326" t="str">
        <f>'G&amp;V'!B81</f>
        <v>Net Profit (loss) (reported)</v>
      </c>
      <c r="C36" s="1317"/>
      <c r="D36" s="1314">
        <f>IFERROR(ROUND(INDEX('G&amp;V'!$B$4:$Q$82,MATCH($B36,'G&amp;V'!$B$4:$B$82,0),MATCH(D$4,'G&amp;V'!$B$4:$Q$4,0))/1000,$H$2),"")</f>
        <v>0</v>
      </c>
      <c r="E36" s="1314">
        <f>IFERROR(ROUND(INDEX('G&amp;V'!$B$4:$Q$82,MATCH($B36,'G&amp;V'!$B$4:$B$82,0),MATCH(E$4,'G&amp;V'!$B$4:$Q$4,0))/1000,$H$2),"")</f>
        <v>1975.1</v>
      </c>
      <c r="F36" s="1314">
        <f>IFERROR(ROUND(INDEX('G&amp;V'!$B$4:$Q$82,MATCH($B36,'G&amp;V'!$B$4:$B$82,0),MATCH(F$4,'G&amp;V'!$B$4:$Q$4,0))/1000,$H$2),"")</f>
        <v>1291.2</v>
      </c>
      <c r="G36" s="1314">
        <f>IFERROR(ROUND(INDEX('G&amp;V'!$B$4:$Q$82,MATCH($B36,'G&amp;V'!$B$4:$B$82,0),MATCH(G$4,'G&amp;V'!$B$4:$Q$4,0))/1000,$H$2),"")</f>
        <v>359.7</v>
      </c>
      <c r="H36" s="1314">
        <f>IFERROR(ROUND(INDEX('G&amp;V'!$B$4:$Q$82,MATCH($B36,'G&amp;V'!$B$4:$B$82,0),MATCH(H$4,'G&amp;V'!$B$4:$Q$4,0))/1000,$H$2),"")</f>
        <v>1184.4000000000001</v>
      </c>
      <c r="I36" s="1314" t="str">
        <f>IFERROR(ROUND(INDEX('G&amp;V'!$B$4:$Q$82,MATCH($B36,'G&amp;V'!$B$4:$B$82,0),MATCH(I$4,'G&amp;V'!$B$4:$Q$4,0))/1000,$J$2),"")</f>
        <v/>
      </c>
      <c r="J36" s="1314" t="str">
        <f>IFERROR(ROUND(INDEX('G&amp;V'!$B$4:$Q$82,MATCH($B36,'G&amp;V'!$B$4:$B$82,0),MATCH(J$4,'G&amp;V'!$B$4:$Q$4,0))/1000,$J$2),"")</f>
        <v/>
      </c>
      <c r="K36" s="1314" t="str">
        <f>IFERROR(ROUND(INDEX('G&amp;V'!$B$4:$Q$82,MATCH($B36,'G&amp;V'!$B$4:$B$82,0),MATCH(K$4,'G&amp;V'!$B$4:$Q$4,0))/1000,$J$2),"")</f>
        <v/>
      </c>
      <c r="L36" s="1314" t="str">
        <f>IFERROR(ROUND(INDEX('G&amp;V'!$B$4:$Q$82,MATCH($B36,'G&amp;V'!$B$4:$B$82,0),MATCH(L$4,'G&amp;V'!$B$4:$Q$4,0))/1000,$J$2),"")</f>
        <v/>
      </c>
      <c r="M36" s="1314" t="str">
        <f>IFERROR(ROUND(INDEX('G&amp;V'!$B$4:$Q$82,MATCH($B36,'G&amp;V'!$B$4:$B$82,0),MATCH(M$4,'G&amp;V'!$B$4:$Q$4,0))/1000,$J$2),"")</f>
        <v/>
      </c>
      <c r="N36" s="1314" t="str">
        <f>IFERROR(ROUND(INDEX('G&amp;V'!$B$4:$Q$82,MATCH($B36,'G&amp;V'!$B$4:$B$82,0),MATCH(N$4,'G&amp;V'!$B$4:$Q$4,0))/1000,$J$2),"")</f>
        <v/>
      </c>
      <c r="O36" s="1314" t="str">
        <f>IFERROR(ROUND(INDEX('G&amp;V'!$B$4:$Q$82,MATCH($B36,'G&amp;V'!$B$4:$B$82,0),MATCH(O$4,'G&amp;V'!$B$4:$Q$4,0))/1000,$J$2),"")</f>
        <v/>
      </c>
      <c r="P36" s="1314" t="str">
        <f>IFERROR(ROUND(INDEX('G&amp;V'!$B$4:$Q$82,MATCH($B36,'G&amp;V'!$B$4:$B$82,0),MATCH(P$4,'G&amp;V'!$B$4:$Q$4,0))/1000,$J$2),"")</f>
        <v/>
      </c>
      <c r="Q36" s="1314" t="str">
        <f>IFERROR(ROUND(INDEX('G&amp;V'!$B$4:$Q$82,MATCH($B36,'G&amp;V'!$B$4:$B$82,0),MATCH(Q$4,'G&amp;V'!$B$4:$Q$4,0))/1000,$J$2),"")</f>
        <v/>
      </c>
    </row>
    <row r="37" spans="1:19" s="193" customFormat="1" ht="10.5" customHeight="1">
      <c r="A37" s="194"/>
      <c r="B37" s="1308" t="str">
        <f>Lang.!B81</f>
        <v>Return on Sales (adjusted)</v>
      </c>
      <c r="C37" s="1318"/>
      <c r="D37" s="1310" t="str">
        <f t="shared" ref="D37:Q37" si="6">IFERROR(D35/D6,"")</f>
        <v/>
      </c>
      <c r="E37" s="1310">
        <f t="shared" si="6"/>
        <v>5.1681865162953172E-2</v>
      </c>
      <c r="F37" s="1310">
        <f t="shared" si="6"/>
        <v>3.4527479991336041E-2</v>
      </c>
      <c r="G37" s="1310">
        <f t="shared" si="6"/>
        <v>1.0577265202061934E-2</v>
      </c>
      <c r="H37" s="1310">
        <f t="shared" si="6"/>
        <v>3.414535705019172E-2</v>
      </c>
      <c r="I37" s="1310" t="str">
        <f t="shared" si="6"/>
        <v/>
      </c>
      <c r="J37" s="1310" t="str">
        <f t="shared" si="6"/>
        <v/>
      </c>
      <c r="K37" s="1310" t="str">
        <f t="shared" si="6"/>
        <v/>
      </c>
      <c r="L37" s="1310" t="str">
        <f t="shared" si="6"/>
        <v/>
      </c>
      <c r="M37" s="1310" t="str">
        <f t="shared" si="6"/>
        <v/>
      </c>
      <c r="N37" s="1310" t="str">
        <f t="shared" si="6"/>
        <v/>
      </c>
      <c r="O37" s="1310" t="str">
        <f t="shared" si="6"/>
        <v/>
      </c>
      <c r="P37" s="1310" t="str">
        <f t="shared" si="6"/>
        <v/>
      </c>
      <c r="Q37" s="1310" t="str">
        <f t="shared" si="6"/>
        <v/>
      </c>
    </row>
    <row r="38" spans="1:19" s="193" customFormat="1" ht="10.5" customHeight="1">
      <c r="B38" s="1318"/>
      <c r="C38" s="1318"/>
      <c r="D38" s="1327"/>
      <c r="E38" s="1327"/>
      <c r="F38" s="1327"/>
      <c r="G38" s="1327"/>
      <c r="H38" s="1327"/>
      <c r="I38" s="1327"/>
      <c r="J38" s="1327"/>
      <c r="K38" s="1327"/>
      <c r="L38" s="1327"/>
      <c r="M38" s="1327"/>
      <c r="N38" s="1327"/>
      <c r="O38" s="1327"/>
      <c r="P38" s="1327"/>
      <c r="Q38" s="1327"/>
    </row>
    <row r="39" spans="1:19" s="193" customFormat="1" ht="10.5" customHeight="1">
      <c r="A39" s="194"/>
      <c r="B39" s="1482" t="str">
        <f>Berein.!B4</f>
        <v>Adjustments</v>
      </c>
      <c r="C39" s="1483"/>
      <c r="D39" s="1484">
        <f t="shared" ref="D39:E39" si="7">+E39-1</f>
        <v>2021</v>
      </c>
      <c r="E39" s="1484">
        <f t="shared" si="7"/>
        <v>2022</v>
      </c>
      <c r="F39" s="1484">
        <f>+G39-1</f>
        <v>2023</v>
      </c>
      <c r="G39" s="1485">
        <f>Eckdaten!C12</f>
        <v>2024</v>
      </c>
      <c r="H39" s="1489">
        <f>+G39+1</f>
        <v>2025</v>
      </c>
      <c r="I39" s="1494">
        <f>IF(Eckdaten!$C$20+Eckdaten!$C$12&gt;H39,H39+1," ")</f>
        <v>2026</v>
      </c>
      <c r="J39" s="1494">
        <f>IF(Eckdaten!$C$20+Eckdaten!$C$12&gt;I39,I39+1," ")</f>
        <v>2027</v>
      </c>
      <c r="K39" s="1494">
        <f>IF(Eckdaten!$C$20+Eckdaten!$C$12&gt;J39,J39+1," ")</f>
        <v>2028</v>
      </c>
      <c r="L39" s="1494">
        <f>IF(Eckdaten!$C$20+Eckdaten!$C$12&gt;K39,K39+1," ")</f>
        <v>2029</v>
      </c>
      <c r="M39" s="1494" t="str">
        <f>IF(Eckdaten!$C$20+Eckdaten!$C$12&gt;L39,L39+1," ")</f>
        <v xml:space="preserve"> </v>
      </c>
      <c r="N39" s="1494" t="str">
        <f>IF(Eckdaten!$C$20+Eckdaten!$C$12&gt;M39,M39+1," ")</f>
        <v xml:space="preserve"> </v>
      </c>
      <c r="O39" s="1494" t="str">
        <f>IF(Eckdaten!$C$20+Eckdaten!$C$12&gt;N39,N39+1," ")</f>
        <v xml:space="preserve"> </v>
      </c>
      <c r="P39" s="1494" t="str">
        <f>IF(Eckdaten!$C$20+Eckdaten!$C$12&gt;O39,O39+1," ")</f>
        <v xml:space="preserve"> </v>
      </c>
      <c r="Q39" s="1494" t="str">
        <f>IF(Eckdaten!$C$20+Eckdaten!$C$12&gt;P39,P39+1," ")</f>
        <v xml:space="preserve"> </v>
      </c>
    </row>
    <row r="40" spans="1:19" s="193" customFormat="1" ht="10.5" customHeight="1">
      <c r="A40" s="194"/>
      <c r="B40" s="1486" t="str">
        <f>"in T"&amp;Eckdaten!$C$14</f>
        <v>in TEUR</v>
      </c>
      <c r="C40" s="1487"/>
      <c r="D40" s="1488" t="s">
        <v>173</v>
      </c>
      <c r="E40" s="1488" t="s">
        <v>173</v>
      </c>
      <c r="F40" s="1488" t="s">
        <v>173</v>
      </c>
      <c r="G40" s="1488" t="s">
        <v>173</v>
      </c>
      <c r="H40" s="1490" t="s">
        <v>174</v>
      </c>
      <c r="I40" s="1495" t="str">
        <f>IF(I39=" "," ","P")</f>
        <v>P</v>
      </c>
      <c r="J40" s="1495" t="str">
        <f t="shared" ref="J40:Q40" si="8">IF(J39=" "," ","P")</f>
        <v>P</v>
      </c>
      <c r="K40" s="1495" t="str">
        <f t="shared" si="8"/>
        <v>P</v>
      </c>
      <c r="L40" s="1495" t="str">
        <f t="shared" si="8"/>
        <v>P</v>
      </c>
      <c r="M40" s="1495" t="str">
        <f t="shared" si="8"/>
        <v xml:space="preserve"> </v>
      </c>
      <c r="N40" s="1495" t="str">
        <f t="shared" si="8"/>
        <v xml:space="preserve"> </v>
      </c>
      <c r="O40" s="1495" t="str">
        <f t="shared" si="8"/>
        <v xml:space="preserve"> </v>
      </c>
      <c r="P40" s="1495" t="str">
        <f t="shared" si="8"/>
        <v xml:space="preserve"> </v>
      </c>
      <c r="Q40" s="1495" t="str">
        <f t="shared" si="8"/>
        <v xml:space="preserve"> </v>
      </c>
    </row>
    <row r="41" spans="1:19" s="193" customFormat="1" ht="10.5" customHeight="1">
      <c r="A41" s="194"/>
      <c r="B41" s="1328" t="str">
        <f>'G&amp;V'!B12</f>
        <v>Adjustments (Total Turnover)</v>
      </c>
      <c r="C41" s="1328"/>
      <c r="D41" s="1315">
        <f>IFERROR('G&amp;V'!D12/1000,"")</f>
        <v>0</v>
      </c>
      <c r="E41" s="1315">
        <f>IFERROR('G&amp;V'!E12/1000,"")</f>
        <v>0</v>
      </c>
      <c r="F41" s="1315">
        <f>IFERROR('G&amp;V'!F12/1000,"")</f>
        <v>0</v>
      </c>
      <c r="G41" s="1315">
        <f>IFERROR('G&amp;V'!G12/1000,"")</f>
        <v>0</v>
      </c>
      <c r="H41" s="1315">
        <f>IFERROR('G&amp;V'!H12/1000,"")</f>
        <v>0</v>
      </c>
      <c r="I41" s="1315">
        <f>IFERROR('G&amp;V'!I12/1000,"")</f>
        <v>0</v>
      </c>
      <c r="J41" s="1315">
        <f>IFERROR('G&amp;V'!J12/1000,"")</f>
        <v>0</v>
      </c>
      <c r="K41" s="1315">
        <f>IFERROR('G&amp;V'!K12/1000,"")</f>
        <v>0</v>
      </c>
      <c r="L41" s="1315">
        <f>IFERROR('G&amp;V'!L12/1000,"")</f>
        <v>0</v>
      </c>
      <c r="M41" s="1315" t="str">
        <f>IFERROR('G&amp;V'!M12/1000,"")</f>
        <v/>
      </c>
      <c r="N41" s="1315" t="str">
        <f>IFERROR('G&amp;V'!N12/1000,"")</f>
        <v/>
      </c>
      <c r="O41" s="1315" t="str">
        <f>IFERROR('G&amp;V'!O12/1000,"")</f>
        <v/>
      </c>
      <c r="P41" s="1315" t="str">
        <f>IFERROR('G&amp;V'!P12/1000,"")</f>
        <v/>
      </c>
      <c r="Q41" s="1315" t="str">
        <f>IFERROR('G&amp;V'!Q12/1000,"")</f>
        <v/>
      </c>
      <c r="R41" s="1760"/>
    </row>
    <row r="42" spans="1:19" s="193" customFormat="1" ht="10.5" customHeight="1">
      <c r="A42" s="194"/>
      <c r="B42" s="1328" t="str">
        <f>'G&amp;V'!B18</f>
        <v>Adjustments (Cost of Material)</v>
      </c>
      <c r="C42" s="1328"/>
      <c r="D42" s="1315">
        <f>IFERROR('G&amp;V'!D18/1000, "")</f>
        <v>0</v>
      </c>
      <c r="E42" s="1315">
        <f>IFERROR('G&amp;V'!E18/1000, "")</f>
        <v>0</v>
      </c>
      <c r="F42" s="1315">
        <f>IFERROR('G&amp;V'!F18/1000, "")</f>
        <v>0</v>
      </c>
      <c r="G42" s="1315">
        <f>IFERROR('G&amp;V'!G18/1000, "")</f>
        <v>0</v>
      </c>
      <c r="H42" s="1315">
        <f>IFERROR('G&amp;V'!H18/1000, "")</f>
        <v>0</v>
      </c>
      <c r="I42" s="1315">
        <f>IFERROR('G&amp;V'!I18/1000, "")</f>
        <v>0</v>
      </c>
      <c r="J42" s="1315">
        <f>IFERROR('G&amp;V'!J18/1000, "")</f>
        <v>0</v>
      </c>
      <c r="K42" s="1315">
        <f>IFERROR('G&amp;V'!K18/1000, "")</f>
        <v>0</v>
      </c>
      <c r="L42" s="1315">
        <f>IFERROR('G&amp;V'!L18/1000, "")</f>
        <v>0</v>
      </c>
      <c r="M42" s="1315" t="str">
        <f>IFERROR('G&amp;V'!M18/1000, "")</f>
        <v/>
      </c>
      <c r="N42" s="1315" t="str">
        <f>IFERROR('G&amp;V'!N18/1000, "")</f>
        <v/>
      </c>
      <c r="O42" s="1315" t="str">
        <f>IFERROR('G&amp;V'!O18/1000, "")</f>
        <v/>
      </c>
      <c r="P42" s="1315" t="str">
        <f>IFERROR('G&amp;V'!P18/1000, "")</f>
        <v/>
      </c>
      <c r="Q42" s="1315" t="str">
        <f>IFERROR('G&amp;V'!Q18/1000, "")</f>
        <v/>
      </c>
      <c r="R42" s="1760"/>
    </row>
    <row r="43" spans="1:19" s="193" customFormat="1" ht="10.5" customHeight="1">
      <c r="A43" s="194"/>
      <c r="B43" s="1328" t="str">
        <f>'G&amp;V'!B28</f>
        <v>Adjustments (Personnel Expenses)</v>
      </c>
      <c r="C43" s="1328"/>
      <c r="D43" s="1315">
        <f>IFERROR('G&amp;V'!D28/1000,"")</f>
        <v>0</v>
      </c>
      <c r="E43" s="1315">
        <f>IFERROR('G&amp;V'!E28/1000,"")</f>
        <v>0</v>
      </c>
      <c r="F43" s="1315">
        <f>IFERROR('G&amp;V'!F28/1000,"")</f>
        <v>0</v>
      </c>
      <c r="G43" s="1315">
        <f>IFERROR('G&amp;V'!G28/1000,"")</f>
        <v>0</v>
      </c>
      <c r="H43" s="1315">
        <f>IFERROR('G&amp;V'!H28/1000,"")</f>
        <v>0</v>
      </c>
      <c r="I43" s="1315">
        <f>IFERROR('G&amp;V'!I28/1000,"")</f>
        <v>0</v>
      </c>
      <c r="J43" s="1315">
        <f>IFERROR('G&amp;V'!J28/1000,"")</f>
        <v>0</v>
      </c>
      <c r="K43" s="1315">
        <f>IFERROR('G&amp;V'!K28/1000,"")</f>
        <v>0</v>
      </c>
      <c r="L43" s="1315">
        <f>IFERROR('G&amp;V'!L28/1000,"")</f>
        <v>0</v>
      </c>
      <c r="M43" s="1315" t="str">
        <f>IFERROR('G&amp;V'!M28/1000,"")</f>
        <v/>
      </c>
      <c r="N43" s="1315" t="str">
        <f>IFERROR('G&amp;V'!N28/1000,"")</f>
        <v/>
      </c>
      <c r="O43" s="1315" t="str">
        <f>IFERROR('G&amp;V'!O28/1000,"")</f>
        <v/>
      </c>
      <c r="P43" s="1315" t="str">
        <f>IFERROR('G&amp;V'!P28/1000,"")</f>
        <v/>
      </c>
      <c r="Q43" s="1315" t="str">
        <f>IFERROR('G&amp;V'!Q28/1000,"")</f>
        <v/>
      </c>
      <c r="R43" s="1760"/>
    </row>
    <row r="44" spans="1:19" s="193" customFormat="1" ht="10.5" customHeight="1">
      <c r="A44" s="194"/>
      <c r="B44" s="1722" t="str">
        <f>'G&amp;V'!B33</f>
        <v>Adjustments (Other Operating Income)</v>
      </c>
      <c r="C44" s="1328"/>
      <c r="D44" s="1315">
        <f>IFERROR('G&amp;V'!D33/1000,"")</f>
        <v>0</v>
      </c>
      <c r="E44" s="1315">
        <f>IFERROR('G&amp;V'!E33/1000,"")</f>
        <v>0</v>
      </c>
      <c r="F44" s="1315">
        <f>IFERROR('G&amp;V'!F33/1000,"")</f>
        <v>0</v>
      </c>
      <c r="G44" s="1315">
        <f>IFERROR('G&amp;V'!G33/1000,"")</f>
        <v>0</v>
      </c>
      <c r="H44" s="1315">
        <f>IFERROR('G&amp;V'!H33/1000,"")</f>
        <v>0</v>
      </c>
      <c r="I44" s="1315">
        <f>IFERROR('G&amp;V'!I33/1000,"")</f>
        <v>0</v>
      </c>
      <c r="J44" s="1315">
        <f>IFERROR('G&amp;V'!J33/1000,"")</f>
        <v>0</v>
      </c>
      <c r="K44" s="1315">
        <f>IFERROR('G&amp;V'!K33/1000,"")</f>
        <v>0</v>
      </c>
      <c r="L44" s="1315">
        <f>IFERROR('G&amp;V'!L33/1000,"")</f>
        <v>0</v>
      </c>
      <c r="M44" s="1315" t="str">
        <f>IFERROR('G&amp;V'!M33/1000,"")</f>
        <v/>
      </c>
      <c r="N44" s="1315" t="str">
        <f>IFERROR('G&amp;V'!N33/1000,"")</f>
        <v/>
      </c>
      <c r="O44" s="1315" t="str">
        <f>IFERROR('G&amp;V'!O33/1000,"")</f>
        <v/>
      </c>
      <c r="P44" s="1315" t="str">
        <f>IFERROR('G&amp;V'!P33/1000,"")</f>
        <v/>
      </c>
      <c r="Q44" s="1315" t="str">
        <f>IFERROR('G&amp;V'!Q33/1000,"")</f>
        <v/>
      </c>
      <c r="R44" s="1760"/>
    </row>
    <row r="45" spans="1:19" s="193" customFormat="1" ht="10.5" customHeight="1">
      <c r="A45" s="194"/>
      <c r="B45" s="1328" t="str">
        <f>'G&amp;V'!B38</f>
        <v>Adjustments (Other Operating Expenses)</v>
      </c>
      <c r="C45" s="1328"/>
      <c r="D45" s="1315">
        <f>IFERROR('G&amp;V'!D38/1000,"")</f>
        <v>0</v>
      </c>
      <c r="E45" s="1315">
        <f>IFERROR('G&amp;V'!E38/1000,"")</f>
        <v>0</v>
      </c>
      <c r="F45" s="1315">
        <f>IFERROR('G&amp;V'!F38/1000,"")</f>
        <v>0</v>
      </c>
      <c r="G45" s="1315">
        <f>IFERROR('G&amp;V'!G38/1000,"")</f>
        <v>0</v>
      </c>
      <c r="H45" s="1315">
        <f>IFERROR('G&amp;V'!H38/1000,"")</f>
        <v>0</v>
      </c>
      <c r="I45" s="1315">
        <f>IFERROR('G&amp;V'!I38/1000,"")</f>
        <v>0</v>
      </c>
      <c r="J45" s="1315">
        <f>IFERROR('G&amp;V'!J38/1000,"")</f>
        <v>0</v>
      </c>
      <c r="K45" s="1315">
        <f>IFERROR('G&amp;V'!K38/1000,"")</f>
        <v>0</v>
      </c>
      <c r="L45" s="1315">
        <f>IFERROR('G&amp;V'!L38/1000,"")</f>
        <v>0</v>
      </c>
      <c r="M45" s="1315" t="str">
        <f>IFERROR('G&amp;V'!M38/1000,"")</f>
        <v/>
      </c>
      <c r="N45" s="1315" t="str">
        <f>IFERROR('G&amp;V'!N38/1000,"")</f>
        <v/>
      </c>
      <c r="O45" s="1315" t="str">
        <f>IFERROR('G&amp;V'!O38/1000,"")</f>
        <v/>
      </c>
      <c r="P45" s="1315" t="str">
        <f>IFERROR('G&amp;V'!P38/1000,"")</f>
        <v/>
      </c>
      <c r="Q45" s="1315" t="str">
        <f>IFERROR('G&amp;V'!Q38/1000,"")</f>
        <v/>
      </c>
      <c r="R45" s="1760"/>
    </row>
    <row r="46" spans="1:19" s="193" customFormat="1" ht="10.5" customHeight="1">
      <c r="A46" s="194"/>
      <c r="B46" s="1328" t="str">
        <f>'G&amp;V'!B48</f>
        <v>Adjustments (Depreciation and Amortization)</v>
      </c>
      <c r="C46" s="1328"/>
      <c r="D46" s="1315">
        <f>IFERROR('G&amp;V'!D48/1000,"")</f>
        <v>0</v>
      </c>
      <c r="E46" s="1315">
        <f>IFERROR('G&amp;V'!E48/1000,"")</f>
        <v>0</v>
      </c>
      <c r="F46" s="1315">
        <f>IFERROR('G&amp;V'!F48/1000,"")</f>
        <v>0</v>
      </c>
      <c r="G46" s="1315">
        <f>IFERROR('G&amp;V'!G48/1000,"")</f>
        <v>0</v>
      </c>
      <c r="H46" s="1315">
        <f>IFERROR('G&amp;V'!H48/1000,"")</f>
        <v>0</v>
      </c>
      <c r="I46" s="1315">
        <f>IFERROR('G&amp;V'!I48/1000,"")</f>
        <v>0</v>
      </c>
      <c r="J46" s="1315">
        <f>IFERROR('G&amp;V'!J48/1000,"")</f>
        <v>0</v>
      </c>
      <c r="K46" s="1315">
        <f>IFERROR('G&amp;V'!K48/1000,"")</f>
        <v>0</v>
      </c>
      <c r="L46" s="1315">
        <f>IFERROR('G&amp;V'!L48/1000,"")</f>
        <v>0</v>
      </c>
      <c r="M46" s="1315" t="str">
        <f>IFERROR('G&amp;V'!M48/1000,"")</f>
        <v/>
      </c>
      <c r="N46" s="1315" t="str">
        <f>IFERROR('G&amp;V'!N48/1000,"")</f>
        <v/>
      </c>
      <c r="O46" s="1315" t="str">
        <f>IFERROR('G&amp;V'!O48/1000,"")</f>
        <v/>
      </c>
      <c r="P46" s="1315" t="str">
        <f>IFERROR('G&amp;V'!P48/1000,"")</f>
        <v/>
      </c>
      <c r="Q46" s="1315" t="str">
        <f>IFERROR('G&amp;V'!Q48/1000,"")</f>
        <v/>
      </c>
      <c r="R46" s="1760"/>
    </row>
    <row r="47" spans="1:19" s="193" customFormat="1" ht="10.5" customHeight="1">
      <c r="A47" s="194"/>
      <c r="B47" s="1328" t="str">
        <f>'G&amp;V'!B58</f>
        <v>Adjustments (Financial Result)</v>
      </c>
      <c r="C47" s="1328"/>
      <c r="D47" s="1315">
        <f>IFERROR('G&amp;V'!D58/1000,"")</f>
        <v>0</v>
      </c>
      <c r="E47" s="1315">
        <f>IFERROR('G&amp;V'!E58/1000,"")</f>
        <v>0</v>
      </c>
      <c r="F47" s="1315">
        <f>IFERROR('G&amp;V'!F58/1000,"")</f>
        <v>0</v>
      </c>
      <c r="G47" s="1315">
        <f>IFERROR('G&amp;V'!G58/1000,"")</f>
        <v>0</v>
      </c>
      <c r="H47" s="1315">
        <f>IFERROR('G&amp;V'!H58/1000,"")</f>
        <v>0</v>
      </c>
      <c r="I47" s="1315">
        <f>IFERROR('G&amp;V'!I58/1000,"")</f>
        <v>0</v>
      </c>
      <c r="J47" s="1315">
        <f>IFERROR('G&amp;V'!J58/1000,"")</f>
        <v>0</v>
      </c>
      <c r="K47" s="1315">
        <f>IFERROR('G&amp;V'!K58/1000,"")</f>
        <v>0</v>
      </c>
      <c r="L47" s="1315">
        <f>IFERROR('G&amp;V'!L58/1000,"")</f>
        <v>0</v>
      </c>
      <c r="M47" s="1315" t="str">
        <f>IFERROR('G&amp;V'!M58/1000,"")</f>
        <v/>
      </c>
      <c r="N47" s="1315" t="str">
        <f>IFERROR('G&amp;V'!N58/1000,"")</f>
        <v/>
      </c>
      <c r="O47" s="1315" t="str">
        <f>IFERROR('G&amp;V'!O58/1000,"")</f>
        <v/>
      </c>
      <c r="P47" s="1315" t="str">
        <f>IFERROR('G&amp;V'!P58/1000,"")</f>
        <v/>
      </c>
      <c r="Q47" s="1315" t="str">
        <f>IFERROR('G&amp;V'!Q58/1000,"")</f>
        <v/>
      </c>
      <c r="R47" s="1760"/>
    </row>
    <row r="48" spans="1:19" s="193" customFormat="1" ht="10.5" customHeight="1">
      <c r="A48" s="194"/>
      <c r="B48" s="1328" t="str">
        <f>'G&amp;V'!B63</f>
        <v>Adjustments (Depreciation of current assets and amortisation of financial assets)</v>
      </c>
      <c r="C48" s="1328"/>
      <c r="D48" s="1315">
        <f>IFERROR('G&amp;V'!D63/1000,"")</f>
        <v>0</v>
      </c>
      <c r="E48" s="1315">
        <f>IFERROR('G&amp;V'!E63/1000,"")</f>
        <v>0</v>
      </c>
      <c r="F48" s="1315">
        <f>IFERROR('G&amp;V'!F63/1000,"")</f>
        <v>0</v>
      </c>
      <c r="G48" s="1315">
        <f>IFERROR('G&amp;V'!G63/1000,"")</f>
        <v>0</v>
      </c>
      <c r="H48" s="1315">
        <f>IFERROR('G&amp;V'!H63/1000,"")</f>
        <v>0</v>
      </c>
      <c r="I48" s="1315">
        <f>IFERROR('G&amp;V'!I63/1000,"")</f>
        <v>0</v>
      </c>
      <c r="J48" s="1315">
        <f>IFERROR('G&amp;V'!J63/1000,"")</f>
        <v>0</v>
      </c>
      <c r="K48" s="1315">
        <f>IFERROR('G&amp;V'!K63/1000,"")</f>
        <v>0</v>
      </c>
      <c r="L48" s="1315">
        <f>IFERROR('G&amp;V'!L63/1000,"")</f>
        <v>0</v>
      </c>
      <c r="M48" s="1315" t="str">
        <f>IFERROR('G&amp;V'!M63/1000,"")</f>
        <v/>
      </c>
      <c r="N48" s="1315" t="str">
        <f>IFERROR('G&amp;V'!N63/1000,"")</f>
        <v/>
      </c>
      <c r="O48" s="1315" t="str">
        <f>IFERROR('G&amp;V'!O63/1000,"")</f>
        <v/>
      </c>
      <c r="P48" s="1315" t="str">
        <f>IFERROR('G&amp;V'!P63/1000,"")</f>
        <v/>
      </c>
      <c r="Q48" s="1315" t="str">
        <f>IFERROR('G&amp;V'!Q63/1000,"")</f>
        <v/>
      </c>
      <c r="R48" s="1760"/>
      <c r="S48" s="1760"/>
    </row>
    <row r="49" spans="1:18" s="193" customFormat="1" ht="10.5" customHeight="1">
      <c r="A49" s="194"/>
      <c r="B49" s="1328" t="str">
        <f>'G&amp;V'!B68</f>
        <v>Adjustments (Extraordinary Items)</v>
      </c>
      <c r="C49" s="1328"/>
      <c r="D49" s="1315">
        <f>IFERROR('G&amp;V'!D68/1000,"")</f>
        <v>0</v>
      </c>
      <c r="E49" s="1315">
        <f>IFERROR('G&amp;V'!E68/1000,"")</f>
        <v>0</v>
      </c>
      <c r="F49" s="1315">
        <f>IFERROR('G&amp;V'!F68/1000,"")</f>
        <v>0</v>
      </c>
      <c r="G49" s="1315">
        <f>IFERROR('G&amp;V'!G68/1000,"")</f>
        <v>0</v>
      </c>
      <c r="H49" s="1315">
        <f>IFERROR('G&amp;V'!H68/1000,"")</f>
        <v>0</v>
      </c>
      <c r="I49" s="1315">
        <f>IFERROR('G&amp;V'!I68/1000,"")</f>
        <v>0</v>
      </c>
      <c r="J49" s="1315">
        <f>IFERROR('G&amp;V'!J68/1000,"")</f>
        <v>0</v>
      </c>
      <c r="K49" s="1315">
        <f>IFERROR('G&amp;V'!K68/1000,"")</f>
        <v>0</v>
      </c>
      <c r="L49" s="1315">
        <f>IFERROR('G&amp;V'!L68/1000,"")</f>
        <v>0</v>
      </c>
      <c r="M49" s="1315" t="str">
        <f>IFERROR('G&amp;V'!M78/1000,"")</f>
        <v/>
      </c>
      <c r="N49" s="1315" t="str">
        <f>IFERROR('G&amp;V'!N78/1000,"")</f>
        <v/>
      </c>
      <c r="O49" s="1315" t="str">
        <f>IFERROR('G&amp;V'!O78/1000,"")</f>
        <v/>
      </c>
      <c r="P49" s="1315" t="str">
        <f>IFERROR('G&amp;V'!P78/1000,"")</f>
        <v/>
      </c>
      <c r="Q49" s="1315" t="str">
        <f>IFERROR('G&amp;V'!Q78/1000,"")</f>
        <v/>
      </c>
      <c r="R49" s="1760"/>
    </row>
    <row r="50" spans="1:18" s="193" customFormat="1" ht="10.5" customHeight="1">
      <c r="A50" s="194"/>
      <c r="B50" s="1328" t="str">
        <f>'G&amp;V'!B78</f>
        <v>Adjustments (Taxes)</v>
      </c>
      <c r="C50" s="1328"/>
      <c r="D50" s="1315">
        <f>IFERROR('G&amp;V'!D78/1000,"")</f>
        <v>0</v>
      </c>
      <c r="E50" s="1315">
        <f>IFERROR('G&amp;V'!E78/1000,"")</f>
        <v>0</v>
      </c>
      <c r="F50" s="1315">
        <f>IFERROR('G&amp;V'!F78/1000,"")</f>
        <v>0</v>
      </c>
      <c r="G50" s="1315">
        <f>IFERROR('G&amp;V'!G78/1000,"")</f>
        <v>0</v>
      </c>
      <c r="H50" s="1315">
        <f>IFERROR('G&amp;V'!H78/1000,"")</f>
        <v>0</v>
      </c>
      <c r="I50" s="1315">
        <f>IFERROR('G&amp;V'!I78/1000,"")</f>
        <v>0</v>
      </c>
      <c r="J50" s="1315">
        <f>IFERROR('G&amp;V'!J78/1000,"")</f>
        <v>0</v>
      </c>
      <c r="K50" s="1315">
        <f>IFERROR('G&amp;V'!K78/1000,"")</f>
        <v>0</v>
      </c>
      <c r="L50" s="1315">
        <f>IFERROR('G&amp;V'!L78/1000,"")</f>
        <v>0</v>
      </c>
      <c r="M50" s="1315" t="str">
        <f>IFERROR('G&amp;V'!M78/1000,"")</f>
        <v/>
      </c>
      <c r="N50" s="1315" t="str">
        <f>IFERROR('G&amp;V'!N78/1000,"")</f>
        <v/>
      </c>
      <c r="O50" s="1315" t="str">
        <f>IFERROR('G&amp;V'!O78/1000,"")</f>
        <v/>
      </c>
      <c r="P50" s="1315" t="str">
        <f>IFERROR('G&amp;V'!P78/1000,"")</f>
        <v/>
      </c>
      <c r="Q50" s="1315" t="str">
        <f>IFERROR('G&amp;V'!Q78/1000,"")</f>
        <v/>
      </c>
      <c r="R50" s="1760"/>
    </row>
    <row r="51" spans="1:18" s="193" customFormat="1" ht="10.5" customHeight="1" thickBot="1">
      <c r="A51" s="194"/>
      <c r="B51" s="1329"/>
      <c r="C51" s="1329"/>
      <c r="D51" s="1329"/>
      <c r="E51" s="1329"/>
      <c r="F51" s="1329"/>
      <c r="G51" s="1329"/>
      <c r="H51" s="1329"/>
      <c r="I51" s="1329"/>
      <c r="J51" s="1329"/>
      <c r="K51" s="1329"/>
      <c r="L51" s="1329"/>
      <c r="M51" s="1329"/>
      <c r="N51" s="1329"/>
      <c r="O51" s="1329"/>
      <c r="P51" s="1329"/>
      <c r="Q51" s="1329"/>
    </row>
    <row r="52" spans="1:18" s="193" customFormat="1" ht="10.5" customHeight="1" thickTop="1">
      <c r="B52" s="1330"/>
      <c r="C52" s="1330"/>
      <c r="D52" s="1330"/>
      <c r="E52" s="1330"/>
      <c r="F52" s="1330"/>
      <c r="G52" s="1330"/>
      <c r="H52" s="1330"/>
      <c r="I52" s="1330"/>
      <c r="J52" s="1330"/>
      <c r="K52" s="1330"/>
      <c r="L52" s="1330"/>
      <c r="M52" s="1330"/>
      <c r="N52" s="1330"/>
      <c r="O52" s="1330"/>
      <c r="P52" s="1330"/>
      <c r="Q52" s="1330"/>
    </row>
    <row r="53" spans="1:18" s="193" customFormat="1" ht="10.5" customHeight="1">
      <c r="A53" s="194"/>
      <c r="B53" s="1482" t="str">
        <f>Lang.!B223</f>
        <v>Balance Sheet</v>
      </c>
      <c r="C53" s="1483"/>
      <c r="D53" s="1484">
        <f t="shared" ref="D53:E53" si="9">+E53-1</f>
        <v>2021</v>
      </c>
      <c r="E53" s="1484">
        <f t="shared" si="9"/>
        <v>2022</v>
      </c>
      <c r="F53" s="1484">
        <f>+G53-1</f>
        <v>2023</v>
      </c>
      <c r="G53" s="1485">
        <f>Eckdaten!$C$12</f>
        <v>2024</v>
      </c>
      <c r="H53" s="1489">
        <f>+G53+1</f>
        <v>2025</v>
      </c>
      <c r="I53" s="1494">
        <f>IF(Eckdaten!$C$20+Eckdaten!$C$12&gt;H53,H53+1," ")</f>
        <v>2026</v>
      </c>
      <c r="J53" s="1494">
        <f>IF(Eckdaten!$C$20+Eckdaten!$C$12&gt;I53,I53+1," ")</f>
        <v>2027</v>
      </c>
      <c r="K53" s="1494">
        <f>IF(Eckdaten!$C$20+Eckdaten!$C$12&gt;J53,J53+1," ")</f>
        <v>2028</v>
      </c>
      <c r="L53" s="1494">
        <f>IF(Eckdaten!$C$20+Eckdaten!$C$12&gt;K53,K53+1," ")</f>
        <v>2029</v>
      </c>
      <c r="M53" s="1494" t="str">
        <f>IF(Eckdaten!$C$20+Eckdaten!$C$12&gt;L53,L53+1," ")</f>
        <v xml:space="preserve"> </v>
      </c>
      <c r="N53" s="1494" t="str">
        <f>IF(Eckdaten!$C$20+Eckdaten!$C$12&gt;M53,M53+1," ")</f>
        <v xml:space="preserve"> </v>
      </c>
      <c r="O53" s="1494" t="str">
        <f>IF(Eckdaten!$C$20+Eckdaten!$C$12&gt;N53,N53+1," ")</f>
        <v xml:space="preserve"> </v>
      </c>
      <c r="P53" s="1494" t="str">
        <f>IF(Eckdaten!$C$20+Eckdaten!$C$12&gt;O53,O53+1," ")</f>
        <v xml:space="preserve"> </v>
      </c>
      <c r="Q53" s="1494" t="str">
        <f>IF(Eckdaten!$C$20+Eckdaten!$C$12&gt;P53,P53+1," ")</f>
        <v xml:space="preserve"> </v>
      </c>
    </row>
    <row r="54" spans="1:18" s="193" customFormat="1" ht="10.5" customHeight="1">
      <c r="A54" s="194"/>
      <c r="B54" s="1486" t="str">
        <f>"in T"&amp;Eckdaten!$C$14</f>
        <v>in TEUR</v>
      </c>
      <c r="C54" s="1487"/>
      <c r="D54" s="1488" t="s">
        <v>173</v>
      </c>
      <c r="E54" s="1488" t="s">
        <v>173</v>
      </c>
      <c r="F54" s="1488" t="s">
        <v>173</v>
      </c>
      <c r="G54" s="1488" t="s">
        <v>173</v>
      </c>
      <c r="H54" s="1490" t="s">
        <v>174</v>
      </c>
      <c r="I54" s="1495" t="str">
        <f>IF(I53=" "," ","P")</f>
        <v>P</v>
      </c>
      <c r="J54" s="1495" t="str">
        <f t="shared" ref="J54:Q54" si="10">IF(J53=" "," ","P")</f>
        <v>P</v>
      </c>
      <c r="K54" s="1495" t="str">
        <f t="shared" si="10"/>
        <v>P</v>
      </c>
      <c r="L54" s="1495" t="str">
        <f t="shared" si="10"/>
        <v>P</v>
      </c>
      <c r="M54" s="1495" t="str">
        <f t="shared" si="10"/>
        <v xml:space="preserve"> </v>
      </c>
      <c r="N54" s="1495" t="str">
        <f t="shared" si="10"/>
        <v xml:space="preserve"> </v>
      </c>
      <c r="O54" s="1495" t="str">
        <f t="shared" si="10"/>
        <v xml:space="preserve"> </v>
      </c>
      <c r="P54" s="1495" t="str">
        <f t="shared" si="10"/>
        <v xml:space="preserve"> </v>
      </c>
      <c r="Q54" s="1495" t="str">
        <f t="shared" si="10"/>
        <v xml:space="preserve"> </v>
      </c>
    </row>
    <row r="55" spans="1:18" s="193" customFormat="1" ht="3.75" customHeight="1">
      <c r="A55" s="194"/>
      <c r="B55" s="1331"/>
      <c r="C55" s="1331"/>
      <c r="D55" s="1331"/>
      <c r="E55" s="1331"/>
      <c r="F55" s="1331"/>
      <c r="G55" s="1331"/>
      <c r="H55" s="1331"/>
      <c r="I55" s="1331"/>
      <c r="J55" s="1331"/>
      <c r="K55" s="1331"/>
      <c r="L55" s="1331"/>
      <c r="M55" s="1331"/>
      <c r="N55" s="1331"/>
      <c r="O55" s="1331"/>
      <c r="P55" s="1331"/>
      <c r="Q55" s="1331"/>
    </row>
    <row r="56" spans="1:18" s="193" customFormat="1" ht="10.5" customHeight="1">
      <c r="A56" s="194"/>
      <c r="B56" s="1819" t="str">
        <f>Akt.!B4</f>
        <v>Assets</v>
      </c>
      <c r="C56" s="1820"/>
      <c r="D56" s="1821"/>
      <c r="E56" s="1821"/>
      <c r="F56" s="1821"/>
      <c r="G56" s="1821"/>
      <c r="H56" s="1821"/>
      <c r="I56" s="1822"/>
      <c r="J56" s="1822"/>
      <c r="K56" s="1822"/>
      <c r="L56" s="1822"/>
      <c r="M56" s="1822"/>
      <c r="N56" s="1822"/>
      <c r="O56" s="1822"/>
      <c r="P56" s="1822"/>
      <c r="Q56" s="1822"/>
    </row>
    <row r="57" spans="1:18" s="1761" customFormat="1" ht="10.5" customHeight="1">
      <c r="A57" s="195"/>
      <c r="B57" s="1332" t="str">
        <f>Akt.!B7</f>
        <v>A. Fixed Assets</v>
      </c>
      <c r="C57" s="1332"/>
      <c r="D57" s="1333">
        <f>IFERROR(ROUND(INDEX(Akt.!$B$4:$Q$46,MATCH($B57,Akt.!$B$4:$B$46,0),MATCH(D$53,Akt.!$B$4:$Q$4,0))/1000,$H$2),"")</f>
        <v>0</v>
      </c>
      <c r="E57" s="1333">
        <f>IFERROR(ROUND(INDEX(Akt.!$B$4:$Q$46,MATCH($B57,Akt.!$B$4:$B$46,0),MATCH(E$53,Akt.!$B$4:$Q$4,0))/1000,$H$2),"")</f>
        <v>9583.5</v>
      </c>
      <c r="F57" s="1333">
        <f>IFERROR(ROUND(INDEX(Akt.!$B$4:$Q$46,MATCH($B57,Akt.!$B$4:$B$46,0),MATCH(F$53,Akt.!$B$4:$Q$4,0))/1000,$H$2),"")</f>
        <v>7426.5</v>
      </c>
      <c r="G57" s="1333">
        <f>IFERROR(ROUND(INDEX(Akt.!$B$4:$Q$46,MATCH($B57,Akt.!$B$4:$B$46,0),MATCH(G$53,Akt.!$B$4:$Q$4,0))/1000,$H$2),"")</f>
        <v>5209.8</v>
      </c>
      <c r="H57" s="1333">
        <f>IFERROR(ROUND(INDEX(Akt.!$B$4:$Q$46,MATCH($B57,Akt.!$B$4:$B$46,0),MATCH(H$53,Akt.!$B$4:$Q$4,0))/1000,$H$2),"")</f>
        <v>6688.6</v>
      </c>
      <c r="I57" s="1333" t="str">
        <f>IFERROR(ROUND(INDEX(Akt.!$B$4:$Q$46,MATCH($B57,Akt.!$B$4:$B$46,0),MATCH(I$53,Akt.!$B$4:$Q$4,0))/1000,$J$2),"")</f>
        <v/>
      </c>
      <c r="J57" s="1333" t="str">
        <f>IFERROR(ROUND(INDEX(Akt.!$B$4:$Q$46,MATCH($B57,Akt.!$B$4:$B$46,0),MATCH(J$53,Akt.!$B$4:$Q$4,0))/1000,$J$2),"")</f>
        <v/>
      </c>
      <c r="K57" s="1333" t="str">
        <f>IFERROR(ROUND(INDEX(Akt.!$B$4:$Q$46,MATCH($B57,Akt.!$B$4:$B$46,0),MATCH(K$53,Akt.!$B$4:$Q$4,0))/1000,$J$2),"")</f>
        <v/>
      </c>
      <c r="L57" s="1333" t="str">
        <f>IFERROR(ROUND(INDEX(Akt.!$B$4:$Q$46,MATCH($B57,Akt.!$B$4:$B$46,0),MATCH(L$53,Akt.!$B$4:$Q$4,0))/1000,$J$2),"")</f>
        <v/>
      </c>
      <c r="M57" s="1333" t="str">
        <f>IFERROR(ROUND(INDEX(Akt.!$B$4:$Q$46,MATCH($B57,Akt.!$B$4:$B$46,0),MATCH(M$53,Akt.!$B$4:$Q$4,0))/1000,$J$2),"")</f>
        <v/>
      </c>
      <c r="N57" s="1333" t="str">
        <f>IFERROR(ROUND(INDEX(Akt.!$B$4:$Q$46,MATCH($B57,Akt.!$B$4:$B$46,0),MATCH(N$53,Akt.!$B$4:$Q$4,0))/1000,$J$2),"")</f>
        <v/>
      </c>
      <c r="O57" s="1333" t="str">
        <f>IFERROR(ROUND(INDEX(Akt.!$B$4:$Q$46,MATCH($B57,Akt.!$B$4:$B$46,0),MATCH(O$53,Akt.!$B$4:$Q$4,0))/1000,$J$2),"")</f>
        <v/>
      </c>
      <c r="P57" s="1333" t="str">
        <f>IFERROR(ROUND(INDEX(Akt.!$B$4:$Q$46,MATCH($B57,Akt.!$B$4:$B$46,0),MATCH(P$53,Akt.!$B$4:$Q$4,0))/1000,$J$2),"")</f>
        <v/>
      </c>
      <c r="Q57" s="1333" t="str">
        <f>IFERROR(ROUND(INDEX(Akt.!$B$4:$Q$46,MATCH($B57,Akt.!$B$4:$B$46,0),MATCH(Q$53,Akt.!$B$4:$Q$4,0))/1000,$J$2),"")</f>
        <v/>
      </c>
      <c r="R57" s="1763"/>
    </row>
    <row r="58" spans="1:18" s="193" customFormat="1" ht="10.5" customHeight="1">
      <c r="A58" s="194"/>
      <c r="B58" s="1334" t="str">
        <f>Akt.!B9</f>
        <v>I. Intangibles</v>
      </c>
      <c r="C58" s="1328"/>
      <c r="D58" s="1315">
        <f>IFERROR(ROUND(INDEX(Akt.!$B$4:$Q$46,MATCH($B58,Akt.!$B$4:$B$46,0),MATCH(D$53,Akt.!$B$4:$Q$4,0))/1000,$H$2),"")</f>
        <v>0</v>
      </c>
      <c r="E58" s="1315">
        <f>IFERROR(ROUND(INDEX(Akt.!$B$4:$Q$46,MATCH($B58,Akt.!$B$4:$B$46,0),MATCH(E$53,Akt.!$B$4:$Q$4,0))/1000,$H$2),"")</f>
        <v>4</v>
      </c>
      <c r="F58" s="1315">
        <f>IFERROR(ROUND(INDEX(Akt.!$B$4:$Q$46,MATCH($B58,Akt.!$B$4:$B$46,0),MATCH(F$53,Akt.!$B$4:$Q$4,0))/1000,$H$2),"")</f>
        <v>25.6</v>
      </c>
      <c r="G58" s="1315">
        <f>IFERROR(ROUND(INDEX(Akt.!$B$4:$Q$46,MATCH($B58,Akt.!$B$4:$B$46,0),MATCH(G$53,Akt.!$B$4:$Q$4,0))/1000,$H$2),"")</f>
        <v>20</v>
      </c>
      <c r="H58" s="1315">
        <f>IFERROR(ROUND(INDEX(Akt.!$B$4:$Q$46,MATCH($B58,Akt.!$B$4:$B$46,0),MATCH(H$53,Akt.!$B$4:$Q$4,0))/1000,$H$2),"")</f>
        <v>26</v>
      </c>
      <c r="I58" s="1315" t="str">
        <f>IFERROR(ROUND(INDEX(Akt.!$B$4:$Q$46,MATCH($B58,Akt.!$B$4:$B$46,0),MATCH(I$53,Akt.!$B$4:$Q$4,0))/1000,$J$2),"")</f>
        <v/>
      </c>
      <c r="J58" s="1315" t="str">
        <f>IFERROR(ROUND(INDEX(Akt.!$B$4:$Q$46,MATCH($B58,Akt.!$B$4:$B$46,0),MATCH(J$53,Akt.!$B$4:$Q$4,0))/1000,$J$2),"")</f>
        <v/>
      </c>
      <c r="K58" s="1315" t="str">
        <f>IFERROR(ROUND(INDEX(Akt.!$B$4:$Q$46,MATCH($B58,Akt.!$B$4:$B$46,0),MATCH(K$53,Akt.!$B$4:$Q$4,0))/1000,$J$2),"")</f>
        <v/>
      </c>
      <c r="L58" s="1315" t="str">
        <f>IFERROR(ROUND(INDEX(Akt.!$B$4:$Q$46,MATCH($B58,Akt.!$B$4:$B$46,0),MATCH(L$53,Akt.!$B$4:$Q$4,0))/1000,$J$2),"")</f>
        <v/>
      </c>
      <c r="M58" s="1315" t="str">
        <f>IFERROR(ROUND(INDEX(Akt.!$B$4:$Q$46,MATCH($B58,Akt.!$B$4:$B$46,0),MATCH(M$53,Akt.!$B$4:$Q$4,0))/1000,$J$2),"")</f>
        <v/>
      </c>
      <c r="N58" s="1315" t="str">
        <f>IFERROR(ROUND(INDEX(Akt.!$B$4:$Q$46,MATCH($B58,Akt.!$B$4:$B$46,0),MATCH(N$53,Akt.!$B$4:$Q$4,0))/1000,$J$2),"")</f>
        <v/>
      </c>
      <c r="O58" s="1315" t="str">
        <f>IFERROR(ROUND(INDEX(Akt.!$B$4:$Q$46,MATCH($B58,Akt.!$B$4:$B$46,0),MATCH(O$53,Akt.!$B$4:$Q$4,0))/1000,$J$2),"")</f>
        <v/>
      </c>
      <c r="P58" s="1315" t="str">
        <f>IFERROR(ROUND(INDEX(Akt.!$B$4:$Q$46,MATCH($B58,Akt.!$B$4:$B$46,0),MATCH(P$53,Akt.!$B$4:$Q$4,0))/1000,$J$2),"")</f>
        <v/>
      </c>
      <c r="Q58" s="1315" t="str">
        <f>IFERROR(ROUND(INDEX(Akt.!$B$4:$Q$46,MATCH($B58,Akt.!$B$4:$B$46,0),MATCH(Q$53,Akt.!$B$4:$Q$4,0))/1000,$J$2),"")</f>
        <v/>
      </c>
      <c r="R58" s="11"/>
    </row>
    <row r="59" spans="1:18" s="193" customFormat="1" ht="10.5" customHeight="1">
      <c r="A59" s="194"/>
      <c r="B59" s="1334" t="str">
        <f>Akt.!B14</f>
        <v>II. PP&amp;E</v>
      </c>
      <c r="C59" s="1328"/>
      <c r="D59" s="1315">
        <f>IFERROR(ROUND(INDEX(Akt.!$B$4:$Q$46,MATCH($B59,Akt.!$B$4:$B$46,0),MATCH(D$53,Akt.!$B$4:$Q$4,0))/1000,$H$2),"")</f>
        <v>0</v>
      </c>
      <c r="E59" s="1315">
        <f>IFERROR(ROUND(INDEX(Akt.!$B$4:$Q$46,MATCH($B59,Akt.!$B$4:$B$46,0),MATCH(E$53,Akt.!$B$4:$Q$4,0))/1000,$H$2),"")</f>
        <v>9576.6</v>
      </c>
      <c r="F59" s="1315">
        <f>IFERROR(ROUND(INDEX(Akt.!$B$4:$Q$46,MATCH($B59,Akt.!$B$4:$B$46,0),MATCH(F$53,Akt.!$B$4:$Q$4,0))/1000,$H$2),"")</f>
        <v>7390.5</v>
      </c>
      <c r="G59" s="1315">
        <f>IFERROR(ROUND(INDEX(Akt.!$B$4:$Q$46,MATCH($B59,Akt.!$B$4:$B$46,0),MATCH(G$53,Akt.!$B$4:$Q$4,0))/1000,$H$2),"")</f>
        <v>5179.7</v>
      </c>
      <c r="H59" s="1315">
        <f>IFERROR(ROUND(INDEX(Akt.!$B$4:$Q$46,MATCH($B59,Akt.!$B$4:$B$46,0),MATCH(H$53,Akt.!$B$4:$Q$4,0))/1000,$H$2),"")</f>
        <v>6649.5</v>
      </c>
      <c r="I59" s="1315" t="str">
        <f>IFERROR(ROUND(INDEX(Akt.!$B$4:$Q$46,MATCH($B59,Akt.!$B$4:$B$46,0),MATCH(I$53,Akt.!$B$4:$Q$4,0))/1000,$J$2),"")</f>
        <v/>
      </c>
      <c r="J59" s="1315" t="str">
        <f>IFERROR(ROUND(INDEX(Akt.!$B$4:$Q$46,MATCH($B59,Akt.!$B$4:$B$46,0),MATCH(J$53,Akt.!$B$4:$Q$4,0))/1000,$J$2),"")</f>
        <v/>
      </c>
      <c r="K59" s="1315" t="str">
        <f>IFERROR(ROUND(INDEX(Akt.!$B$4:$Q$46,MATCH($B59,Akt.!$B$4:$B$46,0),MATCH(K$53,Akt.!$B$4:$Q$4,0))/1000,$J$2),"")</f>
        <v/>
      </c>
      <c r="L59" s="1315" t="str">
        <f>IFERROR(ROUND(INDEX(Akt.!$B$4:$Q$46,MATCH($B59,Akt.!$B$4:$B$46,0),MATCH(L$53,Akt.!$B$4:$Q$4,0))/1000,$J$2),"")</f>
        <v/>
      </c>
      <c r="M59" s="1315" t="str">
        <f>IFERROR(ROUND(INDEX(Akt.!$B$4:$Q$46,MATCH($B59,Akt.!$B$4:$B$46,0),MATCH(M$53,Akt.!$B$4:$Q$4,0))/1000,$J$2),"")</f>
        <v/>
      </c>
      <c r="N59" s="1315" t="str">
        <f>IFERROR(ROUND(INDEX(Akt.!$B$4:$Q$46,MATCH($B59,Akt.!$B$4:$B$46,0),MATCH(N$53,Akt.!$B$4:$Q$4,0))/1000,$J$2),"")</f>
        <v/>
      </c>
      <c r="O59" s="1315" t="str">
        <f>IFERROR(ROUND(INDEX(Akt.!$B$4:$Q$46,MATCH($B59,Akt.!$B$4:$B$46,0),MATCH(O$53,Akt.!$B$4:$Q$4,0))/1000,$J$2),"")</f>
        <v/>
      </c>
      <c r="P59" s="1315" t="str">
        <f>IFERROR(ROUND(INDEX(Akt.!$B$4:$Q$46,MATCH($B59,Akt.!$B$4:$B$46,0),MATCH(P$53,Akt.!$B$4:$Q$4,0))/1000,$J$2),"")</f>
        <v/>
      </c>
      <c r="Q59" s="1315" t="str">
        <f>IFERROR(ROUND(INDEX(Akt.!$B$4:$Q$46,MATCH($B59,Akt.!$B$4:$B$46,0),MATCH(Q$53,Akt.!$B$4:$Q$4,0))/1000,$J$2),"")</f>
        <v/>
      </c>
      <c r="R59" s="11"/>
    </row>
    <row r="60" spans="1:18" s="193" customFormat="1" ht="10.5" customHeight="1">
      <c r="A60" s="194"/>
      <c r="B60" s="1334" t="str">
        <f>Akt.!B20</f>
        <v>III. Financial Assets</v>
      </c>
      <c r="C60" s="1328"/>
      <c r="D60" s="1315">
        <f>IFERROR(ROUND(INDEX(Akt.!$B$4:$Q$46,MATCH($B60,Akt.!$B$4:$B$46,0),MATCH(D$53,Akt.!$B$4:$Q$4,0))/1000,$H$2),"")</f>
        <v>0</v>
      </c>
      <c r="E60" s="1315">
        <f>IFERROR(ROUND(INDEX(Akt.!$B$4:$Q$46,MATCH($B60,Akt.!$B$4:$B$46,0),MATCH(E$53,Akt.!$B$4:$Q$4,0))/1000,$H$2),"")</f>
        <v>2.8</v>
      </c>
      <c r="F60" s="1315">
        <f>IFERROR(ROUND(INDEX(Akt.!$B$4:$Q$46,MATCH($B60,Akt.!$B$4:$B$46,0),MATCH(F$53,Akt.!$B$4:$Q$4,0))/1000,$H$2),"")</f>
        <v>10.4</v>
      </c>
      <c r="G60" s="1315">
        <f>IFERROR(ROUND(INDEX(Akt.!$B$4:$Q$46,MATCH($B60,Akt.!$B$4:$B$46,0),MATCH(G$53,Akt.!$B$4:$Q$4,0))/1000,$H$2),"")</f>
        <v>10.1</v>
      </c>
      <c r="H60" s="1315">
        <f>IFERROR(ROUND(INDEX(Akt.!$B$4:$Q$46,MATCH($B60,Akt.!$B$4:$B$46,0),MATCH(H$53,Akt.!$B$4:$Q$4,0))/1000,$H$2),"")</f>
        <v>13.2</v>
      </c>
      <c r="I60" s="1315" t="str">
        <f>IFERROR(ROUND(INDEX(Akt.!$B$4:$Q$46,MATCH($B60,Akt.!$B$4:$B$46,0),MATCH(I$53,Akt.!$B$4:$Q$4,0))/1000,$J$2),"")</f>
        <v/>
      </c>
      <c r="J60" s="1315" t="str">
        <f>IFERROR(ROUND(INDEX(Akt.!$B$4:$Q$46,MATCH($B60,Akt.!$B$4:$B$46,0),MATCH(J$53,Akt.!$B$4:$Q$4,0))/1000,$J$2),"")</f>
        <v/>
      </c>
      <c r="K60" s="1315" t="str">
        <f>IFERROR(ROUND(INDEX(Akt.!$B$4:$Q$46,MATCH($B60,Akt.!$B$4:$B$46,0),MATCH(K$53,Akt.!$B$4:$Q$4,0))/1000,$J$2),"")</f>
        <v/>
      </c>
      <c r="L60" s="1315" t="str">
        <f>IFERROR(ROUND(INDEX(Akt.!$B$4:$Q$46,MATCH($B60,Akt.!$B$4:$B$46,0),MATCH(L$53,Akt.!$B$4:$Q$4,0))/1000,$J$2),"")</f>
        <v/>
      </c>
      <c r="M60" s="1315" t="str">
        <f>IFERROR(ROUND(INDEX(Akt.!$B$4:$Q$46,MATCH($B60,Akt.!$B$4:$B$46,0),MATCH(M$53,Akt.!$B$4:$Q$4,0))/1000,$J$2),"")</f>
        <v/>
      </c>
      <c r="N60" s="1315" t="str">
        <f>IFERROR(ROUND(INDEX(Akt.!$B$4:$Q$46,MATCH($B60,Akt.!$B$4:$B$46,0),MATCH(N$53,Akt.!$B$4:$Q$4,0))/1000,$J$2),"")</f>
        <v/>
      </c>
      <c r="O60" s="1315" t="str">
        <f>IFERROR(ROUND(INDEX(Akt.!$B$4:$Q$46,MATCH($B60,Akt.!$B$4:$B$46,0),MATCH(O$53,Akt.!$B$4:$Q$4,0))/1000,$J$2),"")</f>
        <v/>
      </c>
      <c r="P60" s="1315" t="str">
        <f>IFERROR(ROUND(INDEX(Akt.!$B$4:$Q$46,MATCH($B60,Akt.!$B$4:$B$46,0),MATCH(P$53,Akt.!$B$4:$Q$4,0))/1000,$J$2),"")</f>
        <v/>
      </c>
      <c r="Q60" s="1315" t="str">
        <f>IFERROR(ROUND(INDEX(Akt.!$B$4:$Q$46,MATCH($B60,Akt.!$B$4:$B$46,0),MATCH(Q$53,Akt.!$B$4:$Q$4,0))/1000,$J$2),"")</f>
        <v/>
      </c>
      <c r="R60" s="11"/>
    </row>
    <row r="61" spans="1:18" s="1761" customFormat="1" ht="10.5" customHeight="1">
      <c r="A61" s="195"/>
      <c r="B61" s="1332" t="str">
        <f>Akt.!B26</f>
        <v>B. Current Assets</v>
      </c>
      <c r="C61" s="1332"/>
      <c r="D61" s="1333">
        <f>IFERROR(ROUND(INDEX(Akt.!$B$4:$Q$46,MATCH($B61,Akt.!$B$4:$B$46,0),MATCH(D$53,Akt.!$B$4:$Q$4,0))/1000,$H$2),"")</f>
        <v>0</v>
      </c>
      <c r="E61" s="1333">
        <f>IFERROR(ROUND(INDEX(Akt.!$B$4:$Q$46,MATCH($B61,Akt.!$B$4:$B$46,0),MATCH(E$53,Akt.!$B$4:$Q$4,0))/1000,$H$2),"")</f>
        <v>11355.8</v>
      </c>
      <c r="F61" s="1333">
        <f>IFERROR(ROUND(INDEX(Akt.!$B$4:$Q$46,MATCH($B61,Akt.!$B$4:$B$46,0),MATCH(F$53,Akt.!$B$4:$Q$4,0))/1000,$H$2),"")</f>
        <v>11208.9</v>
      </c>
      <c r="G61" s="1333">
        <f>IFERROR(ROUND(INDEX(Akt.!$B$4:$Q$46,MATCH($B61,Akt.!$B$4:$B$46,0),MATCH(G$53,Akt.!$B$4:$Q$4,0))/1000,$H$2),"")</f>
        <v>8166.4</v>
      </c>
      <c r="H61" s="1333" t="str">
        <f>IFERROR(ROUND(INDEX(Akt.!$B$4:$Q$46,MATCH($B61,Akt.!$B$4:$B$46,0),MATCH(H$53,Akt.!$B$4:$Q$4,0))/1000,$H$2),"")</f>
        <v/>
      </c>
      <c r="I61" s="1333" t="str">
        <f>IFERROR(ROUND(INDEX(Akt.!$B$4:$Q$46,MATCH($B61,Akt.!$B$4:$B$46,0),MATCH(I$53,Akt.!$B$4:$Q$4,0))/1000,$J$2),"")</f>
        <v/>
      </c>
      <c r="J61" s="1333" t="str">
        <f>IFERROR(ROUND(INDEX(Akt.!$B$4:$Q$46,MATCH($B61,Akt.!$B$4:$B$46,0),MATCH(J$53,Akt.!$B$4:$Q$4,0))/1000,$J$2),"")</f>
        <v/>
      </c>
      <c r="K61" s="1333" t="str">
        <f>IFERROR(ROUND(INDEX(Akt.!$B$4:$Q$46,MATCH($B61,Akt.!$B$4:$B$46,0),MATCH(K$53,Akt.!$B$4:$Q$4,0))/1000,$J$2),"")</f>
        <v/>
      </c>
      <c r="L61" s="1333" t="str">
        <f>IFERROR(ROUND(INDEX(Akt.!$B$4:$Q$46,MATCH($B61,Akt.!$B$4:$B$46,0),MATCH(L$53,Akt.!$B$4:$Q$4,0))/1000,$J$2),"")</f>
        <v/>
      </c>
      <c r="M61" s="1333" t="str">
        <f>IFERROR(ROUND(INDEX(Akt.!$B$4:$Q$46,MATCH($B61,Akt.!$B$4:$B$46,0),MATCH(M$53,Akt.!$B$4:$Q$4,0))/1000,$J$2),"")</f>
        <v/>
      </c>
      <c r="N61" s="1333" t="str">
        <f>IFERROR(ROUND(INDEX(Akt.!$B$4:$Q$46,MATCH($B61,Akt.!$B$4:$B$46,0),MATCH(N$53,Akt.!$B$4:$Q$4,0))/1000,$J$2),"")</f>
        <v/>
      </c>
      <c r="O61" s="1333" t="str">
        <f>IFERROR(ROUND(INDEX(Akt.!$B$4:$Q$46,MATCH($B61,Akt.!$B$4:$B$46,0),MATCH(O$53,Akt.!$B$4:$Q$4,0))/1000,$J$2),"")</f>
        <v/>
      </c>
      <c r="P61" s="1333" t="str">
        <f>IFERROR(ROUND(INDEX(Akt.!$B$4:$Q$46,MATCH($B61,Akt.!$B$4:$B$46,0),MATCH(P$53,Akt.!$B$4:$Q$4,0))/1000,$J$2),"")</f>
        <v/>
      </c>
      <c r="Q61" s="1333" t="str">
        <f>IFERROR(ROUND(INDEX(Akt.!$B$4:$Q$46,MATCH($B61,Akt.!$B$4:$B$46,0),MATCH(Q$53,Akt.!$B$4:$Q$4,0))/1000,$J$2),"")</f>
        <v/>
      </c>
      <c r="R61" s="1763"/>
    </row>
    <row r="62" spans="1:18" s="193" customFormat="1" ht="10.5" customHeight="1">
      <c r="A62" s="194"/>
      <c r="B62" s="1334" t="str">
        <f>Akt.!B28</f>
        <v>I. Inventories</v>
      </c>
      <c r="C62" s="1328"/>
      <c r="D62" s="1315">
        <f>IFERROR(ROUND(INDEX(Akt.!$B$4:$Q$46,MATCH($B62,Akt.!$B$4:$B$46,0),MATCH(D$53,Akt.!$B$4:$Q$4,0))/1000,$H$2),"")</f>
        <v>0</v>
      </c>
      <c r="E62" s="1315">
        <f>IFERROR(ROUND(INDEX(Akt.!$B$4:$Q$46,MATCH($B62,Akt.!$B$4:$B$46,0),MATCH(E$53,Akt.!$B$4:$Q$4,0))/1000,$H$2),"")</f>
        <v>144.4</v>
      </c>
      <c r="F62" s="1315">
        <f>IFERROR(ROUND(INDEX(Akt.!$B$4:$Q$46,MATCH($B62,Akt.!$B$4:$B$46,0),MATCH(F$53,Akt.!$B$4:$Q$4,0))/1000,$H$2),"")</f>
        <v>133.19999999999999</v>
      </c>
      <c r="G62" s="1315">
        <f>IFERROR(ROUND(INDEX(Akt.!$B$4:$Q$46,MATCH($B62,Akt.!$B$4:$B$46,0),MATCH(G$53,Akt.!$B$4:$Q$4,0))/1000,$H$2),"")</f>
        <v>141.30000000000001</v>
      </c>
      <c r="H62" s="1315" t="str">
        <f>IFERROR(ROUND(INDEX(Akt.!$B$4:$Q$46,MATCH($B62,Akt.!$B$4:$B$46,0),MATCH(H$53,Akt.!$B$4:$Q$4,0))/1000,$H$2),"")</f>
        <v/>
      </c>
      <c r="I62" s="1315" t="str">
        <f>IFERROR(ROUND(INDEX(Akt.!$B$4:$Q$46,MATCH($B62,Akt.!$B$4:$B$46,0),MATCH(I$53,Akt.!$B$4:$Q$4,0))/1000,$J$2),"")</f>
        <v/>
      </c>
      <c r="J62" s="1315" t="str">
        <f>IFERROR(ROUND(INDEX(Akt.!$B$4:$Q$46,MATCH($B62,Akt.!$B$4:$B$46,0),MATCH(J$53,Akt.!$B$4:$Q$4,0))/1000,$J$2),"")</f>
        <v/>
      </c>
      <c r="K62" s="1315" t="str">
        <f>IFERROR(ROUND(INDEX(Akt.!$B$4:$Q$46,MATCH($B62,Akt.!$B$4:$B$46,0),MATCH(K$53,Akt.!$B$4:$Q$4,0))/1000,$J$2),"")</f>
        <v/>
      </c>
      <c r="L62" s="1315" t="str">
        <f>IFERROR(ROUND(INDEX(Akt.!$B$4:$Q$46,MATCH($B62,Akt.!$B$4:$B$46,0),MATCH(L$53,Akt.!$B$4:$Q$4,0))/1000,$J$2),"")</f>
        <v/>
      </c>
      <c r="M62" s="1315" t="str">
        <f>IFERROR(ROUND(INDEX(Akt.!$B$4:$Q$46,MATCH($B62,Akt.!$B$4:$B$46,0),MATCH(M$53,Akt.!$B$4:$Q$4,0))/1000,$J$2),"")</f>
        <v/>
      </c>
      <c r="N62" s="1315" t="str">
        <f>IFERROR(ROUND(INDEX(Akt.!$B$4:$Q$46,MATCH($B62,Akt.!$B$4:$B$46,0),MATCH(N$53,Akt.!$B$4:$Q$4,0))/1000,$J$2),"")</f>
        <v/>
      </c>
      <c r="O62" s="1315" t="str">
        <f>IFERROR(ROUND(INDEX(Akt.!$B$4:$Q$46,MATCH($B62,Akt.!$B$4:$B$46,0),MATCH(O$53,Akt.!$B$4:$Q$4,0))/1000,$J$2),"")</f>
        <v/>
      </c>
      <c r="P62" s="1315" t="str">
        <f>IFERROR(ROUND(INDEX(Akt.!$B$4:$Q$46,MATCH($B62,Akt.!$B$4:$B$46,0),MATCH(P$53,Akt.!$B$4:$Q$4,0))/1000,$J$2),"")</f>
        <v/>
      </c>
      <c r="Q62" s="1315" t="str">
        <f>IFERROR(ROUND(INDEX(Akt.!$B$4:$Q$46,MATCH($B62,Akt.!$B$4:$B$46,0),MATCH(Q$53,Akt.!$B$4:$Q$4,0))/1000,$J$2),"")</f>
        <v/>
      </c>
      <c r="R62" s="11"/>
    </row>
    <row r="63" spans="1:18" s="193" customFormat="1" ht="10.5" customHeight="1">
      <c r="A63" s="194"/>
      <c r="B63" s="1335" t="str">
        <f>Akt.!B29</f>
        <v>1. Raw Materials and Supplies</v>
      </c>
      <c r="C63" s="1328"/>
      <c r="D63" s="1315">
        <f>IFERROR(ROUND(INDEX(Akt.!$B$4:$Q$46,MATCH($B63,Akt.!$B$4:$B$46,0),MATCH(D$53,Akt.!$B$4:$Q$4,0))/1000,$H$2),"")</f>
        <v>0</v>
      </c>
      <c r="E63" s="1315">
        <f>IFERROR(ROUND(INDEX(Akt.!$B$4:$Q$46,MATCH($B63,Akt.!$B$4:$B$46,0),MATCH(E$53,Akt.!$B$4:$Q$4,0))/1000,$H$2),"")</f>
        <v>144.4</v>
      </c>
      <c r="F63" s="1315">
        <f>IFERROR(ROUND(INDEX(Akt.!$B$4:$Q$46,MATCH($B63,Akt.!$B$4:$B$46,0),MATCH(F$53,Akt.!$B$4:$Q$4,0))/1000,$H$2),"")</f>
        <v>133.19999999999999</v>
      </c>
      <c r="G63" s="1315">
        <f>IFERROR(ROUND(INDEX(Akt.!$B$4:$Q$46,MATCH($B63,Akt.!$B$4:$B$46,0),MATCH(G$53,Akt.!$B$4:$Q$4,0))/1000,$H$2),"")</f>
        <v>141.30000000000001</v>
      </c>
      <c r="H63" s="1315" t="str">
        <f>IFERROR(ROUND(INDEX(Akt.!$B$4:$Q$46,MATCH($B63,Akt.!$B$4:$B$46,0),MATCH(H$53,Akt.!$B$4:$Q$4,0))/1000,$H$2),"")</f>
        <v/>
      </c>
      <c r="I63" s="1315" t="str">
        <f>IFERROR(ROUND(INDEX(Akt.!$B$4:$Q$46,MATCH($B63,Akt.!$B$4:$B$46,0),MATCH(I$53,Akt.!$B$4:$Q$4,0))/1000,$J$2),"")</f>
        <v/>
      </c>
      <c r="J63" s="1315" t="str">
        <f>IFERROR(ROUND(INDEX(Akt.!$B$4:$Q$46,MATCH($B63,Akt.!$B$4:$B$46,0),MATCH(J$53,Akt.!$B$4:$Q$4,0))/1000,$J$2),"")</f>
        <v/>
      </c>
      <c r="K63" s="1315" t="str">
        <f>IFERROR(ROUND(INDEX(Akt.!$B$4:$Q$46,MATCH($B63,Akt.!$B$4:$B$46,0),MATCH(K$53,Akt.!$B$4:$Q$4,0))/1000,$J$2),"")</f>
        <v/>
      </c>
      <c r="L63" s="1315" t="str">
        <f>IFERROR(ROUND(INDEX(Akt.!$B$4:$Q$46,MATCH($B63,Akt.!$B$4:$B$46,0),MATCH(L$53,Akt.!$B$4:$Q$4,0))/1000,$J$2),"")</f>
        <v/>
      </c>
      <c r="M63" s="1315" t="str">
        <f>IFERROR(ROUND(INDEX(Akt.!$B$4:$Q$46,MATCH($B63,Akt.!$B$4:$B$46,0),MATCH(M$53,Akt.!$B$4:$Q$4,0))/1000,$J$2),"")</f>
        <v/>
      </c>
      <c r="N63" s="1315" t="str">
        <f>IFERROR(ROUND(INDEX(Akt.!$B$4:$Q$46,MATCH($B63,Akt.!$B$4:$B$46,0),MATCH(N$53,Akt.!$B$4:$Q$4,0))/1000,$J$2),"")</f>
        <v/>
      </c>
      <c r="O63" s="1315" t="str">
        <f>IFERROR(ROUND(INDEX(Akt.!$B$4:$Q$46,MATCH($B63,Akt.!$B$4:$B$46,0),MATCH(O$53,Akt.!$B$4:$Q$4,0))/1000,$J$2),"")</f>
        <v/>
      </c>
      <c r="P63" s="1315" t="str">
        <f>IFERROR(ROUND(INDEX(Akt.!$B$4:$Q$46,MATCH($B63,Akt.!$B$4:$B$46,0),MATCH(P$53,Akt.!$B$4:$Q$4,0))/1000,$J$2),"")</f>
        <v/>
      </c>
      <c r="Q63" s="1315" t="str">
        <f>IFERROR(ROUND(INDEX(Akt.!$B$4:$Q$46,MATCH($B63,Akt.!$B$4:$B$46,0),MATCH(Q$53,Akt.!$B$4:$Q$4,0))/1000,$J$2),"")</f>
        <v/>
      </c>
      <c r="R63" s="11"/>
    </row>
    <row r="64" spans="1:18" s="193" customFormat="1" ht="10.5" customHeight="1">
      <c r="A64" s="194"/>
      <c r="B64" s="1335" t="str">
        <f>Akt.!B30</f>
        <v>2. Unfinished Goods and Services</v>
      </c>
      <c r="C64" s="1328"/>
      <c r="D64" s="1315">
        <f>IFERROR(ROUND(INDEX(Akt.!$B$4:$Q$46,MATCH($B64,Akt.!$B$4:$B$46,0),MATCH(D$53,Akt.!$B$4:$Q$4,0))/1000,$H$2),"")</f>
        <v>0</v>
      </c>
      <c r="E64" s="1315">
        <f>IFERROR(ROUND(INDEX(Akt.!$B$4:$Q$46,MATCH($B64,Akt.!$B$4:$B$46,0),MATCH(E$53,Akt.!$B$4:$Q$4,0))/1000,$H$2),"")</f>
        <v>0</v>
      </c>
      <c r="F64" s="1315">
        <f>IFERROR(ROUND(INDEX(Akt.!$B$4:$Q$46,MATCH($B64,Akt.!$B$4:$B$46,0),MATCH(F$53,Akt.!$B$4:$Q$4,0))/1000,$H$2),"")</f>
        <v>0</v>
      </c>
      <c r="G64" s="1315">
        <f>IFERROR(ROUND(INDEX(Akt.!$B$4:$Q$46,MATCH($B64,Akt.!$B$4:$B$46,0),MATCH(G$53,Akt.!$B$4:$Q$4,0))/1000,$H$2),"")</f>
        <v>0</v>
      </c>
      <c r="H64" s="1315" t="str">
        <f>IFERROR(ROUND(INDEX(Akt.!$B$4:$Q$46,MATCH($B64,Akt.!$B$4:$B$46,0),MATCH(H$53,Akt.!$B$4:$Q$4,0))/1000,$H$2),"")</f>
        <v/>
      </c>
      <c r="I64" s="1315" t="str">
        <f>IFERROR(ROUND(INDEX(Akt.!$B$4:$Q$46,MATCH($B64,Akt.!$B$4:$B$46,0),MATCH(I$53,Akt.!$B$4:$Q$4,0))/1000,$J$2),"")</f>
        <v/>
      </c>
      <c r="J64" s="1315" t="str">
        <f>IFERROR(ROUND(INDEX(Akt.!$B$4:$Q$46,MATCH($B64,Akt.!$B$4:$B$46,0),MATCH(J$53,Akt.!$B$4:$Q$4,0))/1000,$J$2),"")</f>
        <v/>
      </c>
      <c r="K64" s="1315" t="str">
        <f>IFERROR(ROUND(INDEX(Akt.!$B$4:$Q$46,MATCH($B64,Akt.!$B$4:$B$46,0),MATCH(K$53,Akt.!$B$4:$Q$4,0))/1000,$J$2),"")</f>
        <v/>
      </c>
      <c r="L64" s="1315" t="str">
        <f>IFERROR(ROUND(INDEX(Akt.!$B$4:$Q$46,MATCH($B64,Akt.!$B$4:$B$46,0),MATCH(L$53,Akt.!$B$4:$Q$4,0))/1000,$J$2),"")</f>
        <v/>
      </c>
      <c r="M64" s="1315" t="str">
        <f>IFERROR(ROUND(INDEX(Akt.!$B$4:$Q$46,MATCH($B64,Akt.!$B$4:$B$46,0),MATCH(M$53,Akt.!$B$4:$Q$4,0))/1000,$J$2),"")</f>
        <v/>
      </c>
      <c r="N64" s="1315" t="str">
        <f>IFERROR(ROUND(INDEX(Akt.!$B$4:$Q$46,MATCH($B64,Akt.!$B$4:$B$46,0),MATCH(N$53,Akt.!$B$4:$Q$4,0))/1000,$J$2),"")</f>
        <v/>
      </c>
      <c r="O64" s="1315" t="str">
        <f>IFERROR(ROUND(INDEX(Akt.!$B$4:$Q$46,MATCH($B64,Akt.!$B$4:$B$46,0),MATCH(O$53,Akt.!$B$4:$Q$4,0))/1000,$J$2),"")</f>
        <v/>
      </c>
      <c r="P64" s="1315" t="str">
        <f>IFERROR(ROUND(INDEX(Akt.!$B$4:$Q$46,MATCH($B64,Akt.!$B$4:$B$46,0),MATCH(P$53,Akt.!$B$4:$Q$4,0))/1000,$J$2),"")</f>
        <v/>
      </c>
      <c r="Q64" s="1315" t="str">
        <f>IFERROR(ROUND(INDEX(Akt.!$B$4:$Q$46,MATCH($B64,Akt.!$B$4:$B$46,0),MATCH(Q$53,Akt.!$B$4:$Q$4,0))/1000,$J$2),"")</f>
        <v/>
      </c>
      <c r="R64" s="11"/>
    </row>
    <row r="65" spans="1:18" s="193" customFormat="1" ht="10.5" customHeight="1">
      <c r="A65" s="194"/>
      <c r="B65" s="1335" t="str">
        <f>Akt.!B31</f>
        <v>3. Finished products and Goods</v>
      </c>
      <c r="C65" s="1328"/>
      <c r="D65" s="1315">
        <f>IFERROR(ROUND(INDEX(Akt.!$B$4:$Q$46,MATCH($B65,Akt.!$B$4:$B$46,0),MATCH(D$53,Akt.!$B$4:$Q$4,0))/1000,$H$2),"")</f>
        <v>0</v>
      </c>
      <c r="E65" s="1315">
        <f>IFERROR(ROUND(INDEX(Akt.!$B$4:$Q$46,MATCH($B65,Akt.!$B$4:$B$46,0),MATCH(E$53,Akt.!$B$4:$Q$4,0))/1000,$H$2),"")</f>
        <v>0</v>
      </c>
      <c r="F65" s="1315">
        <f>IFERROR(ROUND(INDEX(Akt.!$B$4:$Q$46,MATCH($B65,Akt.!$B$4:$B$46,0),MATCH(F$53,Akt.!$B$4:$Q$4,0))/1000,$H$2),"")</f>
        <v>0</v>
      </c>
      <c r="G65" s="1315">
        <f>IFERROR(ROUND(INDEX(Akt.!$B$4:$Q$46,MATCH($B65,Akt.!$B$4:$B$46,0),MATCH(G$53,Akt.!$B$4:$Q$4,0))/1000,$H$2),"")</f>
        <v>0</v>
      </c>
      <c r="H65" s="1315" t="str">
        <f>IFERROR(ROUND(INDEX(Akt.!$B$4:$Q$46,MATCH($B65,Akt.!$B$4:$B$46,0),MATCH(H$53,Akt.!$B$4:$Q$4,0))/1000,$H$2),"")</f>
        <v/>
      </c>
      <c r="I65" s="1315" t="str">
        <f>IFERROR(ROUND(INDEX(Akt.!$B$4:$Q$46,MATCH($B65,Akt.!$B$4:$B$46,0),MATCH(I$53,Akt.!$B$4:$Q$4,0))/1000,$J$2),"")</f>
        <v/>
      </c>
      <c r="J65" s="1315" t="str">
        <f>IFERROR(ROUND(INDEX(Akt.!$B$4:$Q$46,MATCH($B65,Akt.!$B$4:$B$46,0),MATCH(J$53,Akt.!$B$4:$Q$4,0))/1000,$J$2),"")</f>
        <v/>
      </c>
      <c r="K65" s="1315" t="str">
        <f>IFERROR(ROUND(INDEX(Akt.!$B$4:$Q$46,MATCH($B65,Akt.!$B$4:$B$46,0),MATCH(K$53,Akt.!$B$4:$Q$4,0))/1000,$J$2),"")</f>
        <v/>
      </c>
      <c r="L65" s="1315" t="str">
        <f>IFERROR(ROUND(INDEX(Akt.!$B$4:$Q$46,MATCH($B65,Akt.!$B$4:$B$46,0),MATCH(L$53,Akt.!$B$4:$Q$4,0))/1000,$J$2),"")</f>
        <v/>
      </c>
      <c r="M65" s="1315" t="str">
        <f>IFERROR(ROUND(INDEX(Akt.!$B$4:$Q$46,MATCH($B65,Akt.!$B$4:$B$46,0),MATCH(M$53,Akt.!$B$4:$Q$4,0))/1000,$J$2),"")</f>
        <v/>
      </c>
      <c r="N65" s="1315" t="str">
        <f>IFERROR(ROUND(INDEX(Akt.!$B$4:$Q$46,MATCH($B65,Akt.!$B$4:$B$46,0),MATCH(N$53,Akt.!$B$4:$Q$4,0))/1000,$J$2),"")</f>
        <v/>
      </c>
      <c r="O65" s="1315" t="str">
        <f>IFERROR(ROUND(INDEX(Akt.!$B$4:$Q$46,MATCH($B65,Akt.!$B$4:$B$46,0),MATCH(O$53,Akt.!$B$4:$Q$4,0))/1000,$J$2),"")</f>
        <v/>
      </c>
      <c r="P65" s="1315" t="str">
        <f>IFERROR(ROUND(INDEX(Akt.!$B$4:$Q$46,MATCH($B65,Akt.!$B$4:$B$46,0),MATCH(P$53,Akt.!$B$4:$Q$4,0))/1000,$J$2),"")</f>
        <v/>
      </c>
      <c r="Q65" s="1315" t="str">
        <f>IFERROR(ROUND(INDEX(Akt.!$B$4:$Q$46,MATCH($B65,Akt.!$B$4:$B$46,0),MATCH(Q$53,Akt.!$B$4:$Q$4,0))/1000,$J$2),"")</f>
        <v/>
      </c>
      <c r="R65" s="11"/>
    </row>
    <row r="66" spans="1:18" s="193" customFormat="1" ht="10.5" customHeight="1">
      <c r="A66" s="194"/>
      <c r="B66" s="1335" t="str">
        <f>Akt.!B32</f>
        <v>4. Advance Payments Made</v>
      </c>
      <c r="C66" s="1328"/>
      <c r="D66" s="1315">
        <f>IFERROR(ROUND(INDEX(Akt.!$B$4:$Q$46,MATCH($B66,Akt.!$B$4:$B$46,0),MATCH(D$53,Akt.!$B$4:$Q$4,0))/1000,$H$2),"")</f>
        <v>0</v>
      </c>
      <c r="E66" s="1315">
        <f>IFERROR(ROUND(INDEX(Akt.!$B$4:$Q$46,MATCH($B66,Akt.!$B$4:$B$46,0),MATCH(E$53,Akt.!$B$4:$Q$4,0))/1000,$H$2),"")</f>
        <v>0</v>
      </c>
      <c r="F66" s="1315">
        <f>IFERROR(ROUND(INDEX(Akt.!$B$4:$Q$46,MATCH($B66,Akt.!$B$4:$B$46,0),MATCH(F$53,Akt.!$B$4:$Q$4,0))/1000,$H$2),"")</f>
        <v>0</v>
      </c>
      <c r="G66" s="1315">
        <f>IFERROR(ROUND(INDEX(Akt.!$B$4:$Q$46,MATCH($B66,Akt.!$B$4:$B$46,0),MATCH(G$53,Akt.!$B$4:$Q$4,0))/1000,$H$2),"")</f>
        <v>0</v>
      </c>
      <c r="H66" s="1315" t="str">
        <f>IFERROR(ROUND(INDEX(Akt.!$B$4:$Q$46,MATCH($B66,Akt.!$B$4:$B$46,0),MATCH(H$53,Akt.!$B$4:$Q$4,0))/1000,$H$2),"")</f>
        <v/>
      </c>
      <c r="I66" s="1315" t="str">
        <f>IFERROR(ROUND(INDEX(Akt.!$B$4:$Q$46,MATCH($B66,Akt.!$B$4:$B$46,0),MATCH(I$53,Akt.!$B$4:$Q$4,0))/1000,$J$2),"")</f>
        <v/>
      </c>
      <c r="J66" s="1315" t="str">
        <f>IFERROR(ROUND(INDEX(Akt.!$B$4:$Q$46,MATCH($B66,Akt.!$B$4:$B$46,0),MATCH(J$53,Akt.!$B$4:$Q$4,0))/1000,$J$2),"")</f>
        <v/>
      </c>
      <c r="K66" s="1315" t="str">
        <f>IFERROR(ROUND(INDEX(Akt.!$B$4:$Q$46,MATCH($B66,Akt.!$B$4:$B$46,0),MATCH(K$53,Akt.!$B$4:$Q$4,0))/1000,$J$2),"")</f>
        <v/>
      </c>
      <c r="L66" s="1315" t="str">
        <f>IFERROR(ROUND(INDEX(Akt.!$B$4:$Q$46,MATCH($B66,Akt.!$B$4:$B$46,0),MATCH(L$53,Akt.!$B$4:$Q$4,0))/1000,$J$2),"")</f>
        <v/>
      </c>
      <c r="M66" s="1315" t="str">
        <f>IFERROR(ROUND(INDEX(Akt.!$B$4:$Q$46,MATCH($B66,Akt.!$B$4:$B$46,0),MATCH(M$53,Akt.!$B$4:$Q$4,0))/1000,$J$2),"")</f>
        <v/>
      </c>
      <c r="N66" s="1315" t="str">
        <f>IFERROR(ROUND(INDEX(Akt.!$B$4:$Q$46,MATCH($B66,Akt.!$B$4:$B$46,0),MATCH(N$53,Akt.!$B$4:$Q$4,0))/1000,$J$2),"")</f>
        <v/>
      </c>
      <c r="O66" s="1315" t="str">
        <f>IFERROR(ROUND(INDEX(Akt.!$B$4:$Q$46,MATCH($B66,Akt.!$B$4:$B$46,0),MATCH(O$53,Akt.!$B$4:$Q$4,0))/1000,$J$2),"")</f>
        <v/>
      </c>
      <c r="P66" s="1315" t="str">
        <f>IFERROR(ROUND(INDEX(Akt.!$B$4:$Q$46,MATCH($B66,Akt.!$B$4:$B$46,0),MATCH(P$53,Akt.!$B$4:$Q$4,0))/1000,$J$2),"")</f>
        <v/>
      </c>
      <c r="Q66" s="1315" t="str">
        <f>IFERROR(ROUND(INDEX(Akt.!$B$4:$Q$46,MATCH($B66,Akt.!$B$4:$B$46,0),MATCH(Q$53,Akt.!$B$4:$Q$4,0))/1000,$J$2),"")</f>
        <v/>
      </c>
      <c r="R66" s="11"/>
    </row>
    <row r="67" spans="1:18" s="193" customFormat="1" ht="10.5" customHeight="1">
      <c r="A67" s="194"/>
      <c r="B67" s="1334" t="str">
        <f>Akt.!B34</f>
        <v>II. Receivables and other assets</v>
      </c>
      <c r="C67" s="1328"/>
      <c r="D67" s="1315">
        <f>IFERROR(ROUND(INDEX(Akt.!$B$4:$Q$46,MATCH($B67,Akt.!$B$4:$B$46,0),MATCH(D$53,Akt.!$B$4:$Q$4,0))/1000,$H$2),"")</f>
        <v>0</v>
      </c>
      <c r="E67" s="1315">
        <f>IFERROR(ROUND(INDEX(Akt.!$B$4:$Q$46,MATCH($B67,Akt.!$B$4:$B$46,0),MATCH(E$53,Akt.!$B$4:$Q$4,0))/1000,$H$2),"")</f>
        <v>7902.1</v>
      </c>
      <c r="F67" s="1315">
        <f>IFERROR(ROUND(INDEX(Akt.!$B$4:$Q$46,MATCH($B67,Akt.!$B$4:$B$46,0),MATCH(F$53,Akt.!$B$4:$Q$4,0))/1000,$H$2),"")</f>
        <v>9988.5</v>
      </c>
      <c r="G67" s="1315">
        <f>IFERROR(ROUND(INDEX(Akt.!$B$4:$Q$46,MATCH($B67,Akt.!$B$4:$B$46,0),MATCH(G$53,Akt.!$B$4:$Q$4,0))/1000,$H$2),"")</f>
        <v>6752.8</v>
      </c>
      <c r="H67" s="1315">
        <f>IFERROR(ROUND(INDEX(Akt.!$B$4:$Q$46,MATCH($B67,Akt.!$B$4:$B$46,0),MATCH(H$53,Akt.!$B$4:$Q$4,0))/1000,$H$2),"")</f>
        <v>7775</v>
      </c>
      <c r="I67" s="1315" t="str">
        <f>IFERROR(ROUND(INDEX(Akt.!$B$4:$Q$46,MATCH($B67,Akt.!$B$4:$B$46,0),MATCH(I$53,Akt.!$B$4:$Q$4,0))/1000,$J$2),"")</f>
        <v/>
      </c>
      <c r="J67" s="1315" t="str">
        <f>IFERROR(ROUND(INDEX(Akt.!$B$4:$Q$46,MATCH($B67,Akt.!$B$4:$B$46,0),MATCH(J$53,Akt.!$B$4:$Q$4,0))/1000,$J$2),"")</f>
        <v/>
      </c>
      <c r="K67" s="1315" t="str">
        <f>IFERROR(ROUND(INDEX(Akt.!$B$4:$Q$46,MATCH($B67,Akt.!$B$4:$B$46,0),MATCH(K$53,Akt.!$B$4:$Q$4,0))/1000,$J$2),"")</f>
        <v/>
      </c>
      <c r="L67" s="1315" t="str">
        <f>IFERROR(ROUND(INDEX(Akt.!$B$4:$Q$46,MATCH($B67,Akt.!$B$4:$B$46,0),MATCH(L$53,Akt.!$B$4:$Q$4,0))/1000,$J$2),"")</f>
        <v/>
      </c>
      <c r="M67" s="1315" t="str">
        <f>IFERROR(ROUND(INDEX(Akt.!$B$4:$Q$46,MATCH($B67,Akt.!$B$4:$B$46,0),MATCH(M$53,Akt.!$B$4:$Q$4,0))/1000,$J$2),"")</f>
        <v/>
      </c>
      <c r="N67" s="1315" t="str">
        <f>IFERROR(ROUND(INDEX(Akt.!$B$4:$Q$46,MATCH($B67,Akt.!$B$4:$B$46,0),MATCH(N$53,Akt.!$B$4:$Q$4,0))/1000,$J$2),"")</f>
        <v/>
      </c>
      <c r="O67" s="1315" t="str">
        <f>IFERROR(ROUND(INDEX(Akt.!$B$4:$Q$46,MATCH($B67,Akt.!$B$4:$B$46,0),MATCH(O$53,Akt.!$B$4:$Q$4,0))/1000,$J$2),"")</f>
        <v/>
      </c>
      <c r="P67" s="1315" t="str">
        <f>IFERROR(ROUND(INDEX(Akt.!$B$4:$Q$46,MATCH($B67,Akt.!$B$4:$B$46,0),MATCH(P$53,Akt.!$B$4:$Q$4,0))/1000,$J$2),"")</f>
        <v/>
      </c>
      <c r="Q67" s="1315" t="str">
        <f>IFERROR(ROUND(INDEX(Akt.!$B$4:$Q$46,MATCH($B67,Akt.!$B$4:$B$46,0),MATCH(Q$53,Akt.!$B$4:$Q$4,0))/1000,$J$2),"")</f>
        <v/>
      </c>
      <c r="R67" s="11"/>
    </row>
    <row r="68" spans="1:18" s="193" customFormat="1" ht="10.5" customHeight="1">
      <c r="A68" s="194"/>
      <c r="B68" s="1335" t="str">
        <f>Akt.!B35</f>
        <v>1. Trade Receivables</v>
      </c>
      <c r="C68" s="1328"/>
      <c r="D68" s="1315">
        <f>IFERROR(ROUND(INDEX(Akt.!$B$4:$Q$46,MATCH($B68,Akt.!$B$4:$B$46,0),MATCH(D$53,Akt.!$B$4:$Q$4,0))/1000,$H$2),"")</f>
        <v>0</v>
      </c>
      <c r="E68" s="1315">
        <f>IFERROR(ROUND(INDEX(Akt.!$B$4:$Q$46,MATCH($B68,Akt.!$B$4:$B$46,0),MATCH(E$53,Akt.!$B$4:$Q$4,0))/1000,$H$2),"")</f>
        <v>6410.4</v>
      </c>
      <c r="F68" s="1315">
        <f>IFERROR(ROUND(INDEX(Akt.!$B$4:$Q$46,MATCH($B68,Akt.!$B$4:$B$46,0),MATCH(F$53,Akt.!$B$4:$Q$4,0))/1000,$H$2),"")</f>
        <v>5777.1</v>
      </c>
      <c r="G68" s="1315">
        <f>IFERROR(ROUND(INDEX(Akt.!$B$4:$Q$46,MATCH($B68,Akt.!$B$4:$B$46,0),MATCH(G$53,Akt.!$B$4:$Q$4,0))/1000,$H$2),"")</f>
        <v>5051.5</v>
      </c>
      <c r="H68" s="1315">
        <f>IFERROR(ROUND(INDEX(Akt.!$B$4:$Q$46,MATCH($B68,Akt.!$B$4:$B$46,0),MATCH(H$53,Akt.!$B$4:$Q$4,0))/1000,$H$2),"")</f>
        <v>5443.2</v>
      </c>
      <c r="I68" s="1315" t="str">
        <f>IFERROR(ROUND(INDEX(Akt.!$B$4:$Q$46,MATCH($B68,Akt.!$B$4:$B$46,0),MATCH(I$53,Akt.!$B$4:$Q$4,0))/1000,$J$2),"")</f>
        <v/>
      </c>
      <c r="J68" s="1315" t="str">
        <f>IFERROR(ROUND(INDEX(Akt.!$B$4:$Q$46,MATCH($B68,Akt.!$B$4:$B$46,0),MATCH(J$53,Akt.!$B$4:$Q$4,0))/1000,$J$2),"")</f>
        <v/>
      </c>
      <c r="K68" s="1315" t="str">
        <f>IFERROR(ROUND(INDEX(Akt.!$B$4:$Q$46,MATCH($B68,Akt.!$B$4:$B$46,0),MATCH(K$53,Akt.!$B$4:$Q$4,0))/1000,$J$2),"")</f>
        <v/>
      </c>
      <c r="L68" s="1315" t="str">
        <f>IFERROR(ROUND(INDEX(Akt.!$B$4:$Q$46,MATCH($B68,Akt.!$B$4:$B$46,0),MATCH(L$53,Akt.!$B$4:$Q$4,0))/1000,$J$2),"")</f>
        <v/>
      </c>
      <c r="M68" s="1315" t="str">
        <f>IFERROR(ROUND(INDEX(Akt.!$B$4:$Q$46,MATCH($B68,Akt.!$B$4:$B$46,0),MATCH(M$53,Akt.!$B$4:$Q$4,0))/1000,$J$2),"")</f>
        <v/>
      </c>
      <c r="N68" s="1315" t="str">
        <f>IFERROR(ROUND(INDEX(Akt.!$B$4:$Q$46,MATCH($B68,Akt.!$B$4:$B$46,0),MATCH(N$53,Akt.!$B$4:$Q$4,0))/1000,$J$2),"")</f>
        <v/>
      </c>
      <c r="O68" s="1315" t="str">
        <f>IFERROR(ROUND(INDEX(Akt.!$B$4:$Q$46,MATCH($B68,Akt.!$B$4:$B$46,0),MATCH(O$53,Akt.!$B$4:$Q$4,0))/1000,$J$2),"")</f>
        <v/>
      </c>
      <c r="P68" s="1315" t="str">
        <f>IFERROR(ROUND(INDEX(Akt.!$B$4:$Q$46,MATCH($B68,Akt.!$B$4:$B$46,0),MATCH(P$53,Akt.!$B$4:$Q$4,0))/1000,$J$2),"")</f>
        <v/>
      </c>
      <c r="Q68" s="1315" t="str">
        <f>IFERROR(ROUND(INDEX(Akt.!$B$4:$Q$46,MATCH($B68,Akt.!$B$4:$B$46,0),MATCH(Q$53,Akt.!$B$4:$Q$4,0))/1000,$J$2),"")</f>
        <v/>
      </c>
      <c r="R68" s="11"/>
    </row>
    <row r="69" spans="1:18" s="193" customFormat="1" ht="10.5" customHeight="1">
      <c r="A69" s="194"/>
      <c r="B69" s="1335" t="str">
        <f>Akt.!B36</f>
        <v>2. Receivables from Affiliated Businesses</v>
      </c>
      <c r="C69" s="1328"/>
      <c r="D69" s="1315">
        <f>IFERROR(ROUND(INDEX(Akt.!$B$4:$Q$46,MATCH($B69,Akt.!$B$4:$B$46,0),MATCH(D$53,Akt.!$B$4:$Q$4,0))/1000,$H$2),"")</f>
        <v>0</v>
      </c>
      <c r="E69" s="1315">
        <f>IFERROR(ROUND(INDEX(Akt.!$B$4:$Q$46,MATCH($B69,Akt.!$B$4:$B$46,0),MATCH(E$53,Akt.!$B$4:$Q$4,0))/1000,$H$2),"")</f>
        <v>509</v>
      </c>
      <c r="F69" s="1315">
        <f>IFERROR(ROUND(INDEX(Akt.!$B$4:$Q$46,MATCH($B69,Akt.!$B$4:$B$46,0),MATCH(F$53,Akt.!$B$4:$Q$4,0))/1000,$H$2),"")</f>
        <v>3977.1</v>
      </c>
      <c r="G69" s="1315">
        <f>IFERROR(ROUND(INDEX(Akt.!$B$4:$Q$46,MATCH($B69,Akt.!$B$4:$B$46,0),MATCH(G$53,Akt.!$B$4:$Q$4,0))/1000,$H$2),"")</f>
        <v>1379.2</v>
      </c>
      <c r="H69" s="1315">
        <f>IFERROR(ROUND(INDEX(Akt.!$B$4:$Q$46,MATCH($B69,Akt.!$B$4:$B$46,0),MATCH(H$53,Akt.!$B$4:$Q$4,0))/1000,$H$2),"")</f>
        <v>1852.6</v>
      </c>
      <c r="I69" s="1315" t="str">
        <f>IFERROR(ROUND(INDEX(Akt.!$B$4:$Q$46,MATCH($B69,Akt.!$B$4:$B$46,0),MATCH(I$53,Akt.!$B$4:$Q$4,0))/1000,$J$2),"")</f>
        <v/>
      </c>
      <c r="J69" s="1315" t="str">
        <f>IFERROR(ROUND(INDEX(Akt.!$B$4:$Q$46,MATCH($B69,Akt.!$B$4:$B$46,0),MATCH(J$53,Akt.!$B$4:$Q$4,0))/1000,$J$2),"")</f>
        <v/>
      </c>
      <c r="K69" s="1315" t="str">
        <f>IFERROR(ROUND(INDEX(Akt.!$B$4:$Q$46,MATCH($B69,Akt.!$B$4:$B$46,0),MATCH(K$53,Akt.!$B$4:$Q$4,0))/1000,$J$2),"")</f>
        <v/>
      </c>
      <c r="L69" s="1315" t="str">
        <f>IFERROR(ROUND(INDEX(Akt.!$B$4:$Q$46,MATCH($B69,Akt.!$B$4:$B$46,0),MATCH(L$53,Akt.!$B$4:$Q$4,0))/1000,$J$2),"")</f>
        <v/>
      </c>
      <c r="M69" s="1315" t="str">
        <f>IFERROR(ROUND(INDEX(Akt.!$B$4:$Q$46,MATCH($B69,Akt.!$B$4:$B$46,0),MATCH(M$53,Akt.!$B$4:$Q$4,0))/1000,$J$2),"")</f>
        <v/>
      </c>
      <c r="N69" s="1315" t="str">
        <f>IFERROR(ROUND(INDEX(Akt.!$B$4:$Q$46,MATCH($B69,Akt.!$B$4:$B$46,0),MATCH(N$53,Akt.!$B$4:$Q$4,0))/1000,$J$2),"")</f>
        <v/>
      </c>
      <c r="O69" s="1315" t="str">
        <f>IFERROR(ROUND(INDEX(Akt.!$B$4:$Q$46,MATCH($B69,Akt.!$B$4:$B$46,0),MATCH(O$53,Akt.!$B$4:$Q$4,0))/1000,$J$2),"")</f>
        <v/>
      </c>
      <c r="P69" s="1315" t="str">
        <f>IFERROR(ROUND(INDEX(Akt.!$B$4:$Q$46,MATCH($B69,Akt.!$B$4:$B$46,0),MATCH(P$53,Akt.!$B$4:$Q$4,0))/1000,$J$2),"")</f>
        <v/>
      </c>
      <c r="Q69" s="1315" t="str">
        <f>IFERROR(ROUND(INDEX(Akt.!$B$4:$Q$46,MATCH($B69,Akt.!$B$4:$B$46,0),MATCH(Q$53,Akt.!$B$4:$Q$4,0))/1000,$J$2),"")</f>
        <v/>
      </c>
      <c r="R69" s="11"/>
    </row>
    <row r="70" spans="1:18" s="193" customFormat="1" ht="10.5" customHeight="1">
      <c r="A70" s="194"/>
      <c r="B70" s="1335" t="str">
        <f>Akt.!B37</f>
        <v>3. Other Assets</v>
      </c>
      <c r="C70" s="1328"/>
      <c r="D70" s="1315">
        <f>IFERROR(ROUND(INDEX(Akt.!$B$4:$Q$46,MATCH($B70,Akt.!$B$4:$B$46,0),MATCH(D$53,Akt.!$B$4:$Q$4,0))/1000,$H$2),"")</f>
        <v>0</v>
      </c>
      <c r="E70" s="1315">
        <f>IFERROR(ROUND(INDEX(Akt.!$B$4:$Q$46,MATCH($B70,Akt.!$B$4:$B$46,0),MATCH(E$53,Akt.!$B$4:$Q$4,0))/1000,$H$2),"")</f>
        <v>982.6</v>
      </c>
      <c r="F70" s="1315">
        <f>IFERROR(ROUND(INDEX(Akt.!$B$4:$Q$46,MATCH($B70,Akt.!$B$4:$B$46,0),MATCH(F$53,Akt.!$B$4:$Q$4,0))/1000,$H$2),"")</f>
        <v>234.3</v>
      </c>
      <c r="G70" s="1315">
        <f>IFERROR(ROUND(INDEX(Akt.!$B$4:$Q$46,MATCH($B70,Akt.!$B$4:$B$46,0),MATCH(G$53,Akt.!$B$4:$Q$4,0))/1000,$H$2),"")</f>
        <v>322.10000000000002</v>
      </c>
      <c r="H70" s="1315">
        <f>IFERROR(ROUND(INDEX(Akt.!$B$4:$Q$46,MATCH($B70,Akt.!$B$4:$B$46,0),MATCH(H$53,Akt.!$B$4:$Q$4,0))/1000,$H$2),"")</f>
        <v>479.2</v>
      </c>
      <c r="I70" s="1315" t="str">
        <f>IFERROR(ROUND(INDEX(Akt.!$B$4:$Q$46,MATCH($B70,Akt.!$B$4:$B$46,0),MATCH(I$53,Akt.!$B$4:$Q$4,0))/1000,$J$2),"")</f>
        <v/>
      </c>
      <c r="J70" s="1315" t="str">
        <f>IFERROR(ROUND(INDEX(Akt.!$B$4:$Q$46,MATCH($B70,Akt.!$B$4:$B$46,0),MATCH(J$53,Akt.!$B$4:$Q$4,0))/1000,$J$2),"")</f>
        <v/>
      </c>
      <c r="K70" s="1315" t="str">
        <f>IFERROR(ROUND(INDEX(Akt.!$B$4:$Q$46,MATCH($B70,Akt.!$B$4:$B$46,0),MATCH(K$53,Akt.!$B$4:$Q$4,0))/1000,$J$2),"")</f>
        <v/>
      </c>
      <c r="L70" s="1315" t="str">
        <f>IFERROR(ROUND(INDEX(Akt.!$B$4:$Q$46,MATCH($B70,Akt.!$B$4:$B$46,0),MATCH(L$53,Akt.!$B$4:$Q$4,0))/1000,$J$2),"")</f>
        <v/>
      </c>
      <c r="M70" s="1315" t="str">
        <f>IFERROR(ROUND(INDEX(Akt.!$B$4:$Q$46,MATCH($B70,Akt.!$B$4:$B$46,0),MATCH(M$53,Akt.!$B$4:$Q$4,0))/1000,$J$2),"")</f>
        <v/>
      </c>
      <c r="N70" s="1315" t="str">
        <f>IFERROR(ROUND(INDEX(Akt.!$B$4:$Q$46,MATCH($B70,Akt.!$B$4:$B$46,0),MATCH(N$53,Akt.!$B$4:$Q$4,0))/1000,$J$2),"")</f>
        <v/>
      </c>
      <c r="O70" s="1315" t="str">
        <f>IFERROR(ROUND(INDEX(Akt.!$B$4:$Q$46,MATCH($B70,Akt.!$B$4:$B$46,0),MATCH(O$53,Akt.!$B$4:$Q$4,0))/1000,$J$2),"")</f>
        <v/>
      </c>
      <c r="P70" s="1315" t="str">
        <f>IFERROR(ROUND(INDEX(Akt.!$B$4:$Q$46,MATCH($B70,Akt.!$B$4:$B$46,0),MATCH(P$53,Akt.!$B$4:$Q$4,0))/1000,$J$2),"")</f>
        <v/>
      </c>
      <c r="Q70" s="1315" t="str">
        <f>IFERROR(ROUND(INDEX(Akt.!$B$4:$Q$46,MATCH($B70,Akt.!$B$4:$B$46,0),MATCH(Q$53,Akt.!$B$4:$Q$4,0))/1000,$J$2),"")</f>
        <v/>
      </c>
      <c r="R70" s="11"/>
    </row>
    <row r="71" spans="1:18" s="193" customFormat="1" ht="10.5" customHeight="1">
      <c r="A71" s="194"/>
      <c r="B71" s="1334" t="str">
        <f>Akt.!B39</f>
        <v>III. Securities</v>
      </c>
      <c r="C71" s="1328"/>
      <c r="D71" s="1315">
        <f>IFERROR(ROUND(INDEX(Akt.!$B$4:$Q$46,MATCH($B71,Akt.!$B$4:$B$46,0),MATCH(D$53,Akt.!$B$4:$Q$4,0))/1000,$H$2),"")</f>
        <v>0</v>
      </c>
      <c r="E71" s="1315">
        <f>IFERROR(ROUND(INDEX(Akt.!$B$4:$Q$46,MATCH($B71,Akt.!$B$4:$B$46,0),MATCH(E$53,Akt.!$B$4:$Q$4,0))/1000,$H$2),"")</f>
        <v>0</v>
      </c>
      <c r="F71" s="1315">
        <f>IFERROR(ROUND(INDEX(Akt.!$B$4:$Q$46,MATCH($B71,Akt.!$B$4:$B$46,0),MATCH(F$53,Akt.!$B$4:$Q$4,0))/1000,$H$2),"")</f>
        <v>0</v>
      </c>
      <c r="G71" s="1315">
        <f>IFERROR(ROUND(INDEX(Akt.!$B$4:$Q$46,MATCH($B71,Akt.!$B$4:$B$46,0),MATCH(G$53,Akt.!$B$4:$Q$4,0))/1000,$H$2),"")</f>
        <v>0</v>
      </c>
      <c r="H71" s="1315">
        <f>IFERROR(ROUND(INDEX(Akt.!$B$4:$Q$46,MATCH($B71,Akt.!$B$4:$B$46,0),MATCH(H$53,Akt.!$B$4:$Q$4,0))/1000,$H$2),"")</f>
        <v>0</v>
      </c>
      <c r="I71" s="1315" t="str">
        <f>IFERROR(ROUND(INDEX(Akt.!$B$4:$Q$46,MATCH($B71,Akt.!$B$4:$B$46,0),MATCH(I$53,Akt.!$B$4:$Q$4,0))/1000,$J$2),"")</f>
        <v/>
      </c>
      <c r="J71" s="1315" t="str">
        <f>IFERROR(ROUND(INDEX(Akt.!$B$4:$Q$46,MATCH($B71,Akt.!$B$4:$B$46,0),MATCH(J$53,Akt.!$B$4:$Q$4,0))/1000,$J$2),"")</f>
        <v/>
      </c>
      <c r="K71" s="1315" t="str">
        <f>IFERROR(ROUND(INDEX(Akt.!$B$4:$Q$46,MATCH($B71,Akt.!$B$4:$B$46,0),MATCH(K$53,Akt.!$B$4:$Q$4,0))/1000,$J$2),"")</f>
        <v/>
      </c>
      <c r="L71" s="1315" t="str">
        <f>IFERROR(ROUND(INDEX(Akt.!$B$4:$Q$46,MATCH($B71,Akt.!$B$4:$B$46,0),MATCH(L$53,Akt.!$B$4:$Q$4,0))/1000,$J$2),"")</f>
        <v/>
      </c>
      <c r="M71" s="1315" t="str">
        <f>IFERROR(ROUND(INDEX(Akt.!$B$4:$Q$46,MATCH($B71,Akt.!$B$4:$B$46,0),MATCH(M$53,Akt.!$B$4:$Q$4,0))/1000,$J$2),"")</f>
        <v/>
      </c>
      <c r="N71" s="1315" t="str">
        <f>IFERROR(ROUND(INDEX(Akt.!$B$4:$Q$46,MATCH($B71,Akt.!$B$4:$B$46,0),MATCH(N$53,Akt.!$B$4:$Q$4,0))/1000,$J$2),"")</f>
        <v/>
      </c>
      <c r="O71" s="1315" t="str">
        <f>IFERROR(ROUND(INDEX(Akt.!$B$4:$Q$46,MATCH($B71,Akt.!$B$4:$B$46,0),MATCH(O$53,Akt.!$B$4:$Q$4,0))/1000,$J$2),"")</f>
        <v/>
      </c>
      <c r="P71" s="1315" t="str">
        <f>IFERROR(ROUND(INDEX(Akt.!$B$4:$Q$46,MATCH($B71,Akt.!$B$4:$B$46,0),MATCH(P$53,Akt.!$B$4:$Q$4,0))/1000,$J$2),"")</f>
        <v/>
      </c>
      <c r="Q71" s="1315" t="str">
        <f>IFERROR(ROUND(INDEX(Akt.!$B$4:$Q$46,MATCH($B71,Akt.!$B$4:$B$46,0),MATCH(Q$53,Akt.!$B$4:$Q$4,0))/1000,$J$2),"")</f>
        <v/>
      </c>
      <c r="R71" s="11"/>
    </row>
    <row r="72" spans="1:18" s="193" customFormat="1" ht="10.5" customHeight="1">
      <c r="A72" s="194"/>
      <c r="B72" s="1334" t="str">
        <f>Akt.!B41</f>
        <v>IV. Cash in Hand, Bank Balances</v>
      </c>
      <c r="C72" s="1328"/>
      <c r="D72" s="1315">
        <f>IFERROR(ROUND(INDEX(Akt.!$B$4:$Q$46,MATCH($B72,Akt.!$B$4:$B$46,0),MATCH(D$53,Akt.!$B$4:$Q$4,0))/1000,$H$2),"")</f>
        <v>0</v>
      </c>
      <c r="E72" s="1315">
        <f>IFERROR(ROUND(INDEX(Akt.!$B$4:$Q$46,MATCH($B72,Akt.!$B$4:$B$46,0),MATCH(E$53,Akt.!$B$4:$Q$4,0))/1000,$H$2),"")</f>
        <v>3309.3</v>
      </c>
      <c r="F72" s="1315">
        <f>IFERROR(ROUND(INDEX(Akt.!$B$4:$Q$46,MATCH($B72,Akt.!$B$4:$B$46,0),MATCH(F$53,Akt.!$B$4:$Q$4,0))/1000,$H$2),"")</f>
        <v>1087.3</v>
      </c>
      <c r="G72" s="1315">
        <f>IFERROR(ROUND(INDEX(Akt.!$B$4:$Q$46,MATCH($B72,Akt.!$B$4:$B$46,0),MATCH(G$53,Akt.!$B$4:$Q$4,0))/1000,$H$2),"")</f>
        <v>1272.4000000000001</v>
      </c>
      <c r="H72" s="1315" t="str">
        <f>IFERROR(ROUND(INDEX(Akt.!$B$4:$Q$46,MATCH($B72,Akt.!$B$4:$B$46,0),MATCH(H$53,Akt.!$B$4:$Q$4,0))/1000,$H$2),"")</f>
        <v/>
      </c>
      <c r="I72" s="1315" t="str">
        <f>IFERROR(ROUND(INDEX(Akt.!$B$4:$Q$46,MATCH($B72,Akt.!$B$4:$B$46,0),MATCH(I$53,Akt.!$B$4:$Q$4,0))/1000,$J$2),"")</f>
        <v/>
      </c>
      <c r="J72" s="1315" t="str">
        <f>IFERROR(ROUND(INDEX(Akt.!$B$4:$Q$46,MATCH($B72,Akt.!$B$4:$B$46,0),MATCH(J$53,Akt.!$B$4:$Q$4,0))/1000,$J$2),"")</f>
        <v/>
      </c>
      <c r="K72" s="1315" t="str">
        <f>IFERROR(ROUND(INDEX(Akt.!$B$4:$Q$46,MATCH($B72,Akt.!$B$4:$B$46,0),MATCH(K$53,Akt.!$B$4:$Q$4,0))/1000,$J$2),"")</f>
        <v/>
      </c>
      <c r="L72" s="1315" t="str">
        <f>IFERROR(ROUND(INDEX(Akt.!$B$4:$Q$46,MATCH($B72,Akt.!$B$4:$B$46,0),MATCH(L$53,Akt.!$B$4:$Q$4,0))/1000,$J$2),"")</f>
        <v/>
      </c>
      <c r="M72" s="1315" t="str">
        <f>IFERROR(ROUND(INDEX(Akt.!$B$4:$Q$46,MATCH($B72,Akt.!$B$4:$B$46,0),MATCH(M$53,Akt.!$B$4:$Q$4,0))/1000,$J$2),"")</f>
        <v/>
      </c>
      <c r="N72" s="1315" t="str">
        <f>IFERROR(ROUND(INDEX(Akt.!$B$4:$Q$46,MATCH($B72,Akt.!$B$4:$B$46,0),MATCH(N$53,Akt.!$B$4:$Q$4,0))/1000,$J$2),"")</f>
        <v/>
      </c>
      <c r="O72" s="1315" t="str">
        <f>IFERROR(ROUND(INDEX(Akt.!$B$4:$Q$46,MATCH($B72,Akt.!$B$4:$B$46,0),MATCH(O$53,Akt.!$B$4:$Q$4,0))/1000,$J$2),"")</f>
        <v/>
      </c>
      <c r="P72" s="1315" t="str">
        <f>IFERROR(ROUND(INDEX(Akt.!$B$4:$Q$46,MATCH($B72,Akt.!$B$4:$B$46,0),MATCH(P$53,Akt.!$B$4:$Q$4,0))/1000,$J$2),"")</f>
        <v/>
      </c>
      <c r="Q72" s="1315" t="str">
        <f>IFERROR(ROUND(INDEX(Akt.!$B$4:$Q$46,MATCH($B72,Akt.!$B$4:$B$46,0),MATCH(Q$53,Akt.!$B$4:$Q$4,0))/1000,$J$2),"")</f>
        <v/>
      </c>
      <c r="R72" s="11"/>
    </row>
    <row r="73" spans="1:18" s="1761" customFormat="1" ht="10.5" customHeight="1">
      <c r="A73" s="195"/>
      <c r="B73" s="1336" t="str">
        <f>Akt.!B43</f>
        <v>C. Prepaid expenses / Accrued income</v>
      </c>
      <c r="C73" s="1332"/>
      <c r="D73" s="1333">
        <f>IFERROR(ROUND(INDEX(Akt.!$B$4:$Q$46,MATCH($B73,Akt.!$B$4:$B$46,0),MATCH(D$53,Akt.!$B$4:$Q$4,0))/1000,$H$2),"")</f>
        <v>0</v>
      </c>
      <c r="E73" s="1333">
        <f>IFERROR(ROUND(INDEX(Akt.!$B$4:$Q$46,MATCH($B73,Akt.!$B$4:$B$46,0),MATCH(E$53,Akt.!$B$4:$Q$4,0))/1000,$H$2),"")</f>
        <v>158.5</v>
      </c>
      <c r="F73" s="1333">
        <f>IFERROR(ROUND(INDEX(Akt.!$B$4:$Q$46,MATCH($B73,Akt.!$B$4:$B$46,0),MATCH(F$53,Akt.!$B$4:$Q$4,0))/1000,$H$2),"")</f>
        <v>173.8</v>
      </c>
      <c r="G73" s="1333">
        <f>IFERROR(ROUND(INDEX(Akt.!$B$4:$Q$46,MATCH($B73,Akt.!$B$4:$B$46,0),MATCH(G$53,Akt.!$B$4:$Q$4,0))/1000,$H$2),"")</f>
        <v>195.2</v>
      </c>
      <c r="H73" s="1333">
        <f>IFERROR(ROUND(INDEX(Akt.!$B$4:$Q$46,MATCH($B73,Akt.!$B$4:$B$46,0),MATCH(H$53,Akt.!$B$4:$Q$4,0))/1000,$H$2),"")</f>
        <v>168.1</v>
      </c>
      <c r="I73" s="1333" t="str">
        <f>IFERROR(ROUND(INDEX(Akt.!$B$4:$Q$46,MATCH($B73,Akt.!$B$4:$B$46,0),MATCH(I$53,Akt.!$B$4:$Q$4,0))/1000,$J$2),"")</f>
        <v/>
      </c>
      <c r="J73" s="1333" t="str">
        <f>IFERROR(ROUND(INDEX(Akt.!$B$4:$Q$46,MATCH($B73,Akt.!$B$4:$B$46,0),MATCH(J$53,Akt.!$B$4:$Q$4,0))/1000,$J$2),"")</f>
        <v/>
      </c>
      <c r="K73" s="1333" t="str">
        <f>IFERROR(ROUND(INDEX(Akt.!$B$4:$Q$46,MATCH($B73,Akt.!$B$4:$B$46,0),MATCH(K$53,Akt.!$B$4:$Q$4,0))/1000,$J$2),"")</f>
        <v/>
      </c>
      <c r="L73" s="1333" t="str">
        <f>IFERROR(ROUND(INDEX(Akt.!$B$4:$Q$46,MATCH($B73,Akt.!$B$4:$B$46,0),MATCH(L$53,Akt.!$B$4:$Q$4,0))/1000,$J$2),"")</f>
        <v/>
      </c>
      <c r="M73" s="1333" t="str">
        <f>IFERROR(ROUND(INDEX(Akt.!$B$4:$Q$46,MATCH($B73,Akt.!$B$4:$B$46,0),MATCH(M$53,Akt.!$B$4:$Q$4,0))/1000,$J$2),"")</f>
        <v/>
      </c>
      <c r="N73" s="1333" t="str">
        <f>IFERROR(ROUND(INDEX(Akt.!$B$4:$Q$46,MATCH($B73,Akt.!$B$4:$B$46,0),MATCH(N$53,Akt.!$B$4:$Q$4,0))/1000,$J$2),"")</f>
        <v/>
      </c>
      <c r="O73" s="1333" t="str">
        <f>IFERROR(ROUND(INDEX(Akt.!$B$4:$Q$46,MATCH($B73,Akt.!$B$4:$B$46,0),MATCH(O$53,Akt.!$B$4:$Q$4,0))/1000,$J$2),"")</f>
        <v/>
      </c>
      <c r="P73" s="1333" t="str">
        <f>IFERROR(ROUND(INDEX(Akt.!$B$4:$Q$46,MATCH($B73,Akt.!$B$4:$B$46,0),MATCH(P$53,Akt.!$B$4:$Q$4,0))/1000,$J$2),"")</f>
        <v/>
      </c>
      <c r="Q73" s="1333" t="str">
        <f>IFERROR(ROUND(INDEX(Akt.!$B$4:$Q$46,MATCH($B73,Akt.!$B$4:$B$46,0),MATCH(Q$53,Akt.!$B$4:$Q$4,0))/1000,$J$2),"")</f>
        <v/>
      </c>
      <c r="R73" s="1763"/>
    </row>
    <row r="74" spans="1:18" s="1761" customFormat="1" ht="10.15" customHeight="1" thickBot="1">
      <c r="A74" s="195"/>
      <c r="B74" s="1824" t="str">
        <f>Akt.!B44</f>
        <v>D. Deferred tax assets</v>
      </c>
      <c r="C74" s="1825"/>
      <c r="D74" s="1826">
        <f>IFERROR(ROUND(INDEX(Akt.!$B$4:$Q$46,MATCH($B74,Akt.!$B$4:$B$46,0),MATCH(D$53,Akt.!$B$4:$Q$4,0))/1000,$H$2),"")</f>
        <v>0</v>
      </c>
      <c r="E74" s="1826">
        <f>IFERROR(ROUND(INDEX(Akt.!$B$4:$Q$46,MATCH($B74,Akt.!$B$4:$B$46,0),MATCH(E$53,Akt.!$B$4:$Q$4,0))/1000,$H$2),"")</f>
        <v>0</v>
      </c>
      <c r="F74" s="1826">
        <f>IFERROR(ROUND(INDEX(Akt.!$B$4:$Q$46,MATCH($B74,Akt.!$B$4:$B$46,0),MATCH(F$53,Akt.!$B$4:$Q$4,0))/1000,$H$2),"")</f>
        <v>0</v>
      </c>
      <c r="G74" s="1826">
        <f>IFERROR(ROUND(INDEX(Akt.!$B$4:$Q$46,MATCH($B74,Akt.!$B$4:$B$46,0),MATCH(G$53,Akt.!$B$4:$Q$4,0))/1000,$H$2),"")</f>
        <v>0</v>
      </c>
      <c r="H74" s="1826">
        <f>IFERROR(ROUND(INDEX(Akt.!$B$4:$Q$46,MATCH($B74,Akt.!$B$4:$B$46,0),MATCH(H$53,Akt.!$B$4:$Q$4,0))/1000,$H$2),"")</f>
        <v>0</v>
      </c>
      <c r="I74" s="1826" t="str">
        <f>IFERROR(ROUND(INDEX(Akt.!$B$4:$Q$46,MATCH($B74,Akt.!$B$4:$B$46,0),MATCH(I$53,Akt.!$B$4:$Q$4,0))/1000,$J$2),"")</f>
        <v/>
      </c>
      <c r="J74" s="1826" t="str">
        <f>IFERROR(ROUND(INDEX(Akt.!$B$4:$Q$46,MATCH($B74,Akt.!$B$4:$B$46,0),MATCH(J$53,Akt.!$B$4:$Q$4,0))/1000,$J$2),"")</f>
        <v/>
      </c>
      <c r="K74" s="1826" t="str">
        <f>IFERROR(ROUND(INDEX(Akt.!$B$4:$Q$46,MATCH($B74,Akt.!$B$4:$B$46,0),MATCH(K$53,Akt.!$B$4:$Q$4,0))/1000,$J$2),"")</f>
        <v/>
      </c>
      <c r="L74" s="1826" t="str">
        <f>IFERROR(ROUND(INDEX(Akt.!$B$4:$Q$46,MATCH($B74,Akt.!$B$4:$B$46,0),MATCH(L$53,Akt.!$B$4:$Q$4,0))/1000,$J$2),"")</f>
        <v/>
      </c>
      <c r="M74" s="1826" t="str">
        <f>IFERROR(ROUND(INDEX(Akt.!$B$4:$Q$46,MATCH($B74,Akt.!$B$4:$B$46,0),MATCH(M$53,Akt.!$B$4:$Q$4,0))/1000,$J$2),"")</f>
        <v/>
      </c>
      <c r="N74" s="1826" t="str">
        <f>IFERROR(ROUND(INDEX(Akt.!$B$4:$Q$46,MATCH($B74,Akt.!$B$4:$B$46,0),MATCH(N$53,Akt.!$B$4:$Q$4,0))/1000,$J$2),"")</f>
        <v/>
      </c>
      <c r="O74" s="1826" t="str">
        <f>IFERROR(ROUND(INDEX(Akt.!$B$4:$Q$46,MATCH($B74,Akt.!$B$4:$B$46,0),MATCH(O$53,Akt.!$B$4:$Q$4,0))/1000,$J$2),"")</f>
        <v/>
      </c>
      <c r="P74" s="1826" t="str">
        <f>IFERROR(ROUND(INDEX(Akt.!$B$4:$Q$46,MATCH($B74,Akt.!$B$4:$B$46,0),MATCH(P$53,Akt.!$B$4:$Q$4,0))/1000,$J$2),"")</f>
        <v/>
      </c>
      <c r="Q74" s="1826" t="str">
        <f>IFERROR(ROUND(INDEX(Akt.!$B$4:$Q$46,MATCH($B74,Akt.!$B$4:$B$46,0),MATCH(Q$53,Akt.!$B$4:$Q$4,0))/1000,$J$2),"")</f>
        <v/>
      </c>
      <c r="R74" s="1763"/>
    </row>
    <row r="75" spans="1:18" s="1213" customFormat="1" ht="10.5" customHeight="1">
      <c r="A75" s="196"/>
      <c r="B75" s="1337" t="str">
        <f>Akt.!B46</f>
        <v>Total Assets</v>
      </c>
      <c r="C75" s="1337"/>
      <c r="D75" s="1338">
        <f>IFERROR(ROUND(INDEX(Akt.!$B$4:$Q$46,MATCH($B75,Akt.!$B$4:$B$46,0),MATCH(D$53,Akt.!$B$4:$Q$4,0))/1000,$H$2),"")</f>
        <v>0</v>
      </c>
      <c r="E75" s="1338">
        <f>IFERROR(ROUND(INDEX(Akt.!$B$4:$Q$46,MATCH($B75,Akt.!$B$4:$B$46,0),MATCH(E$53,Akt.!$B$4:$Q$4,0))/1000,$H$2),"")</f>
        <v>21097.7</v>
      </c>
      <c r="F75" s="1338">
        <f>IFERROR(ROUND(INDEX(Akt.!$B$4:$Q$46,MATCH($B75,Akt.!$B$4:$B$46,0),MATCH(F$53,Akt.!$B$4:$Q$4,0))/1000,$H$2),"")</f>
        <v>18809.2</v>
      </c>
      <c r="G75" s="1338">
        <f>IFERROR(ROUND(INDEX(Akt.!$B$4:$Q$46,MATCH($B75,Akt.!$B$4:$B$46,0),MATCH(G$53,Akt.!$B$4:$Q$4,0))/1000,$H$2),"")</f>
        <v>13571.4</v>
      </c>
      <c r="H75" s="1338" t="str">
        <f>IFERROR(ROUND(INDEX(Akt.!$B$4:$Q$46,MATCH($B75,Akt.!$B$4:$B$46,0),MATCH(H$53,Akt.!$B$4:$Q$4,0))/1000,$H$2),"")</f>
        <v/>
      </c>
      <c r="I75" s="1338" t="str">
        <f>IFERROR(ROUND(INDEX(Akt.!$B$4:$Q$46,MATCH($B75,Akt.!$B$4:$B$46,0),MATCH(I$53,Akt.!$B$4:$Q$4,0))/1000,$J$2),"")</f>
        <v/>
      </c>
      <c r="J75" s="1338" t="str">
        <f>IFERROR(ROUND(INDEX(Akt.!$B$4:$Q$46,MATCH($B75,Akt.!$B$4:$B$46,0),MATCH(J$53,Akt.!$B$4:$Q$4,0))/1000,$J$2),"")</f>
        <v/>
      </c>
      <c r="K75" s="1338" t="str">
        <f>IFERROR(ROUND(INDEX(Akt.!$B$4:$Q$46,MATCH($B75,Akt.!$B$4:$B$46,0),MATCH(K$53,Akt.!$B$4:$Q$4,0))/1000,$J$2),"")</f>
        <v/>
      </c>
      <c r="L75" s="1338" t="str">
        <f>IFERROR(ROUND(INDEX(Akt.!$B$4:$Q$46,MATCH($B75,Akt.!$B$4:$B$46,0),MATCH(L$53,Akt.!$B$4:$Q$4,0))/1000,$J$2),"")</f>
        <v/>
      </c>
      <c r="M75" s="1338" t="str">
        <f>IFERROR(ROUND(INDEX(Akt.!$B$4:$Q$46,MATCH($B75,Akt.!$B$4:$B$46,0),MATCH(M$53,Akt.!$B$4:$Q$4,0))/1000,$J$2),"")</f>
        <v/>
      </c>
      <c r="N75" s="1338" t="str">
        <f>IFERROR(ROUND(INDEX(Akt.!$B$4:$Q$46,MATCH($B75,Akt.!$B$4:$B$46,0),MATCH(N$53,Akt.!$B$4:$Q$4,0))/1000,$J$2),"")</f>
        <v/>
      </c>
      <c r="O75" s="1338" t="str">
        <f>IFERROR(ROUND(INDEX(Akt.!$B$4:$Q$46,MATCH($B75,Akt.!$B$4:$B$46,0),MATCH(O$53,Akt.!$B$4:$Q$4,0))/1000,$J$2),"")</f>
        <v/>
      </c>
      <c r="P75" s="1338" t="str">
        <f>IFERROR(ROUND(INDEX(Akt.!$B$4:$Q$46,MATCH($B75,Akt.!$B$4:$B$46,0),MATCH(P$53,Akt.!$B$4:$Q$4,0))/1000,$J$2),"")</f>
        <v/>
      </c>
      <c r="Q75" s="1338" t="str">
        <f>IFERROR(ROUND(INDEX(Akt.!$B$4:$Q$46,MATCH($B75,Akt.!$B$4:$B$46,0),MATCH(Q$53,Akt.!$B$4:$Q$4,0))/1000,$J$2),"")</f>
        <v/>
      </c>
      <c r="R75" s="189"/>
    </row>
    <row r="76" spans="1:18" s="1213" customFormat="1" ht="10.5" customHeight="1">
      <c r="B76" s="1339"/>
      <c r="C76" s="1339"/>
      <c r="D76" s="1340"/>
      <c r="E76" s="1340"/>
      <c r="F76" s="1340"/>
      <c r="G76" s="1340"/>
      <c r="H76" s="1340"/>
      <c r="I76" s="1340"/>
      <c r="J76" s="1340"/>
      <c r="K76" s="1340"/>
      <c r="L76" s="1340"/>
      <c r="M76" s="1340"/>
      <c r="N76" s="1340"/>
      <c r="O76" s="1340"/>
      <c r="P76" s="1340"/>
      <c r="Q76" s="1340"/>
      <c r="R76" s="189"/>
    </row>
    <row r="77" spans="1:18" s="1213" customFormat="1" ht="10.5" customHeight="1">
      <c r="A77" s="196"/>
      <c r="B77" s="1482" t="str">
        <f>Lang.!B223</f>
        <v>Balance Sheet</v>
      </c>
      <c r="C77" s="1483"/>
      <c r="D77" s="1484">
        <f t="shared" ref="D77:E77" si="11">+E77-1</f>
        <v>2021</v>
      </c>
      <c r="E77" s="1484">
        <f t="shared" si="11"/>
        <v>2022</v>
      </c>
      <c r="F77" s="1484">
        <f>+G77-1</f>
        <v>2023</v>
      </c>
      <c r="G77" s="1485">
        <f>Eckdaten!$C$12</f>
        <v>2024</v>
      </c>
      <c r="H77" s="1489">
        <f>+G77+1</f>
        <v>2025</v>
      </c>
      <c r="I77" s="1542">
        <f>IF(Eckdaten!$C$20+Eckdaten!$C$12&gt;H77,H77+1," ")</f>
        <v>2026</v>
      </c>
      <c r="J77" s="1542">
        <f>IF(Eckdaten!$C$20+Eckdaten!$C$12&gt;I77,I77+1," ")</f>
        <v>2027</v>
      </c>
      <c r="K77" s="1542">
        <f>IF(Eckdaten!$C$20+Eckdaten!$C$12&gt;J77,J77+1," ")</f>
        <v>2028</v>
      </c>
      <c r="L77" s="1542">
        <f>IF(Eckdaten!$C$20+Eckdaten!$C$12&gt;K77,K77+1," ")</f>
        <v>2029</v>
      </c>
      <c r="M77" s="1542" t="str">
        <f>IF(Eckdaten!$C$20+Eckdaten!$C$12&gt;L77,L77+1," ")</f>
        <v xml:space="preserve"> </v>
      </c>
      <c r="N77" s="1542" t="str">
        <f>IF(Eckdaten!$C$20+Eckdaten!$C$12&gt;M77,M77+1," ")</f>
        <v xml:space="preserve"> </v>
      </c>
      <c r="O77" s="1542" t="str">
        <f>IF(Eckdaten!$C$20+Eckdaten!$C$12&gt;N77,N77+1," ")</f>
        <v xml:space="preserve"> </v>
      </c>
      <c r="P77" s="1542" t="str">
        <f>IF(Eckdaten!$C$20+Eckdaten!$C$12&gt;O77,O77+1," ")</f>
        <v xml:space="preserve"> </v>
      </c>
      <c r="Q77" s="1542" t="str">
        <f>IF(Eckdaten!$C$20+Eckdaten!$C$12&gt;P77,P77+1," ")</f>
        <v xml:space="preserve"> </v>
      </c>
      <c r="R77" s="189"/>
    </row>
    <row r="78" spans="1:18" s="193" customFormat="1" ht="10.5" customHeight="1">
      <c r="A78" s="194"/>
      <c r="B78" s="1486" t="str">
        <f>"in T"&amp;Eckdaten!$C$14</f>
        <v>in TEUR</v>
      </c>
      <c r="C78" s="1487"/>
      <c r="D78" s="1488" t="s">
        <v>173</v>
      </c>
      <c r="E78" s="1488" t="s">
        <v>173</v>
      </c>
      <c r="F78" s="1488" t="s">
        <v>173</v>
      </c>
      <c r="G78" s="1488" t="s">
        <v>173</v>
      </c>
      <c r="H78" s="1490" t="s">
        <v>174</v>
      </c>
      <c r="I78" s="1543" t="str">
        <f>IF(I77=" "," ","P")</f>
        <v>P</v>
      </c>
      <c r="J78" s="1543" t="str">
        <f t="shared" ref="J78:Q78" si="12">IF(J77=" "," ","P")</f>
        <v>P</v>
      </c>
      <c r="K78" s="1543" t="str">
        <f t="shared" si="12"/>
        <v>P</v>
      </c>
      <c r="L78" s="1543" t="str">
        <f t="shared" si="12"/>
        <v>P</v>
      </c>
      <c r="M78" s="1543" t="str">
        <f t="shared" si="12"/>
        <v xml:space="preserve"> </v>
      </c>
      <c r="N78" s="1543" t="str">
        <f t="shared" si="12"/>
        <v xml:space="preserve"> </v>
      </c>
      <c r="O78" s="1543" t="str">
        <f t="shared" si="12"/>
        <v xml:space="preserve"> </v>
      </c>
      <c r="P78" s="1543" t="str">
        <f t="shared" si="12"/>
        <v xml:space="preserve"> </v>
      </c>
      <c r="Q78" s="1543" t="str">
        <f t="shared" si="12"/>
        <v xml:space="preserve"> </v>
      </c>
      <c r="R78" s="11"/>
    </row>
    <row r="79" spans="1:18" s="193" customFormat="1" ht="3.75" customHeight="1">
      <c r="A79" s="194"/>
      <c r="B79" s="1331"/>
      <c r="C79" s="1331"/>
      <c r="D79" s="1331"/>
      <c r="E79" s="1331"/>
      <c r="F79" s="1331"/>
      <c r="G79" s="1331"/>
      <c r="H79" s="1331"/>
      <c r="I79" s="1331"/>
      <c r="J79" s="1331"/>
      <c r="K79" s="1331"/>
      <c r="L79" s="1331"/>
      <c r="M79" s="1331"/>
      <c r="N79" s="1331"/>
      <c r="O79" s="1331"/>
      <c r="P79" s="1331"/>
      <c r="Q79" s="1331"/>
    </row>
    <row r="80" spans="1:18" s="193" customFormat="1" ht="10.5" customHeight="1">
      <c r="A80" s="194"/>
      <c r="B80" s="1823" t="str">
        <f>Pas.!B4</f>
        <v>Liabilities and Shareholders' Equity</v>
      </c>
      <c r="C80" s="1820"/>
      <c r="D80" s="1821"/>
      <c r="E80" s="1821"/>
      <c r="F80" s="1821"/>
      <c r="G80" s="1821"/>
      <c r="H80" s="1821"/>
      <c r="I80" s="1822"/>
      <c r="J80" s="1822"/>
      <c r="K80" s="1822"/>
      <c r="L80" s="1822"/>
      <c r="M80" s="1822"/>
      <c r="N80" s="1822"/>
      <c r="O80" s="1822"/>
      <c r="P80" s="1822"/>
      <c r="Q80" s="1822"/>
    </row>
    <row r="81" spans="1:18" s="1761" customFormat="1" ht="10.5" customHeight="1">
      <c r="A81" s="195"/>
      <c r="B81" s="1332" t="str">
        <f>Pas.!B7</f>
        <v>A. Equity</v>
      </c>
      <c r="C81" s="1332"/>
      <c r="D81" s="1333">
        <f>IFERROR(ROUND(INDEX(Pas.!$B$4:$Q$32,MATCH($B81,Pas.!$B$4:$B$32,0),MATCH(D$77,Pas.!$B$4:$Q$4,0))/1000,$H$2),"")</f>
        <v>0</v>
      </c>
      <c r="E81" s="1333">
        <f>IFERROR(ROUND(INDEX(Pas.!$B$4:$Q$32,MATCH($B81,Pas.!$B$4:$B$32,0),MATCH(E$77,Pas.!$B$4:$Q$4,0))/1000,$H$2),"")</f>
        <v>1607.3</v>
      </c>
      <c r="F81" s="1333">
        <f>IFERROR(ROUND(INDEX(Pas.!$B$4:$Q$32,MATCH($B81,Pas.!$B$4:$B$32,0),MATCH(F$77,Pas.!$B$4:$Q$4,0))/1000,$H$2),"")</f>
        <v>2550.8000000000002</v>
      </c>
      <c r="G81" s="1333">
        <f>IFERROR(ROUND(INDEX(Pas.!$B$4:$Q$32,MATCH($B81,Pas.!$B$4:$B$32,0),MATCH(G$77,Pas.!$B$4:$Q$4,0))/1000,$H$2),"")</f>
        <v>2911</v>
      </c>
      <c r="H81" s="1333">
        <f>IFERROR(ROUND(INDEX(Pas.!$B$4:$Q$32,MATCH($B81,Pas.!$B$4:$B$32,0),MATCH(H$77,Pas.!$B$4:$Q$4,0))/1000,$H$2),"")</f>
        <v>4095.4</v>
      </c>
      <c r="I81" s="1333" t="str">
        <f>IFERROR(ROUND(INDEX(Pas.!$B$4:$Q$32,MATCH($B81,Pas.!$B$4:$B$32,0),MATCH(I$77,Pas.!$B$4:$Q$4,0))/1000,$J$2),"")</f>
        <v/>
      </c>
      <c r="J81" s="1333" t="str">
        <f>IFERROR(ROUND(INDEX(Pas.!$B$4:$Q$32,MATCH($B81,Pas.!$B$4:$B$32,0),MATCH(J$77,Pas.!$B$4:$Q$4,0))/1000,$J$2),"")</f>
        <v/>
      </c>
      <c r="K81" s="1333" t="str">
        <f>IFERROR(ROUND(INDEX(Pas.!$B$4:$Q$32,MATCH($B81,Pas.!$B$4:$B$32,0),MATCH(K$77,Pas.!$B$4:$Q$4,0))/1000,$J$2),"")</f>
        <v/>
      </c>
      <c r="L81" s="1333" t="str">
        <f>IFERROR(ROUND(INDEX(Pas.!$B$4:$Q$32,MATCH($B81,Pas.!$B$4:$B$32,0),MATCH(L$77,Pas.!$B$4:$Q$4,0))/1000,$J$2),"")</f>
        <v/>
      </c>
      <c r="M81" s="1333" t="str">
        <f>IFERROR(ROUND(INDEX(Pas.!$B$4:$Q$32,MATCH($B81,Pas.!$B$4:$B$32,0),MATCH(M$77,Pas.!$B$4:$Q$4,0))/1000,$J$2),"")</f>
        <v/>
      </c>
      <c r="N81" s="1333" t="str">
        <f>IFERROR(ROUND(INDEX(Pas.!$B$4:$Q$32,MATCH($B81,Pas.!$B$4:$B$32,0),MATCH(N$77,Pas.!$B$4:$Q$4,0))/1000,$J$2),"")</f>
        <v/>
      </c>
      <c r="O81" s="1333" t="str">
        <f>IFERROR(ROUND(INDEX(Pas.!$B$4:$Q$32,MATCH($B81,Pas.!$B$4:$B$32,0),MATCH(O$77,Pas.!$B$4:$Q$4,0))/1000,$J$2),"")</f>
        <v/>
      </c>
      <c r="P81" s="1333" t="str">
        <f>IFERROR(ROUND(INDEX(Pas.!$B$4:$Q$32,MATCH($B81,Pas.!$B$4:$B$32,0),MATCH(P$77,Pas.!$B$4:$Q$4,0))/1000,$J$2),"")</f>
        <v/>
      </c>
      <c r="Q81" s="1333" t="str">
        <f>IFERROR(ROUND(INDEX(Pas.!$B$4:$Q$32,MATCH($B81,Pas.!$B$4:$B$32,0),MATCH(Q$77,Pas.!$B$4:$Q$4,0))/1000,$J$2),"")</f>
        <v/>
      </c>
      <c r="R81" s="1763"/>
    </row>
    <row r="82" spans="1:18" s="193" customFormat="1" ht="10.5" customHeight="1">
      <c r="A82" s="194"/>
      <c r="B82" s="1334" t="str">
        <f>Pas.!B9</f>
        <v>I. Common Stock</v>
      </c>
      <c r="C82" s="1328"/>
      <c r="D82" s="1315">
        <f>IFERROR(ROUND(INDEX(Pas.!$B$4:$Q$32,MATCH($B82,Pas.!$B$4:$B$32,0),MATCH(D$77,Pas.!$B$4:$Q$4,0))/1000,$H$2),"")</f>
        <v>0</v>
      </c>
      <c r="E82" s="1315">
        <f>IFERROR(ROUND(INDEX(Pas.!$B$4:$Q$32,MATCH($B82,Pas.!$B$4:$B$32,0),MATCH(E$77,Pas.!$B$4:$Q$4,0))/1000,$H$2),"")</f>
        <v>2</v>
      </c>
      <c r="F82" s="1315">
        <f>IFERROR(ROUND(INDEX(Pas.!$B$4:$Q$32,MATCH($B82,Pas.!$B$4:$B$32,0),MATCH(F$77,Pas.!$B$4:$Q$4,0))/1000,$H$2),"")</f>
        <v>2</v>
      </c>
      <c r="G82" s="1315">
        <f>IFERROR(ROUND(INDEX(Pas.!$B$4:$Q$32,MATCH($B82,Pas.!$B$4:$B$32,0),MATCH(G$77,Pas.!$B$4:$Q$4,0))/1000,$H$2),"")</f>
        <v>2</v>
      </c>
      <c r="H82" s="1315">
        <f>IFERROR(ROUND(INDEX(Pas.!$B$4:$Q$32,MATCH($B82,Pas.!$B$4:$B$32,0),MATCH(H$77,Pas.!$B$4:$Q$4,0))/1000,$H$2),"")</f>
        <v>2</v>
      </c>
      <c r="I82" s="1315" t="str">
        <f>IFERROR(ROUND(INDEX(Pas.!$B$4:$Q$32,MATCH($B82,Pas.!$B$4:$B$32,0),MATCH(I$77,Pas.!$B$4:$Q$4,0))/1000,$J$2),"")</f>
        <v/>
      </c>
      <c r="J82" s="1315" t="str">
        <f>IFERROR(ROUND(INDEX(Pas.!$B$4:$Q$32,MATCH($B82,Pas.!$B$4:$B$32,0),MATCH(J$77,Pas.!$B$4:$Q$4,0))/1000,$J$2),"")</f>
        <v/>
      </c>
      <c r="K82" s="1315" t="str">
        <f>IFERROR(ROUND(INDEX(Pas.!$B$4:$Q$32,MATCH($B82,Pas.!$B$4:$B$32,0),MATCH(K$77,Pas.!$B$4:$Q$4,0))/1000,$J$2),"")</f>
        <v/>
      </c>
      <c r="L82" s="1315" t="str">
        <f>IFERROR(ROUND(INDEX(Pas.!$B$4:$Q$32,MATCH($B82,Pas.!$B$4:$B$32,0),MATCH(L$77,Pas.!$B$4:$Q$4,0))/1000,$J$2),"")</f>
        <v/>
      </c>
      <c r="M82" s="1315" t="str">
        <f>IFERROR(ROUND(INDEX(Pas.!$B$4:$Q$32,MATCH($B82,Pas.!$B$4:$B$32,0),MATCH(M$77,Pas.!$B$4:$Q$4,0))/1000,$J$2),"")</f>
        <v/>
      </c>
      <c r="N82" s="1315" t="str">
        <f>IFERROR(ROUND(INDEX(Pas.!$B$4:$Q$32,MATCH($B82,Pas.!$B$4:$B$32,0),MATCH(N$77,Pas.!$B$4:$Q$4,0))/1000,$J$2),"")</f>
        <v/>
      </c>
      <c r="O82" s="1315" t="str">
        <f>IFERROR(ROUND(INDEX(Pas.!$B$4:$Q$32,MATCH($B82,Pas.!$B$4:$B$32,0),MATCH(O$77,Pas.!$B$4:$Q$4,0))/1000,$J$2),"")</f>
        <v/>
      </c>
      <c r="P82" s="1315" t="str">
        <f>IFERROR(ROUND(INDEX(Pas.!$B$4:$Q$32,MATCH($B82,Pas.!$B$4:$B$32,0),MATCH(P$77,Pas.!$B$4:$Q$4,0))/1000,$J$2),"")</f>
        <v/>
      </c>
      <c r="Q82" s="1315" t="str">
        <f>IFERROR(ROUND(INDEX(Pas.!$B$4:$Q$32,MATCH($B82,Pas.!$B$4:$B$32,0),MATCH(Q$77,Pas.!$B$4:$Q$4,0))/1000,$J$2),"")</f>
        <v/>
      </c>
      <c r="R82" s="11"/>
    </row>
    <row r="83" spans="1:18" s="193" customFormat="1" ht="10.5" customHeight="1">
      <c r="A83" s="194"/>
      <c r="B83" s="1334" t="str">
        <f>Pas.!B10</f>
        <v>II. Additional Paid-In Capital</v>
      </c>
      <c r="C83" s="1328"/>
      <c r="D83" s="1315">
        <f>IFERROR(ROUND(INDEX(Pas.!$B$4:$Q$32,MATCH($B83,Pas.!$B$4:$B$32,0),MATCH(D$77,Pas.!$B$4:$Q$4,0))/1000,$H$2),"")</f>
        <v>0</v>
      </c>
      <c r="E83" s="1315">
        <f>IFERROR(ROUND(INDEX(Pas.!$B$4:$Q$32,MATCH($B83,Pas.!$B$4:$B$32,0),MATCH(E$77,Pas.!$B$4:$Q$4,0))/1000,$H$2),"")</f>
        <v>39.700000000000003</v>
      </c>
      <c r="F83" s="1315">
        <f>IFERROR(ROUND(INDEX(Pas.!$B$4:$Q$32,MATCH($B83,Pas.!$B$4:$B$32,0),MATCH(F$77,Pas.!$B$4:$Q$4,0))/1000,$H$2),"")</f>
        <v>39.4</v>
      </c>
      <c r="G83" s="1315">
        <f>IFERROR(ROUND(INDEX(Pas.!$B$4:$Q$32,MATCH($B83,Pas.!$B$4:$B$32,0),MATCH(G$77,Pas.!$B$4:$Q$4,0))/1000,$H$2),"")</f>
        <v>39.5</v>
      </c>
      <c r="H83" s="1315">
        <f>IFERROR(ROUND(INDEX(Pas.!$B$4:$Q$32,MATCH($B83,Pas.!$B$4:$B$32,0),MATCH(H$77,Pas.!$B$4:$Q$4,0))/1000,$H$2),"")</f>
        <v>39.5</v>
      </c>
      <c r="I83" s="1315" t="str">
        <f>IFERROR(ROUND(INDEX(Pas.!$B$4:$Q$32,MATCH($B83,Pas.!$B$4:$B$32,0),MATCH(I$77,Pas.!$B$4:$Q$4,0))/1000,$J$2),"")</f>
        <v/>
      </c>
      <c r="J83" s="1315" t="str">
        <f>IFERROR(ROUND(INDEX(Pas.!$B$4:$Q$32,MATCH($B83,Pas.!$B$4:$B$32,0),MATCH(J$77,Pas.!$B$4:$Q$4,0))/1000,$J$2),"")</f>
        <v/>
      </c>
      <c r="K83" s="1315" t="str">
        <f>IFERROR(ROUND(INDEX(Pas.!$B$4:$Q$32,MATCH($B83,Pas.!$B$4:$B$32,0),MATCH(K$77,Pas.!$B$4:$Q$4,0))/1000,$J$2),"")</f>
        <v/>
      </c>
      <c r="L83" s="1315" t="str">
        <f>IFERROR(ROUND(INDEX(Pas.!$B$4:$Q$32,MATCH($B83,Pas.!$B$4:$B$32,0),MATCH(L$77,Pas.!$B$4:$Q$4,0))/1000,$J$2),"")</f>
        <v/>
      </c>
      <c r="M83" s="1315" t="str">
        <f>IFERROR(ROUND(INDEX(Pas.!$B$4:$Q$32,MATCH($B83,Pas.!$B$4:$B$32,0),MATCH(M$77,Pas.!$B$4:$Q$4,0))/1000,$J$2),"")</f>
        <v/>
      </c>
      <c r="N83" s="1315" t="str">
        <f>IFERROR(ROUND(INDEX(Pas.!$B$4:$Q$32,MATCH($B83,Pas.!$B$4:$B$32,0),MATCH(N$77,Pas.!$B$4:$Q$4,0))/1000,$J$2),"")</f>
        <v/>
      </c>
      <c r="O83" s="1315" t="str">
        <f>IFERROR(ROUND(INDEX(Pas.!$B$4:$Q$32,MATCH($B83,Pas.!$B$4:$B$32,0),MATCH(O$77,Pas.!$B$4:$Q$4,0))/1000,$J$2),"")</f>
        <v/>
      </c>
      <c r="P83" s="1315" t="str">
        <f>IFERROR(ROUND(INDEX(Pas.!$B$4:$Q$32,MATCH($B83,Pas.!$B$4:$B$32,0),MATCH(P$77,Pas.!$B$4:$Q$4,0))/1000,$J$2),"")</f>
        <v/>
      </c>
      <c r="Q83" s="1315" t="str">
        <f>IFERROR(ROUND(INDEX(Pas.!$B$4:$Q$32,MATCH($B83,Pas.!$B$4:$B$32,0),MATCH(Q$77,Pas.!$B$4:$Q$4,0))/1000,$J$2),"")</f>
        <v/>
      </c>
      <c r="R83" s="11"/>
    </row>
    <row r="84" spans="1:18" s="193" customFormat="1" ht="10.5" customHeight="1">
      <c r="A84" s="194"/>
      <c r="B84" s="1334" t="str">
        <f>Pas.!B11</f>
        <v>III. Retained earnings/loss carried forward</v>
      </c>
      <c r="C84" s="1328"/>
      <c r="D84" s="1315">
        <f>IFERROR(ROUND(INDEX(Pas.!$B$4:$Q$32,MATCH($B84,Pas.!$B$4:$B$32,0),MATCH(D$77,Pas.!$B$4:$Q$4,0))/1000,$H$2),"")</f>
        <v>0</v>
      </c>
      <c r="E84" s="1315">
        <f>IFERROR(ROUND(INDEX(Pas.!$B$4:$Q$32,MATCH($B84,Pas.!$B$4:$B$32,0),MATCH(E$77,Pas.!$B$4:$Q$4,0))/1000,$H$2),"")</f>
        <v>-409.5</v>
      </c>
      <c r="F84" s="1315">
        <f>IFERROR(ROUND(INDEX(Pas.!$B$4:$Q$32,MATCH($B84,Pas.!$B$4:$B$32,0),MATCH(F$77,Pas.!$B$4:$Q$4,0))/1000,$H$2),"")</f>
        <v>1218.0999999999999</v>
      </c>
      <c r="G84" s="1315">
        <f>IFERROR(ROUND(INDEX(Pas.!$B$4:$Q$32,MATCH($B84,Pas.!$B$4:$B$32,0),MATCH(G$77,Pas.!$B$4:$Q$4,0))/1000,$H$2),"")</f>
        <v>2509.9</v>
      </c>
      <c r="H84" s="1315">
        <f>IFERROR(ROUND(INDEX(Pas.!$B$4:$Q$32,MATCH($B84,Pas.!$B$4:$B$32,0),MATCH(H$77,Pas.!$B$4:$Q$4,0))/1000,$H$2),"")</f>
        <v>2869.6</v>
      </c>
      <c r="I84" s="1315" t="str">
        <f>IFERROR(ROUND(INDEX(Pas.!$B$4:$Q$32,MATCH($B84,Pas.!$B$4:$B$32,0),MATCH(I$77,Pas.!$B$4:$Q$4,0))/1000,$J$2),"")</f>
        <v/>
      </c>
      <c r="J84" s="1315" t="str">
        <f>IFERROR(ROUND(INDEX(Pas.!$B$4:$Q$32,MATCH($B84,Pas.!$B$4:$B$32,0),MATCH(J$77,Pas.!$B$4:$Q$4,0))/1000,$J$2),"")</f>
        <v/>
      </c>
      <c r="K84" s="1315" t="str">
        <f>IFERROR(ROUND(INDEX(Pas.!$B$4:$Q$32,MATCH($B84,Pas.!$B$4:$B$32,0),MATCH(K$77,Pas.!$B$4:$Q$4,0))/1000,$J$2),"")</f>
        <v/>
      </c>
      <c r="L84" s="1315" t="str">
        <f>IFERROR(ROUND(INDEX(Pas.!$B$4:$Q$32,MATCH($B84,Pas.!$B$4:$B$32,0),MATCH(L$77,Pas.!$B$4:$Q$4,0))/1000,$J$2),"")</f>
        <v/>
      </c>
      <c r="M84" s="1315" t="str">
        <f>IFERROR(ROUND(INDEX(Pas.!$B$4:$Q$32,MATCH($B84,Pas.!$B$4:$B$32,0),MATCH(M$77,Pas.!$B$4:$Q$4,0))/1000,$J$2),"")</f>
        <v/>
      </c>
      <c r="N84" s="1315" t="str">
        <f>IFERROR(ROUND(INDEX(Pas.!$B$4:$Q$32,MATCH($B84,Pas.!$B$4:$B$32,0),MATCH(N$77,Pas.!$B$4:$Q$4,0))/1000,$J$2),"")</f>
        <v/>
      </c>
      <c r="O84" s="1315" t="str">
        <f>IFERROR(ROUND(INDEX(Pas.!$B$4:$Q$32,MATCH($B84,Pas.!$B$4:$B$32,0),MATCH(O$77,Pas.!$B$4:$Q$4,0))/1000,$J$2),"")</f>
        <v/>
      </c>
      <c r="P84" s="1315" t="str">
        <f>IFERROR(ROUND(INDEX(Pas.!$B$4:$Q$32,MATCH($B84,Pas.!$B$4:$B$32,0),MATCH(P$77,Pas.!$B$4:$Q$4,0))/1000,$J$2),"")</f>
        <v/>
      </c>
      <c r="Q84" s="1315" t="str">
        <f>IFERROR(ROUND(INDEX(Pas.!$B$4:$Q$32,MATCH($B84,Pas.!$B$4:$B$32,0),MATCH(Q$77,Pas.!$B$4:$Q$4,0))/1000,$J$2),"")</f>
        <v/>
      </c>
      <c r="R84" s="11"/>
    </row>
    <row r="85" spans="1:18" s="1761" customFormat="1" ht="10.5" customHeight="1">
      <c r="A85" s="195"/>
      <c r="B85" s="1341" t="str">
        <f>Pas.!B12</f>
        <v>IV. Net Profit</v>
      </c>
      <c r="C85" s="1342"/>
      <c r="D85" s="1343">
        <f>IFERROR(ROUND(INDEX(Pas.!$B$4:$Q$32,MATCH($B85,Pas.!$B$4:$B$32,0),MATCH(D$77,Pas.!$B$4:$Q$4,0))/1000,$H$2),"")</f>
        <v>0</v>
      </c>
      <c r="E85" s="1343">
        <f>IFERROR(ROUND(INDEX(Pas.!$B$4:$Q$32,MATCH($B85,Pas.!$B$4:$B$32,0),MATCH(E$77,Pas.!$B$4:$Q$4,0))/1000,$H$2),"")</f>
        <v>1975.1</v>
      </c>
      <c r="F85" s="1343">
        <f>IFERROR(ROUND(INDEX(Pas.!$B$4:$Q$32,MATCH($B85,Pas.!$B$4:$B$32,0),MATCH(F$77,Pas.!$B$4:$Q$4,0))/1000,$H$2),"")</f>
        <v>1291.2</v>
      </c>
      <c r="G85" s="1343">
        <f>IFERROR(ROUND(INDEX(Pas.!$B$4:$Q$32,MATCH($B85,Pas.!$B$4:$B$32,0),MATCH(G$77,Pas.!$B$4:$Q$4,0))/1000,$H$2),"")</f>
        <v>359.7</v>
      </c>
      <c r="H85" s="1343">
        <f>IFERROR(ROUND(INDEX(Pas.!$B$4:$Q$32,MATCH($B85,Pas.!$B$4:$B$32,0),MATCH(H$77,Pas.!$B$4:$Q$4,0))/1000,$H$2),"")</f>
        <v>1184.4000000000001</v>
      </c>
      <c r="I85" s="1343" t="str">
        <f>IFERROR(ROUND(INDEX(Pas.!$B$4:$Q$32,MATCH($B85,Pas.!$B$4:$B$32,0),MATCH(I$77,Pas.!$B$4:$Q$4,0))/1000,$J$2),"")</f>
        <v/>
      </c>
      <c r="J85" s="1343" t="str">
        <f>IFERROR(ROUND(INDEX(Pas.!$B$4:$Q$32,MATCH($B85,Pas.!$B$4:$B$32,0),MATCH(J$77,Pas.!$B$4:$Q$4,0))/1000,$J$2),"")</f>
        <v/>
      </c>
      <c r="K85" s="1343" t="str">
        <f>IFERROR(ROUND(INDEX(Pas.!$B$4:$Q$32,MATCH($B85,Pas.!$B$4:$B$32,0),MATCH(K$77,Pas.!$B$4:$Q$4,0))/1000,$J$2),"")</f>
        <v/>
      </c>
      <c r="L85" s="1343" t="str">
        <f>IFERROR(ROUND(INDEX(Pas.!$B$4:$Q$32,MATCH($B85,Pas.!$B$4:$B$32,0),MATCH(L$77,Pas.!$B$4:$Q$4,0))/1000,$J$2),"")</f>
        <v/>
      </c>
      <c r="M85" s="1315" t="str">
        <f>IFERROR(ROUND(INDEX(Pas.!$B$4:$Q$32,MATCH($B85,Pas.!$B$4:$B$32,0),MATCH(M$77,Pas.!$B$4:$Q$4,0))/1000,$J$2),"")</f>
        <v/>
      </c>
      <c r="N85" s="1315" t="str">
        <f>IFERROR(ROUND(INDEX(Pas.!$B$4:$Q$32,MATCH($B85,Pas.!$B$4:$B$32,0),MATCH(N$77,Pas.!$B$4:$Q$4,0))/1000,$J$2),"")</f>
        <v/>
      </c>
      <c r="O85" s="1315" t="str">
        <f>IFERROR(ROUND(INDEX(Pas.!$B$4:$Q$32,MATCH($B85,Pas.!$B$4:$B$32,0),MATCH(O$77,Pas.!$B$4:$Q$4,0))/1000,$J$2),"")</f>
        <v/>
      </c>
      <c r="P85" s="1315" t="str">
        <f>IFERROR(ROUND(INDEX(Pas.!$B$4:$Q$32,MATCH($B85,Pas.!$B$4:$B$32,0),MATCH(P$77,Pas.!$B$4:$Q$4,0))/1000,$J$2),"")</f>
        <v/>
      </c>
      <c r="Q85" s="1315" t="str">
        <f>IFERROR(ROUND(INDEX(Pas.!$B$4:$Q$32,MATCH($B85,Pas.!$B$4:$B$32,0),MATCH(Q$77,Pas.!$B$4:$Q$4,0))/1000,$J$2),"")</f>
        <v/>
      </c>
      <c r="R85" s="1763"/>
    </row>
    <row r="86" spans="1:18" s="1761" customFormat="1" ht="10.5" customHeight="1">
      <c r="A86" s="195"/>
      <c r="B86" s="1332" t="str">
        <f>Pas.!B14</f>
        <v>B. Provisions</v>
      </c>
      <c r="C86" s="1332"/>
      <c r="D86" s="1333">
        <f>IFERROR(ROUND(INDEX(Pas.!$B$4:$Q$32,MATCH($B86,Pas.!$B$4:$B$32,0),MATCH(D$77,Pas.!$B$4:$Q$4,0))/1000,$H$2),"")</f>
        <v>0</v>
      </c>
      <c r="E86" s="1333">
        <f>IFERROR(ROUND(INDEX(Pas.!$B$4:$Q$32,MATCH($B86,Pas.!$B$4:$B$32,0),MATCH(E$77,Pas.!$B$4:$Q$4,0))/1000,$H$2),"")</f>
        <v>0</v>
      </c>
      <c r="F86" s="1333">
        <f>IFERROR(ROUND(INDEX(Pas.!$B$4:$Q$32,MATCH($B86,Pas.!$B$4:$B$32,0),MATCH(F$77,Pas.!$B$4:$Q$4,0))/1000,$H$2),"")</f>
        <v>0</v>
      </c>
      <c r="G86" s="1333">
        <f>IFERROR(ROUND(INDEX(Pas.!$B$4:$Q$32,MATCH($B86,Pas.!$B$4:$B$32,0),MATCH(G$77,Pas.!$B$4:$Q$4,0))/1000,$H$2),"")</f>
        <v>0</v>
      </c>
      <c r="H86" s="1333">
        <f>IFERROR(ROUND(INDEX(Pas.!$B$4:$Q$32,MATCH($B86,Pas.!$B$4:$B$32,0),MATCH(H$77,Pas.!$B$4:$Q$4,0))/1000,$H$2),"")</f>
        <v>0</v>
      </c>
      <c r="I86" s="1333" t="str">
        <f>IFERROR(ROUND(INDEX(Pas.!$B$4:$Q$32,MATCH($B86,Pas.!$B$4:$B$32,0),MATCH(I$77,Pas.!$B$4:$Q$4,0))/1000,$J$2),"")</f>
        <v/>
      </c>
      <c r="J86" s="1333" t="str">
        <f>IFERROR(ROUND(INDEX(Pas.!$B$4:$Q$32,MATCH($B86,Pas.!$B$4:$B$32,0),MATCH(J$77,Pas.!$B$4:$Q$4,0))/1000,$J$2),"")</f>
        <v/>
      </c>
      <c r="K86" s="1333" t="str">
        <f>IFERROR(ROUND(INDEX(Pas.!$B$4:$Q$32,MATCH($B86,Pas.!$B$4:$B$32,0),MATCH(K$77,Pas.!$B$4:$Q$4,0))/1000,$J$2),"")</f>
        <v/>
      </c>
      <c r="L86" s="1333" t="str">
        <f>IFERROR(ROUND(INDEX(Pas.!$B$4:$Q$32,MATCH($B86,Pas.!$B$4:$B$32,0),MATCH(L$77,Pas.!$B$4:$Q$4,0))/1000,$J$2),"")</f>
        <v/>
      </c>
      <c r="M86" s="1333" t="str">
        <f>IFERROR(ROUND(INDEX(Pas.!$B$4:$Q$32,MATCH($B86,Pas.!$B$4:$B$32,0),MATCH(M$77,Pas.!$B$4:$Q$4,0))/1000,$J$2),"")</f>
        <v/>
      </c>
      <c r="N86" s="1333" t="str">
        <f>IFERROR(ROUND(INDEX(Pas.!$B$4:$Q$32,MATCH($B86,Pas.!$B$4:$B$32,0),MATCH(N$77,Pas.!$B$4:$Q$4,0))/1000,$J$2),"")</f>
        <v/>
      </c>
      <c r="O86" s="1333" t="str">
        <f>IFERROR(ROUND(INDEX(Pas.!$B$4:$Q$32,MATCH($B86,Pas.!$B$4:$B$32,0),MATCH(O$77,Pas.!$B$4:$Q$4,0))/1000,$J$2),"")</f>
        <v/>
      </c>
      <c r="P86" s="1333" t="str">
        <f>IFERROR(ROUND(INDEX(Pas.!$B$4:$Q$32,MATCH($B86,Pas.!$B$4:$B$32,0),MATCH(P$77,Pas.!$B$4:$Q$4,0))/1000,$J$2),"")</f>
        <v/>
      </c>
      <c r="Q86" s="1333" t="str">
        <f>IFERROR(ROUND(INDEX(Pas.!$B$4:$Q$32,MATCH($B86,Pas.!$B$4:$B$32,0),MATCH(Q$77,Pas.!$B$4:$Q$4,0))/1000,$J$2),"")</f>
        <v/>
      </c>
      <c r="R86" s="1763"/>
    </row>
    <row r="87" spans="1:18" s="193" customFormat="1" ht="10.5" customHeight="1">
      <c r="A87" s="194"/>
      <c r="B87" s="1334" t="str">
        <f>Pas.!B16</f>
        <v>1. Provisions for pensions and similar obligations</v>
      </c>
      <c r="C87" s="1328"/>
      <c r="D87" s="1315">
        <f>IFERROR(ROUND(INDEX(Pas.!$B$4:$Q$32,MATCH($B87,Pas.!$B$4:$B$32,0),MATCH(D$77,Pas.!$B$4:$Q$4,0))/1000,$H$2),"")</f>
        <v>0</v>
      </c>
      <c r="E87" s="1315">
        <f>IFERROR(ROUND(INDEX(Pas.!$B$4:$Q$32,MATCH($B87,Pas.!$B$4:$B$32,0),MATCH(E$77,Pas.!$B$4:$Q$4,0))/1000,$H$2),"")</f>
        <v>0</v>
      </c>
      <c r="F87" s="1315">
        <f>IFERROR(ROUND(INDEX(Pas.!$B$4:$Q$32,MATCH($B87,Pas.!$B$4:$B$32,0),MATCH(F$77,Pas.!$B$4:$Q$4,0))/1000,$H$2),"")</f>
        <v>0</v>
      </c>
      <c r="G87" s="1315">
        <f>IFERROR(ROUND(INDEX(Pas.!$B$4:$Q$32,MATCH($B87,Pas.!$B$4:$B$32,0),MATCH(G$77,Pas.!$B$4:$Q$4,0))/1000,$H$2),"")</f>
        <v>0</v>
      </c>
      <c r="H87" s="1315">
        <f>IFERROR(ROUND(INDEX(Pas.!$B$4:$Q$32,MATCH($B87,Pas.!$B$4:$B$32,0),MATCH(H$77,Pas.!$B$4:$Q$4,0))/1000,$H$2),"")</f>
        <v>0</v>
      </c>
      <c r="I87" s="1315" t="str">
        <f>IFERROR(ROUND(INDEX(Pas.!$B$4:$Q$32,MATCH($B87,Pas.!$B$4:$B$32,0),MATCH(I$77,Pas.!$B$4:$Q$4,0))/1000,$J$2),"")</f>
        <v/>
      </c>
      <c r="J87" s="1315" t="str">
        <f>IFERROR(ROUND(INDEX(Pas.!$B$4:$Q$32,MATCH($B87,Pas.!$B$4:$B$32,0),MATCH(J$77,Pas.!$B$4:$Q$4,0))/1000,$J$2),"")</f>
        <v/>
      </c>
      <c r="K87" s="1315" t="str">
        <f>IFERROR(ROUND(INDEX(Pas.!$B$4:$Q$32,MATCH($B87,Pas.!$B$4:$B$32,0),MATCH(K$77,Pas.!$B$4:$Q$4,0))/1000,$J$2),"")</f>
        <v/>
      </c>
      <c r="L87" s="1315" t="str">
        <f>IFERROR(ROUND(INDEX(Pas.!$B$4:$Q$32,MATCH($B87,Pas.!$B$4:$B$32,0),MATCH(L$77,Pas.!$B$4:$Q$4,0))/1000,$J$2),"")</f>
        <v/>
      </c>
      <c r="M87" s="1315" t="str">
        <f>IFERROR(ROUND(INDEX(Pas.!$B$4:$Q$32,MATCH($B87,Pas.!$B$4:$B$32,0),MATCH(M$77,Pas.!$B$4:$Q$4,0))/1000,$J$2),"")</f>
        <v/>
      </c>
      <c r="N87" s="1315" t="str">
        <f>IFERROR(ROUND(INDEX(Pas.!$B$4:$Q$32,MATCH($B87,Pas.!$B$4:$B$32,0),MATCH(N$77,Pas.!$B$4:$Q$4,0))/1000,$J$2),"")</f>
        <v/>
      </c>
      <c r="O87" s="1315" t="str">
        <f>IFERROR(ROUND(INDEX(Pas.!$B$4:$Q$32,MATCH($B87,Pas.!$B$4:$B$32,0),MATCH(O$77,Pas.!$B$4:$Q$4,0))/1000,$J$2),"")</f>
        <v/>
      </c>
      <c r="P87" s="1315" t="str">
        <f>IFERROR(ROUND(INDEX(Pas.!$B$4:$Q$32,MATCH($B87,Pas.!$B$4:$B$32,0),MATCH(P$77,Pas.!$B$4:$Q$4,0))/1000,$J$2),"")</f>
        <v/>
      </c>
      <c r="Q87" s="1315" t="str">
        <f>IFERROR(ROUND(INDEX(Pas.!$B$4:$Q$32,MATCH($B87,Pas.!$B$4:$B$32,0),MATCH(Q$77,Pas.!$B$4:$Q$4,0))/1000,$J$2),"")</f>
        <v/>
      </c>
      <c r="R87" s="11"/>
    </row>
    <row r="88" spans="1:18" s="193" customFormat="1" ht="10.5" customHeight="1">
      <c r="A88" s="194"/>
      <c r="B88" s="1334" t="str">
        <f>Pas.!B17</f>
        <v>2. Tax Provisions</v>
      </c>
      <c r="C88" s="1328"/>
      <c r="D88" s="1315">
        <f>IFERROR(ROUND(INDEX(Pas.!$B$4:$Q$32,MATCH($B88,Pas.!$B$4:$B$32,0),MATCH(D$77,Pas.!$B$4:$Q$4,0))/1000,$H$2),"")</f>
        <v>0</v>
      </c>
      <c r="E88" s="1315">
        <f>IFERROR(ROUND(INDEX(Pas.!$B$4:$Q$32,MATCH($B88,Pas.!$B$4:$B$32,0),MATCH(E$77,Pas.!$B$4:$Q$4,0))/1000,$H$2),"")</f>
        <v>0</v>
      </c>
      <c r="F88" s="1315">
        <f>IFERROR(ROUND(INDEX(Pas.!$B$4:$Q$32,MATCH($B88,Pas.!$B$4:$B$32,0),MATCH(F$77,Pas.!$B$4:$Q$4,0))/1000,$H$2),"")</f>
        <v>0</v>
      </c>
      <c r="G88" s="1315">
        <f>IFERROR(ROUND(INDEX(Pas.!$B$4:$Q$32,MATCH($B88,Pas.!$B$4:$B$32,0),MATCH(G$77,Pas.!$B$4:$Q$4,0))/1000,$H$2),"")</f>
        <v>0</v>
      </c>
      <c r="H88" s="1315">
        <f>IFERROR(ROUND(INDEX(Pas.!$B$4:$Q$32,MATCH($B88,Pas.!$B$4:$B$32,0),MATCH(H$77,Pas.!$B$4:$Q$4,0))/1000,$H$2),"")</f>
        <v>0</v>
      </c>
      <c r="I88" s="1315" t="str">
        <f>IFERROR(ROUND(INDEX(Pas.!$B$4:$Q$32,MATCH($B88,Pas.!$B$4:$B$32,0),MATCH(I$77,Pas.!$B$4:$Q$4,0))/1000,$J$2),"")</f>
        <v/>
      </c>
      <c r="J88" s="1315" t="str">
        <f>IFERROR(ROUND(INDEX(Pas.!$B$4:$Q$32,MATCH($B88,Pas.!$B$4:$B$32,0),MATCH(J$77,Pas.!$B$4:$Q$4,0))/1000,$J$2),"")</f>
        <v/>
      </c>
      <c r="K88" s="1315" t="str">
        <f>IFERROR(ROUND(INDEX(Pas.!$B$4:$Q$32,MATCH($B88,Pas.!$B$4:$B$32,0),MATCH(K$77,Pas.!$B$4:$Q$4,0))/1000,$J$2),"")</f>
        <v/>
      </c>
      <c r="L88" s="1315" t="str">
        <f>IFERROR(ROUND(INDEX(Pas.!$B$4:$Q$32,MATCH($B88,Pas.!$B$4:$B$32,0),MATCH(L$77,Pas.!$B$4:$Q$4,0))/1000,$J$2),"")</f>
        <v/>
      </c>
      <c r="M88" s="1315" t="str">
        <f>IFERROR(ROUND(INDEX(Pas.!$B$4:$Q$32,MATCH($B88,Pas.!$B$4:$B$32,0),MATCH(M$77,Pas.!$B$4:$Q$4,0))/1000,$J$2),"")</f>
        <v/>
      </c>
      <c r="N88" s="1315" t="str">
        <f>IFERROR(ROUND(INDEX(Pas.!$B$4:$Q$32,MATCH($B88,Pas.!$B$4:$B$32,0),MATCH(N$77,Pas.!$B$4:$Q$4,0))/1000,$J$2),"")</f>
        <v/>
      </c>
      <c r="O88" s="1315" t="str">
        <f>IFERROR(ROUND(INDEX(Pas.!$B$4:$Q$32,MATCH($B88,Pas.!$B$4:$B$32,0),MATCH(O$77,Pas.!$B$4:$Q$4,0))/1000,$J$2),"")</f>
        <v/>
      </c>
      <c r="P88" s="1315" t="str">
        <f>IFERROR(ROUND(INDEX(Pas.!$B$4:$Q$32,MATCH($B88,Pas.!$B$4:$B$32,0),MATCH(P$77,Pas.!$B$4:$Q$4,0))/1000,$J$2),"")</f>
        <v/>
      </c>
      <c r="Q88" s="1315" t="str">
        <f>IFERROR(ROUND(INDEX(Pas.!$B$4:$Q$32,MATCH($B88,Pas.!$B$4:$B$32,0),MATCH(Q$77,Pas.!$B$4:$Q$4,0))/1000,$J$2),"")</f>
        <v/>
      </c>
      <c r="R88" s="11"/>
    </row>
    <row r="89" spans="1:18" s="193" customFormat="1" ht="10.5" customHeight="1">
      <c r="A89" s="194"/>
      <c r="B89" s="1341" t="str">
        <f>Pas.!B18</f>
        <v>3. Other Provisions</v>
      </c>
      <c r="C89" s="1344"/>
      <c r="D89" s="1345">
        <f>IFERROR(ROUND(INDEX(Pas.!$B$4:$Q$32,MATCH($B89,Pas.!$B$4:$B$32,0),MATCH(D$77,Pas.!$B$4:$Q$4,0))/1000,$H$2),"")</f>
        <v>0</v>
      </c>
      <c r="E89" s="1345">
        <f>IFERROR(ROUND(INDEX(Pas.!$B$4:$Q$32,MATCH($B89,Pas.!$B$4:$B$32,0),MATCH(E$77,Pas.!$B$4:$Q$4,0))/1000,$H$2),"")</f>
        <v>0</v>
      </c>
      <c r="F89" s="1345">
        <f>IFERROR(ROUND(INDEX(Pas.!$B$4:$Q$32,MATCH($B89,Pas.!$B$4:$B$32,0),MATCH(F$77,Pas.!$B$4:$Q$4,0))/1000,$H$2),"")</f>
        <v>0</v>
      </c>
      <c r="G89" s="1345">
        <f>IFERROR(ROUND(INDEX(Pas.!$B$4:$Q$32,MATCH($B89,Pas.!$B$4:$B$32,0),MATCH(G$77,Pas.!$B$4:$Q$4,0))/1000,$H$2),"")</f>
        <v>0</v>
      </c>
      <c r="H89" s="1345">
        <f>IFERROR(ROUND(INDEX(Pas.!$B$4:$Q$32,MATCH($B89,Pas.!$B$4:$B$32,0),MATCH(H$77,Pas.!$B$4:$Q$4,0))/1000,$H$2),"")</f>
        <v>0</v>
      </c>
      <c r="I89" s="1345" t="str">
        <f>IFERROR(ROUND(INDEX(Pas.!$B$4:$Q$32,MATCH($B89,Pas.!$B$4:$B$32,0),MATCH(I$77,Pas.!$B$4:$Q$4,0))/1000,$J$2),"")</f>
        <v/>
      </c>
      <c r="J89" s="1345" t="str">
        <f>IFERROR(ROUND(INDEX(Pas.!$B$4:$Q$32,MATCH($B89,Pas.!$B$4:$B$32,0),MATCH(J$77,Pas.!$B$4:$Q$4,0))/1000,$J$2),"")</f>
        <v/>
      </c>
      <c r="K89" s="1345" t="str">
        <f>IFERROR(ROUND(INDEX(Pas.!$B$4:$Q$32,MATCH($B89,Pas.!$B$4:$B$32,0),MATCH(K$77,Pas.!$B$4:$Q$4,0))/1000,$J$2),"")</f>
        <v/>
      </c>
      <c r="L89" s="1345" t="str">
        <f>IFERROR(ROUND(INDEX(Pas.!$B$4:$Q$32,MATCH($B89,Pas.!$B$4:$B$32,0),MATCH(L$77,Pas.!$B$4:$Q$4,0))/1000,$J$2),"")</f>
        <v/>
      </c>
      <c r="M89" s="1345" t="str">
        <f>IFERROR(ROUND(INDEX(Pas.!$B$4:$Q$32,MATCH($B89,Pas.!$B$4:$B$32,0),MATCH(M$77,Pas.!$B$4:$Q$4,0))/1000,$J$2),"")</f>
        <v/>
      </c>
      <c r="N89" s="1345" t="str">
        <f>IFERROR(ROUND(INDEX(Pas.!$B$4:$Q$32,MATCH($B89,Pas.!$B$4:$B$32,0),MATCH(N$77,Pas.!$B$4:$Q$4,0))/1000,$J$2),"")</f>
        <v/>
      </c>
      <c r="O89" s="1345" t="str">
        <f>IFERROR(ROUND(INDEX(Pas.!$B$4:$Q$32,MATCH($B89,Pas.!$B$4:$B$32,0),MATCH(O$77,Pas.!$B$4:$Q$4,0))/1000,$J$2),"")</f>
        <v/>
      </c>
      <c r="P89" s="1345" t="str">
        <f>IFERROR(ROUND(INDEX(Pas.!$B$4:$Q$32,MATCH($B89,Pas.!$B$4:$B$32,0),MATCH(P$77,Pas.!$B$4:$Q$4,0))/1000,$J$2),"")</f>
        <v/>
      </c>
      <c r="Q89" s="1345" t="str">
        <f>IFERROR(ROUND(INDEX(Pas.!$B$4:$Q$32,MATCH($B89,Pas.!$B$4:$B$32,0),MATCH(Q$77,Pas.!$B$4:$Q$4,0))/1000,$J$2),"")</f>
        <v/>
      </c>
      <c r="R89" s="1764"/>
    </row>
    <row r="90" spans="1:18" s="1761" customFormat="1" ht="10.5" customHeight="1">
      <c r="A90" s="195"/>
      <c r="B90" s="1332" t="str">
        <f>Pas.!B20</f>
        <v>C. Liabilities</v>
      </c>
      <c r="C90" s="1332"/>
      <c r="D90" s="1333">
        <f>IFERROR(ROUND(INDEX(Pas.!$B$4:$Q$32,MATCH($B90,Pas.!$B$4:$B$32,0),MATCH(D$77,Pas.!$B$4:$Q$4,0))/1000,$H$2),"")</f>
        <v>0</v>
      </c>
      <c r="E90" s="1333">
        <f>IFERROR(ROUND(INDEX(Pas.!$B$4:$Q$32,MATCH($B90,Pas.!$B$4:$B$32,0),MATCH(E$77,Pas.!$B$4:$Q$4,0))/1000,$H$2),"")</f>
        <v>19490.400000000001</v>
      </c>
      <c r="F90" s="1333">
        <f>IFERROR(ROUND(INDEX(Pas.!$B$4:$Q$32,MATCH($B90,Pas.!$B$4:$B$32,0),MATCH(F$77,Pas.!$B$4:$Q$4,0))/1000,$H$2),"")</f>
        <v>16258.4</v>
      </c>
      <c r="G90" s="1333">
        <f>IFERROR(ROUND(INDEX(Pas.!$B$4:$Q$32,MATCH($B90,Pas.!$B$4:$B$32,0),MATCH(G$77,Pas.!$B$4:$Q$4,0))/1000,$H$2),"")</f>
        <v>12484.1</v>
      </c>
      <c r="H90" s="1333" t="str">
        <f>IFERROR(ROUND(INDEX(Pas.!$B$4:$Q$32,MATCH($B90,Pas.!$B$4:$B$32,0),MATCH(H$77,Pas.!$B$4:$Q$4,0))/1000,$H$2),"")</f>
        <v/>
      </c>
      <c r="I90" s="1333" t="str">
        <f>IFERROR(ROUND(INDEX(Pas.!$B$4:$Q$32,MATCH($B90,Pas.!$B$4:$B$32,0),MATCH(I$77,Pas.!$B$4:$Q$4,0))/1000,$J$2),"")</f>
        <v/>
      </c>
      <c r="J90" s="1333" t="str">
        <f>IFERROR(ROUND(INDEX(Pas.!$B$4:$Q$32,MATCH($B90,Pas.!$B$4:$B$32,0),MATCH(J$77,Pas.!$B$4:$Q$4,0))/1000,$J$2),"")</f>
        <v/>
      </c>
      <c r="K90" s="1333" t="str">
        <f>IFERROR(ROUND(INDEX(Pas.!$B$4:$Q$32,MATCH($B90,Pas.!$B$4:$B$32,0),MATCH(K$77,Pas.!$B$4:$Q$4,0))/1000,$J$2),"")</f>
        <v/>
      </c>
      <c r="L90" s="1333" t="str">
        <f>IFERROR(ROUND(INDEX(Pas.!$B$4:$Q$32,MATCH($B90,Pas.!$B$4:$B$32,0),MATCH(L$77,Pas.!$B$4:$Q$4,0))/1000,$J$2),"")</f>
        <v/>
      </c>
      <c r="M90" s="1333" t="str">
        <f>IFERROR(ROUND(INDEX(Pas.!$B$4:$Q$32,MATCH($B90,Pas.!$B$4:$B$32,0),MATCH(M$77,Pas.!$B$4:$Q$4,0))/1000,$J$2),"")</f>
        <v/>
      </c>
      <c r="N90" s="1333" t="str">
        <f>IFERROR(ROUND(INDEX(Pas.!$B$4:$Q$32,MATCH($B90,Pas.!$B$4:$B$32,0),MATCH(N$77,Pas.!$B$4:$Q$4,0))/1000,$J$2),"")</f>
        <v/>
      </c>
      <c r="O90" s="1333" t="str">
        <f>IFERROR(ROUND(INDEX(Pas.!$B$4:$Q$32,MATCH($B90,Pas.!$B$4:$B$32,0),MATCH(O$77,Pas.!$B$4:$Q$4,0))/1000,$J$2),"")</f>
        <v/>
      </c>
      <c r="P90" s="1333" t="str">
        <f>IFERROR(ROUND(INDEX(Pas.!$B$4:$Q$32,MATCH($B90,Pas.!$B$4:$B$32,0),MATCH(P$77,Pas.!$B$4:$Q$4,0))/1000,$J$2),"")</f>
        <v/>
      </c>
      <c r="Q90" s="1333" t="str">
        <f>IFERROR(ROUND(INDEX(Pas.!$B$4:$Q$32,MATCH($B90,Pas.!$B$4:$B$32,0),MATCH(Q$77,Pas.!$B$4:$Q$4,0))/1000,$J$2),"")</f>
        <v/>
      </c>
      <c r="R90" s="1763"/>
    </row>
    <row r="91" spans="1:18" s="193" customFormat="1" ht="10.5" customHeight="1">
      <c r="A91" s="194"/>
      <c r="B91" s="1335" t="str">
        <f>Pas.!B22</f>
        <v>1. Bonds</v>
      </c>
      <c r="C91" s="1328"/>
      <c r="D91" s="1315">
        <f>IFERROR(ROUND(INDEX(Pas.!$B$4:$Q$32,MATCH($B91,Pas.!$B$4:$B$32,0),MATCH(D$77,Pas.!$B$4:$Q$4,0))/1000,$H$2),"")</f>
        <v>0</v>
      </c>
      <c r="E91" s="1315">
        <f>IFERROR(ROUND(INDEX(Pas.!$B$4:$Q$32,MATCH($B91,Pas.!$B$4:$B$32,0),MATCH(E$77,Pas.!$B$4:$Q$4,0))/1000,$H$2),"")</f>
        <v>0</v>
      </c>
      <c r="F91" s="1315">
        <f>IFERROR(ROUND(INDEX(Pas.!$B$4:$Q$32,MATCH($B91,Pas.!$B$4:$B$32,0),MATCH(F$77,Pas.!$B$4:$Q$4,0))/1000,$H$2),"")</f>
        <v>0</v>
      </c>
      <c r="G91" s="1315">
        <f>IFERROR(ROUND(INDEX(Pas.!$B$4:$Q$32,MATCH($B91,Pas.!$B$4:$B$32,0),MATCH(G$77,Pas.!$B$4:$Q$4,0))/1000,$H$2),"")</f>
        <v>0</v>
      </c>
      <c r="H91" s="1315">
        <f>IFERROR(ROUND(INDEX(Pas.!$B$4:$Q$32,MATCH($B91,Pas.!$B$4:$B$32,0),MATCH(H$77,Pas.!$B$4:$Q$4,0))/1000,$H$2),"")</f>
        <v>0</v>
      </c>
      <c r="I91" s="1315" t="str">
        <f>IFERROR(ROUND(INDEX(Pas.!$B$4:$Q$32,MATCH($B91,Pas.!$B$4:$B$32,0),MATCH(I$77,Pas.!$B$4:$Q$4,0))/1000,$J$2),"")</f>
        <v/>
      </c>
      <c r="J91" s="1315" t="str">
        <f>IFERROR(ROUND(INDEX(Pas.!$B$4:$Q$32,MATCH($B91,Pas.!$B$4:$B$32,0),MATCH(J$77,Pas.!$B$4:$Q$4,0))/1000,$J$2),"")</f>
        <v/>
      </c>
      <c r="K91" s="1315" t="str">
        <f>IFERROR(ROUND(INDEX(Pas.!$B$4:$Q$32,MATCH($B91,Pas.!$B$4:$B$32,0),MATCH(K$77,Pas.!$B$4:$Q$4,0))/1000,$J$2),"")</f>
        <v/>
      </c>
      <c r="L91" s="1315" t="str">
        <f>IFERROR(ROUND(INDEX(Pas.!$B$4:$Q$32,MATCH($B91,Pas.!$B$4:$B$32,0),MATCH(L$77,Pas.!$B$4:$Q$4,0))/1000,$J$2),"")</f>
        <v/>
      </c>
      <c r="M91" s="1315" t="str">
        <f>IFERROR(ROUND(INDEX(Pas.!$B$4:$Q$32,MATCH($B91,Pas.!$B$4:$B$32,0),MATCH(M$77,Pas.!$B$4:$Q$4,0))/1000,$J$2),"")</f>
        <v/>
      </c>
      <c r="N91" s="1315" t="str">
        <f>IFERROR(ROUND(INDEX(Pas.!$B$4:$Q$32,MATCH($B91,Pas.!$B$4:$B$32,0),MATCH(N$77,Pas.!$B$4:$Q$4,0))/1000,$J$2),"")</f>
        <v/>
      </c>
      <c r="O91" s="1315" t="str">
        <f>IFERROR(ROUND(INDEX(Pas.!$B$4:$Q$32,MATCH($B91,Pas.!$B$4:$B$32,0),MATCH(O$77,Pas.!$B$4:$Q$4,0))/1000,$J$2),"")</f>
        <v/>
      </c>
      <c r="P91" s="1315" t="str">
        <f>IFERROR(ROUND(INDEX(Pas.!$B$4:$Q$32,MATCH($B91,Pas.!$B$4:$B$32,0),MATCH(P$77,Pas.!$B$4:$Q$4,0))/1000,$J$2),"")</f>
        <v/>
      </c>
      <c r="Q91" s="1315" t="str">
        <f>IFERROR(ROUND(INDEX(Pas.!$B$4:$Q$32,MATCH($B91,Pas.!$B$4:$B$32,0),MATCH(Q$77,Pas.!$B$4:$Q$4,0))/1000,$J$2),"")</f>
        <v/>
      </c>
      <c r="R91" s="11"/>
    </row>
    <row r="92" spans="1:18" s="193" customFormat="1" ht="10.5" customHeight="1">
      <c r="A92" s="194"/>
      <c r="B92" s="1335" t="str">
        <f>Pas.!B23</f>
        <v>2. Liabilities to Credit Institutions</v>
      </c>
      <c r="C92" s="1328"/>
      <c r="D92" s="1315">
        <f>IFERROR(ROUND(INDEX(Pas.!$B$4:$Q$32,MATCH($B92,Pas.!$B$4:$B$32,0),MATCH(D$77,Pas.!$B$4:$Q$4,0))/1000,$H$2),"")</f>
        <v>0</v>
      </c>
      <c r="E92" s="1315">
        <f>IFERROR(ROUND(INDEX(Pas.!$B$4:$Q$32,MATCH($B92,Pas.!$B$4:$B$32,0),MATCH(E$77,Pas.!$B$4:$Q$4,0))/1000,$H$2),"")</f>
        <v>14025.8</v>
      </c>
      <c r="F92" s="1315">
        <f>IFERROR(ROUND(INDEX(Pas.!$B$4:$Q$32,MATCH($B92,Pas.!$B$4:$B$32,0),MATCH(F$77,Pas.!$B$4:$Q$4,0))/1000,$H$2),"")</f>
        <v>11663.2</v>
      </c>
      <c r="G92" s="1315">
        <f>IFERROR(ROUND(INDEX(Pas.!$B$4:$Q$32,MATCH($B92,Pas.!$B$4:$B$32,0),MATCH(G$77,Pas.!$B$4:$Q$4,0))/1000,$H$2),"")</f>
        <v>8608.7999999999993</v>
      </c>
      <c r="H92" s="1315">
        <f>IFERROR(ROUND(INDEX(Pas.!$B$4:$Q$32,MATCH($B92,Pas.!$B$4:$B$32,0),MATCH(H$77,Pas.!$B$4:$Q$4,0))/1000,$H$2),"")</f>
        <v>10776.6</v>
      </c>
      <c r="I92" s="1315" t="str">
        <f>IFERROR(ROUND(INDEX(Pas.!$B$4:$Q$32,MATCH($B92,Pas.!$B$4:$B$32,0),MATCH(I$77,Pas.!$B$4:$Q$4,0))/1000,$J$2),"")</f>
        <v/>
      </c>
      <c r="J92" s="1315" t="str">
        <f>IFERROR(ROUND(INDEX(Pas.!$B$4:$Q$32,MATCH($B92,Pas.!$B$4:$B$32,0),MATCH(J$77,Pas.!$B$4:$Q$4,0))/1000,$J$2),"")</f>
        <v/>
      </c>
      <c r="K92" s="1315" t="str">
        <f>IFERROR(ROUND(INDEX(Pas.!$B$4:$Q$32,MATCH($B92,Pas.!$B$4:$B$32,0),MATCH(K$77,Pas.!$B$4:$Q$4,0))/1000,$J$2),"")</f>
        <v/>
      </c>
      <c r="L92" s="1315" t="str">
        <f>IFERROR(ROUND(INDEX(Pas.!$B$4:$Q$32,MATCH($B92,Pas.!$B$4:$B$32,0),MATCH(L$77,Pas.!$B$4:$Q$4,0))/1000,$J$2),"")</f>
        <v/>
      </c>
      <c r="M92" s="1315" t="str">
        <f>IFERROR(ROUND(INDEX(Pas.!$B$4:$Q$32,MATCH($B92,Pas.!$B$4:$B$32,0),MATCH(M$77,Pas.!$B$4:$Q$4,0))/1000,$J$2),"")</f>
        <v/>
      </c>
      <c r="N92" s="1315" t="str">
        <f>IFERROR(ROUND(INDEX(Pas.!$B$4:$Q$32,MATCH($B92,Pas.!$B$4:$B$32,0),MATCH(N$77,Pas.!$B$4:$Q$4,0))/1000,$J$2),"")</f>
        <v/>
      </c>
      <c r="O92" s="1315" t="str">
        <f>IFERROR(ROUND(INDEX(Pas.!$B$4:$Q$32,MATCH($B92,Pas.!$B$4:$B$32,0),MATCH(O$77,Pas.!$B$4:$Q$4,0))/1000,$J$2),"")</f>
        <v/>
      </c>
      <c r="P92" s="1315" t="str">
        <f>IFERROR(ROUND(INDEX(Pas.!$B$4:$Q$32,MATCH($B92,Pas.!$B$4:$B$32,0),MATCH(P$77,Pas.!$B$4:$Q$4,0))/1000,$J$2),"")</f>
        <v/>
      </c>
      <c r="Q92" s="1315" t="str">
        <f>IFERROR(ROUND(INDEX(Pas.!$B$4:$Q$32,MATCH($B92,Pas.!$B$4:$B$32,0),MATCH(Q$77,Pas.!$B$4:$Q$4,0))/1000,$J$2),"")</f>
        <v/>
      </c>
      <c r="R92" s="11"/>
    </row>
    <row r="93" spans="1:18" s="193" customFormat="1" ht="10.5" customHeight="1">
      <c r="A93" s="194"/>
      <c r="B93" s="1335" t="str">
        <f>Pas.!B24</f>
        <v>3. Unearned Revenue</v>
      </c>
      <c r="C93" s="1328"/>
      <c r="D93" s="1315">
        <f>IFERROR(ROUND(INDEX(Pas.!$B$4:$Q$32,MATCH($B93,Pas.!$B$4:$B$32,0),MATCH(D$77,Pas.!$B$4:$Q$4,0))/1000,$H$2),"")</f>
        <v>0</v>
      </c>
      <c r="E93" s="1315">
        <f>IFERROR(ROUND(INDEX(Pas.!$B$4:$Q$32,MATCH($B93,Pas.!$B$4:$B$32,0),MATCH(E$77,Pas.!$B$4:$Q$4,0))/1000,$H$2),"")</f>
        <v>0</v>
      </c>
      <c r="F93" s="1315">
        <f>IFERROR(ROUND(INDEX(Pas.!$B$4:$Q$32,MATCH($B93,Pas.!$B$4:$B$32,0),MATCH(F$77,Pas.!$B$4:$Q$4,0))/1000,$H$2),"")</f>
        <v>0</v>
      </c>
      <c r="G93" s="1315">
        <f>IFERROR(ROUND(INDEX(Pas.!$B$4:$Q$32,MATCH($B93,Pas.!$B$4:$B$32,0),MATCH(G$77,Pas.!$B$4:$Q$4,0))/1000,$H$2),"")</f>
        <v>0</v>
      </c>
      <c r="H93" s="1315">
        <f>IFERROR(ROUND(INDEX(Pas.!$B$4:$Q$32,MATCH($B93,Pas.!$B$4:$B$32,0),MATCH(H$77,Pas.!$B$4:$Q$4,0))/1000,$H$2),"")</f>
        <v>0</v>
      </c>
      <c r="I93" s="1315" t="str">
        <f>IFERROR(ROUND(INDEX(Pas.!$B$4:$Q$32,MATCH($B93,Pas.!$B$4:$B$32,0),MATCH(I$77,Pas.!$B$4:$Q$4,0))/1000,$J$2),"")</f>
        <v/>
      </c>
      <c r="J93" s="1315" t="str">
        <f>IFERROR(ROUND(INDEX(Pas.!$B$4:$Q$32,MATCH($B93,Pas.!$B$4:$B$32,0),MATCH(J$77,Pas.!$B$4:$Q$4,0))/1000,$J$2),"")</f>
        <v/>
      </c>
      <c r="K93" s="1315" t="str">
        <f>IFERROR(ROUND(INDEX(Pas.!$B$4:$Q$32,MATCH($B93,Pas.!$B$4:$B$32,0),MATCH(K$77,Pas.!$B$4:$Q$4,0))/1000,$J$2),"")</f>
        <v/>
      </c>
      <c r="L93" s="1315" t="str">
        <f>IFERROR(ROUND(INDEX(Pas.!$B$4:$Q$32,MATCH($B93,Pas.!$B$4:$B$32,0),MATCH(L$77,Pas.!$B$4:$Q$4,0))/1000,$J$2),"")</f>
        <v/>
      </c>
      <c r="M93" s="1315" t="str">
        <f>IFERROR(ROUND(INDEX(Pas.!$B$4:$Q$32,MATCH($B93,Pas.!$B$4:$B$32,0),MATCH(M$77,Pas.!$B$4:$Q$4,0))/1000,$J$2),"")</f>
        <v/>
      </c>
      <c r="N93" s="1315" t="str">
        <f>IFERROR(ROUND(INDEX(Pas.!$B$4:$Q$32,MATCH($B93,Pas.!$B$4:$B$32,0),MATCH(N$77,Pas.!$B$4:$Q$4,0))/1000,$J$2),"")</f>
        <v/>
      </c>
      <c r="O93" s="1315" t="str">
        <f>IFERROR(ROUND(INDEX(Pas.!$B$4:$Q$32,MATCH($B93,Pas.!$B$4:$B$32,0),MATCH(O$77,Pas.!$B$4:$Q$4,0))/1000,$J$2),"")</f>
        <v/>
      </c>
      <c r="P93" s="1315" t="str">
        <f>IFERROR(ROUND(INDEX(Pas.!$B$4:$Q$32,MATCH($B93,Pas.!$B$4:$B$32,0),MATCH(P$77,Pas.!$B$4:$Q$4,0))/1000,$J$2),"")</f>
        <v/>
      </c>
      <c r="Q93" s="1315" t="str">
        <f>IFERROR(ROUND(INDEX(Pas.!$B$4:$Q$32,MATCH($B93,Pas.!$B$4:$B$32,0),MATCH(Q$77,Pas.!$B$4:$Q$4,0))/1000,$J$2),"")</f>
        <v/>
      </c>
      <c r="R93" s="11"/>
    </row>
    <row r="94" spans="1:18" s="193" customFormat="1" ht="10.5" customHeight="1">
      <c r="A94" s="194"/>
      <c r="B94" s="1335" t="str">
        <f>Pas.!B25</f>
        <v>4. Liabilities from trade payables</v>
      </c>
      <c r="C94" s="1328"/>
      <c r="D94" s="1315">
        <f>IFERROR(ROUND(INDEX(Pas.!$B$4:$Q$32,MATCH($B94,Pas.!$B$4:$B$32,0),MATCH(D$77,Pas.!$B$4:$Q$4,0))/1000,$H$2),"")</f>
        <v>0</v>
      </c>
      <c r="E94" s="1315">
        <f>IFERROR(ROUND(INDEX(Pas.!$B$4:$Q$32,MATCH($B94,Pas.!$B$4:$B$32,0),MATCH(E$77,Pas.!$B$4:$Q$4,0))/1000,$H$2),"")</f>
        <v>3341.7</v>
      </c>
      <c r="F94" s="1315">
        <f>IFERROR(ROUND(INDEX(Pas.!$B$4:$Q$32,MATCH($B94,Pas.!$B$4:$B$32,0),MATCH(F$77,Pas.!$B$4:$Q$4,0))/1000,$H$2),"")</f>
        <v>3288.5</v>
      </c>
      <c r="G94" s="1315">
        <f>IFERROR(ROUND(INDEX(Pas.!$B$4:$Q$32,MATCH($B94,Pas.!$B$4:$B$32,0),MATCH(G$77,Pas.!$B$4:$Q$4,0))/1000,$H$2),"")</f>
        <v>2804.5</v>
      </c>
      <c r="H94" s="1315" t="str">
        <f>IFERROR(ROUND(INDEX(Pas.!$B$4:$Q$32,MATCH($B94,Pas.!$B$4:$B$32,0),MATCH(H$77,Pas.!$B$4:$Q$4,0))/1000,$H$2),"")</f>
        <v/>
      </c>
      <c r="I94" s="1315" t="str">
        <f>IFERROR(ROUND(INDEX(Pas.!$B$4:$Q$32,MATCH($B94,Pas.!$B$4:$B$32,0),MATCH(I$77,Pas.!$B$4:$Q$4,0))/1000,$J$2),"")</f>
        <v/>
      </c>
      <c r="J94" s="1315" t="str">
        <f>IFERROR(ROUND(INDEX(Pas.!$B$4:$Q$32,MATCH($B94,Pas.!$B$4:$B$32,0),MATCH(J$77,Pas.!$B$4:$Q$4,0))/1000,$J$2),"")</f>
        <v/>
      </c>
      <c r="K94" s="1315" t="str">
        <f>IFERROR(ROUND(INDEX(Pas.!$B$4:$Q$32,MATCH($B94,Pas.!$B$4:$B$32,0),MATCH(K$77,Pas.!$B$4:$Q$4,0))/1000,$J$2),"")</f>
        <v/>
      </c>
      <c r="L94" s="1315" t="str">
        <f>IFERROR(ROUND(INDEX(Pas.!$B$4:$Q$32,MATCH($B94,Pas.!$B$4:$B$32,0),MATCH(L$77,Pas.!$B$4:$Q$4,0))/1000,$J$2),"")</f>
        <v/>
      </c>
      <c r="M94" s="1315" t="str">
        <f>IFERROR(ROUND(INDEX(Pas.!$B$4:$Q$32,MATCH($B94,Pas.!$B$4:$B$32,0),MATCH(M$77,Pas.!$B$4:$Q$4,0))/1000,$J$2),"")</f>
        <v/>
      </c>
      <c r="N94" s="1315" t="str">
        <f>IFERROR(ROUND(INDEX(Pas.!$B$4:$Q$32,MATCH($B94,Pas.!$B$4:$B$32,0),MATCH(N$77,Pas.!$B$4:$Q$4,0))/1000,$J$2),"")</f>
        <v/>
      </c>
      <c r="O94" s="1315" t="str">
        <f>IFERROR(ROUND(INDEX(Pas.!$B$4:$Q$32,MATCH($B94,Pas.!$B$4:$B$32,0),MATCH(O$77,Pas.!$B$4:$Q$4,0))/1000,$J$2),"")</f>
        <v/>
      </c>
      <c r="P94" s="1315" t="str">
        <f>IFERROR(ROUND(INDEX(Pas.!$B$4:$Q$32,MATCH($B94,Pas.!$B$4:$B$32,0),MATCH(P$77,Pas.!$B$4:$Q$4,0))/1000,$J$2),"")</f>
        <v/>
      </c>
      <c r="Q94" s="1315" t="str">
        <f>IFERROR(ROUND(INDEX(Pas.!$B$4:$Q$32,MATCH($B94,Pas.!$B$4:$B$32,0),MATCH(Q$77,Pas.!$B$4:$Q$4,0))/1000,$J$2),"")</f>
        <v/>
      </c>
      <c r="R94" s="11"/>
    </row>
    <row r="95" spans="1:18" s="193" customFormat="1" ht="10.5" customHeight="1">
      <c r="A95" s="194"/>
      <c r="B95" s="1335" t="str">
        <f>Pas.!B26</f>
        <v>5. Liabilities to affiliated companies/shareholders Companies/ shareholders</v>
      </c>
      <c r="C95" s="1328"/>
      <c r="D95" s="1315">
        <f>IFERROR(ROUND(INDEX(Pas.!$B$4:$Q$32,MATCH($B95,Pas.!$B$4:$B$32,0),MATCH(D$77,Pas.!$B$4:$Q$4,0))/1000,$H$2),"")</f>
        <v>0</v>
      </c>
      <c r="E95" s="1315">
        <f>IFERROR(ROUND(INDEX(Pas.!$B$4:$Q$32,MATCH($B95,Pas.!$B$4:$B$32,0),MATCH(E$77,Pas.!$B$4:$Q$4,0))/1000,$H$2),"")</f>
        <v>899.7</v>
      </c>
      <c r="F95" s="1315">
        <f>IFERROR(ROUND(INDEX(Pas.!$B$4:$Q$32,MATCH($B95,Pas.!$B$4:$B$32,0),MATCH(F$77,Pas.!$B$4:$Q$4,0))/1000,$H$2),"")</f>
        <v>0</v>
      </c>
      <c r="G95" s="1315">
        <f>IFERROR(ROUND(INDEX(Pas.!$B$4:$Q$32,MATCH($B95,Pas.!$B$4:$B$32,0),MATCH(G$77,Pas.!$B$4:$Q$4,0))/1000,$H$2),"")</f>
        <v>0</v>
      </c>
      <c r="H95" s="1315">
        <f>IFERROR(ROUND(INDEX(Pas.!$B$4:$Q$32,MATCH($B95,Pas.!$B$4:$B$32,0),MATCH(H$77,Pas.!$B$4:$Q$4,0))/1000,$H$2),"")</f>
        <v>272.2</v>
      </c>
      <c r="I95" s="1315" t="str">
        <f>IFERROR(ROUND(INDEX(Pas.!$B$4:$Q$32,MATCH($B95,Pas.!$B$4:$B$32,0),MATCH(I$77,Pas.!$B$4:$Q$4,0))/1000,$J$2),"")</f>
        <v/>
      </c>
      <c r="J95" s="1315" t="str">
        <f>IFERROR(ROUND(INDEX(Pas.!$B$4:$Q$32,MATCH($B95,Pas.!$B$4:$B$32,0),MATCH(J$77,Pas.!$B$4:$Q$4,0))/1000,$J$2),"")</f>
        <v/>
      </c>
      <c r="K95" s="1315" t="str">
        <f>IFERROR(ROUND(INDEX(Pas.!$B$4:$Q$32,MATCH($B95,Pas.!$B$4:$B$32,0),MATCH(K$77,Pas.!$B$4:$Q$4,0))/1000,$J$2),"")</f>
        <v/>
      </c>
      <c r="L95" s="1315" t="str">
        <f>IFERROR(ROUND(INDEX(Pas.!$B$4:$Q$32,MATCH($B95,Pas.!$B$4:$B$32,0),MATCH(L$77,Pas.!$B$4:$Q$4,0))/1000,$J$2),"")</f>
        <v/>
      </c>
      <c r="M95" s="1315" t="str">
        <f>IFERROR(ROUND(INDEX(Pas.!$B$4:$Q$32,MATCH($B95,Pas.!$B$4:$B$32,0),MATCH(M$77,Pas.!$B$4:$Q$4,0))/1000,$J$2),"")</f>
        <v/>
      </c>
      <c r="N95" s="1315" t="str">
        <f>IFERROR(ROUND(INDEX(Pas.!$B$4:$Q$32,MATCH($B95,Pas.!$B$4:$B$32,0),MATCH(N$77,Pas.!$B$4:$Q$4,0))/1000,$J$2),"")</f>
        <v/>
      </c>
      <c r="O95" s="1315" t="str">
        <f>IFERROR(ROUND(INDEX(Pas.!$B$4:$Q$32,MATCH($B95,Pas.!$B$4:$B$32,0),MATCH(O$77,Pas.!$B$4:$Q$4,0))/1000,$J$2),"")</f>
        <v/>
      </c>
      <c r="P95" s="1315" t="str">
        <f>IFERROR(ROUND(INDEX(Pas.!$B$4:$Q$32,MATCH($B95,Pas.!$B$4:$B$32,0),MATCH(P$77,Pas.!$B$4:$Q$4,0))/1000,$J$2),"")</f>
        <v/>
      </c>
      <c r="Q95" s="1315" t="str">
        <f>IFERROR(ROUND(INDEX(Pas.!$B$4:$Q$32,MATCH($B95,Pas.!$B$4:$B$32,0),MATCH(Q$77,Pas.!$B$4:$Q$4,0))/1000,$J$2),"")</f>
        <v/>
      </c>
      <c r="R95" s="11"/>
    </row>
    <row r="96" spans="1:18" s="193" customFormat="1" ht="10.5" customHeight="1">
      <c r="A96" s="194"/>
      <c r="B96" s="1335" t="str">
        <f>Pas.!B27</f>
        <v>6. Other Liabilities</v>
      </c>
      <c r="C96" s="1299"/>
      <c r="D96" s="1315">
        <f>IFERROR(ROUND(INDEX(Pas.!$B$4:$Q$32,MATCH($B96,Pas.!$B$4:$B$32,0),MATCH(D$77,Pas.!$B$4:$Q$4,0))/1000,$H$2),"")</f>
        <v>0</v>
      </c>
      <c r="E96" s="1315">
        <f>IFERROR(ROUND(INDEX(Pas.!$B$4:$Q$32,MATCH($B96,Pas.!$B$4:$B$32,0),MATCH(E$77,Pas.!$B$4:$Q$4,0))/1000,$H$2),"")</f>
        <v>1223.2</v>
      </c>
      <c r="F96" s="1315">
        <f>IFERROR(ROUND(INDEX(Pas.!$B$4:$Q$32,MATCH($B96,Pas.!$B$4:$B$32,0),MATCH(F$77,Pas.!$B$4:$Q$4,0))/1000,$H$2),"")</f>
        <v>1306.8</v>
      </c>
      <c r="G96" s="1315">
        <f>IFERROR(ROUND(INDEX(Pas.!$B$4:$Q$32,MATCH($B96,Pas.!$B$4:$B$32,0),MATCH(G$77,Pas.!$B$4:$Q$4,0))/1000,$H$2),"")</f>
        <v>1070.8</v>
      </c>
      <c r="H96" s="1315">
        <f>IFERROR(ROUND(INDEX(Pas.!$B$4:$Q$32,MATCH($B96,Pas.!$B$4:$B$32,0),MATCH(H$77,Pas.!$B$4:$Q$4,0))/1000,$H$2),"")</f>
        <v>1138.2</v>
      </c>
      <c r="I96" s="1315" t="str">
        <f>IFERROR(ROUND(INDEX(Pas.!$B$4:$Q$32,MATCH($B96,Pas.!$B$4:$B$32,0),MATCH(I$77,Pas.!$B$4:$Q$4,0))/1000,$J$2),"")</f>
        <v/>
      </c>
      <c r="J96" s="1315" t="str">
        <f>IFERROR(ROUND(INDEX(Pas.!$B$4:$Q$32,MATCH($B96,Pas.!$B$4:$B$32,0),MATCH(J$77,Pas.!$B$4:$Q$4,0))/1000,$J$2),"")</f>
        <v/>
      </c>
      <c r="K96" s="1315" t="str">
        <f>IFERROR(ROUND(INDEX(Pas.!$B$4:$Q$32,MATCH($B96,Pas.!$B$4:$B$32,0),MATCH(K$77,Pas.!$B$4:$Q$4,0))/1000,$J$2),"")</f>
        <v/>
      </c>
      <c r="L96" s="1315" t="str">
        <f>IFERROR(ROUND(INDEX(Pas.!$B$4:$Q$32,MATCH($B96,Pas.!$B$4:$B$32,0),MATCH(L$77,Pas.!$B$4:$Q$4,0))/1000,$J$2),"")</f>
        <v/>
      </c>
      <c r="M96" s="1315" t="str">
        <f>IFERROR(ROUND(INDEX(Pas.!$B$4:$Q$32,MATCH($B96,Pas.!$B$4:$B$32,0),MATCH(M$77,Pas.!$B$4:$Q$4,0))/1000,$J$2),"")</f>
        <v/>
      </c>
      <c r="N96" s="1315" t="str">
        <f>IFERROR(ROUND(INDEX(Pas.!$B$4:$Q$32,MATCH($B96,Pas.!$B$4:$B$32,0),MATCH(N$77,Pas.!$B$4:$Q$4,0))/1000,$J$2),"")</f>
        <v/>
      </c>
      <c r="O96" s="1315" t="str">
        <f>IFERROR(ROUND(INDEX(Pas.!$B$4:$Q$32,MATCH($B96,Pas.!$B$4:$B$32,0),MATCH(O$77,Pas.!$B$4:$Q$4,0))/1000,$J$2),"")</f>
        <v/>
      </c>
      <c r="P96" s="1315" t="str">
        <f>IFERROR(ROUND(INDEX(Pas.!$B$4:$Q$32,MATCH($B96,Pas.!$B$4:$B$32,0),MATCH(P$77,Pas.!$B$4:$Q$4,0))/1000,$J$2),"")</f>
        <v/>
      </c>
      <c r="Q96" s="1315" t="str">
        <f>IFERROR(ROUND(INDEX(Pas.!$B$4:$Q$32,MATCH($B96,Pas.!$B$4:$B$32,0),MATCH(Q$77,Pas.!$B$4:$Q$4,0))/1000,$J$2),"")</f>
        <v/>
      </c>
      <c r="R96" s="11"/>
    </row>
    <row r="97" spans="1:20" s="1761" customFormat="1" ht="10.5" customHeight="1">
      <c r="A97" s="195"/>
      <c r="B97" s="1336" t="str">
        <f>Pas.!B29</f>
        <v>D. Accrued expenses / Deferred income</v>
      </c>
      <c r="C97" s="1332"/>
      <c r="D97" s="1333">
        <f>IFERROR(ROUND(INDEX(Pas.!$B$4:$Q$32,MATCH($B97,Pas.!$B$4:$B$32,0),MATCH(D$77,Pas.!$B$4:$Q$4,0))/1000,$H$2),"")</f>
        <v>0</v>
      </c>
      <c r="E97" s="1333">
        <f>IFERROR(ROUND(INDEX(Pas.!$B$4:$Q$32,MATCH($B97,Pas.!$B$4:$B$32,0),MATCH(E$77,Pas.!$B$4:$Q$4,0))/1000,$H$2),"")</f>
        <v>0</v>
      </c>
      <c r="F97" s="1333">
        <f>IFERROR(ROUND(INDEX(Pas.!$B$4:$Q$32,MATCH($B97,Pas.!$B$4:$B$32,0),MATCH(F$77,Pas.!$B$4:$Q$4,0))/1000,$H$2),"")</f>
        <v>0</v>
      </c>
      <c r="G97" s="1333">
        <f>IFERROR(ROUND(INDEX(Pas.!$B$4:$Q$32,MATCH($B97,Pas.!$B$4:$B$32,0),MATCH(G$77,Pas.!$B$4:$Q$4,0))/1000,$H$2),"")</f>
        <v>0</v>
      </c>
      <c r="H97" s="1333">
        <f>IFERROR(ROUND(INDEX(Pas.!$B$4:$Q$32,MATCH($B97,Pas.!$B$4:$B$32,0),MATCH(H$77,Pas.!$B$4:$Q$4,0))/1000,$H$2),"")</f>
        <v>0</v>
      </c>
      <c r="I97" s="1333" t="str">
        <f>IFERROR(ROUND(INDEX(Pas.!$B$4:$Q$32,MATCH($B97,Pas.!$B$4:$B$32,0),MATCH(I$77,Pas.!$B$4:$Q$4,0))/1000,$J$2),"")</f>
        <v/>
      </c>
      <c r="J97" s="1333" t="str">
        <f>IFERROR(ROUND(INDEX(Pas.!$B$4:$Q$32,MATCH($B97,Pas.!$B$4:$B$32,0),MATCH(J$77,Pas.!$B$4:$Q$4,0))/1000,$J$2),"")</f>
        <v/>
      </c>
      <c r="K97" s="1333" t="str">
        <f>IFERROR(ROUND(INDEX(Pas.!$B$4:$Q$32,MATCH($B97,Pas.!$B$4:$B$32,0),MATCH(K$77,Pas.!$B$4:$Q$4,0))/1000,$J$2),"")</f>
        <v/>
      </c>
      <c r="L97" s="1333" t="str">
        <f>IFERROR(ROUND(INDEX(Pas.!$B$4:$Q$32,MATCH($B97,Pas.!$B$4:$B$32,0),MATCH(L$77,Pas.!$B$4:$Q$4,0))/1000,$J$2),"")</f>
        <v/>
      </c>
      <c r="M97" s="1333" t="str">
        <f>IFERROR(ROUND(INDEX(Pas.!$B$4:$Q$32,MATCH($B97,Pas.!$B$4:$B$32,0),MATCH(M$77,Pas.!$B$4:$Q$4,0))/1000,$J$2),"")</f>
        <v/>
      </c>
      <c r="N97" s="1333" t="str">
        <f>IFERROR(ROUND(INDEX(Pas.!$B$4:$Q$32,MATCH($B97,Pas.!$B$4:$B$32,0),MATCH(N$77,Pas.!$B$4:$Q$4,0))/1000,$J$2),"")</f>
        <v/>
      </c>
      <c r="O97" s="1333" t="str">
        <f>IFERROR(ROUND(INDEX(Pas.!$B$4:$Q$32,MATCH($B97,Pas.!$B$4:$B$32,0),MATCH(O$77,Pas.!$B$4:$Q$4,0))/1000,$J$2),"")</f>
        <v/>
      </c>
      <c r="P97" s="1333" t="str">
        <f>IFERROR(ROUND(INDEX(Pas.!$B$4:$Q$32,MATCH($B97,Pas.!$B$4:$B$32,0),MATCH(P$77,Pas.!$B$4:$Q$4,0))/1000,$J$2),"")</f>
        <v/>
      </c>
      <c r="Q97" s="1333" t="str">
        <f>IFERROR(ROUND(INDEX(Pas.!$B$4:$Q$32,MATCH($B97,Pas.!$B$4:$B$32,0),MATCH(Q$77,Pas.!$B$4:$Q$4,0))/1000,$J$2),"")</f>
        <v/>
      </c>
      <c r="R97" s="1763"/>
    </row>
    <row r="98" spans="1:20" s="1762" customFormat="1" ht="10.5" customHeight="1" thickBot="1">
      <c r="A98" s="197"/>
      <c r="B98" s="1827" t="str">
        <f>Pas.!B30</f>
        <v>E. Deferred Tax Liabilities</v>
      </c>
      <c r="C98" s="1828"/>
      <c r="D98" s="1829">
        <f>IFERROR(ROUND(INDEX(Pas.!$B$4:$Q$32,MATCH($B98,Pas.!$B$4:$B$32,0),MATCH(D$77,Pas.!$B$4:$Q$4,0))/1000,$H$2),"")</f>
        <v>0</v>
      </c>
      <c r="E98" s="1829">
        <f>IFERROR(ROUND(INDEX(Pas.!$B$4:$Q$32,MATCH($B98,Pas.!$B$4:$B$32,0),MATCH(E$77,Pas.!$B$4:$Q$4,0))/1000,$H$2),"")</f>
        <v>0</v>
      </c>
      <c r="F98" s="1829">
        <f>IFERROR(ROUND(INDEX(Pas.!$B$4:$Q$32,MATCH($B98,Pas.!$B$4:$B$32,0),MATCH(F$77,Pas.!$B$4:$Q$4,0))/1000,$H$2),"")</f>
        <v>0</v>
      </c>
      <c r="G98" s="1829">
        <f>IFERROR(ROUND(INDEX(Pas.!$B$4:$Q$32,MATCH($B98,Pas.!$B$4:$B$32,0),MATCH(G$77,Pas.!$B$4:$Q$4,0))/1000,$H$2),"")</f>
        <v>0</v>
      </c>
      <c r="H98" s="1829">
        <f>IFERROR(ROUND(INDEX(Pas.!$B$4:$Q$32,MATCH($B98,Pas.!$B$4:$B$32,0),MATCH(H$77,Pas.!$B$4:$Q$4,0))/1000,$H$2),"")</f>
        <v>0</v>
      </c>
      <c r="I98" s="1829" t="str">
        <f>IFERROR(ROUND(INDEX(Pas.!$B$4:$Q$32,MATCH($B98,Pas.!$B$4:$B$32,0),MATCH(I$77,Pas.!$B$4:$Q$4,0))/1000,$J$2),"")</f>
        <v/>
      </c>
      <c r="J98" s="1829" t="str">
        <f>IFERROR(ROUND(INDEX(Pas.!$B$4:$Q$32,MATCH($B98,Pas.!$B$4:$B$32,0),MATCH(J$77,Pas.!$B$4:$Q$4,0))/1000,$J$2),"")</f>
        <v/>
      </c>
      <c r="K98" s="1829" t="str">
        <f>IFERROR(ROUND(INDEX(Pas.!$B$4:$Q$32,MATCH($B98,Pas.!$B$4:$B$32,0),MATCH(K$77,Pas.!$B$4:$Q$4,0))/1000,$J$2),"")</f>
        <v/>
      </c>
      <c r="L98" s="1829" t="str">
        <f>IFERROR(ROUND(INDEX(Pas.!$B$4:$Q$32,MATCH($B98,Pas.!$B$4:$B$32,0),MATCH(L$77,Pas.!$B$4:$Q$4,0))/1000,$J$2),"")</f>
        <v/>
      </c>
      <c r="M98" s="1829" t="str">
        <f>IFERROR(ROUND(INDEX(Pas.!$B$4:$Q$32,MATCH($B98,Pas.!$B$4:$B$32,0),MATCH(M$77,Pas.!$B$4:$Q$4,0))/1000,$J$2),"")</f>
        <v/>
      </c>
      <c r="N98" s="1829" t="str">
        <f>IFERROR(ROUND(INDEX(Pas.!$B$4:$Q$32,MATCH($B98,Pas.!$B$4:$B$32,0),MATCH(N$77,Pas.!$B$4:$Q$4,0))/1000,$J$2),"")</f>
        <v/>
      </c>
      <c r="O98" s="1829" t="str">
        <f>IFERROR(ROUND(INDEX(Pas.!$B$4:$Q$32,MATCH($B98,Pas.!$B$4:$B$32,0),MATCH(O$77,Pas.!$B$4:$Q$4,0))/1000,$J$2),"")</f>
        <v/>
      </c>
      <c r="P98" s="1829" t="str">
        <f>IFERROR(ROUND(INDEX(Pas.!$B$4:$Q$32,MATCH($B98,Pas.!$B$4:$B$32,0),MATCH(P$77,Pas.!$B$4:$Q$4,0))/1000,$J$2),"")</f>
        <v/>
      </c>
      <c r="Q98" s="1829" t="str">
        <f>IFERROR(ROUND(INDEX(Pas.!$B$4:$Q$32,MATCH($B98,Pas.!$B$4:$B$32,0),MATCH(Q$77,Pas.!$B$4:$Q$4,0))/1000,$J$2),"")</f>
        <v/>
      </c>
      <c r="R98" s="1765"/>
    </row>
    <row r="99" spans="1:20" s="1213" customFormat="1" ht="10.5" customHeight="1">
      <c r="A99" s="196"/>
      <c r="B99" s="1337" t="str">
        <f>Pas.!B32</f>
        <v>Total Liabilities and Shareholders's Equity</v>
      </c>
      <c r="C99" s="1337"/>
      <c r="D99" s="1338">
        <f>IFERROR(ROUND(INDEX(Pas.!$B$4:$Q$32,MATCH($B99,Pas.!$B$4:$B$32,0),MATCH(D$77,Pas.!$B$4:$Q$4,0))/1000,$H$2),"")</f>
        <v>0</v>
      </c>
      <c r="E99" s="1338">
        <f>IFERROR(ROUND(INDEX(Pas.!$B$4:$Q$32,MATCH($B99,Pas.!$B$4:$B$32,0),MATCH(E$77,Pas.!$B$4:$Q$4,0))/1000,$H$2),"")</f>
        <v>21097.7</v>
      </c>
      <c r="F99" s="1338">
        <f>IFERROR(ROUND(INDEX(Pas.!$B$4:$Q$32,MATCH($B99,Pas.!$B$4:$B$32,0),MATCH(F$77,Pas.!$B$4:$Q$4,0))/1000,$H$2),"")</f>
        <v>18809.2</v>
      </c>
      <c r="G99" s="1338">
        <f>IFERROR(ROUND(INDEX(Pas.!$B$4:$Q$32,MATCH($B99,Pas.!$B$4:$B$32,0),MATCH(G$77,Pas.!$B$4:$Q$4,0))/1000,$H$2),"")</f>
        <v>15395.1</v>
      </c>
      <c r="H99" s="1338" t="str">
        <f>IFERROR(ROUND(INDEX(Pas.!$B$4:$Q$32,MATCH($B99,Pas.!$B$4:$B$32,0),MATCH(H$77,Pas.!$B$4:$Q$4,0))/1000,$H$2),"")</f>
        <v/>
      </c>
      <c r="I99" s="1338" t="str">
        <f>IFERROR(ROUND(INDEX(Pas.!$B$4:$Q$32,MATCH($B99,Pas.!$B$4:$B$32,0),MATCH(I$77,Pas.!$B$4:$Q$4,0))/1000,$J$2),"")</f>
        <v/>
      </c>
      <c r="J99" s="1338" t="str">
        <f>IFERROR(ROUND(INDEX(Pas.!$B$4:$Q$32,MATCH($B99,Pas.!$B$4:$B$32,0),MATCH(J$77,Pas.!$B$4:$Q$4,0))/1000,$J$2),"")</f>
        <v/>
      </c>
      <c r="K99" s="1338" t="str">
        <f>IFERROR(ROUND(INDEX(Pas.!$B$4:$Q$32,MATCH($B99,Pas.!$B$4:$B$32,0),MATCH(K$77,Pas.!$B$4:$Q$4,0))/1000,$J$2),"")</f>
        <v/>
      </c>
      <c r="L99" s="1338" t="str">
        <f>IFERROR(ROUND(INDEX(Pas.!$B$4:$Q$32,MATCH($B99,Pas.!$B$4:$B$32,0),MATCH(L$77,Pas.!$B$4:$Q$4,0))/1000,$J$2),"")</f>
        <v/>
      </c>
      <c r="M99" s="1338" t="str">
        <f>IFERROR(ROUND(INDEX(Pas.!$B$4:$Q$32,MATCH($B99,Pas.!$B$4:$B$32,0),MATCH(M$77,Pas.!$B$4:$Q$4,0))/1000,$J$2),"")</f>
        <v/>
      </c>
      <c r="N99" s="1338" t="str">
        <f>IFERROR(ROUND(INDEX(Pas.!$B$4:$Q$32,MATCH($B99,Pas.!$B$4:$B$32,0),MATCH(N$77,Pas.!$B$4:$Q$4,0))/1000,$J$2),"")</f>
        <v/>
      </c>
      <c r="O99" s="1338" t="str">
        <f>IFERROR(ROUND(INDEX(Pas.!$B$4:$Q$32,MATCH($B99,Pas.!$B$4:$B$32,0),MATCH(O$77,Pas.!$B$4:$Q$4,0))/1000,$J$2),"")</f>
        <v/>
      </c>
      <c r="P99" s="1338" t="str">
        <f>IFERROR(ROUND(INDEX(Pas.!$B$4:$Q$32,MATCH($B99,Pas.!$B$4:$B$32,0),MATCH(P$77,Pas.!$B$4:$Q$4,0))/1000,$J$2),"")</f>
        <v/>
      </c>
      <c r="Q99" s="1338" t="str">
        <f>IFERROR(ROUND(INDEX(Pas.!$B$4:$Q$32,MATCH($B99,Pas.!$B$4:$B$32,0),MATCH(Q$77,Pas.!$B$4:$Q$4,0))/1000,$J$2),"")</f>
        <v/>
      </c>
      <c r="R99" s="189"/>
    </row>
    <row r="100" spans="1:20" s="193" customFormat="1" ht="10.15" customHeight="1">
      <c r="B100" s="1330"/>
      <c r="C100" s="1330"/>
      <c r="D100" s="1330"/>
      <c r="E100" s="1330"/>
      <c r="F100" s="1330"/>
      <c r="G100" s="1330"/>
      <c r="H100" s="1330"/>
      <c r="I100" s="1330"/>
      <c r="J100" s="1330"/>
      <c r="K100" s="1330"/>
      <c r="L100" s="1330"/>
      <c r="M100" s="1330"/>
      <c r="N100" s="1330"/>
      <c r="O100" s="1330"/>
      <c r="P100" s="1330"/>
      <c r="Q100" s="1330"/>
    </row>
    <row r="101" spans="1:20" ht="10.5" customHeight="1">
      <c r="B101" s="1482" t="str">
        <f>CF!B4</f>
        <v>Statement of Cash Flows</v>
      </c>
      <c r="C101" s="1483"/>
      <c r="D101" s="1484">
        <f t="shared" ref="D101:E101" si="13">+E101-1</f>
        <v>2021</v>
      </c>
      <c r="E101" s="1484">
        <f t="shared" si="13"/>
        <v>2022</v>
      </c>
      <c r="F101" s="1484">
        <f>+G101-1</f>
        <v>2023</v>
      </c>
      <c r="G101" s="1485">
        <f>Eckdaten!$C$12</f>
        <v>2024</v>
      </c>
      <c r="H101" s="1489">
        <f>+G101+1</f>
        <v>2025</v>
      </c>
      <c r="I101" s="1494">
        <f>IF(Eckdaten!$C$20+Eckdaten!$C$12&gt;H101,H101+1," ")</f>
        <v>2026</v>
      </c>
      <c r="J101" s="1494">
        <f>IF(Eckdaten!$C$20+Eckdaten!$C$12&gt;I101,I101+1," ")</f>
        <v>2027</v>
      </c>
      <c r="K101" s="1494">
        <f>IF(Eckdaten!$C$20+Eckdaten!$C$12&gt;J101,J101+1," ")</f>
        <v>2028</v>
      </c>
      <c r="L101" s="1494">
        <f>IF(Eckdaten!$C$20+Eckdaten!$C$12&gt;K101,K101+1," ")</f>
        <v>2029</v>
      </c>
      <c r="M101" s="1494" t="str">
        <f>IF(Eckdaten!$C$20+Eckdaten!$C$12&gt;L101,L101+1," ")</f>
        <v xml:space="preserve"> </v>
      </c>
      <c r="N101" s="1494" t="str">
        <f>IF(Eckdaten!$C$20+Eckdaten!$C$12&gt;M101,M101+1," ")</f>
        <v xml:space="preserve"> </v>
      </c>
      <c r="O101" s="1494" t="str">
        <f>IF(Eckdaten!$C$20+Eckdaten!$C$12&gt;N101,N101+1," ")</f>
        <v xml:space="preserve"> </v>
      </c>
      <c r="P101" s="1494" t="str">
        <f>IF(Eckdaten!$C$20+Eckdaten!$C$12&gt;O101,O101+1," ")</f>
        <v xml:space="preserve"> </v>
      </c>
      <c r="Q101" s="1494" t="str">
        <f>IF(Eckdaten!$C$20+Eckdaten!$C$12&gt;P101,P101+1," ")</f>
        <v xml:space="preserve"> </v>
      </c>
    </row>
    <row r="102" spans="1:20" ht="10.5" customHeight="1">
      <c r="B102" s="1486" t="str">
        <f>"in T"&amp;Eckdaten!$C$14</f>
        <v>in TEUR</v>
      </c>
      <c r="C102" s="1487"/>
      <c r="D102" s="1488" t="s">
        <v>173</v>
      </c>
      <c r="E102" s="1488" t="s">
        <v>173</v>
      </c>
      <c r="F102" s="1488" t="s">
        <v>173</v>
      </c>
      <c r="G102" s="1488" t="s">
        <v>173</v>
      </c>
      <c r="H102" s="1490" t="s">
        <v>174</v>
      </c>
      <c r="I102" s="1495" t="str">
        <f>IF(I101=" "," ","P")</f>
        <v>P</v>
      </c>
      <c r="J102" s="1495" t="str">
        <f t="shared" ref="J102:Q102" si="14">IF(J101=" "," ","P")</f>
        <v>P</v>
      </c>
      <c r="K102" s="1495" t="str">
        <f t="shared" si="14"/>
        <v>P</v>
      </c>
      <c r="L102" s="1495" t="str">
        <f t="shared" si="14"/>
        <v>P</v>
      </c>
      <c r="M102" s="1495" t="str">
        <f t="shared" si="14"/>
        <v xml:space="preserve"> </v>
      </c>
      <c r="N102" s="1495" t="str">
        <f t="shared" si="14"/>
        <v xml:space="preserve"> </v>
      </c>
      <c r="O102" s="1495" t="str">
        <f t="shared" si="14"/>
        <v xml:space="preserve"> </v>
      </c>
      <c r="P102" s="1495" t="str">
        <f t="shared" si="14"/>
        <v xml:space="preserve"> </v>
      </c>
      <c r="Q102" s="1495" t="str">
        <f t="shared" si="14"/>
        <v xml:space="preserve"> </v>
      </c>
    </row>
    <row r="103" spans="1:20" s="193" customFormat="1" ht="3.75" customHeight="1">
      <c r="A103" s="194"/>
      <c r="B103" s="1346"/>
      <c r="C103" s="1346"/>
      <c r="D103" s="1331"/>
      <c r="E103" s="1331"/>
      <c r="F103" s="1331"/>
      <c r="G103" s="1331"/>
      <c r="H103" s="1331"/>
      <c r="I103" s="1331"/>
      <c r="J103" s="1331"/>
      <c r="K103" s="1331"/>
      <c r="L103" s="1331"/>
      <c r="M103" s="1331"/>
      <c r="N103" s="1331"/>
      <c r="O103" s="1331"/>
      <c r="P103" s="1331"/>
      <c r="Q103" s="1331"/>
    </row>
    <row r="104" spans="1:20" s="1213" customFormat="1" ht="10.5" customHeight="1">
      <c r="A104" s="196"/>
      <c r="B104" s="1347" t="str">
        <f>CF!B7</f>
        <v>Net profit / loss for the year</v>
      </c>
      <c r="C104" s="1348"/>
      <c r="D104" s="1302">
        <f>IFERROR(ROUND(INDEX(CF!$B$4:$Q$41,MATCH($B104,CF!$B$4:$B$41,0),MATCH(D$101,CF!$B$4:$Q$4,0))/1000,$H$2),"")</f>
        <v>0</v>
      </c>
      <c r="E104" s="1302">
        <f>IFERROR(ROUND(INDEX(CF!$B$4:$Q$41,MATCH($B104,CF!$B$4:$B$41,0),MATCH(E$101,CF!$B$4:$Q$4,0))/1000,$H$2),"")</f>
        <v>1975.1</v>
      </c>
      <c r="F104" s="1302">
        <f>IFERROR(ROUND(INDEX(CF!$B$4:$Q$41,MATCH($B104,CF!$B$4:$B$41,0),MATCH(F$101,CF!$B$4:$Q$4,0))/1000,$H$2),"")</f>
        <v>1291.2</v>
      </c>
      <c r="G104" s="1302">
        <f>IFERROR(ROUND(INDEX(CF!$B$4:$Q$41,MATCH($B104,CF!$B$4:$B$41,0),MATCH(G$101,CF!$B$4:$Q$4,0))/1000,$H$2),"")</f>
        <v>359.7</v>
      </c>
      <c r="H104" s="1302">
        <f>IFERROR(ROUND(INDEX(CF!$B$4:$Q$41,MATCH($B104,CF!$B$4:$B$41,0),MATCH(H$101,CF!$B$4:$Q$4,0))/1000,$H$2),"")</f>
        <v>1184.4000000000001</v>
      </c>
      <c r="I104" s="1302">
        <f>IFERROR(ROUND(INDEX(CF!$B$4:$Q$41,MATCH($B104,CF!$B$4:$B$41,0),MATCH(I$101,CF!$B$4:$Q$4,0))/1000,$J$2),"")</f>
        <v>0</v>
      </c>
      <c r="J104" s="1302">
        <f>IFERROR(ROUND(INDEX(CF!$B$4:$Q$41,MATCH($B104,CF!$B$4:$B$41,0),MATCH(J$101,CF!$B$4:$Q$4,0))/1000,$J$2),"")</f>
        <v>0</v>
      </c>
      <c r="K104" s="1302">
        <f>IFERROR(ROUND(INDEX(CF!$B$4:$Q$41,MATCH($B104,CF!$B$4:$B$41,0),MATCH(K$101,CF!$B$4:$Q$4,0))/1000,$J$2),"")</f>
        <v>0</v>
      </c>
      <c r="L104" s="1302">
        <f>IFERROR(ROUND(INDEX(CF!$B$4:$Q$41,MATCH($B104,CF!$B$4:$B$41,0),MATCH(L$101,CF!$B$4:$Q$4,0))/1000,$J$2),"")</f>
        <v>0</v>
      </c>
      <c r="M104" s="1302" t="str">
        <f>IFERROR(ROUND(INDEX(CF!$B$4:$Q$41,MATCH($B104,CF!$B$4:$B$41,0),MATCH(M$101,CF!$B$4:$Q$4,0))/1000,$J$2),"")</f>
        <v/>
      </c>
      <c r="N104" s="1302" t="str">
        <f>IFERROR(ROUND(INDEX(CF!$B$4:$Q$41,MATCH($B104,CF!$B$4:$B$41,0),MATCH(N$101,CF!$B$4:$Q$4,0))/1000,$J$2),"")</f>
        <v/>
      </c>
      <c r="O104" s="1302" t="str">
        <f>IFERROR(ROUND(INDEX(CF!$B$4:$Q$41,MATCH($B104,CF!$B$4:$B$41,0),MATCH(O$101,CF!$B$4:$Q$4,0))/1000,$J$2),"")</f>
        <v/>
      </c>
      <c r="P104" s="1302" t="str">
        <f>IFERROR(ROUND(INDEX(CF!$B$4:$Q$41,MATCH($B104,CF!$B$4:$B$41,0),MATCH(P$101,CF!$B$4:$Q$4,0))/1000,$J$2),"")</f>
        <v/>
      </c>
      <c r="Q104" s="1302" t="str">
        <f>IFERROR(ROUND(INDEX(CF!$B$4:$Q$41,MATCH($B104,CF!$B$4:$B$41,0),MATCH(Q$101,CF!$B$4:$Q$4,0))/1000,$J$2),"")</f>
        <v/>
      </c>
    </row>
    <row r="105" spans="1:20" s="193" customFormat="1" ht="10.5" customHeight="1">
      <c r="A105" s="194"/>
      <c r="B105" s="1349" t="str">
        <f>CF!B8</f>
        <v>Liabilities and Stockholders' Equity</v>
      </c>
      <c r="C105" s="1350"/>
      <c r="D105" s="1351">
        <f>IFERROR(ROUND(INDEX(CF!$B$4:$Q$41,MATCH($B105,CF!$B$4:$B$41,0),MATCH(D$101,CF!$B$4:$Q$4,0))/1000,$H$2),"")</f>
        <v>0</v>
      </c>
      <c r="E105" s="1351">
        <f>IFERROR(ROUND(INDEX(CF!$B$4:$Q$41,MATCH($B105,CF!$B$4:$B$41,0),MATCH(E$101,CF!$B$4:$Q$4,0))/1000,$H$2),"")</f>
        <v>0</v>
      </c>
      <c r="F105" s="1351">
        <f>IFERROR(ROUND(INDEX(CF!$B$4:$Q$41,MATCH($B105,CF!$B$4:$B$41,0),MATCH(F$101,CF!$B$4:$Q$4,0))/1000,$H$2),"")</f>
        <v>0</v>
      </c>
      <c r="G105" s="1351">
        <f>IFERROR(ROUND(INDEX(CF!$B$4:$Q$41,MATCH($B105,CF!$B$4:$B$41,0),MATCH(G$101,CF!$B$4:$Q$4,0))/1000,$H$2),"")</f>
        <v>0</v>
      </c>
      <c r="H105" s="1351">
        <f>IFERROR(ROUND(INDEX(CF!$B$4:$Q$41,MATCH($B105,CF!$B$4:$B$41,0),MATCH(H$101,CF!$B$4:$Q$4,0))/1000,$H$2),"")</f>
        <v>0</v>
      </c>
      <c r="I105" s="1351">
        <f>IFERROR(ROUND(INDEX(CF!$B$4:$Q$41,MATCH($B105,CF!$B$4:$B$41,0),MATCH(I$101,CF!$B$4:$Q$4,0))/1000,$J$2),"")</f>
        <v>0</v>
      </c>
      <c r="J105" s="1351">
        <f>IFERROR(ROUND(INDEX(CF!$B$4:$Q$41,MATCH($B105,CF!$B$4:$B$41,0),MATCH(J$101,CF!$B$4:$Q$4,0))/1000,$J$2),"")</f>
        <v>0</v>
      </c>
      <c r="K105" s="1351">
        <f>IFERROR(ROUND(INDEX(CF!$B$4:$Q$41,MATCH($B105,CF!$B$4:$B$41,0),MATCH(K$101,CF!$B$4:$Q$4,0))/1000,$J$2),"")</f>
        <v>0</v>
      </c>
      <c r="L105" s="1351">
        <f>IFERROR(ROUND(INDEX(CF!$B$4:$Q$41,MATCH($B105,CF!$B$4:$B$41,0),MATCH(L$101,CF!$B$4:$Q$4,0))/1000,$J$2),"")</f>
        <v>0</v>
      </c>
      <c r="M105" s="1351">
        <f>IFERROR(ROUND(INDEX(CF!$B$4:$Q$41,MATCH($B105,CF!$B$4:$B$41,0),MATCH(M$101,CF!$B$4:$Q$4,0))/1000,$J$2),"")</f>
        <v>0</v>
      </c>
      <c r="N105" s="1351">
        <f>IFERROR(ROUND(INDEX(CF!$B$4:$Q$41,MATCH($B105,CF!$B$4:$B$41,0),MATCH(N$101,CF!$B$4:$Q$4,0))/1000,$J$2),"")</f>
        <v>0</v>
      </c>
      <c r="O105" s="1351">
        <f>IFERROR(ROUND(INDEX(CF!$B$4:$Q$41,MATCH($B105,CF!$B$4:$B$41,0),MATCH(O$101,CF!$B$4:$Q$4,0))/1000,$J$2),"")</f>
        <v>0</v>
      </c>
      <c r="P105" s="1351">
        <f>IFERROR(ROUND(INDEX(CF!$B$4:$Q$41,MATCH($B105,CF!$B$4:$B$41,0),MATCH(P$101,CF!$B$4:$Q$4,0))/1000,$J$2),"")</f>
        <v>0</v>
      </c>
      <c r="Q105" s="1351">
        <f>IFERROR(ROUND(INDEX(CF!$B$4:$Q$41,MATCH($B105,CF!$B$4:$B$41,0),MATCH(Q$101,CF!$B$4:$Q$4,0))/1000,$J$2),"")</f>
        <v>0</v>
      </c>
      <c r="R105" s="11"/>
      <c r="S105" s="11"/>
      <c r="T105" s="11"/>
    </row>
    <row r="106" spans="1:20" s="193" customFormat="1" ht="10.5" customHeight="1">
      <c r="A106" s="194"/>
      <c r="B106" s="1352" t="str">
        <f>CF!B9</f>
        <v>Increase (+) / decrease (-) in provisions for pensions and similar obligations</v>
      </c>
      <c r="C106" s="1353"/>
      <c r="D106" s="1302">
        <f>IFERROR(ROUND(INDEX(CF!$B$4:$Q$41,MATCH($B106,CF!$B$4:$B$41,0),MATCH(D$101,CF!$B$4:$Q$4,0))/1000,$H$2),"")</f>
        <v>0</v>
      </c>
      <c r="E106" s="1302">
        <f>IFERROR(ROUND(INDEX(CF!$B$4:$Q$41,MATCH($B106,CF!$B$4:$B$41,0),MATCH(E$101,CF!$B$4:$Q$4,0))/1000,$H$2),"")</f>
        <v>0</v>
      </c>
      <c r="F106" s="1302">
        <f>IFERROR(ROUND(INDEX(CF!$B$4:$Q$41,MATCH($B106,CF!$B$4:$B$41,0),MATCH(F$101,CF!$B$4:$Q$4,0))/1000,$H$2),"")</f>
        <v>0</v>
      </c>
      <c r="G106" s="1302">
        <f>IFERROR(ROUND(INDEX(CF!$B$4:$Q$41,MATCH($B106,CF!$B$4:$B$41,0),MATCH(G$101,CF!$B$4:$Q$4,0))/1000,$H$2),"")</f>
        <v>0</v>
      </c>
      <c r="H106" s="1302">
        <f>IFERROR(ROUND(INDEX(CF!$B$4:$Q$41,MATCH($B106,CF!$B$4:$B$41,0),MATCH(H$101,CF!$B$4:$Q$4,0))/1000,$H$2),"")</f>
        <v>0</v>
      </c>
      <c r="I106" s="1302">
        <f>IFERROR(ROUND(INDEX(CF!$B$4:$Q$41,MATCH($B106,CF!$B$4:$B$41,0),MATCH(I$101,CF!$B$4:$Q$4,0))/1000,$J$2),"")</f>
        <v>0</v>
      </c>
      <c r="J106" s="1302">
        <f>IFERROR(ROUND(INDEX(CF!$B$4:$Q$41,MATCH($B106,CF!$B$4:$B$41,0),MATCH(J$101,CF!$B$4:$Q$4,0))/1000,$J$2),"")</f>
        <v>0</v>
      </c>
      <c r="K106" s="1302">
        <f>IFERROR(ROUND(INDEX(CF!$B$4:$Q$41,MATCH($B106,CF!$B$4:$B$41,0),MATCH(K$101,CF!$B$4:$Q$4,0))/1000,$J$2),"")</f>
        <v>0</v>
      </c>
      <c r="L106" s="1302">
        <f>IFERROR(ROUND(INDEX(CF!$B$4:$Q$41,MATCH($B106,CF!$B$4:$B$41,0),MATCH(L$101,CF!$B$4:$Q$4,0))/1000,$J$2),"")</f>
        <v>0</v>
      </c>
      <c r="M106" s="1302" t="str">
        <f>IFERROR(ROUND(INDEX(CF!$B$4:$Q$41,MATCH($B106,CF!$B$4:$B$41,0),MATCH(M$101,CF!$B$4:$Q$4,0))/1000,$J$2),"")</f>
        <v/>
      </c>
      <c r="N106" s="1302" t="str">
        <f>IFERROR(ROUND(INDEX(CF!$B$4:$Q$41,MATCH($B106,CF!$B$4:$B$41,0),MATCH(N$101,CF!$B$4:$Q$4,0))/1000,$J$2),"")</f>
        <v/>
      </c>
      <c r="O106" s="1302" t="str">
        <f>IFERROR(ROUND(INDEX(CF!$B$4:$Q$41,MATCH($B106,CF!$B$4:$B$41,0),MATCH(O$101,CF!$B$4:$Q$4,0))/1000,$J$2),"")</f>
        <v/>
      </c>
      <c r="P106" s="1302" t="str">
        <f>IFERROR(ROUND(INDEX(CF!$B$4:$Q$41,MATCH($B106,CF!$B$4:$B$41,0),MATCH(P$101,CF!$B$4:$Q$4,0))/1000,$J$2),"")</f>
        <v/>
      </c>
      <c r="Q106" s="1302" t="str">
        <f>IFERROR(ROUND(INDEX(CF!$B$4:$Q$41,MATCH($B106,CF!$B$4:$B$41,0),MATCH(Q$101,CF!$B$4:$Q$4,0))/1000,$J$2),"")</f>
        <v/>
      </c>
      <c r="R106" s="11"/>
      <c r="S106" s="11"/>
      <c r="T106" s="11"/>
    </row>
    <row r="107" spans="1:20" s="193" customFormat="1" ht="10.5" customHeight="1">
      <c r="A107" s="194"/>
      <c r="B107" s="1354" t="str">
        <f>CF!B10</f>
        <v>Increase (+) / decrease (-) in tax provisions</v>
      </c>
      <c r="C107" s="1353"/>
      <c r="D107" s="1302">
        <f>IFERROR(ROUND(INDEX(CF!$B$4:$Q$41,MATCH($B107,CF!$B$4:$B$41,0),MATCH(D$101,CF!$B$4:$Q$4,0))/1000,$H$2),"")</f>
        <v>0</v>
      </c>
      <c r="E107" s="1302">
        <f>IFERROR(ROUND(INDEX(CF!$B$4:$Q$41,MATCH($B107,CF!$B$4:$B$41,0),MATCH(E$101,CF!$B$4:$Q$4,0))/1000,$H$2),"")</f>
        <v>0</v>
      </c>
      <c r="F107" s="1302">
        <f>IFERROR(ROUND(INDEX(CF!$B$4:$Q$41,MATCH($B107,CF!$B$4:$B$41,0),MATCH(F$101,CF!$B$4:$Q$4,0))/1000,$H$2),"")</f>
        <v>0</v>
      </c>
      <c r="G107" s="1302">
        <f>IFERROR(ROUND(INDEX(CF!$B$4:$Q$41,MATCH($B107,CF!$B$4:$B$41,0),MATCH(G$101,CF!$B$4:$Q$4,0))/1000,$H$2),"")</f>
        <v>0</v>
      </c>
      <c r="H107" s="1302">
        <f>IFERROR(ROUND(INDEX(CF!$B$4:$Q$41,MATCH($B107,CF!$B$4:$B$41,0),MATCH(H$101,CF!$B$4:$Q$4,0))/1000,$H$2),"")</f>
        <v>0</v>
      </c>
      <c r="I107" s="1302">
        <f>IFERROR(ROUND(INDEX(CF!$B$4:$Q$41,MATCH($B107,CF!$B$4:$B$41,0),MATCH(I$101,CF!$B$4:$Q$4,0))/1000,$J$2),"")</f>
        <v>0</v>
      </c>
      <c r="J107" s="1302">
        <f>IFERROR(ROUND(INDEX(CF!$B$4:$Q$41,MATCH($B107,CF!$B$4:$B$41,0),MATCH(J$101,CF!$B$4:$Q$4,0))/1000,$J$2),"")</f>
        <v>0</v>
      </c>
      <c r="K107" s="1302">
        <f>IFERROR(ROUND(INDEX(CF!$B$4:$Q$41,MATCH($B107,CF!$B$4:$B$41,0),MATCH(K$101,CF!$B$4:$Q$4,0))/1000,$J$2),"")</f>
        <v>0</v>
      </c>
      <c r="L107" s="1302">
        <f>IFERROR(ROUND(INDEX(CF!$B$4:$Q$41,MATCH($B107,CF!$B$4:$B$41,0),MATCH(L$101,CF!$B$4:$Q$4,0))/1000,$J$2),"")</f>
        <v>0</v>
      </c>
      <c r="M107" s="1302" t="str">
        <f>IFERROR(ROUND(INDEX(CF!$B$4:$Q$41,MATCH($B107,CF!$B$4:$B$41,0),MATCH(M$101,CF!$B$4:$Q$4,0))/1000,$J$2),"")</f>
        <v/>
      </c>
      <c r="N107" s="1302" t="str">
        <f>IFERROR(ROUND(INDEX(CF!$B$4:$Q$41,MATCH($B107,CF!$B$4:$B$41,0),MATCH(N$101,CF!$B$4:$Q$4,0))/1000,$J$2),"")</f>
        <v/>
      </c>
      <c r="O107" s="1302" t="str">
        <f>IFERROR(ROUND(INDEX(CF!$B$4:$Q$41,MATCH($B107,CF!$B$4:$B$41,0),MATCH(O$101,CF!$B$4:$Q$4,0))/1000,$J$2),"")</f>
        <v/>
      </c>
      <c r="P107" s="1302" t="str">
        <f>IFERROR(ROUND(INDEX(CF!$B$4:$Q$41,MATCH($B107,CF!$B$4:$B$41,0),MATCH(P$101,CF!$B$4:$Q$4,0))/1000,$J$2),"")</f>
        <v/>
      </c>
      <c r="Q107" s="1302" t="str">
        <f>IFERROR(ROUND(INDEX(CF!$B$4:$Q$41,MATCH($B107,CF!$B$4:$B$41,0),MATCH(Q$101,CF!$B$4:$Q$4,0))/1000,$J$2),"")</f>
        <v/>
      </c>
      <c r="R107" s="11"/>
      <c r="S107" s="11"/>
      <c r="T107" s="11"/>
    </row>
    <row r="108" spans="1:20" s="193" customFormat="1" ht="10.5" customHeight="1">
      <c r="A108" s="194"/>
      <c r="B108" s="1354" t="str">
        <f>CF!B11</f>
        <v>Increase (+) / decrease (-) in other provisions</v>
      </c>
      <c r="C108" s="1353"/>
      <c r="D108" s="1302">
        <f>IFERROR(ROUND(INDEX(CF!$B$4:$Q$41,MATCH($B108,CF!$B$4:$B$41,0),MATCH(D$101,CF!$B$4:$Q$4,0))/1000,$H$2),"")</f>
        <v>0</v>
      </c>
      <c r="E108" s="1302">
        <f>IFERROR(ROUND(INDEX(CF!$B$4:$Q$41,MATCH($B108,CF!$B$4:$B$41,0),MATCH(E$101,CF!$B$4:$Q$4,0))/1000,$H$2),"")</f>
        <v>0</v>
      </c>
      <c r="F108" s="1302">
        <f>IFERROR(ROUND(INDEX(CF!$B$4:$Q$41,MATCH($B108,CF!$B$4:$B$41,0),MATCH(F$101,CF!$B$4:$Q$4,0))/1000,$H$2),"")</f>
        <v>0</v>
      </c>
      <c r="G108" s="1302">
        <f>IFERROR(ROUND(INDEX(CF!$B$4:$Q$41,MATCH($B108,CF!$B$4:$B$41,0),MATCH(G$101,CF!$B$4:$Q$4,0))/1000,$H$2),"")</f>
        <v>0</v>
      </c>
      <c r="H108" s="1302">
        <f>IFERROR(ROUND(INDEX(CF!$B$4:$Q$41,MATCH($B108,CF!$B$4:$B$41,0),MATCH(H$101,CF!$B$4:$Q$4,0))/1000,$H$2),"")</f>
        <v>0</v>
      </c>
      <c r="I108" s="1302">
        <f>IFERROR(ROUND(INDEX(CF!$B$4:$Q$41,MATCH($B108,CF!$B$4:$B$41,0),MATCH(I$101,CF!$B$4:$Q$4,0))/1000,$J$2),"")</f>
        <v>0</v>
      </c>
      <c r="J108" s="1302">
        <f>IFERROR(ROUND(INDEX(CF!$B$4:$Q$41,MATCH($B108,CF!$B$4:$B$41,0),MATCH(J$101,CF!$B$4:$Q$4,0))/1000,$J$2),"")</f>
        <v>0</v>
      </c>
      <c r="K108" s="1302">
        <f>IFERROR(ROUND(INDEX(CF!$B$4:$Q$41,MATCH($B108,CF!$B$4:$B$41,0),MATCH(K$101,CF!$B$4:$Q$4,0))/1000,$J$2),"")</f>
        <v>0</v>
      </c>
      <c r="L108" s="1302">
        <f>IFERROR(ROUND(INDEX(CF!$B$4:$Q$41,MATCH($B108,CF!$B$4:$B$41,0),MATCH(L$101,CF!$B$4:$Q$4,0))/1000,$J$2),"")</f>
        <v>0</v>
      </c>
      <c r="M108" s="1302" t="str">
        <f>IFERROR(ROUND(INDEX(CF!$B$4:$Q$41,MATCH($B108,CF!$B$4:$B$41,0),MATCH(M$101,CF!$B$4:$Q$4,0))/1000,$J$2),"")</f>
        <v/>
      </c>
      <c r="N108" s="1302" t="str">
        <f>IFERROR(ROUND(INDEX(CF!$B$4:$Q$41,MATCH($B108,CF!$B$4:$B$41,0),MATCH(N$101,CF!$B$4:$Q$4,0))/1000,$J$2),"")</f>
        <v/>
      </c>
      <c r="O108" s="1302" t="str">
        <f>IFERROR(ROUND(INDEX(CF!$B$4:$Q$41,MATCH($B108,CF!$B$4:$B$41,0),MATCH(O$101,CF!$B$4:$Q$4,0))/1000,$J$2),"")</f>
        <v/>
      </c>
      <c r="P108" s="1302" t="str">
        <f>IFERROR(ROUND(INDEX(CF!$B$4:$Q$41,MATCH($B108,CF!$B$4:$B$41,0),MATCH(P$101,CF!$B$4:$Q$4,0))/1000,$J$2),"")</f>
        <v/>
      </c>
      <c r="Q108" s="1302" t="str">
        <f>IFERROR(ROUND(INDEX(CF!$B$4:$Q$41,MATCH($B108,CF!$B$4:$B$41,0),MATCH(Q$101,CF!$B$4:$Q$4,0))/1000,$J$2),"")</f>
        <v/>
      </c>
      <c r="R108" s="11"/>
      <c r="S108" s="11"/>
      <c r="T108" s="11"/>
    </row>
    <row r="109" spans="1:20" s="193" customFormat="1" ht="10.5" customHeight="1">
      <c r="A109" s="194"/>
      <c r="B109" s="1354" t="str">
        <f>CF!B12</f>
        <v>Increase (+) / decrease (-) in other liabilities</v>
      </c>
      <c r="C109" s="1353"/>
      <c r="D109" s="1302">
        <f>IFERROR(ROUND(INDEX(CF!$B$4:$Q$41,MATCH($B109,CF!$B$4:$B$41,0),MATCH(D$101,CF!$B$4:$Q$4,0))/1000,$H$2),"")</f>
        <v>0</v>
      </c>
      <c r="E109" s="1302">
        <f>IFERROR(ROUND(INDEX(CF!$B$4:$Q$41,MATCH($B109,CF!$B$4:$B$41,0),MATCH(E$101,CF!$B$4:$Q$4,0))/1000,$H$2),"")</f>
        <v>83.6</v>
      </c>
      <c r="F109" s="1302">
        <f>IFERROR(ROUND(INDEX(CF!$B$4:$Q$41,MATCH($B109,CF!$B$4:$B$41,0),MATCH(F$101,CF!$B$4:$Q$4,0))/1000,$H$2),"")</f>
        <v>83.6</v>
      </c>
      <c r="G109" s="1302">
        <f>IFERROR(ROUND(INDEX(CF!$B$4:$Q$41,MATCH($B109,CF!$B$4:$B$41,0),MATCH(G$101,CF!$B$4:$Q$4,0))/1000,$H$2),"")</f>
        <v>-236</v>
      </c>
      <c r="H109" s="1302">
        <f>IFERROR(ROUND(INDEX(CF!$B$4:$Q$41,MATCH($B109,CF!$B$4:$B$41,0),MATCH(H$101,CF!$B$4:$Q$4,0))/1000,$H$2),"")</f>
        <v>67.400000000000006</v>
      </c>
      <c r="I109" s="1302">
        <f>IFERROR(ROUND(INDEX(CF!$B$4:$Q$41,MATCH($B109,CF!$B$4:$B$41,0),MATCH(I$101,CF!$B$4:$Q$4,0))/1000,$J$2),"")</f>
        <v>-1138.2</v>
      </c>
      <c r="J109" s="1302">
        <f>IFERROR(ROUND(INDEX(CF!$B$4:$Q$41,MATCH($B109,CF!$B$4:$B$41,0),MATCH(J$101,CF!$B$4:$Q$4,0))/1000,$J$2),"")</f>
        <v>0</v>
      </c>
      <c r="K109" s="1302">
        <f>IFERROR(ROUND(INDEX(CF!$B$4:$Q$41,MATCH($B109,CF!$B$4:$B$41,0),MATCH(K$101,CF!$B$4:$Q$4,0))/1000,$J$2),"")</f>
        <v>0</v>
      </c>
      <c r="L109" s="1302">
        <f>IFERROR(ROUND(INDEX(CF!$B$4:$Q$41,MATCH($B109,CF!$B$4:$B$41,0),MATCH(L$101,CF!$B$4:$Q$4,0))/1000,$J$2),"")</f>
        <v>0</v>
      </c>
      <c r="M109" s="1302" t="str">
        <f>IFERROR(ROUND(INDEX(CF!$B$4:$Q$41,MATCH($B109,CF!$B$4:$B$41,0),MATCH(M$101,CF!$B$4:$Q$4,0))/1000,$J$2),"")</f>
        <v/>
      </c>
      <c r="N109" s="1302" t="str">
        <f>IFERROR(ROUND(INDEX(CF!$B$4:$Q$41,MATCH($B109,CF!$B$4:$B$41,0),MATCH(N$101,CF!$B$4:$Q$4,0))/1000,$J$2),"")</f>
        <v/>
      </c>
      <c r="O109" s="1302" t="str">
        <f>IFERROR(ROUND(INDEX(CF!$B$4:$Q$41,MATCH($B109,CF!$B$4:$B$41,0),MATCH(O$101,CF!$B$4:$Q$4,0))/1000,$J$2),"")</f>
        <v/>
      </c>
      <c r="P109" s="1302" t="str">
        <f>IFERROR(ROUND(INDEX(CF!$B$4:$Q$41,MATCH($B109,CF!$B$4:$B$41,0),MATCH(P$101,CF!$B$4:$Q$4,0))/1000,$J$2),"")</f>
        <v/>
      </c>
      <c r="Q109" s="1302" t="str">
        <f>IFERROR(ROUND(INDEX(CF!$B$4:$Q$41,MATCH($B109,CF!$B$4:$B$41,0),MATCH(Q$101,CF!$B$4:$Q$4,0))/1000,$J$2),"")</f>
        <v/>
      </c>
      <c r="R109" s="11"/>
      <c r="S109" s="11"/>
      <c r="T109" s="11"/>
    </row>
    <row r="110" spans="1:20" s="193" customFormat="1" ht="10.5" customHeight="1">
      <c r="A110" s="194"/>
      <c r="B110" s="1354" t="str">
        <f>CF!B13</f>
        <v>Increase (+) / decrease (-) in accrued expenses and deferred income</v>
      </c>
      <c r="C110" s="1353"/>
      <c r="D110" s="1302">
        <f>IFERROR(ROUND(INDEX(CF!$B$4:$Q$41,MATCH($B110,CF!$B$4:$B$41,0),MATCH(D$101,CF!$B$4:$Q$4,0))/1000,$H$2),"")</f>
        <v>0</v>
      </c>
      <c r="E110" s="1302">
        <f>IFERROR(ROUND(INDEX(CF!$B$4:$Q$41,MATCH($B110,CF!$B$4:$B$41,0),MATCH(E$101,CF!$B$4:$Q$4,0))/1000,$H$2),"")</f>
        <v>0</v>
      </c>
      <c r="F110" s="1302">
        <f>IFERROR(ROUND(INDEX(CF!$B$4:$Q$41,MATCH($B110,CF!$B$4:$B$41,0),MATCH(F$101,CF!$B$4:$Q$4,0))/1000,$H$2),"")</f>
        <v>0</v>
      </c>
      <c r="G110" s="1302">
        <f>IFERROR(ROUND(INDEX(CF!$B$4:$Q$41,MATCH($B110,CF!$B$4:$B$41,0),MATCH(G$101,CF!$B$4:$Q$4,0))/1000,$H$2),"")</f>
        <v>0</v>
      </c>
      <c r="H110" s="1302">
        <f>IFERROR(ROUND(INDEX(CF!$B$4:$Q$41,MATCH($B110,CF!$B$4:$B$41,0),MATCH(H$101,CF!$B$4:$Q$4,0))/1000,$H$2),"")</f>
        <v>0</v>
      </c>
      <c r="I110" s="1302">
        <f>IFERROR(ROUND(INDEX(CF!$B$4:$Q$41,MATCH($B110,CF!$B$4:$B$41,0),MATCH(I$101,CF!$B$4:$Q$4,0))/1000,$J$2),"")</f>
        <v>0</v>
      </c>
      <c r="J110" s="1302">
        <f>IFERROR(ROUND(INDEX(CF!$B$4:$Q$41,MATCH($B110,CF!$B$4:$B$41,0),MATCH(J$101,CF!$B$4:$Q$4,0))/1000,$J$2),"")</f>
        <v>0</v>
      </c>
      <c r="K110" s="1302">
        <f>IFERROR(ROUND(INDEX(CF!$B$4:$Q$41,MATCH($B110,CF!$B$4:$B$41,0),MATCH(K$101,CF!$B$4:$Q$4,0))/1000,$J$2),"")</f>
        <v>0</v>
      </c>
      <c r="L110" s="1302">
        <f>IFERROR(ROUND(INDEX(CF!$B$4:$Q$41,MATCH($B110,CF!$B$4:$B$41,0),MATCH(L$101,CF!$B$4:$Q$4,0))/1000,$J$2),"")</f>
        <v>0</v>
      </c>
      <c r="M110" s="1302" t="str">
        <f>IFERROR(ROUND(INDEX(CF!$B$4:$Q$41,MATCH($B110,CF!$B$4:$B$41,0),MATCH(M$101,CF!$B$4:$Q$4,0))/1000,$J$2),"")</f>
        <v/>
      </c>
      <c r="N110" s="1302" t="str">
        <f>IFERROR(ROUND(INDEX(CF!$B$4:$Q$41,MATCH($B110,CF!$B$4:$B$41,0),MATCH(N$101,CF!$B$4:$Q$4,0))/1000,$J$2),"")</f>
        <v/>
      </c>
      <c r="O110" s="1302" t="str">
        <f>IFERROR(ROUND(INDEX(CF!$B$4:$Q$41,MATCH($B110,CF!$B$4:$B$41,0),MATCH(O$101,CF!$B$4:$Q$4,0))/1000,$J$2),"")</f>
        <v/>
      </c>
      <c r="P110" s="1302" t="str">
        <f>IFERROR(ROUND(INDEX(CF!$B$4:$Q$41,MATCH($B110,CF!$B$4:$B$41,0),MATCH(P$101,CF!$B$4:$Q$4,0))/1000,$J$2),"")</f>
        <v/>
      </c>
      <c r="Q110" s="1302" t="str">
        <f>IFERROR(ROUND(INDEX(CF!$B$4:$Q$41,MATCH($B110,CF!$B$4:$B$41,0),MATCH(Q$101,CF!$B$4:$Q$4,0))/1000,$J$2),"")</f>
        <v/>
      </c>
      <c r="R110" s="11"/>
      <c r="S110" s="11"/>
      <c r="T110" s="11"/>
    </row>
    <row r="111" spans="1:20" s="193" customFormat="1" ht="10.5" customHeight="1">
      <c r="A111" s="194"/>
      <c r="B111" s="1354" t="str">
        <f>CF!B14</f>
        <v>Increase (+) / decrease (-) in deferred tax liabilities</v>
      </c>
      <c r="C111" s="1353"/>
      <c r="D111" s="1302">
        <f>IFERROR(ROUND(INDEX(CF!$B$4:$Q$41,MATCH($B111,CF!$B$4:$B$41,0),MATCH(D$101,CF!$B$4:$Q$4,0))/1000,$H$2),"")</f>
        <v>0</v>
      </c>
      <c r="E111" s="1302">
        <f>IFERROR(ROUND(INDEX(CF!$B$4:$Q$41,MATCH($B111,CF!$B$4:$B$41,0),MATCH(E$101,CF!$B$4:$Q$4,0))/1000,$H$2),"")</f>
        <v>0</v>
      </c>
      <c r="F111" s="1302">
        <f>IFERROR(ROUND(INDEX(CF!$B$4:$Q$41,MATCH($B111,CF!$B$4:$B$41,0),MATCH(F$101,CF!$B$4:$Q$4,0))/1000,$H$2),"")</f>
        <v>0</v>
      </c>
      <c r="G111" s="1302">
        <f>IFERROR(ROUND(INDEX(CF!$B$4:$Q$41,MATCH($B111,CF!$B$4:$B$41,0),MATCH(G$101,CF!$B$4:$Q$4,0))/1000,$H$2),"")</f>
        <v>0</v>
      </c>
      <c r="H111" s="1302">
        <f>IFERROR(ROUND(INDEX(CF!$B$4:$Q$41,MATCH($B111,CF!$B$4:$B$41,0),MATCH(H$101,CF!$B$4:$Q$4,0))/1000,$H$2),"")</f>
        <v>0</v>
      </c>
      <c r="I111" s="1302">
        <f>IFERROR(ROUND(INDEX(CF!$B$4:$Q$41,MATCH($B111,CF!$B$4:$B$41,0),MATCH(I$101,CF!$B$4:$Q$4,0))/1000,$J$2),"")</f>
        <v>0</v>
      </c>
      <c r="J111" s="1302">
        <f>IFERROR(ROUND(INDEX(CF!$B$4:$Q$41,MATCH($B111,CF!$B$4:$B$41,0),MATCH(J$101,CF!$B$4:$Q$4,0))/1000,$J$2),"")</f>
        <v>0</v>
      </c>
      <c r="K111" s="1302">
        <f>IFERROR(ROUND(INDEX(CF!$B$4:$Q$41,MATCH($B111,CF!$B$4:$B$41,0),MATCH(K$101,CF!$B$4:$Q$4,0))/1000,$J$2),"")</f>
        <v>0</v>
      </c>
      <c r="L111" s="1302">
        <f>IFERROR(ROUND(INDEX(CF!$B$4:$Q$41,MATCH($B111,CF!$B$4:$B$41,0),MATCH(L$101,CF!$B$4:$Q$4,0))/1000,$J$2),"")</f>
        <v>0</v>
      </c>
      <c r="M111" s="1302" t="str">
        <f>IFERROR(ROUND(INDEX(CF!$B$4:$Q$41,MATCH($B111,CF!$B$4:$B$41,0),MATCH(M$101,CF!$B$4:$Q$4,0))/1000,$J$2),"")</f>
        <v/>
      </c>
      <c r="N111" s="1302" t="str">
        <f>IFERROR(ROUND(INDEX(CF!$B$4:$Q$41,MATCH($B111,CF!$B$4:$B$41,0),MATCH(N$101,CF!$B$4:$Q$4,0))/1000,$J$2),"")</f>
        <v/>
      </c>
      <c r="O111" s="1302" t="str">
        <f>IFERROR(ROUND(INDEX(CF!$B$4:$Q$41,MATCH($B111,CF!$B$4:$B$41,0),MATCH(O$101,CF!$B$4:$Q$4,0))/1000,$J$2),"")</f>
        <v/>
      </c>
      <c r="P111" s="1302" t="str">
        <f>IFERROR(ROUND(INDEX(CF!$B$4:$Q$41,MATCH($B111,CF!$B$4:$B$41,0),MATCH(P$101,CF!$B$4:$Q$4,0))/1000,$J$2),"")</f>
        <v/>
      </c>
      <c r="Q111" s="1302" t="str">
        <f>IFERROR(ROUND(INDEX(CF!$B$4:$Q$41,MATCH($B111,CF!$B$4:$B$41,0),MATCH(Q$101,CF!$B$4:$Q$4,0))/1000,$J$2),"")</f>
        <v/>
      </c>
      <c r="R111" s="11"/>
      <c r="S111" s="11"/>
      <c r="T111" s="11"/>
    </row>
    <row r="112" spans="1:20" s="193" customFormat="1" ht="10.5" customHeight="1">
      <c r="A112" s="194"/>
      <c r="B112" s="1349" t="str">
        <f>CF!B15</f>
        <v>Working Capital</v>
      </c>
      <c r="C112" s="1353"/>
      <c r="D112" s="1351">
        <f>IFERROR(ROUND(INDEX(CF!$B$4:$Q$41,MATCH($B112,CF!$B$4:$B$41,0),MATCH(D$101,CF!$B$4:$Q$4,0))/1000,$H$2),"")</f>
        <v>0</v>
      </c>
      <c r="E112" s="1351">
        <f>IFERROR(ROUND(INDEX(CF!$B$4:$Q$41,MATCH($B112,CF!$B$4:$B$41,0),MATCH(E$101,CF!$B$4:$Q$4,0))/1000,$H$2),"")</f>
        <v>0</v>
      </c>
      <c r="F112" s="1351">
        <f>IFERROR(ROUND(INDEX(CF!$B$4:$Q$41,MATCH($B112,CF!$B$4:$B$41,0),MATCH(F$101,CF!$B$4:$Q$4,0))/1000,$H$2),"")</f>
        <v>0</v>
      </c>
      <c r="G112" s="1351">
        <f>IFERROR(ROUND(INDEX(CF!$B$4:$Q$41,MATCH($B112,CF!$B$4:$B$41,0),MATCH(G$101,CF!$B$4:$Q$4,0))/1000,$H$2),"")</f>
        <v>0</v>
      </c>
      <c r="H112" s="1351">
        <f>IFERROR(ROUND(INDEX(CF!$B$4:$Q$41,MATCH($B112,CF!$B$4:$B$41,0),MATCH(H$101,CF!$B$4:$Q$4,0))/1000,$H$2),"")</f>
        <v>0</v>
      </c>
      <c r="I112" s="1351">
        <f>IFERROR(ROUND(INDEX(CF!$B$4:$Q$41,MATCH($B112,CF!$B$4:$B$41,0),MATCH(I$101,CF!$B$4:$Q$4,0))/1000,$J$2),"")</f>
        <v>0</v>
      </c>
      <c r="J112" s="1351">
        <f>IFERROR(ROUND(INDEX(CF!$B$4:$Q$41,MATCH($B112,CF!$B$4:$B$41,0),MATCH(J$101,CF!$B$4:$Q$4,0))/1000,$J$2),"")</f>
        <v>0</v>
      </c>
      <c r="K112" s="1351">
        <f>IFERROR(ROUND(INDEX(CF!$B$4:$Q$41,MATCH($B112,CF!$B$4:$B$41,0),MATCH(K$101,CF!$B$4:$Q$4,0))/1000,$J$2),"")</f>
        <v>0</v>
      </c>
      <c r="L112" s="1351">
        <f>IFERROR(ROUND(INDEX(CF!$B$4:$Q$41,MATCH($B112,CF!$B$4:$B$41,0),MATCH(L$101,CF!$B$4:$Q$4,0))/1000,$J$2),"")</f>
        <v>0</v>
      </c>
      <c r="M112" s="1351">
        <f>IFERROR(ROUND(INDEX(CF!$B$4:$Q$41,MATCH($B112,CF!$B$4:$B$41,0),MATCH(M$101,CF!$B$4:$Q$4,0))/1000,$J$2),"")</f>
        <v>0</v>
      </c>
      <c r="N112" s="1351">
        <f>IFERROR(ROUND(INDEX(CF!$B$4:$Q$41,MATCH($B112,CF!$B$4:$B$41,0),MATCH(N$101,CF!$B$4:$Q$4,0))/1000,$J$2),"")</f>
        <v>0</v>
      </c>
      <c r="O112" s="1351">
        <f>IFERROR(ROUND(INDEX(CF!$B$4:$Q$41,MATCH($B112,CF!$B$4:$B$41,0),MATCH(O$101,CF!$B$4:$Q$4,0))/1000,$J$2),"")</f>
        <v>0</v>
      </c>
      <c r="P112" s="1351">
        <f>IFERROR(ROUND(INDEX(CF!$B$4:$Q$41,MATCH($B112,CF!$B$4:$B$41,0),MATCH(P$101,CF!$B$4:$Q$4,0))/1000,$J$2),"")</f>
        <v>0</v>
      </c>
      <c r="Q112" s="1351">
        <f>IFERROR(ROUND(INDEX(CF!$B$4:$Q$41,MATCH($B112,CF!$B$4:$B$41,0),MATCH(Q$101,CF!$B$4:$Q$4,0))/1000,$J$2),"")</f>
        <v>0</v>
      </c>
      <c r="R112" s="11"/>
      <c r="S112" s="11"/>
      <c r="T112" s="11"/>
    </row>
    <row r="113" spans="1:20" s="193" customFormat="1" ht="10.5" customHeight="1">
      <c r="A113" s="194"/>
      <c r="B113" s="1354" t="str">
        <f>CF!B16</f>
        <v>Increase (-) / decrease (+) in working capital</v>
      </c>
      <c r="C113" s="1353"/>
      <c r="D113" s="1302">
        <f>IFERROR(ROUND(INDEX(CF!$B$4:$Q$41,MATCH($B113,CF!$B$4:$B$41,0),MATCH(D$101,CF!$B$4:$Q$4,0))/1000,$H$2),"")</f>
        <v>0</v>
      </c>
      <c r="E113" s="1302">
        <f>IFERROR(ROUND(INDEX(CF!$B$4:$Q$41,MATCH($B113,CF!$B$4:$B$41,0),MATCH(E$101,CF!$B$4:$Q$4,0))/1000,$H$2),"")</f>
        <v>-6608.1</v>
      </c>
      <c r="F113" s="1302">
        <f>IFERROR(ROUND(INDEX(CF!$B$4:$Q$41,MATCH($B113,CF!$B$4:$B$41,0),MATCH(F$101,CF!$B$4:$Q$4,0))/1000,$H$2),"")</f>
        <v>697.8</v>
      </c>
      <c r="G113" s="1302" t="str">
        <f>IFERROR(ROUND(INDEX(CF!$B$4:$Q$41,MATCH($B113,CF!$B$4:$B$41,0),MATCH(G$101,CF!$B$4:$Q$4,0))/1000,$H$2),"")</f>
        <v/>
      </c>
      <c r="H113" s="1302" t="str">
        <f>IFERROR(ROUND(INDEX(CF!$B$4:$Q$41,MATCH($B113,CF!$B$4:$B$41,0),MATCH(H$101,CF!$B$4:$Q$4,0))/1000,$H$2),"")</f>
        <v/>
      </c>
      <c r="I113" s="1302" t="str">
        <f>IFERROR(ROUND(INDEX(CF!$B$4:$Q$41,MATCH($B113,CF!$B$4:$B$41,0),MATCH(I$101,CF!$B$4:$Q$4,0))/1000,$J$2),"")</f>
        <v/>
      </c>
      <c r="J113" s="1302">
        <f>IFERROR(ROUND(INDEX(CF!$B$4:$Q$41,MATCH($B113,CF!$B$4:$B$41,0),MATCH(J$101,CF!$B$4:$Q$4,0))/1000,$J$2),"")</f>
        <v>0</v>
      </c>
      <c r="K113" s="1302">
        <f>IFERROR(ROUND(INDEX(CF!$B$4:$Q$41,MATCH($B113,CF!$B$4:$B$41,0),MATCH(K$101,CF!$B$4:$Q$4,0))/1000,$J$2),"")</f>
        <v>0</v>
      </c>
      <c r="L113" s="1302">
        <f>IFERROR(ROUND(INDEX(CF!$B$4:$Q$41,MATCH($B113,CF!$B$4:$B$41,0),MATCH(L$101,CF!$B$4:$Q$4,0))/1000,$J$2),"")</f>
        <v>0</v>
      </c>
      <c r="M113" s="1302" t="str">
        <f>IFERROR(ROUND(INDEX(CF!$B$4:$Q$41,MATCH($B113,CF!$B$4:$B$41,0),MATCH(M$101,CF!$B$4:$Q$4,0))/1000,$J$2),"")</f>
        <v/>
      </c>
      <c r="N113" s="1302" t="str">
        <f>IFERROR(ROUND(INDEX(CF!$B$4:$Q$41,MATCH($B113,CF!$B$4:$B$41,0),MATCH(N$101,CF!$B$4:$Q$4,0))/1000,$J$2),"")</f>
        <v/>
      </c>
      <c r="O113" s="1302" t="str">
        <f>IFERROR(ROUND(INDEX(CF!$B$4:$Q$41,MATCH($B113,CF!$B$4:$B$41,0),MATCH(O$101,CF!$B$4:$Q$4,0))/1000,$J$2),"")</f>
        <v/>
      </c>
      <c r="P113" s="1302" t="str">
        <f>IFERROR(ROUND(INDEX(CF!$B$4:$Q$41,MATCH($B113,CF!$B$4:$B$41,0),MATCH(P$101,CF!$B$4:$Q$4,0))/1000,$J$2),"")</f>
        <v/>
      </c>
      <c r="Q113" s="1302" t="str">
        <f>IFERROR(ROUND(INDEX(CF!$B$4:$Q$41,MATCH($B113,CF!$B$4:$B$41,0),MATCH(Q$101,CF!$B$4:$Q$4,0))/1000,$J$2),"")</f>
        <v/>
      </c>
      <c r="R113" s="11"/>
      <c r="S113" s="11"/>
      <c r="T113" s="11"/>
    </row>
    <row r="114" spans="1:20" s="193" customFormat="1" ht="10.5" customHeight="1">
      <c r="A114" s="194"/>
      <c r="B114" s="1349" t="str">
        <f>CF!B17</f>
        <v>Assets</v>
      </c>
      <c r="C114" s="1353"/>
      <c r="D114" s="1351">
        <f>IFERROR(ROUND(INDEX(CF!$B$4:$Q$41,MATCH($B114,CF!$B$4:$B$41,0),MATCH(D$101,CF!$B$4:$Q$4,0))/1000,$H$2),"")</f>
        <v>0</v>
      </c>
      <c r="E114" s="1351">
        <f>IFERROR(ROUND(INDEX(CF!$B$4:$Q$41,MATCH($B114,CF!$B$4:$B$41,0),MATCH(E$101,CF!$B$4:$Q$4,0))/1000,$H$2),"")</f>
        <v>0</v>
      </c>
      <c r="F114" s="1351">
        <f>IFERROR(ROUND(INDEX(CF!$B$4:$Q$41,MATCH($B114,CF!$B$4:$B$41,0),MATCH(F$101,CF!$B$4:$Q$4,0))/1000,$H$2),"")</f>
        <v>0</v>
      </c>
      <c r="G114" s="1351">
        <f>IFERROR(ROUND(INDEX(CF!$B$4:$Q$41,MATCH($B114,CF!$B$4:$B$41,0),MATCH(G$101,CF!$B$4:$Q$4,0))/1000,$H$2),"")</f>
        <v>0</v>
      </c>
      <c r="H114" s="1351">
        <f>IFERROR(ROUND(INDEX(CF!$B$4:$Q$41,MATCH($B114,CF!$B$4:$B$41,0),MATCH(H$101,CF!$B$4:$Q$4,0))/1000,$H$2),"")</f>
        <v>0</v>
      </c>
      <c r="I114" s="1351">
        <f>IFERROR(ROUND(INDEX(CF!$B$4:$Q$41,MATCH($B114,CF!$B$4:$B$41,0),MATCH(I$101,CF!$B$4:$Q$4,0))/1000,$J$2),"")</f>
        <v>0</v>
      </c>
      <c r="J114" s="1351">
        <f>IFERROR(ROUND(INDEX(CF!$B$4:$Q$41,MATCH($B114,CF!$B$4:$B$41,0),MATCH(J$101,CF!$B$4:$Q$4,0))/1000,$J$2),"")</f>
        <v>0</v>
      </c>
      <c r="K114" s="1351">
        <f>IFERROR(ROUND(INDEX(CF!$B$4:$Q$41,MATCH($B114,CF!$B$4:$B$41,0),MATCH(K$101,CF!$B$4:$Q$4,0))/1000,$J$2),"")</f>
        <v>0</v>
      </c>
      <c r="L114" s="1351">
        <f>IFERROR(ROUND(INDEX(CF!$B$4:$Q$41,MATCH($B114,CF!$B$4:$B$41,0),MATCH(L$101,CF!$B$4:$Q$4,0))/1000,$J$2),"")</f>
        <v>0</v>
      </c>
      <c r="M114" s="1351">
        <f>IFERROR(ROUND(INDEX(CF!$B$4:$Q$41,MATCH($B114,CF!$B$4:$B$41,0),MATCH(M$101,CF!$B$4:$Q$4,0))/1000,$J$2),"")</f>
        <v>0</v>
      </c>
      <c r="N114" s="1351">
        <f>IFERROR(ROUND(INDEX(CF!$B$4:$Q$41,MATCH($B114,CF!$B$4:$B$41,0),MATCH(N$101,CF!$B$4:$Q$4,0))/1000,$J$2),"")</f>
        <v>0</v>
      </c>
      <c r="O114" s="1351">
        <f>IFERROR(ROUND(INDEX(CF!$B$4:$Q$41,MATCH($B114,CF!$B$4:$B$41,0),MATCH(O$101,CF!$B$4:$Q$4,0))/1000,$J$2),"")</f>
        <v>0</v>
      </c>
      <c r="P114" s="1351">
        <f>IFERROR(ROUND(INDEX(CF!$B$4:$Q$41,MATCH($B114,CF!$B$4:$B$41,0),MATCH(P$101,CF!$B$4:$Q$4,0))/1000,$J$2),"")</f>
        <v>0</v>
      </c>
      <c r="Q114" s="1351">
        <f>IFERROR(ROUND(INDEX(CF!$B$4:$Q$41,MATCH($B114,CF!$B$4:$B$41,0),MATCH(Q$101,CF!$B$4:$Q$4,0))/1000,$J$2),"")</f>
        <v>0</v>
      </c>
      <c r="R114" s="11"/>
      <c r="S114" s="11"/>
      <c r="T114" s="11"/>
    </row>
    <row r="115" spans="1:20" s="1213" customFormat="1" ht="10.5" customHeight="1">
      <c r="A115" s="196"/>
      <c r="B115" s="1354" t="str">
        <f>CF!B18</f>
        <v>Depreciation (+) / write-ups (-) on non-financial assets</v>
      </c>
      <c r="C115" s="1355"/>
      <c r="D115" s="1302">
        <f>IFERROR(ROUND(INDEX(CF!$B$4:$Q$41,MATCH($B115,CF!$B$4:$B$41,0),MATCH(D$101,CF!$B$4:$Q$4,0))/1000,$H$2),"")</f>
        <v>0</v>
      </c>
      <c r="E115" s="1302">
        <f>IFERROR(ROUND(INDEX(CF!$B$4:$Q$41,MATCH($B115,CF!$B$4:$B$41,0),MATCH(E$101,CF!$B$4:$Q$4,0))/1000,$H$2),"")</f>
        <v>0</v>
      </c>
      <c r="F115" s="1302">
        <f>IFERROR(ROUND(INDEX(CF!$B$4:$Q$41,MATCH($B115,CF!$B$4:$B$41,0),MATCH(F$101,CF!$B$4:$Q$4,0))/1000,$H$2),"")</f>
        <v>0</v>
      </c>
      <c r="G115" s="1302">
        <f>IFERROR(ROUND(INDEX(CF!$B$4:$Q$41,MATCH($B115,CF!$B$4:$B$41,0),MATCH(G$101,CF!$B$4:$Q$4,0))/1000,$H$2),"")</f>
        <v>0</v>
      </c>
      <c r="H115" s="1302">
        <f>IFERROR(ROUND(INDEX(CF!$B$4:$Q$41,MATCH($B115,CF!$B$4:$B$41,0),MATCH(H$101,CF!$B$4:$Q$4,0))/1000,$H$2),"")</f>
        <v>0</v>
      </c>
      <c r="I115" s="1302">
        <f>IFERROR(ROUND(INDEX(CF!$B$4:$Q$41,MATCH($B115,CF!$B$4:$B$41,0),MATCH(I$101,CF!$B$4:$Q$4,0))/1000,$J$2),"")</f>
        <v>0</v>
      </c>
      <c r="J115" s="1302">
        <f>IFERROR(ROUND(INDEX(CF!$B$4:$Q$41,MATCH($B115,CF!$B$4:$B$41,0),MATCH(J$101,CF!$B$4:$Q$4,0))/1000,$J$2),"")</f>
        <v>0</v>
      </c>
      <c r="K115" s="1302">
        <f>IFERROR(ROUND(INDEX(CF!$B$4:$Q$41,MATCH($B115,CF!$B$4:$B$41,0),MATCH(K$101,CF!$B$4:$Q$4,0))/1000,$J$2),"")</f>
        <v>0</v>
      </c>
      <c r="L115" s="1302">
        <f>IFERROR(ROUND(INDEX(CF!$B$4:$Q$41,MATCH($B115,CF!$B$4:$B$41,0),MATCH(L$101,CF!$B$4:$Q$4,0))/1000,$J$2),"")</f>
        <v>0</v>
      </c>
      <c r="M115" s="1302">
        <f>IFERROR(ROUND(INDEX(CF!$B$4:$Q$41,MATCH($B115,CF!$B$4:$B$41,0),MATCH(M$101,CF!$B$4:$Q$4,0))/1000,$J$2),"")</f>
        <v>0</v>
      </c>
      <c r="N115" s="1302">
        <f>IFERROR(ROUND(INDEX(CF!$B$4:$Q$41,MATCH($B115,CF!$B$4:$B$41,0),MATCH(N$101,CF!$B$4:$Q$4,0))/1000,$J$2),"")</f>
        <v>0</v>
      </c>
      <c r="O115" s="1302">
        <f>IFERROR(ROUND(INDEX(CF!$B$4:$Q$41,MATCH($B115,CF!$B$4:$B$41,0),MATCH(O$101,CF!$B$4:$Q$4,0))/1000,$J$2),"")</f>
        <v>0</v>
      </c>
      <c r="P115" s="1302">
        <f>IFERROR(ROUND(INDEX(CF!$B$4:$Q$41,MATCH($B115,CF!$B$4:$B$41,0),MATCH(P$101,CF!$B$4:$Q$4,0))/1000,$J$2),"")</f>
        <v>0</v>
      </c>
      <c r="Q115" s="1302">
        <f>IFERROR(ROUND(INDEX(CF!$B$4:$Q$41,MATCH($B115,CF!$B$4:$B$41,0),MATCH(Q$101,CF!$B$4:$Q$4,0))/1000,$J$2),"")</f>
        <v>0</v>
      </c>
      <c r="R115" s="11"/>
      <c r="S115" s="11"/>
      <c r="T115" s="11"/>
    </row>
    <row r="116" spans="1:20" s="193" customFormat="1" ht="10.5" customHeight="1">
      <c r="A116" s="194"/>
      <c r="B116" s="1354" t="str">
        <f>CF!B19</f>
        <v>Increase (-) / decrease (+) in other assets</v>
      </c>
      <c r="C116" s="1350"/>
      <c r="D116" s="1302">
        <f>IFERROR(ROUND(INDEX(CF!$B$4:$Q$41,MATCH($B116,CF!$B$4:$B$41,0),MATCH(D$101,CF!$B$4:$Q$4,0))/1000,$H$2),"")</f>
        <v>0</v>
      </c>
      <c r="E116" s="1302">
        <f>IFERROR(ROUND(INDEX(CF!$B$4:$Q$41,MATCH($B116,CF!$B$4:$B$41,0),MATCH(E$101,CF!$B$4:$Q$4,0))/1000,$H$2),"")</f>
        <v>-982.6</v>
      </c>
      <c r="F116" s="1302">
        <f>IFERROR(ROUND(INDEX(CF!$B$4:$Q$41,MATCH($B116,CF!$B$4:$B$41,0),MATCH(F$101,CF!$B$4:$Q$4,0))/1000,$H$2),"")</f>
        <v>748.4</v>
      </c>
      <c r="G116" s="1302">
        <f>IFERROR(ROUND(INDEX(CF!$B$4:$Q$41,MATCH($B116,CF!$B$4:$B$41,0),MATCH(G$101,CF!$B$4:$Q$4,0))/1000,$H$2),"")</f>
        <v>-87.8</v>
      </c>
      <c r="H116" s="1302">
        <f>IFERROR(ROUND(INDEX(CF!$B$4:$Q$41,MATCH($B116,CF!$B$4:$B$41,0),MATCH(H$101,CF!$B$4:$Q$4,0))/1000,$H$2),"")</f>
        <v>-157.19999999999999</v>
      </c>
      <c r="I116" s="1302">
        <f>IFERROR(ROUND(INDEX(CF!$B$4:$Q$41,MATCH($B116,CF!$B$4:$B$41,0),MATCH(I$101,CF!$B$4:$Q$4,0))/1000,$J$2),"")</f>
        <v>479.2</v>
      </c>
      <c r="J116" s="1302">
        <f>IFERROR(ROUND(INDEX(CF!$B$4:$Q$41,MATCH($B116,CF!$B$4:$B$41,0),MATCH(J$101,CF!$B$4:$Q$4,0))/1000,$J$2),"")</f>
        <v>0</v>
      </c>
      <c r="K116" s="1302">
        <f>IFERROR(ROUND(INDEX(CF!$B$4:$Q$41,MATCH($B116,CF!$B$4:$B$41,0),MATCH(K$101,CF!$B$4:$Q$4,0))/1000,$J$2),"")</f>
        <v>0</v>
      </c>
      <c r="L116" s="1302">
        <f>IFERROR(ROUND(INDEX(CF!$B$4:$Q$41,MATCH($B116,CF!$B$4:$B$41,0),MATCH(L$101,CF!$B$4:$Q$4,0))/1000,$J$2),"")</f>
        <v>0</v>
      </c>
      <c r="M116" s="1302" t="str">
        <f>IFERROR(ROUND(INDEX(CF!$B$4:$Q$41,MATCH($B116,CF!$B$4:$B$41,0),MATCH(M$101,CF!$B$4:$Q$4,0))/1000,$J$2),"")</f>
        <v/>
      </c>
      <c r="N116" s="1302" t="str">
        <f>IFERROR(ROUND(INDEX(CF!$B$4:$Q$41,MATCH($B116,CF!$B$4:$B$41,0),MATCH(N$101,CF!$B$4:$Q$4,0))/1000,$J$2),"")</f>
        <v/>
      </c>
      <c r="O116" s="1302" t="str">
        <f>IFERROR(ROUND(INDEX(CF!$B$4:$Q$41,MATCH($B116,CF!$B$4:$B$41,0),MATCH(O$101,CF!$B$4:$Q$4,0))/1000,$J$2),"")</f>
        <v/>
      </c>
      <c r="P116" s="1302" t="str">
        <f>IFERROR(ROUND(INDEX(CF!$B$4:$Q$41,MATCH($B116,CF!$B$4:$B$41,0),MATCH(P$101,CF!$B$4:$Q$4,0))/1000,$J$2),"")</f>
        <v/>
      </c>
      <c r="Q116" s="1302" t="str">
        <f>IFERROR(ROUND(INDEX(CF!$B$4:$Q$41,MATCH($B116,CF!$B$4:$B$41,0),MATCH(Q$101,CF!$B$4:$Q$4,0))/1000,$J$2),"")</f>
        <v/>
      </c>
      <c r="R116" s="11"/>
      <c r="S116" s="11"/>
      <c r="T116" s="11"/>
    </row>
    <row r="117" spans="1:20" s="193" customFormat="1" ht="10.5" customHeight="1">
      <c r="A117" s="194"/>
      <c r="B117" s="1354" t="str">
        <f>CF!B20</f>
        <v>Increase (-) / decrease (+) in prepaid expenses and deferred charges</v>
      </c>
      <c r="C117" s="1353"/>
      <c r="D117" s="1302">
        <f>IFERROR(ROUND(INDEX(CF!$B$4:$Q$41,MATCH($B117,CF!$B$4:$B$41,0),MATCH(D$101,CF!$B$4:$Q$4,0))/1000,$H$2),"")</f>
        <v>0</v>
      </c>
      <c r="E117" s="1302">
        <f>IFERROR(ROUND(INDEX(CF!$B$4:$Q$41,MATCH($B117,CF!$B$4:$B$41,0),MATCH(E$101,CF!$B$4:$Q$4,0))/1000,$H$2),"")</f>
        <v>-158.5</v>
      </c>
      <c r="F117" s="1302">
        <f>IFERROR(ROUND(INDEX(CF!$B$4:$Q$41,MATCH($B117,CF!$B$4:$B$41,0),MATCH(F$101,CF!$B$4:$Q$4,0))/1000,$H$2),"")</f>
        <v>-15.3</v>
      </c>
      <c r="G117" s="1302">
        <f>IFERROR(ROUND(INDEX(CF!$B$4:$Q$41,MATCH($B117,CF!$B$4:$B$41,0),MATCH(G$101,CF!$B$4:$Q$4,0))/1000,$H$2),"")</f>
        <v>-21.3</v>
      </c>
      <c r="H117" s="1302">
        <f>IFERROR(ROUND(INDEX(CF!$B$4:$Q$41,MATCH($B117,CF!$B$4:$B$41,0),MATCH(H$101,CF!$B$4:$Q$4,0))/1000,$H$2),"")</f>
        <v>27.1</v>
      </c>
      <c r="I117" s="1302">
        <f>IFERROR(ROUND(INDEX(CF!$B$4:$Q$41,MATCH($B117,CF!$B$4:$B$41,0),MATCH(I$101,CF!$B$4:$Q$4,0))/1000,$J$2),"")</f>
        <v>168.1</v>
      </c>
      <c r="J117" s="1302">
        <f>IFERROR(ROUND(INDEX(CF!$B$4:$Q$41,MATCH($B117,CF!$B$4:$B$41,0),MATCH(J$101,CF!$B$4:$Q$4,0))/1000,$J$2),"")</f>
        <v>0</v>
      </c>
      <c r="K117" s="1302">
        <f>IFERROR(ROUND(INDEX(CF!$B$4:$Q$41,MATCH($B117,CF!$B$4:$B$41,0),MATCH(K$101,CF!$B$4:$Q$4,0))/1000,$J$2),"")</f>
        <v>0</v>
      </c>
      <c r="L117" s="1302">
        <f>IFERROR(ROUND(INDEX(CF!$B$4:$Q$41,MATCH($B117,CF!$B$4:$B$41,0),MATCH(L$101,CF!$B$4:$Q$4,0))/1000,$J$2),"")</f>
        <v>0</v>
      </c>
      <c r="M117" s="1302" t="str">
        <f>IFERROR(ROUND(INDEX(CF!$B$4:$Q$41,MATCH($B117,CF!$B$4:$B$41,0),MATCH(M$101,CF!$B$4:$Q$4,0))/1000,$J$2),"")</f>
        <v/>
      </c>
      <c r="N117" s="1302" t="str">
        <f>IFERROR(ROUND(INDEX(CF!$B$4:$Q$41,MATCH($B117,CF!$B$4:$B$41,0),MATCH(N$101,CF!$B$4:$Q$4,0))/1000,$J$2),"")</f>
        <v/>
      </c>
      <c r="O117" s="1302" t="str">
        <f>IFERROR(ROUND(INDEX(CF!$B$4:$Q$41,MATCH($B117,CF!$B$4:$B$41,0),MATCH(O$101,CF!$B$4:$Q$4,0))/1000,$J$2),"")</f>
        <v/>
      </c>
      <c r="P117" s="1302" t="str">
        <f>IFERROR(ROUND(INDEX(CF!$B$4:$Q$41,MATCH($B117,CF!$B$4:$B$41,0),MATCH(P$101,CF!$B$4:$Q$4,0))/1000,$J$2),"")</f>
        <v/>
      </c>
      <c r="Q117" s="1302" t="str">
        <f>IFERROR(ROUND(INDEX(CF!$B$4:$Q$41,MATCH($B117,CF!$B$4:$B$41,0),MATCH(Q$101,CF!$B$4:$Q$4,0))/1000,$J$2),"")</f>
        <v/>
      </c>
      <c r="R117" s="11"/>
      <c r="S117" s="11"/>
      <c r="T117" s="11"/>
    </row>
    <row r="118" spans="1:20" s="193" customFormat="1" ht="10.5" customHeight="1">
      <c r="A118" s="194"/>
      <c r="B118" s="1354" t="str">
        <f>CF!B21</f>
        <v>Increase (-) / decrease (+) in deferred tax assets</v>
      </c>
      <c r="C118" s="1353"/>
      <c r="D118" s="1302">
        <f>IFERROR(ROUND(INDEX(CF!$B$4:$Q$41,MATCH($B118,CF!$B$4:$B$41,0),MATCH(D$101,CF!$B$4:$Q$4,0))/1000,$H$2),"")</f>
        <v>0</v>
      </c>
      <c r="E118" s="1302">
        <f>IFERROR(ROUND(INDEX(CF!$B$4:$Q$41,MATCH($B118,CF!$B$4:$B$41,0),MATCH(E$101,CF!$B$4:$Q$4,0))/1000,$H$2),"")</f>
        <v>0</v>
      </c>
      <c r="F118" s="1302">
        <f>IFERROR(ROUND(INDEX(CF!$B$4:$Q$41,MATCH($B118,CF!$B$4:$B$41,0),MATCH(F$101,CF!$B$4:$Q$4,0))/1000,$H$2),"")</f>
        <v>0</v>
      </c>
      <c r="G118" s="1302">
        <f>IFERROR(ROUND(INDEX(CF!$B$4:$Q$41,MATCH($B118,CF!$B$4:$B$41,0),MATCH(G$101,CF!$B$4:$Q$4,0))/1000,$H$2),"")</f>
        <v>0</v>
      </c>
      <c r="H118" s="1302">
        <f>IFERROR(ROUND(INDEX(CF!$B$4:$Q$41,MATCH($B118,CF!$B$4:$B$41,0),MATCH(H$101,CF!$B$4:$Q$4,0))/1000,$H$2),"")</f>
        <v>0</v>
      </c>
      <c r="I118" s="1302">
        <f>IFERROR(ROUND(INDEX(CF!$B$4:$Q$41,MATCH($B118,CF!$B$4:$B$41,0),MATCH(I$101,CF!$B$4:$Q$4,0))/1000,$J$2),"")</f>
        <v>0</v>
      </c>
      <c r="J118" s="1302">
        <f>IFERROR(ROUND(INDEX(CF!$B$4:$Q$41,MATCH($B118,CF!$B$4:$B$41,0),MATCH(J$101,CF!$B$4:$Q$4,0))/1000,$J$2),"")</f>
        <v>0</v>
      </c>
      <c r="K118" s="1302">
        <f>IFERROR(ROUND(INDEX(CF!$B$4:$Q$41,MATCH($B118,CF!$B$4:$B$41,0),MATCH(K$101,CF!$B$4:$Q$4,0))/1000,$J$2),"")</f>
        <v>0</v>
      </c>
      <c r="L118" s="1302">
        <f>IFERROR(ROUND(INDEX(CF!$B$4:$Q$41,MATCH($B118,CF!$B$4:$B$41,0),MATCH(L$101,CF!$B$4:$Q$4,0))/1000,$J$2),"")</f>
        <v>0</v>
      </c>
      <c r="M118" s="1302" t="str">
        <f>IFERROR(ROUND(INDEX(CF!$B$4:$Q$41,MATCH($B118,CF!$B$4:$B$41,0),MATCH(M$101,CF!$B$4:$Q$4,0))/1000,$J$2),"")</f>
        <v/>
      </c>
      <c r="N118" s="1302" t="str">
        <f>IFERROR(ROUND(INDEX(CF!$B$4:$Q$41,MATCH($B118,CF!$B$4:$B$41,0),MATCH(N$101,CF!$B$4:$Q$4,0))/1000,$J$2),"")</f>
        <v/>
      </c>
      <c r="O118" s="1302" t="str">
        <f>IFERROR(ROUND(INDEX(CF!$B$4:$Q$41,MATCH($B118,CF!$B$4:$B$41,0),MATCH(O$101,CF!$B$4:$Q$4,0))/1000,$J$2),"")</f>
        <v/>
      </c>
      <c r="P118" s="1302" t="str">
        <f>IFERROR(ROUND(INDEX(CF!$B$4:$Q$41,MATCH($B118,CF!$B$4:$B$41,0),MATCH(P$101,CF!$B$4:$Q$4,0))/1000,$J$2),"")</f>
        <v/>
      </c>
      <c r="Q118" s="1302" t="str">
        <f>IFERROR(ROUND(INDEX(CF!$B$4:$Q$41,MATCH($B118,CF!$B$4:$B$41,0),MATCH(Q$101,CF!$B$4:$Q$4,0))/1000,$J$2),"")</f>
        <v/>
      </c>
      <c r="R118" s="11"/>
      <c r="S118" s="11"/>
      <c r="T118" s="11"/>
    </row>
    <row r="119" spans="1:20" s="193" customFormat="1" ht="10.5" customHeight="1">
      <c r="A119" s="194"/>
      <c r="B119" s="1356" t="str">
        <f>CF!B22</f>
        <v>Cash Flow I from operating activities</v>
      </c>
      <c r="C119" s="1357"/>
      <c r="D119" s="1313">
        <f>IFERROR(ROUND(INDEX(CF!$B$4:$Q$41,MATCH($B119,CF!$B$4:$B$41,0),MATCH(D$101,CF!$B$4:$Q$4,0))/1000,$H$2),"")</f>
        <v>0</v>
      </c>
      <c r="E119" s="1313">
        <f>IFERROR(ROUND(INDEX(CF!$B$4:$Q$41,MATCH($B119,CF!$B$4:$B$41,0),MATCH(E$101,CF!$B$4:$Q$4,0))/1000,$H$2),"")</f>
        <v>-5690.5</v>
      </c>
      <c r="F119" s="1313">
        <f>IFERROR(ROUND(INDEX(CF!$B$4:$Q$41,MATCH($B119,CF!$B$4:$B$41,0),MATCH(F$101,CF!$B$4:$Q$4,0))/1000,$H$2),"")</f>
        <v>2805.7</v>
      </c>
      <c r="G119" s="1313" t="str">
        <f>IFERROR(ROUND(INDEX(CF!$B$4:$Q$41,MATCH($B119,CF!$B$4:$B$41,0),MATCH(G$101,CF!$B$4:$Q$4,0))/1000,$H$2),"")</f>
        <v/>
      </c>
      <c r="H119" s="1313" t="str">
        <f>IFERROR(ROUND(INDEX(CF!$B$4:$Q$41,MATCH($B119,CF!$B$4:$B$41,0),MATCH(H$101,CF!$B$4:$Q$4,0))/1000,$H$2),"")</f>
        <v/>
      </c>
      <c r="I119" s="1313" t="str">
        <f>IFERROR(ROUND(INDEX(CF!$B$4:$Q$41,MATCH($B119,CF!$B$4:$B$41,0),MATCH(I$101,CF!$B$4:$Q$4,0))/1000,$J$2),"")</f>
        <v/>
      </c>
      <c r="J119" s="1313">
        <f>IFERROR(ROUND(INDEX(CF!$B$4:$Q$41,MATCH($B119,CF!$B$4:$B$41,0),MATCH(J$101,CF!$B$4:$Q$4,0))/1000,$J$2),"")</f>
        <v>0</v>
      </c>
      <c r="K119" s="1313">
        <f>IFERROR(ROUND(INDEX(CF!$B$4:$Q$41,MATCH($B119,CF!$B$4:$B$41,0),MATCH(K$101,CF!$B$4:$Q$4,0))/1000,$J$2),"")</f>
        <v>0</v>
      </c>
      <c r="L119" s="1313">
        <f>IFERROR(ROUND(INDEX(CF!$B$4:$Q$41,MATCH($B119,CF!$B$4:$B$41,0),MATCH(L$101,CF!$B$4:$Q$4,0))/1000,$J$2),"")</f>
        <v>0</v>
      </c>
      <c r="M119" s="1313" t="str">
        <f>IFERROR(ROUND(INDEX(CF!$B$4:$Q$41,MATCH($B119,CF!$B$4:$B$41,0),MATCH(M$101,CF!$B$4:$Q$4,0))/1000,$J$2),"")</f>
        <v/>
      </c>
      <c r="N119" s="1313" t="str">
        <f>IFERROR(ROUND(INDEX(CF!$B$4:$Q$41,MATCH($B119,CF!$B$4:$B$41,0),MATCH(N$101,CF!$B$4:$Q$4,0))/1000,$J$2),"")</f>
        <v/>
      </c>
      <c r="O119" s="1313" t="str">
        <f>IFERROR(ROUND(INDEX(CF!$B$4:$Q$41,MATCH($B119,CF!$B$4:$B$41,0),MATCH(O$101,CF!$B$4:$Q$4,0))/1000,$J$2),"")</f>
        <v/>
      </c>
      <c r="P119" s="1313" t="str">
        <f>IFERROR(ROUND(INDEX(CF!$B$4:$Q$41,MATCH($B119,CF!$B$4:$B$41,0),MATCH(P$101,CF!$B$4:$Q$4,0))/1000,$J$2),"")</f>
        <v/>
      </c>
      <c r="Q119" s="1313" t="str">
        <f>IFERROR(ROUND(INDEX(CF!$B$4:$Q$41,MATCH($B119,CF!$B$4:$B$41,0),MATCH(Q$101,CF!$B$4:$Q$4,0))/1000,$J$2),"")</f>
        <v/>
      </c>
      <c r="R119" s="11"/>
      <c r="S119" s="11"/>
      <c r="T119" s="11"/>
    </row>
    <row r="120" spans="1:20" s="1213" customFormat="1" ht="6" customHeight="1">
      <c r="A120" s="196"/>
      <c r="B120" s="1358" t="str">
        <f>CF!B23</f>
        <v/>
      </c>
      <c r="C120" s="1355"/>
      <c r="D120" s="1351">
        <f>IFERROR(ROUND(INDEX(CF!$B$4:$Q$41,MATCH($B120,CF!$B$4:$B$41,0),MATCH(D$101,CF!$B$4:$Q$4,0))/1000,$H$2),"")</f>
        <v>0</v>
      </c>
      <c r="E120" s="1351">
        <f>IFERROR(ROUND(INDEX(CF!$B$4:$Q$41,MATCH($B120,CF!$B$4:$B$41,0),MATCH(E$101,CF!$B$4:$Q$4,0))/1000,$H$2),"")</f>
        <v>0</v>
      </c>
      <c r="F120" s="1351">
        <f>IFERROR(ROUND(INDEX(CF!$B$4:$Q$41,MATCH($B120,CF!$B$4:$B$41,0),MATCH(F$101,CF!$B$4:$Q$4,0))/1000,$H$2),"")</f>
        <v>0</v>
      </c>
      <c r="G120" s="1351">
        <f>IFERROR(ROUND(INDEX(CF!$B$4:$Q$41,MATCH($B120,CF!$B$4:$B$41,0),MATCH(G$101,CF!$B$4:$Q$4,0))/1000,$H$2),"")</f>
        <v>0</v>
      </c>
      <c r="H120" s="1351">
        <f>IFERROR(ROUND(INDEX(CF!$B$4:$Q$41,MATCH($B120,CF!$B$4:$B$41,0),MATCH(H$101,CF!$B$4:$Q$4,0))/1000,$H$2),"")</f>
        <v>0</v>
      </c>
      <c r="I120" s="1351">
        <f>IFERROR(ROUND(INDEX(CF!$B$4:$Q$41,MATCH($B120,CF!$B$4:$B$41,0),MATCH(I$101,CF!$B$4:$Q$4,0))/1000,$J$2),"")</f>
        <v>0</v>
      </c>
      <c r="J120" s="1351">
        <f>IFERROR(ROUND(INDEX(CF!$B$4:$Q$41,MATCH($B120,CF!$B$4:$B$41,0),MATCH(J$101,CF!$B$4:$Q$4,0))/1000,$J$2),"")</f>
        <v>0</v>
      </c>
      <c r="K120" s="1351">
        <f>IFERROR(ROUND(INDEX(CF!$B$4:$Q$41,MATCH($B120,CF!$B$4:$B$41,0),MATCH(K$101,CF!$B$4:$Q$4,0))/1000,$J$2),"")</f>
        <v>0</v>
      </c>
      <c r="L120" s="1351">
        <f>IFERROR(ROUND(INDEX(CF!$B$4:$Q$41,MATCH($B120,CF!$B$4:$B$41,0),MATCH(L$101,CF!$B$4:$Q$4,0))/1000,$J$2),"")</f>
        <v>0</v>
      </c>
      <c r="M120" s="1351">
        <f>IFERROR(ROUND(INDEX(CF!$B$4:$Q$41,MATCH($B120,CF!$B$4:$B$41,0),MATCH(M$101,CF!$B$4:$Q$4,0))/1000,$J$2),"")</f>
        <v>0</v>
      </c>
      <c r="N120" s="1351">
        <f>IFERROR(ROUND(INDEX(CF!$B$4:$Q$41,MATCH($B120,CF!$B$4:$B$41,0),MATCH(N$101,CF!$B$4:$Q$4,0))/1000,$J$2),"")</f>
        <v>0</v>
      </c>
      <c r="O120" s="1351">
        <f>IFERROR(ROUND(INDEX(CF!$B$4:$Q$41,MATCH($B120,CF!$B$4:$B$41,0),MATCH(O$101,CF!$B$4:$Q$4,0))/1000,$J$2),"")</f>
        <v>0</v>
      </c>
      <c r="P120" s="1351">
        <f>IFERROR(ROUND(INDEX(CF!$B$4:$Q$41,MATCH($B120,CF!$B$4:$B$41,0),MATCH(P$101,CF!$B$4:$Q$4,0))/1000,$J$2),"")</f>
        <v>0</v>
      </c>
      <c r="Q120" s="1351">
        <f>IFERROR(ROUND(INDEX(CF!$B$4:$Q$41,MATCH($B120,CF!$B$4:$B$41,0),MATCH(Q$101,CF!$B$4:$Q$4,0))/1000,$J$2),"")</f>
        <v>0</v>
      </c>
      <c r="R120" s="11"/>
      <c r="S120" s="11"/>
      <c r="T120" s="11"/>
    </row>
    <row r="121" spans="1:20" s="193" customFormat="1" ht="10.5" customHeight="1">
      <c r="A121" s="194"/>
      <c r="B121" s="1352" t="str">
        <f>CF!B24</f>
        <v xml:space="preserve">Cash outflows for investments/disposals/transfers to intangible assets </v>
      </c>
      <c r="C121" s="1350"/>
      <c r="D121" s="1302">
        <f>IFERROR(ROUND(INDEX(CF!$B$4:$Q$41,MATCH($B121,CF!$B$4:$B$41,0),MATCH(D$101,CF!$B$4:$Q$4,0))/1000,$H$2),"")</f>
        <v>0</v>
      </c>
      <c r="E121" s="1302">
        <f>IFERROR(ROUND(INDEX(CF!$B$4:$Q$41,MATCH($B121,CF!$B$4:$B$41,0),MATCH(E$101,CF!$B$4:$Q$4,0))/1000,$H$2),"")</f>
        <v>-4</v>
      </c>
      <c r="F121" s="1302">
        <f>IFERROR(ROUND(INDEX(CF!$B$4:$Q$41,MATCH($B121,CF!$B$4:$B$41,0),MATCH(F$101,CF!$B$4:$Q$4,0))/1000,$H$2),"")</f>
        <v>21.6</v>
      </c>
      <c r="G121" s="1302">
        <f>IFERROR(ROUND(INDEX(CF!$B$4:$Q$41,MATCH($B121,CF!$B$4:$B$41,0),MATCH(G$101,CF!$B$4:$Q$4,0))/1000,$H$2),"")</f>
        <v>5.6</v>
      </c>
      <c r="H121" s="1302">
        <f>IFERROR(ROUND(INDEX(CF!$B$4:$Q$41,MATCH($B121,CF!$B$4:$B$41,0),MATCH(H$101,CF!$B$4:$Q$4,0))/1000,$H$2),"")</f>
        <v>-6</v>
      </c>
      <c r="I121" s="1302">
        <f>IFERROR(ROUND(INDEX(CF!$B$4:$Q$41,MATCH($B121,CF!$B$4:$B$41,0),MATCH(I$101,CF!$B$4:$Q$4,0))/1000,$J$2),"")</f>
        <v>26</v>
      </c>
      <c r="J121" s="1302">
        <f>IFERROR(ROUND(INDEX(CF!$B$4:$Q$41,MATCH($B121,CF!$B$4:$B$41,0),MATCH(J$101,CF!$B$4:$Q$4,0))/1000,$J$2),"")</f>
        <v>0</v>
      </c>
      <c r="K121" s="1302">
        <f>IFERROR(ROUND(INDEX(CF!$B$4:$Q$41,MATCH($B121,CF!$B$4:$B$41,0),MATCH(K$101,CF!$B$4:$Q$4,0))/1000,$J$2),"")</f>
        <v>0</v>
      </c>
      <c r="L121" s="1302">
        <f>IFERROR(ROUND(INDEX(CF!$B$4:$Q$41,MATCH($B121,CF!$B$4:$B$41,0),MATCH(L$101,CF!$B$4:$Q$4,0))/1000,$J$2),"")</f>
        <v>0</v>
      </c>
      <c r="M121" s="1302" t="str">
        <f>IFERROR(ROUND(INDEX(CF!$B$4:$Q$41,MATCH($B121,CF!$B$4:$B$41,0),MATCH(M$101,CF!$B$4:$Q$4,0))/1000,$J$2),"")</f>
        <v/>
      </c>
      <c r="N121" s="1302" t="str">
        <f>IFERROR(ROUND(INDEX(CF!$B$4:$Q$41,MATCH($B121,CF!$B$4:$B$41,0),MATCH(N$101,CF!$B$4:$Q$4,0))/1000,$J$2),"")</f>
        <v/>
      </c>
      <c r="O121" s="1302" t="str">
        <f>IFERROR(ROUND(INDEX(CF!$B$4:$Q$41,MATCH($B121,CF!$B$4:$B$41,0),MATCH(O$101,CF!$B$4:$Q$4,0))/1000,$J$2),"")</f>
        <v/>
      </c>
      <c r="P121" s="1302" t="str">
        <f>IFERROR(ROUND(INDEX(CF!$B$4:$Q$41,MATCH($B121,CF!$B$4:$B$41,0),MATCH(P$101,CF!$B$4:$Q$4,0))/1000,$J$2),"")</f>
        <v/>
      </c>
      <c r="Q121" s="1302" t="str">
        <f>IFERROR(ROUND(INDEX(CF!$B$4:$Q$41,MATCH($B121,CF!$B$4:$B$41,0),MATCH(Q$101,CF!$B$4:$Q$4,0))/1000,$J$2),"")</f>
        <v/>
      </c>
      <c r="R121" s="11"/>
      <c r="S121" s="11"/>
      <c r="T121" s="11"/>
    </row>
    <row r="122" spans="1:20" s="193" customFormat="1" ht="10.5" customHeight="1">
      <c r="A122" s="194"/>
      <c r="B122" s="1352" t="str">
        <f>CF!B25</f>
        <v>Cash outflows for investments/disposals/transfers to property, plant and equipment</v>
      </c>
      <c r="C122" s="1350"/>
      <c r="D122" s="1302">
        <f>IFERROR(ROUND(INDEX(CF!$B$4:$Q$41,MATCH($B122,CF!$B$4:$B$41,0),MATCH(D$101,CF!$B$4:$Q$4,0))/1000,$H$2),"")</f>
        <v>0</v>
      </c>
      <c r="E122" s="1302">
        <f>IFERROR(ROUND(INDEX(CF!$B$4:$Q$41,MATCH($B122,CF!$B$4:$B$41,0),MATCH(E$101,CF!$B$4:$Q$4,0))/1000,$H$2),"")</f>
        <v>-9576.6</v>
      </c>
      <c r="F122" s="1302">
        <f>IFERROR(ROUND(INDEX(CF!$B$4:$Q$41,MATCH($B122,CF!$B$4:$B$41,0),MATCH(F$101,CF!$B$4:$Q$4,0))/1000,$H$2),"")</f>
        <v>-2186.1</v>
      </c>
      <c r="G122" s="1302">
        <f>IFERROR(ROUND(INDEX(CF!$B$4:$Q$41,MATCH($B122,CF!$B$4:$B$41,0),MATCH(G$101,CF!$B$4:$Q$4,0))/1000,$H$2),"")</f>
        <v>2210.8000000000002</v>
      </c>
      <c r="H122" s="1302">
        <f>IFERROR(ROUND(INDEX(CF!$B$4:$Q$41,MATCH($B122,CF!$B$4:$B$41,0),MATCH(H$101,CF!$B$4:$Q$4,0))/1000,$H$2),"")</f>
        <v>-1469.8</v>
      </c>
      <c r="I122" s="1302">
        <f>IFERROR(ROUND(INDEX(CF!$B$4:$Q$41,MATCH($B122,CF!$B$4:$B$41,0),MATCH(I$101,CF!$B$4:$Q$4,0))/1000,$J$2),"")</f>
        <v>6649.5</v>
      </c>
      <c r="J122" s="1302">
        <f>IFERROR(ROUND(INDEX(CF!$B$4:$Q$41,MATCH($B122,CF!$B$4:$B$41,0),MATCH(J$101,CF!$B$4:$Q$4,0))/1000,$J$2),"")</f>
        <v>0</v>
      </c>
      <c r="K122" s="1302">
        <f>IFERROR(ROUND(INDEX(CF!$B$4:$Q$41,MATCH($B122,CF!$B$4:$B$41,0),MATCH(K$101,CF!$B$4:$Q$4,0))/1000,$J$2),"")</f>
        <v>0</v>
      </c>
      <c r="L122" s="1302">
        <f>IFERROR(ROUND(INDEX(CF!$B$4:$Q$41,MATCH($B122,CF!$B$4:$B$41,0),MATCH(L$101,CF!$B$4:$Q$4,0))/1000,$J$2),"")</f>
        <v>0</v>
      </c>
      <c r="M122" s="1302" t="str">
        <f>IFERROR(ROUND(INDEX(CF!$B$4:$Q$41,MATCH($B122,CF!$B$4:$B$41,0),MATCH(M$101,CF!$B$4:$Q$4,0))/1000,$J$2),"")</f>
        <v/>
      </c>
      <c r="N122" s="1302" t="str">
        <f>IFERROR(ROUND(INDEX(CF!$B$4:$Q$41,MATCH($B122,CF!$B$4:$B$41,0),MATCH(N$101,CF!$B$4:$Q$4,0))/1000,$J$2),"")</f>
        <v/>
      </c>
      <c r="O122" s="1302" t="str">
        <f>IFERROR(ROUND(INDEX(CF!$B$4:$Q$41,MATCH($B122,CF!$B$4:$B$41,0),MATCH(O$101,CF!$B$4:$Q$4,0))/1000,$J$2),"")</f>
        <v/>
      </c>
      <c r="P122" s="1302" t="str">
        <f>IFERROR(ROUND(INDEX(CF!$B$4:$Q$41,MATCH($B122,CF!$B$4:$B$41,0),MATCH(P$101,CF!$B$4:$Q$4,0))/1000,$J$2),"")</f>
        <v/>
      </c>
      <c r="Q122" s="1302" t="str">
        <f>IFERROR(ROUND(INDEX(CF!$B$4:$Q$41,MATCH($B122,CF!$B$4:$B$41,0),MATCH(Q$101,CF!$B$4:$Q$4,0))/1000,$J$2),"")</f>
        <v/>
      </c>
      <c r="R122" s="11"/>
      <c r="S122" s="11"/>
      <c r="T122" s="11"/>
    </row>
    <row r="123" spans="1:20" s="193" customFormat="1" ht="10.5" customHeight="1">
      <c r="A123" s="194"/>
      <c r="B123" s="1359" t="str">
        <f>CF!B26</f>
        <v>Cash outflows for investments/disposals in financial assets</v>
      </c>
      <c r="C123" s="1360"/>
      <c r="D123" s="1361">
        <f>IFERROR(ROUND(INDEX(CF!$B$4:$Q$41,MATCH($B123,CF!$B$4:$B$41,0),MATCH(D$101,CF!$B$4:$Q$4,0))/1000,$H$2),"")</f>
        <v>0</v>
      </c>
      <c r="E123" s="1361">
        <f>IFERROR(ROUND(INDEX(CF!$B$4:$Q$41,MATCH($B123,CF!$B$4:$B$41,0),MATCH(E$101,CF!$B$4:$Q$4,0))/1000,$H$2),"")</f>
        <v>-2.8</v>
      </c>
      <c r="F123" s="1361">
        <f>IFERROR(ROUND(INDEX(CF!$B$4:$Q$41,MATCH($B123,CF!$B$4:$B$41,0),MATCH(F$101,CF!$B$4:$Q$4,0))/1000,$H$2),"")</f>
        <v>7.6</v>
      </c>
      <c r="G123" s="1361">
        <f>IFERROR(ROUND(INDEX(CF!$B$4:$Q$41,MATCH($B123,CF!$B$4:$B$41,0),MATCH(G$101,CF!$B$4:$Q$4,0))/1000,$H$2),"")</f>
        <v>0.3</v>
      </c>
      <c r="H123" s="1361">
        <f>IFERROR(ROUND(INDEX(CF!$B$4:$Q$41,MATCH($B123,CF!$B$4:$B$41,0),MATCH(H$101,CF!$B$4:$Q$4,0))/1000,$H$2),"")</f>
        <v>-3.1</v>
      </c>
      <c r="I123" s="1361">
        <f>IFERROR(ROUND(INDEX(CF!$B$4:$Q$41,MATCH($B123,CF!$B$4:$B$41,0),MATCH(I$101,CF!$B$4:$Q$4,0))/1000,$J$2),"")</f>
        <v>13.2</v>
      </c>
      <c r="J123" s="1361">
        <f>IFERROR(ROUND(INDEX(CF!$B$4:$Q$41,MATCH($B123,CF!$B$4:$B$41,0),MATCH(J$101,CF!$B$4:$Q$4,0))/1000,$J$2),"")</f>
        <v>0</v>
      </c>
      <c r="K123" s="1361">
        <f>IFERROR(ROUND(INDEX(CF!$B$4:$Q$41,MATCH($B123,CF!$B$4:$B$41,0),MATCH(K$101,CF!$B$4:$Q$4,0))/1000,$J$2),"")</f>
        <v>0</v>
      </c>
      <c r="L123" s="1361">
        <f>IFERROR(ROUND(INDEX(CF!$B$4:$Q$41,MATCH($B123,CF!$B$4:$B$41,0),MATCH(L$101,CF!$B$4:$Q$4,0))/1000,$J$2),"")</f>
        <v>0</v>
      </c>
      <c r="M123" s="1361" t="str">
        <f>IFERROR(ROUND(INDEX(CF!$B$4:$Q$41,MATCH($B123,CF!$B$4:$B$41,0),MATCH(M$101,CF!$B$4:$Q$4,0))/1000,$J$2),"")</f>
        <v/>
      </c>
      <c r="N123" s="1361" t="str">
        <f>IFERROR(ROUND(INDEX(CF!$B$4:$Q$41,MATCH($B123,CF!$B$4:$B$41,0),MATCH(N$101,CF!$B$4:$Q$4,0))/1000,$J$2),"")</f>
        <v/>
      </c>
      <c r="O123" s="1361" t="str">
        <f>IFERROR(ROUND(INDEX(CF!$B$4:$Q$41,MATCH($B123,CF!$B$4:$B$41,0),MATCH(O$101,CF!$B$4:$Q$4,0))/1000,$J$2),"")</f>
        <v/>
      </c>
      <c r="P123" s="1361" t="str">
        <f>IFERROR(ROUND(INDEX(CF!$B$4:$Q$41,MATCH($B123,CF!$B$4:$B$41,0),MATCH(P$101,CF!$B$4:$Q$4,0))/1000,$J$2),"")</f>
        <v/>
      </c>
      <c r="Q123" s="1361" t="str">
        <f>IFERROR(ROUND(INDEX(CF!$B$4:$Q$41,MATCH($B123,CF!$B$4:$B$41,0),MATCH(Q$101,CF!$B$4:$Q$4,0))/1000,$J$2),"")</f>
        <v/>
      </c>
      <c r="R123" s="11"/>
      <c r="S123" s="11"/>
      <c r="T123" s="11"/>
    </row>
    <row r="124" spans="1:20" s="193" customFormat="1" ht="10.5" customHeight="1">
      <c r="A124" s="194"/>
      <c r="B124" s="1362" t="str">
        <f>CF!B27</f>
        <v>Cash Flow II from investing activities</v>
      </c>
      <c r="C124" s="1363"/>
      <c r="D124" s="1314">
        <f>IFERROR(ROUND(INDEX(CF!$B$4:$Q$41,MATCH($B124,CF!$B$4:$B$41,0),MATCH(D$101,CF!$B$4:$Q$4,0))/1000,$H$2),"")</f>
        <v>0</v>
      </c>
      <c r="E124" s="1314">
        <f>IFERROR(ROUND(INDEX(CF!$B$4:$Q$41,MATCH($B124,CF!$B$4:$B$41,0),MATCH(E$101,CF!$B$4:$Q$4,0))/1000,$H$2),"")</f>
        <v>-9583.5</v>
      </c>
      <c r="F124" s="1314">
        <f>IFERROR(ROUND(INDEX(CF!$B$4:$Q$41,MATCH($B124,CF!$B$4:$B$41,0),MATCH(F$101,CF!$B$4:$Q$4,0))/1000,$H$2),"")</f>
        <v>-2157</v>
      </c>
      <c r="G124" s="1314">
        <f>IFERROR(ROUND(INDEX(CF!$B$4:$Q$41,MATCH($B124,CF!$B$4:$B$41,0),MATCH(G$101,CF!$B$4:$Q$4,0))/1000,$H$2),"")</f>
        <v>2216.6999999999998</v>
      </c>
      <c r="H124" s="1314">
        <f>IFERROR(ROUND(INDEX(CF!$B$4:$Q$41,MATCH($B124,CF!$B$4:$B$41,0),MATCH(H$101,CF!$B$4:$Q$4,0))/1000,$H$2),"")</f>
        <v>-1478.9</v>
      </c>
      <c r="I124" s="1314">
        <f>IFERROR(ROUND(INDEX(CF!$B$4:$Q$41,MATCH($B124,CF!$B$4:$B$41,0),MATCH(I$101,CF!$B$4:$Q$4,0))/1000,$J$2),"")</f>
        <v>6688.6</v>
      </c>
      <c r="J124" s="1314">
        <f>IFERROR(ROUND(INDEX(CF!$B$4:$Q$41,MATCH($B124,CF!$B$4:$B$41,0),MATCH(J$101,CF!$B$4:$Q$4,0))/1000,$J$2),"")</f>
        <v>0</v>
      </c>
      <c r="K124" s="1314">
        <f>IFERROR(ROUND(INDEX(CF!$B$4:$Q$41,MATCH($B124,CF!$B$4:$B$41,0),MATCH(K$101,CF!$B$4:$Q$4,0))/1000,$J$2),"")</f>
        <v>0</v>
      </c>
      <c r="L124" s="1314">
        <f>IFERROR(ROUND(INDEX(CF!$B$4:$Q$41,MATCH($B124,CF!$B$4:$B$41,0),MATCH(L$101,CF!$B$4:$Q$4,0))/1000,$J$2),"")</f>
        <v>0</v>
      </c>
      <c r="M124" s="1314" t="str">
        <f>IFERROR(ROUND(INDEX(CF!$B$4:$Q$41,MATCH($B124,CF!$B$4:$B$41,0),MATCH(M$101,CF!$B$4:$Q$4,0))/1000,$J$2),"")</f>
        <v/>
      </c>
      <c r="N124" s="1314" t="str">
        <f>IFERROR(ROUND(INDEX(CF!$B$4:$Q$41,MATCH($B124,CF!$B$4:$B$41,0),MATCH(N$101,CF!$B$4:$Q$4,0))/1000,$J$2),"")</f>
        <v/>
      </c>
      <c r="O124" s="1314" t="str">
        <f>IFERROR(ROUND(INDEX(CF!$B$4:$Q$41,MATCH($B124,CF!$B$4:$B$41,0),MATCH(O$101,CF!$B$4:$Q$4,0))/1000,$J$2),"")</f>
        <v/>
      </c>
      <c r="P124" s="1314" t="str">
        <f>IFERROR(ROUND(INDEX(CF!$B$4:$Q$41,MATCH($B124,CF!$B$4:$B$41,0),MATCH(P$101,CF!$B$4:$Q$4,0))/1000,$J$2),"")</f>
        <v/>
      </c>
      <c r="Q124" s="1314" t="str">
        <f>IFERROR(ROUND(INDEX(CF!$B$4:$Q$41,MATCH($B124,CF!$B$4:$B$41,0),MATCH(Q$101,CF!$B$4:$Q$4,0))/1000,$J$2),"")</f>
        <v/>
      </c>
      <c r="R124" s="11"/>
      <c r="S124" s="11"/>
      <c r="T124" s="11"/>
    </row>
    <row r="125" spans="1:20" s="193" customFormat="1" ht="6" customHeight="1">
      <c r="A125" s="194"/>
      <c r="B125" s="1364" t="str">
        <f>CF!B28</f>
        <v/>
      </c>
      <c r="C125" s="1350"/>
      <c r="D125" s="1351">
        <f>IFERROR(ROUND(INDEX(CF!$B$4:$Q$41,MATCH($B125,CF!$B$4:$B$41,0),MATCH(D$101,CF!$B$4:$Q$4,0))/1000,$H$2),"")</f>
        <v>0</v>
      </c>
      <c r="E125" s="1351">
        <f>IFERROR(ROUND(INDEX(CF!$B$4:$Q$41,MATCH($B125,CF!$B$4:$B$41,0),MATCH(E$101,CF!$B$4:$Q$4,0))/1000,$H$2),"")</f>
        <v>0</v>
      </c>
      <c r="F125" s="1351">
        <f>IFERROR(ROUND(INDEX(CF!$B$4:$Q$41,MATCH($B125,CF!$B$4:$B$41,0),MATCH(F$101,CF!$B$4:$Q$4,0))/1000,$H$2),"")</f>
        <v>0</v>
      </c>
      <c r="G125" s="1351">
        <f>IFERROR(ROUND(INDEX(CF!$B$4:$Q$41,MATCH($B125,CF!$B$4:$B$41,0),MATCH(G$101,CF!$B$4:$Q$4,0))/1000,$H$2),"")</f>
        <v>0</v>
      </c>
      <c r="H125" s="1351">
        <f>IFERROR(ROUND(INDEX(CF!$B$4:$Q$41,MATCH($B125,CF!$B$4:$B$41,0),MATCH(H$101,CF!$B$4:$Q$4,0))/1000,$H$2),"")</f>
        <v>0</v>
      </c>
      <c r="I125" s="1351">
        <f>IFERROR(ROUND(INDEX(CF!$B$4:$Q$41,MATCH($B125,CF!$B$4:$B$41,0),MATCH(I$101,CF!$B$4:$Q$4,0))/1000,$J$2),"")</f>
        <v>0</v>
      </c>
      <c r="J125" s="1351">
        <f>IFERROR(ROUND(INDEX(CF!$B$4:$Q$41,MATCH($B125,CF!$B$4:$B$41,0),MATCH(J$101,CF!$B$4:$Q$4,0))/1000,$J$2),"")</f>
        <v>0</v>
      </c>
      <c r="K125" s="1351">
        <f>IFERROR(ROUND(INDEX(CF!$B$4:$Q$41,MATCH($B125,CF!$B$4:$B$41,0),MATCH(K$101,CF!$B$4:$Q$4,0))/1000,$J$2),"")</f>
        <v>0</v>
      </c>
      <c r="L125" s="1351">
        <f>IFERROR(ROUND(INDEX(CF!$B$4:$Q$41,MATCH($B125,CF!$B$4:$B$41,0),MATCH(L$101,CF!$B$4:$Q$4,0))/1000,$J$2),"")</f>
        <v>0</v>
      </c>
      <c r="M125" s="1351">
        <f>IFERROR(ROUND(INDEX(CF!$B$4:$Q$41,MATCH($B125,CF!$B$4:$B$41,0),MATCH(M$101,CF!$B$4:$Q$4,0))/1000,$J$2),"")</f>
        <v>0</v>
      </c>
      <c r="N125" s="1351">
        <f>IFERROR(ROUND(INDEX(CF!$B$4:$Q$41,MATCH($B125,CF!$B$4:$B$41,0),MATCH(N$101,CF!$B$4:$Q$4,0))/1000,$J$2),"")</f>
        <v>0</v>
      </c>
      <c r="O125" s="1351">
        <f>IFERROR(ROUND(INDEX(CF!$B$4:$Q$41,MATCH($B125,CF!$B$4:$B$41,0),MATCH(O$101,CF!$B$4:$Q$4,0))/1000,$J$2),"")</f>
        <v>0</v>
      </c>
      <c r="P125" s="1351">
        <f>IFERROR(ROUND(INDEX(CF!$B$4:$Q$41,MATCH($B125,CF!$B$4:$B$41,0),MATCH(P$101,CF!$B$4:$Q$4,0))/1000,$J$2),"")</f>
        <v>0</v>
      </c>
      <c r="Q125" s="1351">
        <f>IFERROR(ROUND(INDEX(CF!$B$4:$Q$41,MATCH($B125,CF!$B$4:$B$41,0),MATCH(Q$101,CF!$B$4:$Q$4,0))/1000,$J$2),"")</f>
        <v>0</v>
      </c>
      <c r="R125" s="11"/>
      <c r="S125" s="11"/>
      <c r="T125" s="11"/>
    </row>
    <row r="126" spans="1:20" s="193" customFormat="1" ht="10.5" customHeight="1">
      <c r="A126" s="194"/>
      <c r="B126" s="1365" t="str">
        <f>CF!B29</f>
        <v>Liabilities and Stockholders' Equity</v>
      </c>
      <c r="C126" s="1350"/>
      <c r="D126" s="1351">
        <f>IFERROR(ROUND(INDEX(CF!$B$4:$Q$41,MATCH($B126,CF!$B$4:$B$41,0),MATCH(D$101,CF!$B$4:$Q$4,0))/1000,$H$2),"")</f>
        <v>0</v>
      </c>
      <c r="E126" s="1351">
        <f>IFERROR(ROUND(INDEX(CF!$B$4:$Q$41,MATCH($B126,CF!$B$4:$B$41,0),MATCH(E$101,CF!$B$4:$Q$4,0))/1000,$H$2),"")</f>
        <v>0</v>
      </c>
      <c r="F126" s="1351">
        <f>IFERROR(ROUND(INDEX(CF!$B$4:$Q$41,MATCH($B126,CF!$B$4:$B$41,0),MATCH(F$101,CF!$B$4:$Q$4,0))/1000,$H$2),"")</f>
        <v>0</v>
      </c>
      <c r="G126" s="1351">
        <f>IFERROR(ROUND(INDEX(CF!$B$4:$Q$41,MATCH($B126,CF!$B$4:$B$41,0),MATCH(G$101,CF!$B$4:$Q$4,0))/1000,$H$2),"")</f>
        <v>0</v>
      </c>
      <c r="H126" s="1351">
        <f>IFERROR(ROUND(INDEX(CF!$B$4:$Q$41,MATCH($B126,CF!$B$4:$B$41,0),MATCH(H$101,CF!$B$4:$Q$4,0))/1000,$H$2),"")</f>
        <v>0</v>
      </c>
      <c r="I126" s="1351">
        <f>IFERROR(ROUND(INDEX(CF!$B$4:$Q$41,MATCH($B126,CF!$B$4:$B$41,0),MATCH(I$101,CF!$B$4:$Q$4,0))/1000,$J$2),"")</f>
        <v>0</v>
      </c>
      <c r="J126" s="1351">
        <f>IFERROR(ROUND(INDEX(CF!$B$4:$Q$41,MATCH($B126,CF!$B$4:$B$41,0),MATCH(J$101,CF!$B$4:$Q$4,0))/1000,$J$2),"")</f>
        <v>0</v>
      </c>
      <c r="K126" s="1351">
        <f>IFERROR(ROUND(INDEX(CF!$B$4:$Q$41,MATCH($B126,CF!$B$4:$B$41,0),MATCH(K$101,CF!$B$4:$Q$4,0))/1000,$J$2),"")</f>
        <v>0</v>
      </c>
      <c r="L126" s="1351">
        <f>IFERROR(ROUND(INDEX(CF!$B$4:$Q$41,MATCH($B126,CF!$B$4:$B$41,0),MATCH(L$101,CF!$B$4:$Q$4,0))/1000,$J$2),"")</f>
        <v>0</v>
      </c>
      <c r="M126" s="1351">
        <f>IFERROR(ROUND(INDEX(CF!$B$4:$Q$41,MATCH($B126,CF!$B$4:$B$41,0),MATCH(M$101,CF!$B$4:$Q$4,0))/1000,$J$2),"")</f>
        <v>0</v>
      </c>
      <c r="N126" s="1351">
        <f>IFERROR(ROUND(INDEX(CF!$B$4:$Q$41,MATCH($B126,CF!$B$4:$B$41,0),MATCH(N$101,CF!$B$4:$Q$4,0))/1000,$J$2),"")</f>
        <v>0</v>
      </c>
      <c r="O126" s="1351">
        <f>IFERROR(ROUND(INDEX(CF!$B$4:$Q$41,MATCH($B126,CF!$B$4:$B$41,0),MATCH(O$101,CF!$B$4:$Q$4,0))/1000,$J$2),"")</f>
        <v>0</v>
      </c>
      <c r="P126" s="1351">
        <f>IFERROR(ROUND(INDEX(CF!$B$4:$Q$41,MATCH($B126,CF!$B$4:$B$41,0),MATCH(P$101,CF!$B$4:$Q$4,0))/1000,$J$2),"")</f>
        <v>0</v>
      </c>
      <c r="Q126" s="1351">
        <f>IFERROR(ROUND(INDEX(CF!$B$4:$Q$41,MATCH($B126,CF!$B$4:$B$41,0),MATCH(Q$101,CF!$B$4:$Q$4,0))/1000,$J$2),"")</f>
        <v>0</v>
      </c>
      <c r="R126" s="11"/>
      <c r="S126" s="11"/>
      <c r="T126" s="11"/>
    </row>
    <row r="127" spans="1:20" s="1213" customFormat="1" ht="10.5" customHeight="1">
      <c r="A127" s="196"/>
      <c r="B127" s="1352" t="str">
        <f>CF!B30</f>
        <v>Increase (+) / decrease (-) in liabilities to affiliated companies</v>
      </c>
      <c r="C127" s="1355"/>
      <c r="D127" s="1302">
        <f>IFERROR(ROUND(INDEX(CF!$B$4:$Q$41,MATCH($B127,CF!$B$4:$B$41,0),MATCH(D$101,CF!$B$4:$Q$4,0))/1000,$H$2),"")</f>
        <v>0</v>
      </c>
      <c r="E127" s="1302">
        <f>IFERROR(ROUND(INDEX(CF!$B$4:$Q$41,MATCH($B127,CF!$B$4:$B$41,0),MATCH(E$101,CF!$B$4:$Q$4,0))/1000,$H$2),"")</f>
        <v>-899.7</v>
      </c>
      <c r="F127" s="1302">
        <f>IFERROR(ROUND(INDEX(CF!$B$4:$Q$41,MATCH($B127,CF!$B$4:$B$41,0),MATCH(F$101,CF!$B$4:$Q$4,0))/1000,$H$2),"")</f>
        <v>0</v>
      </c>
      <c r="G127" s="1302">
        <f>IFERROR(ROUND(INDEX(CF!$B$4:$Q$41,MATCH($B127,CF!$B$4:$B$41,0),MATCH(G$101,CF!$B$4:$Q$4,0))/1000,$H$2),"")</f>
        <v>272.2</v>
      </c>
      <c r="H127" s="1302">
        <f>IFERROR(ROUND(INDEX(CF!$B$4:$Q$41,MATCH($B127,CF!$B$4:$B$41,0),MATCH(H$101,CF!$B$4:$Q$4,0))/1000,$H$2),"")</f>
        <v>272.2</v>
      </c>
      <c r="I127" s="1302">
        <f>IFERROR(ROUND(INDEX(CF!$B$4:$Q$41,MATCH($B127,CF!$B$4:$B$41,0),MATCH(I$101,CF!$B$4:$Q$4,0))/1000,$J$2),"")</f>
        <v>-272.2</v>
      </c>
      <c r="J127" s="1302">
        <f>IFERROR(ROUND(INDEX(CF!$B$4:$Q$41,MATCH($B127,CF!$B$4:$B$41,0),MATCH(J$101,CF!$B$4:$Q$4,0))/1000,$J$2),"")</f>
        <v>0</v>
      </c>
      <c r="K127" s="1302">
        <f>IFERROR(ROUND(INDEX(CF!$B$4:$Q$41,MATCH($B127,CF!$B$4:$B$41,0),MATCH(K$101,CF!$B$4:$Q$4,0))/1000,$J$2),"")</f>
        <v>0</v>
      </c>
      <c r="L127" s="1302">
        <f>IFERROR(ROUND(INDEX(CF!$B$4:$Q$41,MATCH($B127,CF!$B$4:$B$41,0),MATCH(L$101,CF!$B$4:$Q$4,0))/1000,$J$2),"")</f>
        <v>0</v>
      </c>
      <c r="M127" s="1302" t="str">
        <f>IFERROR(ROUND(INDEX(CF!$B$4:$Q$41,MATCH($B127,CF!$B$4:$B$41,0),MATCH(M$101,CF!$B$4:$Q$4,0))/1000,$J$2),"")</f>
        <v/>
      </c>
      <c r="N127" s="1302" t="str">
        <f>IFERROR(ROUND(INDEX(CF!$B$4:$Q$41,MATCH($B127,CF!$B$4:$B$41,0),MATCH(N$101,CF!$B$4:$Q$4,0))/1000,$J$2),"")</f>
        <v/>
      </c>
      <c r="O127" s="1302" t="str">
        <f>IFERROR(ROUND(INDEX(CF!$B$4:$Q$41,MATCH($B127,CF!$B$4:$B$41,0),MATCH(O$101,CF!$B$4:$Q$4,0))/1000,$J$2),"")</f>
        <v/>
      </c>
      <c r="P127" s="1302" t="str">
        <f>IFERROR(ROUND(INDEX(CF!$B$4:$Q$41,MATCH($B127,CF!$B$4:$B$41,0),MATCH(P$101,CF!$B$4:$Q$4,0))/1000,$J$2),"")</f>
        <v/>
      </c>
      <c r="Q127" s="1302" t="str">
        <f>IFERROR(ROUND(INDEX(CF!$B$4:$Q$41,MATCH($B127,CF!$B$4:$B$41,0),MATCH(Q$101,CF!$B$4:$Q$4,0))/1000,$J$2),"")</f>
        <v/>
      </c>
      <c r="R127" s="11"/>
      <c r="S127" s="11"/>
      <c r="T127" s="11"/>
    </row>
    <row r="128" spans="1:20" s="193" customFormat="1" ht="10.5" customHeight="1">
      <c r="A128" s="194"/>
      <c r="B128" s="1352" t="str">
        <f>CF!B31</f>
        <v>Increase (+) / decrease (-) in liabilities to credit institutions</v>
      </c>
      <c r="C128" s="1350"/>
      <c r="D128" s="1302">
        <f>IFERROR(ROUND(INDEX(CF!$B$4:$Q$41,MATCH($B128,CF!$B$4:$B$41,0),MATCH(D$101,CF!$B$4:$Q$4,0))/1000,$H$2),"")</f>
        <v>0</v>
      </c>
      <c r="E128" s="1302">
        <f>IFERROR(ROUND(INDEX(CF!$B$4:$Q$41,MATCH($B128,CF!$B$4:$B$41,0),MATCH(E$101,CF!$B$4:$Q$4,0))/1000,$H$2),"")</f>
        <v>-2362.6</v>
      </c>
      <c r="F128" s="1302">
        <f>IFERROR(ROUND(INDEX(CF!$B$4:$Q$41,MATCH($B128,CF!$B$4:$B$41,0),MATCH(F$101,CF!$B$4:$Q$4,0))/1000,$H$2),"")</f>
        <v>-2362.6</v>
      </c>
      <c r="G128" s="1302">
        <f>IFERROR(ROUND(INDEX(CF!$B$4:$Q$41,MATCH($B128,CF!$B$4:$B$41,0),MATCH(G$101,CF!$B$4:$Q$4,0))/1000,$H$2),"")</f>
        <v>2167.6999999999998</v>
      </c>
      <c r="H128" s="1302">
        <f>IFERROR(ROUND(INDEX(CF!$B$4:$Q$41,MATCH($B128,CF!$B$4:$B$41,0),MATCH(H$101,CF!$B$4:$Q$4,0))/1000,$H$2),"")</f>
        <v>2167.6999999999998</v>
      </c>
      <c r="I128" s="1302">
        <f>IFERROR(ROUND(INDEX(CF!$B$4:$Q$41,MATCH($B128,CF!$B$4:$B$41,0),MATCH(I$101,CF!$B$4:$Q$4,0))/1000,$J$2),"")</f>
        <v>-10776.6</v>
      </c>
      <c r="J128" s="1302">
        <f>IFERROR(ROUND(INDEX(CF!$B$4:$Q$41,MATCH($B128,CF!$B$4:$B$41,0),MATCH(J$101,CF!$B$4:$Q$4,0))/1000,$J$2),"")</f>
        <v>0</v>
      </c>
      <c r="K128" s="1302">
        <f>IFERROR(ROUND(INDEX(CF!$B$4:$Q$41,MATCH($B128,CF!$B$4:$B$41,0),MATCH(K$101,CF!$B$4:$Q$4,0))/1000,$J$2),"")</f>
        <v>0</v>
      </c>
      <c r="L128" s="1302">
        <f>IFERROR(ROUND(INDEX(CF!$B$4:$Q$41,MATCH($B128,CF!$B$4:$B$41,0),MATCH(L$101,CF!$B$4:$Q$4,0))/1000,$J$2),"")</f>
        <v>0</v>
      </c>
      <c r="M128" s="1302" t="str">
        <f>IFERROR(ROUND(INDEX(CF!$B$4:$Q$41,MATCH($B128,CF!$B$4:$B$41,0),MATCH(M$101,CF!$B$4:$Q$4,0))/1000,$J$2),"")</f>
        <v/>
      </c>
      <c r="N128" s="1302" t="str">
        <f>IFERROR(ROUND(INDEX(CF!$B$4:$Q$41,MATCH($B128,CF!$B$4:$B$41,0),MATCH(N$101,CF!$B$4:$Q$4,0))/1000,$J$2),"")</f>
        <v/>
      </c>
      <c r="O128" s="1302" t="str">
        <f>IFERROR(ROUND(INDEX(CF!$B$4:$Q$41,MATCH($B128,CF!$B$4:$B$41,0),MATCH(O$101,CF!$B$4:$Q$4,0))/1000,$J$2),"")</f>
        <v/>
      </c>
      <c r="P128" s="1302" t="str">
        <f>IFERROR(ROUND(INDEX(CF!$B$4:$Q$41,MATCH($B128,CF!$B$4:$B$41,0),MATCH(P$101,CF!$B$4:$Q$4,0))/1000,$J$2),"")</f>
        <v/>
      </c>
      <c r="Q128" s="1302" t="str">
        <f>IFERROR(ROUND(INDEX(CF!$B$4:$Q$41,MATCH($B128,CF!$B$4:$B$41,0),MATCH(Q$101,CF!$B$4:$Q$4,0))/1000,$J$2),"")</f>
        <v/>
      </c>
      <c r="R128" s="11"/>
      <c r="S128" s="11"/>
      <c r="T128" s="11"/>
    </row>
    <row r="129" spans="1:20" s="1213" customFormat="1" ht="10.5" customHeight="1">
      <c r="A129" s="196"/>
      <c r="B129" s="1352" t="str">
        <f>CF!B32</f>
        <v>Increase (+) / decrease (-) in capital reserves</v>
      </c>
      <c r="C129" s="1366"/>
      <c r="D129" s="1302">
        <f>IFERROR(ROUND(INDEX(CF!$B$4:$Q$41,MATCH($B129,CF!$B$4:$B$41,0),MATCH(D$101,CF!$B$4:$Q$4,0))/1000,$H$2),"")</f>
        <v>0</v>
      </c>
      <c r="E129" s="1302">
        <f>IFERROR(ROUND(INDEX(CF!$B$4:$Q$41,MATCH($B129,CF!$B$4:$B$41,0),MATCH(E$101,CF!$B$4:$Q$4,0))/1000,$H$2),"")</f>
        <v>-0.2</v>
      </c>
      <c r="F129" s="1302">
        <f>IFERROR(ROUND(INDEX(CF!$B$4:$Q$41,MATCH($B129,CF!$B$4:$B$41,0),MATCH(F$101,CF!$B$4:$Q$4,0))/1000,$H$2),"")</f>
        <v>-0.2</v>
      </c>
      <c r="G129" s="1302">
        <f>IFERROR(ROUND(INDEX(CF!$B$4:$Q$41,MATCH($B129,CF!$B$4:$B$41,0),MATCH(G$101,CF!$B$4:$Q$4,0))/1000,$H$2),"")</f>
        <v>0</v>
      </c>
      <c r="H129" s="1302">
        <f>IFERROR(ROUND(INDEX(CF!$B$4:$Q$41,MATCH($B129,CF!$B$4:$B$41,0),MATCH(H$101,CF!$B$4:$Q$4,0))/1000,$H$2),"")</f>
        <v>0</v>
      </c>
      <c r="I129" s="1302">
        <f>IFERROR(ROUND(INDEX(CF!$B$4:$Q$41,MATCH($B129,CF!$B$4:$B$41,0),MATCH(I$101,CF!$B$4:$Q$4,0))/1000,$J$2),"")</f>
        <v>-39.5</v>
      </c>
      <c r="J129" s="1302">
        <f>IFERROR(ROUND(INDEX(CF!$B$4:$Q$41,MATCH($B129,CF!$B$4:$B$41,0),MATCH(J$101,CF!$B$4:$Q$4,0))/1000,$J$2),"")</f>
        <v>0</v>
      </c>
      <c r="K129" s="1302">
        <f>IFERROR(ROUND(INDEX(CF!$B$4:$Q$41,MATCH($B129,CF!$B$4:$B$41,0),MATCH(K$101,CF!$B$4:$Q$4,0))/1000,$J$2),"")</f>
        <v>0</v>
      </c>
      <c r="L129" s="1302">
        <f>IFERROR(ROUND(INDEX(CF!$B$4:$Q$41,MATCH($B129,CF!$B$4:$B$41,0),MATCH(L$101,CF!$B$4:$Q$4,0))/1000,$J$2),"")</f>
        <v>0</v>
      </c>
      <c r="M129" s="1302">
        <f>IFERROR(ROUND(INDEX(CF!$B$4:$Q$41,MATCH($B129,CF!$B$4:$B$41,0),MATCH(M$101,CF!$B$4:$Q$4,0))/1000,$J$2),"")</f>
        <v>0</v>
      </c>
      <c r="N129" s="1302">
        <f>IFERROR(ROUND(INDEX(CF!$B$4:$Q$41,MATCH($B129,CF!$B$4:$B$41,0),MATCH(N$101,CF!$B$4:$Q$4,0))/1000,$J$2),"")</f>
        <v>0</v>
      </c>
      <c r="O129" s="1302">
        <f>IFERROR(ROUND(INDEX(CF!$B$4:$Q$41,MATCH($B129,CF!$B$4:$B$41,0),MATCH(O$101,CF!$B$4:$Q$4,0))/1000,$J$2),"")</f>
        <v>0</v>
      </c>
      <c r="P129" s="1302">
        <f>IFERROR(ROUND(INDEX(CF!$B$4:$Q$41,MATCH($B129,CF!$B$4:$B$41,0),MATCH(P$101,CF!$B$4:$Q$4,0))/1000,$J$2),"")</f>
        <v>0</v>
      </c>
      <c r="Q129" s="1302">
        <f>IFERROR(ROUND(INDEX(CF!$B$4:$Q$41,MATCH($B129,CF!$B$4:$B$41,0),MATCH(Q$101,CF!$B$4:$Q$4,0))/1000,$J$2),"")</f>
        <v>0</v>
      </c>
      <c r="R129" s="11"/>
      <c r="S129" s="11"/>
      <c r="T129" s="11"/>
    </row>
    <row r="130" spans="1:20" s="1213" customFormat="1" ht="10.5" customHeight="1">
      <c r="A130" s="196"/>
      <c r="B130" s="1352" t="str">
        <f>CF!B33</f>
        <v>Increase (+) / decrease (-) in common stock</v>
      </c>
      <c r="C130" s="1366"/>
      <c r="D130" s="1302">
        <f>IFERROR(ROUND(INDEX(CF!$B$4:$Q$41,MATCH($B130,CF!$B$4:$B$41,0),MATCH(D$101,CF!$B$4:$Q$4,0))/1000,$H$2),"")</f>
        <v>0</v>
      </c>
      <c r="E130" s="1302">
        <f>IFERROR(ROUND(INDEX(CF!$B$4:$Q$41,MATCH($B130,CF!$B$4:$B$41,0),MATCH(E$101,CF!$B$4:$Q$4,0))/1000,$H$2),"")</f>
        <v>0</v>
      </c>
      <c r="F130" s="1302">
        <f>IFERROR(ROUND(INDEX(CF!$B$4:$Q$41,MATCH($B130,CF!$B$4:$B$41,0),MATCH(F$101,CF!$B$4:$Q$4,0))/1000,$H$2),"")</f>
        <v>0</v>
      </c>
      <c r="G130" s="1302">
        <f>IFERROR(ROUND(INDEX(CF!$B$4:$Q$41,MATCH($B130,CF!$B$4:$B$41,0),MATCH(G$101,CF!$B$4:$Q$4,0))/1000,$H$2),"")</f>
        <v>0</v>
      </c>
      <c r="H130" s="1302">
        <f>IFERROR(ROUND(INDEX(CF!$B$4:$Q$41,MATCH($B130,CF!$B$4:$B$41,0),MATCH(H$101,CF!$B$4:$Q$4,0))/1000,$H$2),"")</f>
        <v>0</v>
      </c>
      <c r="I130" s="1302">
        <f>IFERROR(ROUND(INDEX(CF!$B$4:$Q$41,MATCH($B130,CF!$B$4:$B$41,0),MATCH(I$101,CF!$B$4:$Q$4,0))/1000,$J$2),"")</f>
        <v>-2</v>
      </c>
      <c r="J130" s="1302">
        <f>IFERROR(ROUND(INDEX(CF!$B$4:$Q$41,MATCH($B130,CF!$B$4:$B$41,0),MATCH(J$101,CF!$B$4:$Q$4,0))/1000,$J$2),"")</f>
        <v>0</v>
      </c>
      <c r="K130" s="1302">
        <f>IFERROR(ROUND(INDEX(CF!$B$4:$Q$41,MATCH($B130,CF!$B$4:$B$41,0),MATCH(K$101,CF!$B$4:$Q$4,0))/1000,$J$2),"")</f>
        <v>0</v>
      </c>
      <c r="L130" s="1302">
        <f>IFERROR(ROUND(INDEX(CF!$B$4:$Q$41,MATCH($B130,CF!$B$4:$B$41,0),MATCH(L$101,CF!$B$4:$Q$4,0))/1000,$J$2),"")</f>
        <v>0</v>
      </c>
      <c r="M130" s="1302">
        <f>IFERROR(ROUND(INDEX(CF!$B$4:$Q$41,MATCH($B130,CF!$B$4:$B$41,0),MATCH(M$101,CF!$B$4:$Q$4,0))/1000,$J$2),"")</f>
        <v>0</v>
      </c>
      <c r="N130" s="1302">
        <f>IFERROR(ROUND(INDEX(CF!$B$4:$Q$41,MATCH($B130,CF!$B$4:$B$41,0),MATCH(N$101,CF!$B$4:$Q$4,0))/1000,$J$2),"")</f>
        <v>0</v>
      </c>
      <c r="O130" s="1302">
        <f>IFERROR(ROUND(INDEX(CF!$B$4:$Q$41,MATCH($B130,CF!$B$4:$B$41,0),MATCH(O$101,CF!$B$4:$Q$4,0))/1000,$J$2),"")</f>
        <v>0</v>
      </c>
      <c r="P130" s="1302">
        <f>IFERROR(ROUND(INDEX(CF!$B$4:$Q$41,MATCH($B130,CF!$B$4:$B$41,0),MATCH(P$101,CF!$B$4:$Q$4,0))/1000,$J$2),"")</f>
        <v>0</v>
      </c>
      <c r="Q130" s="1302">
        <f>IFERROR(ROUND(INDEX(CF!$B$4:$Q$41,MATCH($B130,CF!$B$4:$B$41,0),MATCH(Q$101,CF!$B$4:$Q$4,0))/1000,$J$2),"")</f>
        <v>0</v>
      </c>
      <c r="R130" s="11"/>
      <c r="S130" s="11"/>
      <c r="T130" s="11"/>
    </row>
    <row r="131" spans="1:20" ht="10.5" customHeight="1">
      <c r="B131" s="1352" t="str">
        <f>CF!B34</f>
        <v>Increase (+) / decrease (-) in bonds</v>
      </c>
      <c r="C131" s="1299"/>
      <c r="D131" s="1302">
        <f>IFERROR(ROUND(INDEX(CF!$B$4:$Q$41,MATCH($B131,CF!$B$4:$B$41,0),MATCH(D$101,CF!$B$4:$Q$4,0))/1000,$H$2),"")</f>
        <v>0</v>
      </c>
      <c r="E131" s="1302">
        <f>IFERROR(ROUND(INDEX(CF!$B$4:$Q$41,MATCH($B131,CF!$B$4:$B$41,0),MATCH(E$101,CF!$B$4:$Q$4,0))/1000,$H$2),"")</f>
        <v>0</v>
      </c>
      <c r="F131" s="1302">
        <f>IFERROR(ROUND(INDEX(CF!$B$4:$Q$41,MATCH($B131,CF!$B$4:$B$41,0),MATCH(F$101,CF!$B$4:$Q$4,0))/1000,$H$2),"")</f>
        <v>0</v>
      </c>
      <c r="G131" s="1302">
        <f>IFERROR(ROUND(INDEX(CF!$B$4:$Q$41,MATCH($B131,CF!$B$4:$B$41,0),MATCH(G$101,CF!$B$4:$Q$4,0))/1000,$H$2),"")</f>
        <v>0</v>
      </c>
      <c r="H131" s="1302">
        <f>IFERROR(ROUND(INDEX(CF!$B$4:$Q$41,MATCH($B131,CF!$B$4:$B$41,0),MATCH(H$101,CF!$B$4:$Q$4,0))/1000,$H$2),"")</f>
        <v>0</v>
      </c>
      <c r="I131" s="1302">
        <f>IFERROR(ROUND(INDEX(CF!$B$4:$Q$41,MATCH($B131,CF!$B$4:$B$41,0),MATCH(I$101,CF!$B$4:$Q$4,0))/1000,$J$2),"")</f>
        <v>0</v>
      </c>
      <c r="J131" s="1302">
        <f>IFERROR(ROUND(INDEX(CF!$B$4:$Q$41,MATCH($B131,CF!$B$4:$B$41,0),MATCH(J$101,CF!$B$4:$Q$4,0))/1000,$J$2),"")</f>
        <v>0</v>
      </c>
      <c r="K131" s="1302">
        <f>IFERROR(ROUND(INDEX(CF!$B$4:$Q$41,MATCH($B131,CF!$B$4:$B$41,0),MATCH(K$101,CF!$B$4:$Q$4,0))/1000,$J$2),"")</f>
        <v>0</v>
      </c>
      <c r="L131" s="1302">
        <f>IFERROR(ROUND(INDEX(CF!$B$4:$Q$41,MATCH($B131,CF!$B$4:$B$41,0),MATCH(L$101,CF!$B$4:$Q$4,0))/1000,$J$2),"")</f>
        <v>0</v>
      </c>
      <c r="M131" s="1302" t="str">
        <f>IFERROR(ROUND(INDEX(CF!$B$4:$Q$41,MATCH($B131,CF!$B$4:$B$41,0),MATCH(M$101,CF!$B$4:$Q$4,0))/1000,$J$2),"")</f>
        <v/>
      </c>
      <c r="N131" s="1302" t="str">
        <f>IFERROR(ROUND(INDEX(CF!$B$4:$Q$41,MATCH($B131,CF!$B$4:$B$41,0),MATCH(N$101,CF!$B$4:$Q$4,0))/1000,$J$2),"")</f>
        <v/>
      </c>
      <c r="O131" s="1302" t="str">
        <f>IFERROR(ROUND(INDEX(CF!$B$4:$Q$41,MATCH($B131,CF!$B$4:$B$41,0),MATCH(O$101,CF!$B$4:$Q$4,0))/1000,$J$2),"")</f>
        <v/>
      </c>
      <c r="P131" s="1302" t="str">
        <f>IFERROR(ROUND(INDEX(CF!$B$4:$Q$41,MATCH($B131,CF!$B$4:$B$41,0),MATCH(P$101,CF!$B$4:$Q$4,0))/1000,$J$2),"")</f>
        <v/>
      </c>
      <c r="Q131" s="1302" t="str">
        <f>IFERROR(ROUND(INDEX(CF!$B$4:$Q$41,MATCH($B131,CF!$B$4:$B$41,0),MATCH(Q$101,CF!$B$4:$Q$4,0))/1000,$J$2),"")</f>
        <v/>
      </c>
    </row>
    <row r="132" spans="1:20" ht="10.5" customHeight="1">
      <c r="B132" s="1352" t="str">
        <f>CF!B35</f>
        <v>Dividend paid to the shareholder</v>
      </c>
      <c r="C132" s="1299"/>
      <c r="D132" s="1302">
        <f>IFERROR(ROUND(INDEX(CF!$B$4:$Q$41,MATCH($B132,CF!$B$4:$B$41,0),MATCH(D$101,CF!$B$4:$Q$4,0))/1000,$H$2),"")</f>
        <v>0</v>
      </c>
      <c r="E132" s="1302">
        <f>IFERROR(ROUND(INDEX(CF!$B$4:$Q$41,MATCH($B132,CF!$B$4:$B$41,0),MATCH(E$101,CF!$B$4:$Q$4,0))/1000,$H$2),"")</f>
        <v>-347.5</v>
      </c>
      <c r="F132" s="1302">
        <f>IFERROR(ROUND(INDEX(CF!$B$4:$Q$41,MATCH($B132,CF!$B$4:$B$41,0),MATCH(F$101,CF!$B$4:$Q$4,0))/1000,$H$2),"")</f>
        <v>-347.5</v>
      </c>
      <c r="G132" s="1302">
        <f>IFERROR(ROUND(INDEX(CF!$B$4:$Q$41,MATCH($B132,CF!$B$4:$B$41,0),MATCH(G$101,CF!$B$4:$Q$4,0))/1000,$H$2),"")</f>
        <v>0</v>
      </c>
      <c r="H132" s="1302">
        <f>IFERROR(ROUND(INDEX(CF!$B$4:$Q$41,MATCH($B132,CF!$B$4:$B$41,0),MATCH(H$101,CF!$B$4:$Q$4,0))/1000,$H$2),"")</f>
        <v>0</v>
      </c>
      <c r="I132" s="1302">
        <f>IFERROR(ROUND(INDEX(CF!$B$4:$Q$41,MATCH($B132,CF!$B$4:$B$41,0),MATCH(I$101,CF!$B$4:$Q$4,0))/1000,$J$2),"")</f>
        <v>-4054</v>
      </c>
      <c r="J132" s="1302">
        <f>IFERROR(ROUND(INDEX(CF!$B$4:$Q$41,MATCH($B132,CF!$B$4:$B$41,0),MATCH(J$101,CF!$B$4:$Q$4,0))/1000,$J$2),"")</f>
        <v>0</v>
      </c>
      <c r="K132" s="1302">
        <f>IFERROR(ROUND(INDEX(CF!$B$4:$Q$41,MATCH($B132,CF!$B$4:$B$41,0),MATCH(K$101,CF!$B$4:$Q$4,0))/1000,$J$2),"")</f>
        <v>0</v>
      </c>
      <c r="L132" s="1302">
        <f>IFERROR(ROUND(INDEX(CF!$B$4:$Q$41,MATCH($B132,CF!$B$4:$B$41,0),MATCH(L$101,CF!$B$4:$Q$4,0))/1000,$J$2),"")</f>
        <v>0</v>
      </c>
      <c r="M132" s="1302">
        <f>IFERROR(ROUND(INDEX(CF!$B$4:$Q$41,MATCH($B132,CF!$B$4:$B$41,0),MATCH(M$101,CF!$B$4:$Q$4,0))/1000,$J$2),"")</f>
        <v>0</v>
      </c>
      <c r="N132" s="1302">
        <f>IFERROR(ROUND(INDEX(CF!$B$4:$Q$41,MATCH($B132,CF!$B$4:$B$41,0),MATCH(N$101,CF!$B$4:$Q$4,0))/1000,$J$2),"")</f>
        <v>0</v>
      </c>
      <c r="O132" s="1302">
        <f>IFERROR(ROUND(INDEX(CF!$B$4:$Q$41,MATCH($B132,CF!$B$4:$B$41,0),MATCH(O$101,CF!$B$4:$Q$4,0))/1000,$J$2),"")</f>
        <v>0</v>
      </c>
      <c r="P132" s="1302">
        <f>IFERROR(ROUND(INDEX(CF!$B$4:$Q$41,MATCH($B132,CF!$B$4:$B$41,0),MATCH(P$101,CF!$B$4:$Q$4,0))/1000,$J$2),"")</f>
        <v>0</v>
      </c>
      <c r="Q132" s="1302">
        <f>IFERROR(ROUND(INDEX(CF!$B$4:$Q$41,MATCH($B132,CF!$B$4:$B$41,0),MATCH(Q$101,CF!$B$4:$Q$4,0))/1000,$J$2),"")</f>
        <v>0</v>
      </c>
    </row>
    <row r="133" spans="1:20" ht="10.5" customHeight="1">
      <c r="B133" s="1365" t="str">
        <f>CF!B36</f>
        <v>Assets</v>
      </c>
      <c r="C133" s="1299"/>
      <c r="D133" s="1351">
        <f>IFERROR(ROUND(INDEX(CF!$B$4:$Q$41,MATCH($B133,CF!$B$4:$B$41,0),MATCH(D$101,CF!$B$4:$Q$4,0))/1000,$H$2),"")</f>
        <v>0</v>
      </c>
      <c r="E133" s="1351">
        <f>IFERROR(ROUND(INDEX(CF!$B$4:$Q$41,MATCH($B133,CF!$B$4:$B$41,0),MATCH(E$101,CF!$B$4:$Q$4,0))/1000,$H$2),"")</f>
        <v>0</v>
      </c>
      <c r="F133" s="1351">
        <f>IFERROR(ROUND(INDEX(CF!$B$4:$Q$41,MATCH($B133,CF!$B$4:$B$41,0),MATCH(F$101,CF!$B$4:$Q$4,0))/1000,$H$2),"")</f>
        <v>0</v>
      </c>
      <c r="G133" s="1351">
        <f>IFERROR(ROUND(INDEX(CF!$B$4:$Q$41,MATCH($B133,CF!$B$4:$B$41,0),MATCH(G$101,CF!$B$4:$Q$4,0))/1000,$H$2),"")</f>
        <v>0</v>
      </c>
      <c r="H133" s="1351">
        <f>IFERROR(ROUND(INDEX(CF!$B$4:$Q$41,MATCH($B133,CF!$B$4:$B$41,0),MATCH(H$101,CF!$B$4:$Q$4,0))/1000,$H$2),"")</f>
        <v>0</v>
      </c>
      <c r="I133" s="1351">
        <f>IFERROR(ROUND(INDEX(CF!$B$4:$Q$41,MATCH($B133,CF!$B$4:$B$41,0),MATCH(I$101,CF!$B$4:$Q$4,0))/1000,$J$2),"")</f>
        <v>0</v>
      </c>
      <c r="J133" s="1351">
        <f>IFERROR(ROUND(INDEX(CF!$B$4:$Q$41,MATCH($B133,CF!$B$4:$B$41,0),MATCH(J$101,CF!$B$4:$Q$4,0))/1000,$J$2),"")</f>
        <v>0</v>
      </c>
      <c r="K133" s="1351">
        <f>IFERROR(ROUND(INDEX(CF!$B$4:$Q$41,MATCH($B133,CF!$B$4:$B$41,0),MATCH(K$101,CF!$B$4:$Q$4,0))/1000,$J$2),"")</f>
        <v>0</v>
      </c>
      <c r="L133" s="1351">
        <f>IFERROR(ROUND(INDEX(CF!$B$4:$Q$41,MATCH($B133,CF!$B$4:$B$41,0),MATCH(L$101,CF!$B$4:$Q$4,0))/1000,$J$2),"")</f>
        <v>0</v>
      </c>
      <c r="M133" s="1351">
        <f>IFERROR(ROUND(INDEX(CF!$B$4:$Q$41,MATCH($B133,CF!$B$4:$B$41,0),MATCH(M$101,CF!$B$4:$Q$4,0))/1000,$J$2),"")</f>
        <v>0</v>
      </c>
      <c r="N133" s="1351">
        <f>IFERROR(ROUND(INDEX(CF!$B$4:$Q$41,MATCH($B133,CF!$B$4:$B$41,0),MATCH(N$101,CF!$B$4:$Q$4,0))/1000,$J$2),"")</f>
        <v>0</v>
      </c>
      <c r="O133" s="1351">
        <f>IFERROR(ROUND(INDEX(CF!$B$4:$Q$41,MATCH($B133,CF!$B$4:$B$41,0),MATCH(O$101,CF!$B$4:$Q$4,0))/1000,$J$2),"")</f>
        <v>0</v>
      </c>
      <c r="P133" s="1351">
        <f>IFERROR(ROUND(INDEX(CF!$B$4:$Q$41,MATCH($B133,CF!$B$4:$B$41,0),MATCH(P$101,CF!$B$4:$Q$4,0))/1000,$J$2),"")</f>
        <v>0</v>
      </c>
      <c r="Q133" s="1351">
        <f>IFERROR(ROUND(INDEX(CF!$B$4:$Q$41,MATCH($B133,CF!$B$4:$B$41,0),MATCH(Q$101,CF!$B$4:$Q$4,0))/1000,$J$2),"")</f>
        <v>0</v>
      </c>
    </row>
    <row r="134" spans="1:20" ht="10.5" customHeight="1">
      <c r="B134" s="1352" t="str">
        <f>CF!B37</f>
        <v>Increase (-) / decrease (+) in receivables from affiliated companies</v>
      </c>
      <c r="C134" s="1299"/>
      <c r="D134" s="1302">
        <f>IFERROR(ROUND(INDEX(CF!$B$4:$Q$41,MATCH($B134,CF!$B$4:$B$41,0),MATCH(D$101,CF!$B$4:$Q$4,0))/1000,$H$2),"")</f>
        <v>0</v>
      </c>
      <c r="E134" s="1302">
        <f>IFERROR(ROUND(INDEX(CF!$B$4:$Q$41,MATCH($B134,CF!$B$4:$B$41,0),MATCH(E$101,CF!$B$4:$Q$4,0))/1000,$H$2),"")</f>
        <v>-509</v>
      </c>
      <c r="F134" s="1302">
        <f>IFERROR(ROUND(INDEX(CF!$B$4:$Q$41,MATCH($B134,CF!$B$4:$B$41,0),MATCH(F$101,CF!$B$4:$Q$4,0))/1000,$H$2),"")</f>
        <v>-3468.1</v>
      </c>
      <c r="G134" s="1302">
        <f>IFERROR(ROUND(INDEX(CF!$B$4:$Q$41,MATCH($B134,CF!$B$4:$B$41,0),MATCH(G$101,CF!$B$4:$Q$4,0))/1000,$H$2),"")</f>
        <v>2597.9</v>
      </c>
      <c r="H134" s="1302">
        <f>IFERROR(ROUND(INDEX(CF!$B$4:$Q$41,MATCH($B134,CF!$B$4:$B$41,0),MATCH(H$101,CF!$B$4:$Q$4,0))/1000,$H$2),"")</f>
        <v>-473.4</v>
      </c>
      <c r="I134" s="1302">
        <f>IFERROR(ROUND(INDEX(CF!$B$4:$Q$41,MATCH($B134,CF!$B$4:$B$41,0),MATCH(I$101,CF!$B$4:$Q$4,0))/1000,$J$2),"")</f>
        <v>1852.6</v>
      </c>
      <c r="J134" s="1302">
        <f>IFERROR(ROUND(INDEX(CF!$B$4:$Q$41,MATCH($B134,CF!$B$4:$B$41,0),MATCH(J$101,CF!$B$4:$Q$4,0))/1000,$J$2),"")</f>
        <v>0</v>
      </c>
      <c r="K134" s="1302">
        <f>IFERROR(ROUND(INDEX(CF!$B$4:$Q$41,MATCH($B134,CF!$B$4:$B$41,0),MATCH(K$101,CF!$B$4:$Q$4,0))/1000,$J$2),"")</f>
        <v>0</v>
      </c>
      <c r="L134" s="1302">
        <f>IFERROR(ROUND(INDEX(CF!$B$4:$Q$41,MATCH($B134,CF!$B$4:$B$41,0),MATCH(L$101,CF!$B$4:$Q$4,0))/1000,$J$2),"")</f>
        <v>0</v>
      </c>
      <c r="M134" s="1302" t="str">
        <f>IFERROR(ROUND(INDEX(CF!$B$4:$Q$41,MATCH($B134,CF!$B$4:$B$41,0),MATCH(M$101,CF!$B$4:$Q$4,0))/1000,$J$2),"")</f>
        <v/>
      </c>
      <c r="N134" s="1302" t="str">
        <f>IFERROR(ROUND(INDEX(CF!$B$4:$Q$41,MATCH($B134,CF!$B$4:$B$41,0),MATCH(N$101,CF!$B$4:$Q$4,0))/1000,$J$2),"")</f>
        <v/>
      </c>
      <c r="O134" s="1302" t="str">
        <f>IFERROR(ROUND(INDEX(CF!$B$4:$Q$41,MATCH($B134,CF!$B$4:$B$41,0),MATCH(O$101,CF!$B$4:$Q$4,0))/1000,$J$2),"")</f>
        <v/>
      </c>
      <c r="P134" s="1302" t="str">
        <f>IFERROR(ROUND(INDEX(CF!$B$4:$Q$41,MATCH($B134,CF!$B$4:$B$41,0),MATCH(P$101,CF!$B$4:$Q$4,0))/1000,$J$2),"")</f>
        <v/>
      </c>
      <c r="Q134" s="1302" t="str">
        <f>IFERROR(ROUND(INDEX(CF!$B$4:$Q$41,MATCH($B134,CF!$B$4:$B$41,0),MATCH(Q$101,CF!$B$4:$Q$4,0))/1000,$J$2),"")</f>
        <v/>
      </c>
    </row>
    <row r="135" spans="1:20" ht="10.5" customHeight="1">
      <c r="B135" s="1359" t="str">
        <f>CF!B38</f>
        <v>Increase (-) / decrease (+) in securities</v>
      </c>
      <c r="C135" s="1367"/>
      <c r="D135" s="1361">
        <f>IFERROR(ROUND(INDEX(CF!$B$4:$Q$41,MATCH($B135,CF!$B$4:$B$41,0),MATCH(D$101,CF!$B$4:$Q$4,0))/1000,$H$2),"")</f>
        <v>0</v>
      </c>
      <c r="E135" s="1361">
        <f>IFERROR(ROUND(INDEX(CF!$B$4:$Q$41,MATCH($B135,CF!$B$4:$B$41,0),MATCH(E$101,CF!$B$4:$Q$4,0))/1000,$H$2),"")</f>
        <v>0</v>
      </c>
      <c r="F135" s="1361">
        <f>IFERROR(ROUND(INDEX(CF!$B$4:$Q$41,MATCH($B135,CF!$B$4:$B$41,0),MATCH(F$101,CF!$B$4:$Q$4,0))/1000,$H$2),"")</f>
        <v>0</v>
      </c>
      <c r="G135" s="1361">
        <f>IFERROR(ROUND(INDEX(CF!$B$4:$Q$41,MATCH($B135,CF!$B$4:$B$41,0),MATCH(G$101,CF!$B$4:$Q$4,0))/1000,$H$2),"")</f>
        <v>0</v>
      </c>
      <c r="H135" s="1361">
        <f>IFERROR(ROUND(INDEX(CF!$B$4:$Q$41,MATCH($B135,CF!$B$4:$B$41,0),MATCH(H$101,CF!$B$4:$Q$4,0))/1000,$H$2),"")</f>
        <v>0</v>
      </c>
      <c r="I135" s="1361">
        <f>IFERROR(ROUND(INDEX(CF!$B$4:$Q$41,MATCH($B135,CF!$B$4:$B$41,0),MATCH(I$101,CF!$B$4:$Q$4,0))/1000,$J$2),"")</f>
        <v>0</v>
      </c>
      <c r="J135" s="1361">
        <f>IFERROR(ROUND(INDEX(CF!$B$4:$Q$41,MATCH($B135,CF!$B$4:$B$41,0),MATCH(J$101,CF!$B$4:$Q$4,0))/1000,$J$2),"")</f>
        <v>0</v>
      </c>
      <c r="K135" s="1361">
        <f>IFERROR(ROUND(INDEX(CF!$B$4:$Q$41,MATCH($B135,CF!$B$4:$B$41,0),MATCH(K$101,CF!$B$4:$Q$4,0))/1000,$J$2),"")</f>
        <v>0</v>
      </c>
      <c r="L135" s="1361">
        <f>IFERROR(ROUND(INDEX(CF!$B$4:$Q$41,MATCH($B135,CF!$B$4:$B$41,0),MATCH(L$101,CF!$B$4:$Q$4,0))/1000,$J$2),"")</f>
        <v>0</v>
      </c>
      <c r="M135" s="1361" t="str">
        <f>IFERROR(ROUND(INDEX(CF!$B$4:$Q$41,MATCH($B135,CF!$B$4:$B$41,0),MATCH(M$101,CF!$B$4:$Q$4,0))/1000,$J$2),"")</f>
        <v/>
      </c>
      <c r="N135" s="1361" t="str">
        <f>IFERROR(ROUND(INDEX(CF!$B$4:$Q$41,MATCH($B135,CF!$B$4:$B$41,0),MATCH(N$101,CF!$B$4:$Q$4,0))/1000,$J$2),"")</f>
        <v/>
      </c>
      <c r="O135" s="1361" t="str">
        <f>IFERROR(ROUND(INDEX(CF!$B$4:$Q$41,MATCH($B135,CF!$B$4:$B$41,0),MATCH(O$101,CF!$B$4:$Q$4,0))/1000,$J$2),"")</f>
        <v/>
      </c>
      <c r="P135" s="1361" t="str">
        <f>IFERROR(ROUND(INDEX(CF!$B$4:$Q$41,MATCH($B135,CF!$B$4:$B$41,0),MATCH(P$101,CF!$B$4:$Q$4,0))/1000,$J$2),"")</f>
        <v/>
      </c>
      <c r="Q135" s="1361" t="str">
        <f>IFERROR(ROUND(INDEX(CF!$B$4:$Q$41,MATCH($B135,CF!$B$4:$B$41,0),MATCH(Q$101,CF!$B$4:$Q$4,0))/1000,$J$2),"")</f>
        <v/>
      </c>
    </row>
    <row r="136" spans="1:20" ht="10.5" customHeight="1" thickBot="1">
      <c r="B136" s="1830" t="str">
        <f>CF!B39</f>
        <v>Cash Flow III from financing activities</v>
      </c>
      <c r="C136" s="1831"/>
      <c r="D136" s="1832">
        <f>IFERROR(ROUND(INDEX(CF!$B$4:$Q$41,MATCH($B136,CF!$B$4:$B$41,0),MATCH(D$101,CF!$B$4:$Q$4,0))/1000,$H$2),"")</f>
        <v>0</v>
      </c>
      <c r="E136" s="1832">
        <f>IFERROR(ROUND(INDEX(CF!$B$4:$Q$41,MATCH($B136,CF!$B$4:$B$41,0),MATCH(E$101,CF!$B$4:$Q$4,0))/1000,$H$2),"")</f>
        <v>-4119</v>
      </c>
      <c r="F136" s="1832">
        <f>IFERROR(ROUND(INDEX(CF!$B$4:$Q$41,MATCH($B136,CF!$B$4:$B$41,0),MATCH(F$101,CF!$B$4:$Q$4,0))/1000,$H$2),"")</f>
        <v>-6178.5</v>
      </c>
      <c r="G136" s="1832">
        <f>IFERROR(ROUND(INDEX(CF!$B$4:$Q$41,MATCH($B136,CF!$B$4:$B$41,0),MATCH(G$101,CF!$B$4:$Q$4,0))/1000,$H$2),"")</f>
        <v>5037.8</v>
      </c>
      <c r="H136" s="1832">
        <f>IFERROR(ROUND(INDEX(CF!$B$4:$Q$41,MATCH($B136,CF!$B$4:$B$41,0),MATCH(H$101,CF!$B$4:$Q$4,0))/1000,$H$2),"")</f>
        <v>1966.6</v>
      </c>
      <c r="I136" s="1832">
        <f>IFERROR(ROUND(INDEX(CF!$B$4:$Q$41,MATCH($B136,CF!$B$4:$B$41,0),MATCH(I$101,CF!$B$4:$Q$4,0))/1000,$J$2),"")</f>
        <v>-13291.6</v>
      </c>
      <c r="J136" s="1832">
        <f>IFERROR(ROUND(INDEX(CF!$B$4:$Q$41,MATCH($B136,CF!$B$4:$B$41,0),MATCH(J$101,CF!$B$4:$Q$4,0))/1000,$J$2),"")</f>
        <v>0</v>
      </c>
      <c r="K136" s="1832">
        <f>IFERROR(ROUND(INDEX(CF!$B$4:$Q$41,MATCH($B136,CF!$B$4:$B$41,0),MATCH(K$101,CF!$B$4:$Q$4,0))/1000,$J$2),"")</f>
        <v>0</v>
      </c>
      <c r="L136" s="1832">
        <f>IFERROR(ROUND(INDEX(CF!$B$4:$Q$41,MATCH($B136,CF!$B$4:$B$41,0),MATCH(L$101,CF!$B$4:$Q$4,0))/1000,$J$2),"")</f>
        <v>0</v>
      </c>
      <c r="M136" s="1832" t="str">
        <f>IFERROR(ROUND(INDEX(CF!$B$4:$Q$41,MATCH($B136,CF!$B$4:$B$41,0),MATCH(M$101,CF!$B$4:$Q$4,0))/1000,$J$2),"")</f>
        <v/>
      </c>
      <c r="N136" s="1832" t="str">
        <f>IFERROR(ROUND(INDEX(CF!$B$4:$Q$41,MATCH($B136,CF!$B$4:$B$41,0),MATCH(N$101,CF!$B$4:$Q$4,0))/1000,$J$2),"")</f>
        <v/>
      </c>
      <c r="O136" s="1832" t="str">
        <f>IFERROR(ROUND(INDEX(CF!$B$4:$Q$41,MATCH($B136,CF!$B$4:$B$41,0),MATCH(O$101,CF!$B$4:$Q$4,0))/1000,$J$2),"")</f>
        <v/>
      </c>
      <c r="P136" s="1832" t="str">
        <f>IFERROR(ROUND(INDEX(CF!$B$4:$Q$41,MATCH($B136,CF!$B$4:$B$41,0),MATCH(P$101,CF!$B$4:$Q$4,0))/1000,$J$2),"")</f>
        <v/>
      </c>
      <c r="Q136" s="1832" t="str">
        <f>IFERROR(ROUND(INDEX(CF!$B$4:$Q$41,MATCH($B136,CF!$B$4:$B$41,0),MATCH(Q$101,CF!$B$4:$Q$4,0))/1000,$J$2),"")</f>
        <v/>
      </c>
      <c r="R136" s="189"/>
    </row>
    <row r="137" spans="1:20" ht="10.5" customHeight="1">
      <c r="B137" s="1362" t="str">
        <f>CF!B41</f>
        <v>Total Cash Flow (levered) (Change in liquid funds/ Cash balance)</v>
      </c>
      <c r="C137" s="1368"/>
      <c r="D137" s="1314">
        <f>IFERROR(ROUND(INDEX(CF!$B$4:$Q$41,MATCH($B137,CF!$B$4:$B$41,0),MATCH(D$101,CF!$B$4:$Q$4,0))/1000,$H$2),"")</f>
        <v>0</v>
      </c>
      <c r="E137" s="1314">
        <f>IFERROR(ROUND(INDEX(CF!$B$4:$Q$41,MATCH($B137,CF!$B$4:$B$41,0),MATCH(E$101,CF!$B$4:$Q$4,0))/1000,$H$2),"")</f>
        <v>-19393</v>
      </c>
      <c r="F137" s="1314">
        <f>IFERROR(ROUND(INDEX(CF!$B$4:$Q$41,MATCH($B137,CF!$B$4:$B$41,0),MATCH(F$101,CF!$B$4:$Q$4,0))/1000,$H$2),"")</f>
        <v>-5529.8</v>
      </c>
      <c r="G137" s="1314" t="str">
        <f>IFERROR(ROUND(INDEX(CF!$B$4:$Q$41,MATCH($B137,CF!$B$4:$B$41,0),MATCH(G$101,CF!$B$4:$Q$4,0))/1000,$H$2),"")</f>
        <v/>
      </c>
      <c r="H137" s="1314" t="str">
        <f>IFERROR(ROUND(INDEX(CF!$B$4:$Q$41,MATCH($B137,CF!$B$4:$B$41,0),MATCH(H$101,CF!$B$4:$Q$4,0))/1000,$H$2),"")</f>
        <v/>
      </c>
      <c r="I137" s="1314" t="str">
        <f>IFERROR(ROUND(INDEX(CF!$B$4:$Q$41,MATCH($B137,CF!$B$4:$B$41,0),MATCH(I$101,CF!$B$4:$Q$4,0))/1000,$J$2),"")</f>
        <v/>
      </c>
      <c r="J137" s="1314">
        <f>IFERROR(ROUND(INDEX(CF!$B$4:$Q$41,MATCH($B137,CF!$B$4:$B$41,0),MATCH(J$101,CF!$B$4:$Q$4,0))/1000,$J$2),"")</f>
        <v>0</v>
      </c>
      <c r="K137" s="1314">
        <f>IFERROR(ROUND(INDEX(CF!$B$4:$Q$41,MATCH($B137,CF!$B$4:$B$41,0),MATCH(K$101,CF!$B$4:$Q$4,0))/1000,$J$2),"")</f>
        <v>0</v>
      </c>
      <c r="L137" s="1314">
        <f>IFERROR(ROUND(INDEX(CF!$B$4:$Q$41,MATCH($B137,CF!$B$4:$B$41,0),MATCH(L$101,CF!$B$4:$Q$4,0))/1000,$J$2),"")</f>
        <v>0</v>
      </c>
      <c r="M137" s="1314" t="str">
        <f>IFERROR(ROUND(INDEX(CF!$B$4:$Q$41,MATCH($B137,CF!$B$4:$B$41,0),MATCH(M$101,CF!$B$4:$Q$4,0))/1000,$J$2),"")</f>
        <v/>
      </c>
      <c r="N137" s="1314" t="str">
        <f>IFERROR(ROUND(INDEX(CF!$B$4:$Q$41,MATCH($B137,CF!$B$4:$B$41,0),MATCH(N$101,CF!$B$4:$Q$4,0))/1000,$J$2),"")</f>
        <v/>
      </c>
      <c r="O137" s="1314" t="str">
        <f>IFERROR(ROUND(INDEX(CF!$B$4:$Q$41,MATCH($B137,CF!$B$4:$B$41,0),MATCH(O$101,CF!$B$4:$Q$4,0))/1000,$J$2),"")</f>
        <v/>
      </c>
      <c r="P137" s="1314" t="str">
        <f>IFERROR(ROUND(INDEX(CF!$B$4:$Q$41,MATCH($B137,CF!$B$4:$B$41,0),MATCH(P$101,CF!$B$4:$Q$4,0))/1000,$J$2),"")</f>
        <v/>
      </c>
      <c r="Q137" s="1314" t="str">
        <f>IFERROR(ROUND(INDEX(CF!$B$4:$Q$41,MATCH($B137,CF!$B$4:$B$41,0),MATCH(Q$101,CF!$B$4:$Q$4,0))/1000,$J$2),"")</f>
        <v/>
      </c>
      <c r="R137" s="189"/>
    </row>
    <row r="139" spans="1:20">
      <c r="E139" s="11"/>
    </row>
    <row r="140" spans="1:20">
      <c r="E140" s="11"/>
    </row>
    <row r="141" spans="1:20">
      <c r="E141" s="11"/>
    </row>
    <row r="142" spans="1:20">
      <c r="E142" s="11"/>
    </row>
  </sheetData>
  <sheetProtection formatCells="0" insertRows="0" insertHyperlinks="0"/>
  <mergeCells count="2">
    <mergeCell ref="S4:U5"/>
    <mergeCell ref="V4:V5"/>
  </mergeCells>
  <phoneticPr fontId="6" type="noConversion"/>
  <dataValidations count="1">
    <dataValidation type="list" allowBlank="1" showInputMessage="1" showErrorMessage="1" sqref="H2 J2" xr:uid="{6CE6C78E-4C9A-4340-9D7A-9F0C0A482317}">
      <formula1>"3,2,1,0,-1,-2,-3"</formula1>
    </dataValidation>
  </dataValidations>
  <pageMargins left="0.31496062992125984" right="0.31496062992125984" top="0.31496062992125984" bottom="0.31496062992125984" header="0.31496062992125984" footer="0.31496062992125984"/>
  <pageSetup paperSize="9" scale="75"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7">
    <tabColor rgb="FF92D050"/>
    <pageSetUpPr autoPageBreaks="0" fitToPage="1"/>
  </sheetPr>
  <dimension ref="A1:U85"/>
  <sheetViews>
    <sheetView tabSelected="1" zoomScale="80" zoomScaleNormal="80" workbookViewId="0">
      <selection activeCell="G15" sqref="G15"/>
    </sheetView>
  </sheetViews>
  <sheetFormatPr defaultColWidth="11.42578125" defaultRowHeight="12.75"/>
  <cols>
    <col min="1" max="1" width="5.7109375" style="1" customWidth="1"/>
    <col min="2" max="2" width="59.42578125" style="1" bestFit="1" customWidth="1"/>
    <col min="3" max="3" width="15.140625" style="803" customWidth="1"/>
    <col min="4" max="4" width="12.140625" style="934" hidden="1" customWidth="1"/>
    <col min="5" max="5" width="14.5703125" style="940" bestFit="1" customWidth="1"/>
    <col min="6" max="6" width="12.5703125" style="940" bestFit="1" customWidth="1"/>
    <col min="7" max="12" width="12.140625" style="940" customWidth="1"/>
    <col min="13" max="13" width="5.7109375" style="940" customWidth="1"/>
    <col min="14" max="14" width="5.7109375" style="964" customWidth="1"/>
    <col min="15" max="17" width="5.7109375" style="947" customWidth="1"/>
    <col min="18" max="18" width="7.140625" style="1" customWidth="1"/>
    <col min="19" max="20" width="11.42578125" style="1"/>
    <col min="21" max="21" width="12" style="1" bestFit="1" customWidth="1"/>
    <col min="22" max="16384" width="11.42578125" style="1"/>
  </cols>
  <sheetData>
    <row r="1" spans="2:19" ht="15" customHeight="1">
      <c r="N1" s="940"/>
    </row>
    <row r="2" spans="2:19" ht="18.75">
      <c r="B2" s="115" t="s">
        <v>176</v>
      </c>
      <c r="N2" s="940"/>
    </row>
    <row r="3" spans="2:19">
      <c r="N3" s="940"/>
    </row>
    <row r="4" spans="2:19">
      <c r="B4" s="203" t="str">
        <f>Lang.!B6</f>
        <v>Income Statement/ P&amp;L (Total cost)</v>
      </c>
      <c r="C4" s="1009" t="str">
        <f>Eckdaten!C14</f>
        <v>EUR</v>
      </c>
      <c r="D4" s="142">
        <f>+E4-1</f>
        <v>2021</v>
      </c>
      <c r="E4" s="142">
        <f>+F4-1</f>
        <v>2022</v>
      </c>
      <c r="F4" s="142">
        <f>+G4-1</f>
        <v>2023</v>
      </c>
      <c r="G4" s="142">
        <f>+Eckdaten!C12</f>
        <v>2024</v>
      </c>
      <c r="H4" s="204">
        <f>+G4+1</f>
        <v>2025</v>
      </c>
      <c r="I4" s="1492"/>
      <c r="J4" s="1492"/>
      <c r="K4" s="1492"/>
      <c r="L4" s="1492"/>
      <c r="M4" s="1492">
        <f>IF(Eckdaten!$C$20+Eckdaten!$C$12&gt;L4,L4+1," ")</f>
        <v>1</v>
      </c>
      <c r="N4" s="1492">
        <f>IF(Eckdaten!$C$20+Eckdaten!$C$12&gt;M4,M4+1," ")</f>
        <v>2</v>
      </c>
      <c r="O4" s="1492">
        <f>IF(Eckdaten!$C$20+Eckdaten!$C$12&gt;N4,N4+1," ")</f>
        <v>3</v>
      </c>
      <c r="P4" s="1492">
        <f>IF(Eckdaten!$C$20+Eckdaten!$C$12&gt;O4,O4+1," ")</f>
        <v>4</v>
      </c>
      <c r="Q4" s="1492">
        <f>IF(Eckdaten!$C$20+Eckdaten!$C$12&gt;P4,P4+1," ")</f>
        <v>5</v>
      </c>
      <c r="R4" s="201"/>
      <c r="S4" s="32"/>
    </row>
    <row r="5" spans="2:19">
      <c r="B5" s="1918"/>
      <c r="C5" s="1918"/>
      <c r="D5" s="127" t="s">
        <v>173</v>
      </c>
      <c r="E5" s="127" t="s">
        <v>173</v>
      </c>
      <c r="F5" s="127" t="s">
        <v>173</v>
      </c>
      <c r="G5" s="127" t="s">
        <v>173</v>
      </c>
      <c r="H5" s="202" t="s">
        <v>174</v>
      </c>
      <c r="I5" s="1493"/>
      <c r="J5" s="1493"/>
      <c r="K5" s="1493"/>
      <c r="L5" s="1493"/>
      <c r="M5" s="1493" t="str">
        <f t="shared" ref="M5" si="0">IF(M4=" "," ","P")</f>
        <v>P</v>
      </c>
      <c r="N5" s="1493" t="str">
        <f t="shared" ref="N5" si="1">IF(N4=" "," ","P")</f>
        <v>P</v>
      </c>
      <c r="O5" s="1493" t="str">
        <f t="shared" ref="O5" si="2">IF(O4=" "," ","P")</f>
        <v>P</v>
      </c>
      <c r="P5" s="1493" t="str">
        <f t="shared" ref="P5" si="3">IF(P4=" "," ","P")</f>
        <v>P</v>
      </c>
      <c r="Q5" s="1493" t="str">
        <f t="shared" ref="Q5" si="4">IF(Q4=" "," ","P")</f>
        <v>P</v>
      </c>
      <c r="R5" s="201"/>
    </row>
    <row r="6" spans="2:19">
      <c r="H6" s="948"/>
      <c r="N6" s="949"/>
    </row>
    <row r="7" spans="2:19">
      <c r="B7" s="1208" t="str">
        <f>Lang.!B14</f>
        <v>Total Turnover (adjusted)</v>
      </c>
      <c r="C7" s="1010"/>
      <c r="D7" s="1092">
        <f>IF(D4=" ","",D8+D12)</f>
        <v>0</v>
      </c>
      <c r="E7" s="1092">
        <f t="shared" ref="E7:Q7" si="5">IF(E4=" ","",E8+E12)</f>
        <v>38216485.956758939</v>
      </c>
      <c r="F7" s="1092">
        <f t="shared" si="5"/>
        <v>37396294.271356784</v>
      </c>
      <c r="G7" s="1092">
        <f t="shared" si="5"/>
        <v>34006908.524326496</v>
      </c>
      <c r="H7" s="1093">
        <f t="shared" si="5"/>
        <v>34687046.694813028</v>
      </c>
      <c r="I7" s="1092"/>
      <c r="J7" s="1092"/>
      <c r="K7" s="1092"/>
      <c r="L7" s="1092"/>
      <c r="M7" s="1092" t="e">
        <f t="shared" si="5"/>
        <v>#VALUE!</v>
      </c>
      <c r="N7" s="1092" t="e">
        <f t="shared" si="5"/>
        <v>#VALUE!</v>
      </c>
      <c r="O7" s="1092" t="e">
        <f t="shared" si="5"/>
        <v>#VALUE!</v>
      </c>
      <c r="P7" s="1092" t="e">
        <f t="shared" si="5"/>
        <v>#VALUE!</v>
      </c>
      <c r="Q7" s="1092" t="e">
        <f t="shared" si="5"/>
        <v>#VALUE!</v>
      </c>
    </row>
    <row r="8" spans="2:19">
      <c r="B8" s="1208" t="str">
        <f>Lang.!B15</f>
        <v>Total Turnover (reported)</v>
      </c>
      <c r="C8" s="1010"/>
      <c r="D8" s="1092">
        <f>IF(D4=" ","",SUM(D9:D10))</f>
        <v>0</v>
      </c>
      <c r="E8" s="1092">
        <f t="shared" ref="E8:Q8" si="6">IF(E4=" ","",SUM(E9:E10))</f>
        <v>38216485.956758939</v>
      </c>
      <c r="F8" s="1092">
        <f t="shared" si="6"/>
        <v>37396294.271356784</v>
      </c>
      <c r="G8" s="1092">
        <f t="shared" si="6"/>
        <v>34006908.524326496</v>
      </c>
      <c r="H8" s="1093">
        <f t="shared" si="6"/>
        <v>34687046.694813028</v>
      </c>
      <c r="I8" s="1092"/>
      <c r="J8" s="1092"/>
      <c r="K8" s="1092"/>
      <c r="L8" s="1092"/>
      <c r="M8" s="1092">
        <f t="shared" si="6"/>
        <v>0</v>
      </c>
      <c r="N8" s="1092">
        <f t="shared" si="6"/>
        <v>0</v>
      </c>
      <c r="O8" s="1092">
        <f t="shared" si="6"/>
        <v>0</v>
      </c>
      <c r="P8" s="1092">
        <f t="shared" si="6"/>
        <v>0</v>
      </c>
      <c r="Q8" s="1092">
        <f t="shared" si="6"/>
        <v>0</v>
      </c>
    </row>
    <row r="9" spans="2:19">
      <c r="B9" s="200" t="str">
        <f>Lang.!B9</f>
        <v>Revenue</v>
      </c>
      <c r="D9" s="1069">
        <f>Financials_Input!E4</f>
        <v>0</v>
      </c>
      <c r="E9" s="1069">
        <f>'P&amp;L 22-24'!C8</f>
        <v>38216485.956758939</v>
      </c>
      <c r="F9" s="1069">
        <f>'P&amp;L 22-24'!E8</f>
        <v>37396294.271356784</v>
      </c>
      <c r="G9" s="1069">
        <f>'P&amp;L 22-24'!G8</f>
        <v>34006908.524326496</v>
      </c>
      <c r="H9" s="1070">
        <f>Planung!H8</f>
        <v>34687046.694813028</v>
      </c>
      <c r="I9" s="1071"/>
      <c r="J9" s="1071"/>
      <c r="K9" s="1071"/>
      <c r="L9" s="1071"/>
      <c r="M9" s="1071" t="str">
        <f>Planung!M8</f>
        <v/>
      </c>
      <c r="N9" s="1071" t="str">
        <f>Planung!N8</f>
        <v/>
      </c>
      <c r="O9" s="1071" t="str">
        <f>Planung!O8</f>
        <v/>
      </c>
      <c r="P9" s="1071" t="str">
        <f>Planung!P8</f>
        <v/>
      </c>
      <c r="Q9" s="1071" t="str">
        <f>Planung!Q8</f>
        <v/>
      </c>
    </row>
    <row r="10" spans="2:19">
      <c r="B10" s="200" t="str">
        <f>Lang.!B11</f>
        <v>Change in Inventory</v>
      </c>
      <c r="D10" s="1069">
        <f>Financials_Input!E5</f>
        <v>0</v>
      </c>
      <c r="E10" s="1069">
        <f>Financials_Input!F5</f>
        <v>0</v>
      </c>
      <c r="F10" s="1069">
        <f>Financials_Input!G5</f>
        <v>0</v>
      </c>
      <c r="G10" s="1069">
        <f>Financials_Input!H5</f>
        <v>0</v>
      </c>
      <c r="H10" s="1072">
        <f>Planung!H9</f>
        <v>0</v>
      </c>
      <c r="I10" s="1071"/>
      <c r="J10" s="1071"/>
      <c r="K10" s="1071"/>
      <c r="L10" s="1071"/>
      <c r="M10" s="1071" t="str">
        <f>Planung!M9</f>
        <v/>
      </c>
      <c r="N10" s="1071" t="str">
        <f>Planung!N9</f>
        <v/>
      </c>
      <c r="O10" s="1071" t="str">
        <f>Planung!O9</f>
        <v/>
      </c>
      <c r="P10" s="1071" t="str">
        <f>Planung!P9</f>
        <v/>
      </c>
      <c r="Q10" s="1071" t="str">
        <f>Planung!Q9</f>
        <v/>
      </c>
    </row>
    <row r="11" spans="2:19">
      <c r="G11" s="962"/>
    </row>
    <row r="12" spans="2:19" s="4" customFormat="1">
      <c r="B12" s="207" t="str">
        <f>Lang.!B12</f>
        <v>Adjustments (Total Turnover)</v>
      </c>
      <c r="C12" s="1012"/>
      <c r="D12" s="1073">
        <f>Berein.!D7</f>
        <v>0</v>
      </c>
      <c r="E12" s="1073">
        <f>Berein.!E7</f>
        <v>0</v>
      </c>
      <c r="F12" s="1073">
        <f>Berein.!F7</f>
        <v>0</v>
      </c>
      <c r="G12" s="1721">
        <f>Berein.!G7</f>
        <v>0</v>
      </c>
      <c r="H12" s="1075">
        <f>Berein.!H7</f>
        <v>0</v>
      </c>
      <c r="I12" s="1075"/>
      <c r="J12" s="1075"/>
      <c r="K12" s="1075"/>
      <c r="L12" s="1075"/>
      <c r="M12" s="1075" t="str">
        <f>Berein.!M7</f>
        <v xml:space="preserve"> </v>
      </c>
      <c r="N12" s="1075" t="str">
        <f>Berein.!N7</f>
        <v xml:space="preserve"> </v>
      </c>
      <c r="O12" s="1075" t="str">
        <f>Berein.!O7</f>
        <v xml:space="preserve"> </v>
      </c>
      <c r="P12" s="1075" t="str">
        <f>Berein.!P7</f>
        <v xml:space="preserve"> </v>
      </c>
      <c r="Q12" s="1075" t="str">
        <f>Berein.!Q7</f>
        <v xml:space="preserve"> </v>
      </c>
    </row>
    <row r="13" spans="2:19">
      <c r="B13" s="208" t="str">
        <f>Lang.!B13</f>
        <v xml:space="preserve"> </v>
      </c>
      <c r="D13" s="936"/>
      <c r="E13" s="936"/>
      <c r="F13" s="936"/>
      <c r="G13" s="951"/>
      <c r="H13" s="948"/>
      <c r="N13" s="940"/>
      <c r="O13" s="940"/>
      <c r="P13" s="940"/>
      <c r="Q13" s="940"/>
    </row>
    <row r="14" spans="2:19">
      <c r="B14" s="200" t="str">
        <f>Lang.!B18</f>
        <v>Cost of Material</v>
      </c>
      <c r="D14" s="1076">
        <f>D16+D17+D18</f>
        <v>0</v>
      </c>
      <c r="E14" s="1076">
        <f>E16+E17+E18</f>
        <v>0</v>
      </c>
      <c r="F14" s="1076">
        <f>F16+F17+F18</f>
        <v>0</v>
      </c>
      <c r="G14" s="1076">
        <f>G16+G17+G18</f>
        <v>0</v>
      </c>
      <c r="H14" s="1072">
        <f>IFERROR(IF(Planung!H24&lt;&gt;0,Planung!H24+H18,Planung!H23*'G&amp;V'!H8+H18),"")</f>
        <v>0</v>
      </c>
      <c r="I14" s="1071"/>
      <c r="J14" s="1071"/>
      <c r="K14" s="1071"/>
      <c r="L14" s="1071"/>
      <c r="M14" s="1071" t="str">
        <f>IFERROR(IF(Planung!M24&lt;&gt;0,Planung!M24+M18,Planung!M23*'G&amp;V'!M8+M18),"")</f>
        <v/>
      </c>
      <c r="N14" s="1071" t="str">
        <f>IFERROR(IF(Planung!N24&lt;&gt;0,Planung!N24+N18,Planung!N23*'G&amp;V'!N8+N18),"")</f>
        <v/>
      </c>
      <c r="O14" s="1071" t="str">
        <f>IFERROR(IF(Planung!O24&lt;&gt;0,Planung!O24+O18,Planung!O23*'G&amp;V'!O8+O18),"")</f>
        <v/>
      </c>
      <c r="P14" s="1071" t="str">
        <f>IFERROR(IF(Planung!P24&lt;&gt;0,Planung!P24+P18,Planung!P23*'G&amp;V'!P8+P18),"")</f>
        <v/>
      </c>
      <c r="Q14" s="1071" t="str">
        <f>IFERROR(IF(Planung!Q24&lt;&gt;0,Planung!Q24+Q18,Planung!Q23*'G&amp;V'!Q8+Q18),"")</f>
        <v/>
      </c>
    </row>
    <row r="15" spans="2:19" s="4" customFormat="1">
      <c r="B15" s="207" t="str">
        <f>Lang.!B19</f>
        <v>Cost of Material</v>
      </c>
      <c r="C15" s="1012" t="s">
        <v>177</v>
      </c>
      <c r="D15" s="943" t="str">
        <f>IFERROR(+D14/D$8,"na")</f>
        <v>na</v>
      </c>
      <c r="E15" s="943">
        <f>IFERROR(+E14/E$8,"na")</f>
        <v>0</v>
      </c>
      <c r="F15" s="943">
        <f>IFERROR(+F14/F$8,"na")</f>
        <v>0</v>
      </c>
      <c r="G15" s="943">
        <f>IFERROR(+G14/G$8,"na")</f>
        <v>0</v>
      </c>
      <c r="H15" s="955">
        <f t="shared" ref="H15:Q15" si="7">IFERROR(+H14/H$8," ")</f>
        <v>0</v>
      </c>
      <c r="I15" s="956"/>
      <c r="J15" s="956"/>
      <c r="K15" s="956"/>
      <c r="L15" s="956"/>
      <c r="M15" s="956" t="str">
        <f t="shared" si="7"/>
        <v xml:space="preserve"> </v>
      </c>
      <c r="N15" s="956" t="str">
        <f t="shared" si="7"/>
        <v xml:space="preserve"> </v>
      </c>
      <c r="O15" s="956" t="str">
        <f t="shared" si="7"/>
        <v xml:space="preserve"> </v>
      </c>
      <c r="P15" s="956" t="str">
        <f t="shared" si="7"/>
        <v xml:space="preserve"> </v>
      </c>
      <c r="Q15" s="956" t="str">
        <f t="shared" si="7"/>
        <v xml:space="preserve"> </v>
      </c>
    </row>
    <row r="16" spans="2:19">
      <c r="B16" s="210" t="str">
        <f>Lang.!B20</f>
        <v>a) Cost of raw materials, consumables &amp; supplies &amp; purchased goods</v>
      </c>
      <c r="D16" s="1069">
        <f>-Financials_Input!E9</f>
        <v>0</v>
      </c>
      <c r="E16" s="1069"/>
      <c r="F16" s="1069"/>
      <c r="G16" s="1069"/>
      <c r="H16" s="948"/>
      <c r="N16" s="940"/>
      <c r="O16" s="940"/>
      <c r="P16" s="940"/>
      <c r="Q16" s="940"/>
    </row>
    <row r="17" spans="1:21">
      <c r="B17" s="210" t="str">
        <f>Lang.!B21</f>
        <v>b) Expenses for purchased services</v>
      </c>
      <c r="D17" s="1069">
        <f>-Financials_Input!E10</f>
        <v>0</v>
      </c>
      <c r="E17" s="1069"/>
      <c r="F17" s="1069"/>
      <c r="G17" s="1069"/>
      <c r="H17" s="948"/>
      <c r="N17" s="940"/>
      <c r="O17" s="940"/>
      <c r="P17" s="940"/>
      <c r="Q17" s="940"/>
    </row>
    <row r="18" spans="1:21">
      <c r="B18" s="207" t="str">
        <f>Lang.!B22</f>
        <v>Adjustments (Cost of Material)</v>
      </c>
      <c r="C18" s="1014"/>
      <c r="D18" s="1073">
        <f>Berein.!D18</f>
        <v>0</v>
      </c>
      <c r="E18" s="1073">
        <f>Berein.!E18</f>
        <v>0</v>
      </c>
      <c r="F18" s="1073">
        <f>Berein.!F18</f>
        <v>0</v>
      </c>
      <c r="G18" s="1073">
        <f>Berein.!G18</f>
        <v>0</v>
      </c>
      <c r="H18" s="1074">
        <f>Berein.!H18</f>
        <v>0</v>
      </c>
      <c r="I18" s="1075"/>
      <c r="J18" s="1075"/>
      <c r="K18" s="1075"/>
      <c r="L18" s="1075"/>
      <c r="M18" s="1075" t="str">
        <f>Berein.!M18</f>
        <v xml:space="preserve"> </v>
      </c>
      <c r="N18" s="1075" t="str">
        <f>Berein.!N18</f>
        <v xml:space="preserve"> </v>
      </c>
      <c r="O18" s="1075" t="str">
        <f>Berein.!O18</f>
        <v xml:space="preserve"> </v>
      </c>
      <c r="P18" s="1075" t="str">
        <f>Berein.!P18</f>
        <v xml:space="preserve"> </v>
      </c>
      <c r="Q18" s="1075" t="str">
        <f>Berein.!Q18</f>
        <v xml:space="preserve"> </v>
      </c>
    </row>
    <row r="19" spans="1:21">
      <c r="B19" s="208" t="str">
        <f>Lang.!B23</f>
        <v xml:space="preserve"> </v>
      </c>
      <c r="D19" s="938"/>
      <c r="E19" s="938"/>
      <c r="F19" s="938"/>
      <c r="G19" s="947"/>
      <c r="H19" s="948"/>
      <c r="N19" s="940"/>
      <c r="O19" s="940"/>
      <c r="P19" s="940"/>
      <c r="Q19" s="940"/>
    </row>
    <row r="20" spans="1:21" s="7" customFormat="1">
      <c r="A20" s="3"/>
      <c r="B20" s="205" t="str">
        <f>Lang.!B24</f>
        <v>Gross Profit (adjusted)</v>
      </c>
      <c r="C20" s="1010"/>
      <c r="D20" s="935">
        <f>+D14+D7</f>
        <v>0</v>
      </c>
      <c r="E20" s="935">
        <f t="shared" ref="E20:G20" si="8">+E14+E7</f>
        <v>38216485.956758939</v>
      </c>
      <c r="F20" s="935">
        <f t="shared" si="8"/>
        <v>37396294.271356784</v>
      </c>
      <c r="G20" s="935">
        <f t="shared" si="8"/>
        <v>34006908.524326496</v>
      </c>
      <c r="H20" s="950">
        <f>IFERROR(+H14+H7,"")</f>
        <v>34687046.694813028</v>
      </c>
      <c r="I20" s="935"/>
      <c r="J20" s="935"/>
      <c r="K20" s="935"/>
      <c r="L20" s="935"/>
      <c r="M20" s="935" t="str">
        <f t="shared" ref="I20:Q20" si="9">IFERROR(+M14+M7,"")</f>
        <v/>
      </c>
      <c r="N20" s="935" t="str">
        <f t="shared" si="9"/>
        <v/>
      </c>
      <c r="O20" s="935" t="str">
        <f t="shared" si="9"/>
        <v/>
      </c>
      <c r="P20" s="935" t="str">
        <f t="shared" si="9"/>
        <v/>
      </c>
      <c r="Q20" s="935" t="str">
        <f t="shared" si="9"/>
        <v/>
      </c>
    </row>
    <row r="21" spans="1:21" s="7" customFormat="1">
      <c r="A21" s="3"/>
      <c r="B21" s="211" t="str">
        <f>Lang.!B26</f>
        <v>Gross Profit (reported)</v>
      </c>
      <c r="C21" s="1015"/>
      <c r="D21" s="939">
        <f>D7-D12+D14-D18</f>
        <v>0</v>
      </c>
      <c r="E21" s="939">
        <f t="shared" ref="E21:L21" si="10">E7-E12+E14-E18</f>
        <v>38216485.956758939</v>
      </c>
      <c r="F21" s="939">
        <f t="shared" si="10"/>
        <v>37396294.271356784</v>
      </c>
      <c r="G21" s="939">
        <f t="shared" si="10"/>
        <v>34006908.524326496</v>
      </c>
      <c r="H21" s="953">
        <f t="shared" si="10"/>
        <v>34687046.694813028</v>
      </c>
      <c r="I21" s="939"/>
      <c r="J21" s="939"/>
      <c r="K21" s="939"/>
      <c r="L21" s="939"/>
      <c r="M21" s="939" t="str">
        <f t="shared" ref="M21:Q21" si="11">IFERROR(M8-M12+M14-M18,"")</f>
        <v/>
      </c>
      <c r="N21" s="939" t="str">
        <f t="shared" si="11"/>
        <v/>
      </c>
      <c r="O21" s="939" t="str">
        <f t="shared" si="11"/>
        <v/>
      </c>
      <c r="P21" s="939" t="str">
        <f t="shared" si="11"/>
        <v/>
      </c>
      <c r="Q21" s="939" t="str">
        <f t="shared" si="11"/>
        <v/>
      </c>
    </row>
    <row r="22" spans="1:21" s="4" customFormat="1">
      <c r="B22" s="212" t="str">
        <f>Lang.!B25</f>
        <v>Gross Profit Margin</v>
      </c>
      <c r="C22" s="1013" t="s">
        <v>177</v>
      </c>
      <c r="D22" s="937" t="str">
        <f>IFERROR(+D20/D$8,"na")</f>
        <v>na</v>
      </c>
      <c r="E22" s="937">
        <f>IFERROR(+E20/E$8,"na")</f>
        <v>1</v>
      </c>
      <c r="F22" s="937">
        <f>IFERROR(+F20/F$8,"na")</f>
        <v>1</v>
      </c>
      <c r="G22" s="937">
        <f>IFERROR(+G20/G$8,"na")</f>
        <v>1</v>
      </c>
      <c r="H22" s="954">
        <f t="shared" ref="H22:Q22" si="12">IFERROR(+H20/H$8," ")</f>
        <v>1</v>
      </c>
      <c r="I22" s="937"/>
      <c r="J22" s="937"/>
      <c r="K22" s="937"/>
      <c r="L22" s="937"/>
      <c r="M22" s="937" t="str">
        <f t="shared" si="12"/>
        <v xml:space="preserve"> </v>
      </c>
      <c r="N22" s="937" t="str">
        <f t="shared" si="12"/>
        <v xml:space="preserve"> </v>
      </c>
      <c r="O22" s="937" t="str">
        <f t="shared" si="12"/>
        <v xml:space="preserve"> </v>
      </c>
      <c r="P22" s="937" t="str">
        <f t="shared" si="12"/>
        <v xml:space="preserve"> </v>
      </c>
      <c r="Q22" s="937" t="str">
        <f t="shared" si="12"/>
        <v xml:space="preserve"> </v>
      </c>
    </row>
    <row r="23" spans="1:21">
      <c r="A23" s="5"/>
      <c r="B23" s="7"/>
      <c r="C23" s="1015"/>
      <c r="D23" s="940"/>
      <c r="G23" s="947"/>
      <c r="H23" s="948"/>
      <c r="N23" s="940"/>
      <c r="O23" s="940"/>
      <c r="P23" s="940"/>
      <c r="Q23" s="940"/>
      <c r="U23" s="1102"/>
    </row>
    <row r="24" spans="1:21">
      <c r="B24" s="200" t="str">
        <f>Lang.!B27</f>
        <v>Personnel Expenses</v>
      </c>
      <c r="D24" s="1082">
        <f>D26+D27+D28</f>
        <v>0</v>
      </c>
      <c r="E24" s="1082">
        <f>E26+E27+E28</f>
        <v>-3420668.4178621946</v>
      </c>
      <c r="F24" s="1082">
        <f>F26+F27+F28</f>
        <v>-4168543.1155778901</v>
      </c>
      <c r="G24" s="1082">
        <f>G26+G27+G28</f>
        <v>-4283540.6111781262</v>
      </c>
      <c r="H24" s="1072">
        <f>IFERROR(IF(Planung!H26&lt;&gt;0,Planung!H26+H28,Planung!H7*Planung!H25+H28),"")</f>
        <v>-3780170.9475520109</v>
      </c>
      <c r="I24" s="1071"/>
      <c r="J24" s="1071"/>
      <c r="K24" s="1071"/>
      <c r="L24" s="1071"/>
      <c r="M24" s="1071" t="str">
        <f>IFERROR(IF(Planung!M26&lt;&gt;0,Planung!M26+M28,Planung!M7*Planung!M25+M28),"")</f>
        <v/>
      </c>
      <c r="N24" s="1071" t="str">
        <f>IFERROR(IF(Planung!N26&lt;&gt;0,Planung!N26+N28,Planung!N7*Planung!N25+N28),"")</f>
        <v/>
      </c>
      <c r="O24" s="1071" t="str">
        <f>IFERROR(IF(Planung!O26&lt;&gt;0,Planung!O26+O28,Planung!O7*Planung!O25+O28),"")</f>
        <v/>
      </c>
      <c r="P24" s="1071" t="str">
        <f>IFERROR(IF(Planung!P26&lt;&gt;0,Planung!P26+P28,Planung!P7*Planung!P25+P28),"")</f>
        <v/>
      </c>
      <c r="Q24" s="1071" t="str">
        <f>IFERROR(IF(Planung!Q26&lt;&gt;0,Planung!Q26+Q28,Planung!Q7*Planung!Q25+Q28),"")</f>
        <v/>
      </c>
    </row>
    <row r="25" spans="1:21" s="4" customFormat="1">
      <c r="B25" s="207" t="str">
        <f>Lang.!B28</f>
        <v>Personnel Expenses</v>
      </c>
      <c r="C25" s="1012" t="s">
        <v>177</v>
      </c>
      <c r="D25" s="943" t="str">
        <f>IFERROR(+D24/D$8,"na")</f>
        <v>na</v>
      </c>
      <c r="E25" s="943">
        <f>IFERROR(+E24/E$8,"na")</f>
        <v>-8.9507664878780355E-2</v>
      </c>
      <c r="F25" s="943">
        <f>IFERROR(+F24/F$8,"na")</f>
        <v>-0.11146941687135917</v>
      </c>
      <c r="G25" s="943">
        <f>IFERROR(+G24/G$8,"na")</f>
        <v>-0.12596089433163085</v>
      </c>
      <c r="H25" s="955">
        <f t="shared" ref="H25:Q25" si="13">IFERROR(+H24/H$8," ")</f>
        <v>-0.10897932536059012</v>
      </c>
      <c r="I25" s="956"/>
      <c r="J25" s="956"/>
      <c r="K25" s="956"/>
      <c r="L25" s="956"/>
      <c r="M25" s="956" t="str">
        <f t="shared" si="13"/>
        <v xml:space="preserve"> </v>
      </c>
      <c r="N25" s="956" t="str">
        <f t="shared" si="13"/>
        <v xml:space="preserve"> </v>
      </c>
      <c r="O25" s="956" t="str">
        <f t="shared" si="13"/>
        <v xml:space="preserve"> </v>
      </c>
      <c r="P25" s="956" t="str">
        <f t="shared" si="13"/>
        <v xml:space="preserve"> </v>
      </c>
      <c r="Q25" s="956" t="str">
        <f t="shared" si="13"/>
        <v xml:space="preserve"> </v>
      </c>
    </row>
    <row r="26" spans="1:21">
      <c r="B26" s="210" t="str">
        <f>Lang.!B29</f>
        <v>a) Wages and Salaries</v>
      </c>
      <c r="D26" s="1069">
        <f>-Financials_Input!E13</f>
        <v>0</v>
      </c>
      <c r="E26" s="1069">
        <f>-'P&amp;L 22-24'!C34</f>
        <v>-3347551.6265912307</v>
      </c>
      <c r="F26" s="1069">
        <f>-'P&amp;L 22-24'!E34</f>
        <v>-4079188.7437185934</v>
      </c>
      <c r="G26" s="1069">
        <f>-'P&amp;L 22-24'!G34</f>
        <v>-4188603.7394451145</v>
      </c>
      <c r="H26" s="948"/>
      <c r="N26" s="940"/>
      <c r="O26" s="940"/>
      <c r="P26" s="940"/>
      <c r="Q26" s="940"/>
    </row>
    <row r="27" spans="1:21">
      <c r="B27" s="213" t="str">
        <f>Lang.!B30</f>
        <v>b) Social security contributions and pension costs</v>
      </c>
      <c r="C27" s="1011"/>
      <c r="D27" s="1069">
        <f>-Financials_Input!E14</f>
        <v>0</v>
      </c>
      <c r="E27" s="1069">
        <f>-'P&amp;L 22-24'!C35</f>
        <v>-73116.791270963833</v>
      </c>
      <c r="F27" s="1069">
        <f>-'P&amp;L 22-24'!E35</f>
        <v>-89354.371859296487</v>
      </c>
      <c r="G27" s="1069">
        <f>-'P&amp;L 22-24'!G35</f>
        <v>-94936.871733011663</v>
      </c>
      <c r="H27" s="948"/>
      <c r="N27" s="940"/>
      <c r="O27" s="940"/>
      <c r="P27" s="940"/>
      <c r="Q27" s="940"/>
    </row>
    <row r="28" spans="1:21" s="4" customFormat="1">
      <c r="B28" s="209" t="str">
        <f>Lang.!B31</f>
        <v>Adjustments (Personnel Expenses)</v>
      </c>
      <c r="C28" s="1013"/>
      <c r="D28" s="1073">
        <f>IFERROR(Berein.!D22,"")</f>
        <v>0</v>
      </c>
      <c r="E28" s="1073">
        <f>IFERROR(Berein.!E22,"")</f>
        <v>0</v>
      </c>
      <c r="F28" s="1073">
        <f>IFERROR(Berein.!F22,"")</f>
        <v>0</v>
      </c>
      <c r="G28" s="1073">
        <f>IFERROR(Berein.!G22,"")</f>
        <v>0</v>
      </c>
      <c r="H28" s="1282">
        <f>IFERROR(Berein.!H22,"")</f>
        <v>0</v>
      </c>
      <c r="I28" s="1073"/>
      <c r="J28" s="1073"/>
      <c r="K28" s="1073"/>
      <c r="L28" s="1073"/>
      <c r="M28" s="1073" t="str">
        <f>IFERROR(Berein.!M22,"")</f>
        <v xml:space="preserve"> </v>
      </c>
      <c r="N28" s="1073" t="str">
        <f>IFERROR(Berein.!N22,"")</f>
        <v xml:space="preserve"> </v>
      </c>
      <c r="O28" s="1073" t="str">
        <f>IFERROR(Berein.!O22,"")</f>
        <v xml:space="preserve"> </v>
      </c>
      <c r="P28" s="1073" t="str">
        <f>IFERROR(Berein.!P22,"")</f>
        <v xml:space="preserve"> </v>
      </c>
      <c r="Q28" s="1073" t="str">
        <f>IFERROR(Berein.!Q22,"")</f>
        <v xml:space="preserve"> </v>
      </c>
    </row>
    <row r="29" spans="1:21" s="4" customFormat="1">
      <c r="B29" s="209"/>
      <c r="C29" s="1013"/>
      <c r="D29" s="1709"/>
      <c r="E29" s="1709"/>
      <c r="F29" s="1709"/>
      <c r="G29" s="1709"/>
      <c r="H29" s="1710"/>
      <c r="I29" s="1709"/>
      <c r="J29" s="1709"/>
      <c r="K29" s="1709"/>
      <c r="L29" s="1709"/>
      <c r="M29" s="1709"/>
      <c r="N29" s="1709"/>
      <c r="O29" s="1709"/>
      <c r="P29" s="1709"/>
      <c r="Q29" s="1709"/>
    </row>
    <row r="30" spans="1:21">
      <c r="B30" s="206" t="str">
        <f>Lang.!B33</f>
        <v>Other Operating Income</v>
      </c>
      <c r="C30" s="1011"/>
      <c r="D30" s="1676">
        <f>D31+D33</f>
        <v>0</v>
      </c>
      <c r="E30" s="1676">
        <f t="shared" ref="E30:G30" si="14">E31+E33</f>
        <v>448482.52172155998</v>
      </c>
      <c r="F30" s="1676">
        <f t="shared" si="14"/>
        <v>551488.24120603024</v>
      </c>
      <c r="G30" s="1719">
        <f t="shared" si="14"/>
        <v>600960.19300361874</v>
      </c>
      <c r="H30" s="1080">
        <f>IFERROR(IF(Planung!H20&lt;&gt;0,Planung!H20+H33,Planung!H19*Planung!H7),"")</f>
        <v>0</v>
      </c>
      <c r="I30" s="1080"/>
      <c r="J30" s="1080"/>
      <c r="K30" s="1080"/>
      <c r="L30" s="1080"/>
      <c r="M30" s="1080" t="str">
        <f>IFERROR(IF(Planung!M20&lt;&gt;0,Planung!M20+M33,Planung!M19*Planung!M7),"")</f>
        <v/>
      </c>
      <c r="N30" s="1080" t="str">
        <f>IFERROR(IF(Planung!N20&lt;&gt;0,Planung!N20+N33,Planung!N19*Planung!N7),"")</f>
        <v/>
      </c>
      <c r="O30" s="1080" t="str">
        <f>IFERROR(IF(Planung!O20&lt;&gt;0,Planung!O20+O33,Planung!O19*Planung!O7),"")</f>
        <v/>
      </c>
      <c r="P30" s="1080" t="str">
        <f>IFERROR(IF(Planung!P20&lt;&gt;0,Planung!P20+P33,Planung!P19*Planung!P7),"")</f>
        <v/>
      </c>
      <c r="Q30" s="1080" t="str">
        <f>IFERROR(IF(Planung!Q20&lt;&gt;0,Planung!Q20+Q33,Planung!Q19*Planung!Q7),"")</f>
        <v/>
      </c>
    </row>
    <row r="31" spans="1:21" s="4" customFormat="1">
      <c r="B31" s="1711" t="str">
        <f>Lang.!B34</f>
        <v>Other Operating Income</v>
      </c>
      <c r="C31" s="1013"/>
      <c r="D31" s="1069">
        <f>Financials_Input!E11</f>
        <v>0</v>
      </c>
      <c r="E31" s="1069">
        <f>'P&amp;L 22-24'!C21</f>
        <v>448482.52172155998</v>
      </c>
      <c r="F31" s="1069">
        <f>'P&amp;L 22-24'!E21</f>
        <v>551488.24120603024</v>
      </c>
      <c r="G31" s="1078">
        <f>'P&amp;L 22-24'!G21</f>
        <v>600960.19300361874</v>
      </c>
      <c r="H31" s="1709"/>
      <c r="I31" s="1709"/>
      <c r="J31" s="1709"/>
      <c r="K31" s="1709"/>
      <c r="L31" s="1709"/>
      <c r="M31" s="1709"/>
      <c r="N31" s="1709"/>
      <c r="O31" s="1709"/>
      <c r="P31" s="1709"/>
      <c r="Q31" s="1709"/>
    </row>
    <row r="32" spans="1:21" s="4" customFormat="1">
      <c r="B32" s="1711" t="str">
        <f>Lang.!B35</f>
        <v>Other Operating Income</v>
      </c>
      <c r="C32" s="1016" t="s">
        <v>177</v>
      </c>
      <c r="D32" s="941" t="str">
        <f>IFERROR(+D30/D$8,"na")</f>
        <v>na</v>
      </c>
      <c r="E32" s="941">
        <f t="shared" ref="E32:L32" si="15">IFERROR(+E30/E$8,"na")</f>
        <v>1.1735315544945904E-2</v>
      </c>
      <c r="F32" s="941">
        <f t="shared" si="15"/>
        <v>1.4747136098681191E-2</v>
      </c>
      <c r="G32" s="1715">
        <f t="shared" si="15"/>
        <v>1.7671709046228886E-2</v>
      </c>
      <c r="H32" s="1713">
        <f t="shared" si="15"/>
        <v>0</v>
      </c>
      <c r="I32" s="1713"/>
      <c r="J32" s="1713"/>
      <c r="K32" s="1713"/>
      <c r="L32" s="1713"/>
      <c r="M32" s="1713" t="str">
        <f>IFERROR(+M31/M$8," ")</f>
        <v xml:space="preserve"> </v>
      </c>
      <c r="N32" s="1713" t="str">
        <f>IFERROR(+N31/N$8," ")</f>
        <v xml:space="preserve"> </v>
      </c>
      <c r="O32" s="1713" t="str">
        <f>IFERROR(+O31/O$8," ")</f>
        <v xml:space="preserve"> </v>
      </c>
      <c r="P32" s="1713" t="str">
        <f>IFERROR(+P31/P$8," ")</f>
        <v xml:space="preserve"> </v>
      </c>
      <c r="Q32" s="1713" t="str">
        <f>IFERROR(+Q31/Q$8," ")</f>
        <v xml:space="preserve"> </v>
      </c>
    </row>
    <row r="33" spans="1:19" s="4" customFormat="1">
      <c r="B33" s="1712" t="str">
        <f>Lang.!B36</f>
        <v>Adjustments (Other Operating Income)</v>
      </c>
      <c r="C33" s="1013"/>
      <c r="D33" s="1709">
        <f>Berein.!D26</f>
        <v>0</v>
      </c>
      <c r="E33" s="1709">
        <f>Berein.!E26</f>
        <v>0</v>
      </c>
      <c r="F33" s="1709">
        <f>Berein.!F26</f>
        <v>0</v>
      </c>
      <c r="G33" s="1714">
        <f>Berein.!G26</f>
        <v>0</v>
      </c>
      <c r="H33" s="1709">
        <f>Berein.!H26</f>
        <v>0</v>
      </c>
      <c r="I33" s="1709"/>
      <c r="J33" s="1709"/>
      <c r="K33" s="1709"/>
      <c r="L33" s="1709"/>
      <c r="M33" s="1709" t="str">
        <f>Berein.!M26</f>
        <v xml:space="preserve"> </v>
      </c>
      <c r="N33" s="1709" t="str">
        <f>Berein.!N26</f>
        <v xml:space="preserve"> </v>
      </c>
      <c r="O33" s="1709" t="str">
        <f>Berein.!O26</f>
        <v xml:space="preserve"> </v>
      </c>
      <c r="P33" s="1709" t="str">
        <f>Berein.!P26</f>
        <v xml:space="preserve"> </v>
      </c>
      <c r="Q33" s="1709" t="str">
        <f>Berein.!Q26</f>
        <v xml:space="preserve"> </v>
      </c>
    </row>
    <row r="34" spans="1:19">
      <c r="B34" s="200" t="str">
        <f>Lang.!B32</f>
        <v/>
      </c>
      <c r="D34" s="940"/>
      <c r="G34" s="1720"/>
      <c r="N34" s="940"/>
      <c r="O34" s="940"/>
      <c r="P34" s="940"/>
      <c r="Q34" s="940"/>
    </row>
    <row r="35" spans="1:19">
      <c r="B35" s="214" t="str">
        <f>Lang.!B38</f>
        <v>Other Operating Expenses</v>
      </c>
      <c r="C35" s="1011"/>
      <c r="D35" s="1095">
        <f>D36+D38</f>
        <v>0</v>
      </c>
      <c r="E35" s="1095">
        <f>E36+E38</f>
        <v>-32748154.576682154</v>
      </c>
      <c r="F35" s="1095">
        <f>F36+F38</f>
        <v>-32035190.954773873</v>
      </c>
      <c r="G35" s="1095">
        <f>G36+G38</f>
        <v>-29772456.574185763</v>
      </c>
      <c r="H35" s="1079">
        <f>IFERROR(IF(Planung!H28&lt;&gt;0,Planung!H28+H38,Planung!H27*Planung!H7),"")</f>
        <v>-29935327.135027174</v>
      </c>
      <c r="I35" s="1080"/>
      <c r="J35" s="1080"/>
      <c r="K35" s="1080"/>
      <c r="L35" s="1080"/>
      <c r="M35" s="1080" t="str">
        <f>IFERROR(IF(Planung!M28&lt;&gt;0,Planung!M28+M38,Planung!M27*Planung!M7),"")</f>
        <v/>
      </c>
      <c r="N35" s="1080" t="str">
        <f>IFERROR(IF(Planung!N28&lt;&gt;0,Planung!N28+N38,Planung!N27*Planung!N7),"")</f>
        <v/>
      </c>
      <c r="O35" s="1080" t="str">
        <f>IFERROR(IF(Planung!O28&lt;&gt;0,Planung!O28+O38,Planung!O27*Planung!O7),"")</f>
        <v/>
      </c>
      <c r="P35" s="1080" t="str">
        <f>IFERROR(IF(Planung!P28&lt;&gt;0,Planung!P28+P38,Planung!P27*Planung!P7),"")</f>
        <v/>
      </c>
      <c r="Q35" s="1080" t="str">
        <f>IFERROR(IF(Planung!Q28&lt;&gt;0,Planung!Q28+Q38,Planung!Q27*Planung!Q7),"")</f>
        <v/>
      </c>
    </row>
    <row r="36" spans="1:19">
      <c r="B36" s="200" t="str">
        <f>Lang.!B39</f>
        <v>Other Operating Expenses</v>
      </c>
      <c r="D36" s="1069">
        <f>-Financials_Input!E18</f>
        <v>0</v>
      </c>
      <c r="E36" s="1069">
        <f>-'P&amp;L 22-24'!C63-E24</f>
        <v>-32748154.576682154</v>
      </c>
      <c r="F36" s="1069">
        <f>-'P&amp;L 22-24'!E63-F24</f>
        <v>-32035190.954773873</v>
      </c>
      <c r="G36" s="1069">
        <f>-'P&amp;L 22-24'!G63-G24</f>
        <v>-29772456.574185763</v>
      </c>
      <c r="H36" s="1096">
        <f t="shared" ref="H36:Q36" si="16">IFERROR(+H35/H$8," ")</f>
        <v>-0.86301169996993699</v>
      </c>
      <c r="I36" s="1097"/>
      <c r="J36" s="1097"/>
      <c r="K36" s="1097"/>
      <c r="L36" s="1097"/>
      <c r="M36" s="1097" t="str">
        <f t="shared" si="16"/>
        <v xml:space="preserve"> </v>
      </c>
      <c r="N36" s="1097" t="str">
        <f t="shared" si="16"/>
        <v xml:space="preserve"> </v>
      </c>
      <c r="O36" s="1097" t="str">
        <f t="shared" si="16"/>
        <v xml:space="preserve"> </v>
      </c>
      <c r="P36" s="1097" t="str">
        <f t="shared" si="16"/>
        <v xml:space="preserve"> </v>
      </c>
      <c r="Q36" s="1097" t="str">
        <f t="shared" si="16"/>
        <v xml:space="preserve"> </v>
      </c>
    </row>
    <row r="37" spans="1:19" s="4" customFormat="1">
      <c r="B37" s="1833" t="str">
        <f>Lang.!B40</f>
        <v>Other Operating Expenses</v>
      </c>
      <c r="C37" s="1016" t="s">
        <v>177</v>
      </c>
      <c r="D37" s="941" t="str">
        <f>IFERROR(+D35/D$8,"na")</f>
        <v>na</v>
      </c>
      <c r="E37" s="941">
        <f t="shared" ref="E37:L37" si="17">IFERROR(+E35/E$8,"na")</f>
        <v>-0.85691171641829988</v>
      </c>
      <c r="F37" s="941">
        <f t="shared" si="17"/>
        <v>-0.85664078698061852</v>
      </c>
      <c r="G37" s="937">
        <f t="shared" si="17"/>
        <v>-0.87548259651089244</v>
      </c>
      <c r="H37" s="952">
        <f t="shared" si="17"/>
        <v>-0.86301169996993699</v>
      </c>
      <c r="I37" s="942"/>
      <c r="J37" s="942"/>
      <c r="K37" s="942"/>
      <c r="L37" s="942"/>
      <c r="M37" s="942"/>
      <c r="N37" s="942"/>
      <c r="O37" s="942"/>
      <c r="P37" s="942"/>
      <c r="Q37" s="942"/>
    </row>
    <row r="38" spans="1:19" s="4" customFormat="1">
      <c r="B38" s="209" t="str">
        <f>Lang.!B41</f>
        <v>Adjustments (Other Operating Expenses)</v>
      </c>
      <c r="C38" s="1013"/>
      <c r="D38" s="1073">
        <f>Berein.!D30</f>
        <v>0</v>
      </c>
      <c r="E38" s="1073">
        <f>Berein.!E30</f>
        <v>0</v>
      </c>
      <c r="F38" s="1073">
        <f>Berein.!F30</f>
        <v>0</v>
      </c>
      <c r="G38" s="1073">
        <f>Berein.!G30</f>
        <v>0</v>
      </c>
      <c r="H38" s="1074">
        <f>Berein.!H30</f>
        <v>0</v>
      </c>
      <c r="I38" s="1075"/>
      <c r="J38" s="1075"/>
      <c r="K38" s="1075"/>
      <c r="L38" s="1075"/>
      <c r="M38" s="1075" t="str">
        <f>Berein.!M30</f>
        <v xml:space="preserve"> </v>
      </c>
      <c r="N38" s="1075" t="str">
        <f>Berein.!N30</f>
        <v xml:space="preserve"> </v>
      </c>
      <c r="O38" s="1075" t="str">
        <f>Berein.!O30</f>
        <v xml:space="preserve"> </v>
      </c>
      <c r="P38" s="1075" t="str">
        <f>Berein.!P30</f>
        <v xml:space="preserve"> </v>
      </c>
      <c r="Q38" s="1075" t="str">
        <f>Berein.!Q30</f>
        <v xml:space="preserve"> </v>
      </c>
      <c r="S38"/>
    </row>
    <row r="39" spans="1:19" s="4" customFormat="1" ht="15">
      <c r="B39" s="212" t="str">
        <f>Lang.!B42</f>
        <v/>
      </c>
      <c r="C39" s="1016"/>
      <c r="D39" s="942"/>
      <c r="E39" s="942"/>
      <c r="F39" s="942"/>
      <c r="G39" s="226"/>
      <c r="H39" s="952"/>
      <c r="I39" s="942"/>
      <c r="J39" s="942"/>
      <c r="K39" s="942"/>
      <c r="L39" s="942"/>
      <c r="M39" s="942"/>
      <c r="N39" s="942"/>
      <c r="O39" s="942"/>
      <c r="P39" s="942"/>
      <c r="Q39" s="942"/>
      <c r="S39" s="1960"/>
    </row>
    <row r="40" spans="1:19" s="7" customFormat="1">
      <c r="A40" s="3"/>
      <c r="B40" s="205" t="str">
        <f>Lang.!B43</f>
        <v>EBITDA (adjusted)</v>
      </c>
      <c r="C40" s="25"/>
      <c r="D40" s="935">
        <f>D20+D24+D35+D30</f>
        <v>0</v>
      </c>
      <c r="E40" s="935">
        <f t="shared" ref="E40:G40" si="18">E20+E24+E35+E30</f>
        <v>2496145.4839361529</v>
      </c>
      <c r="F40" s="935">
        <f t="shared" si="18"/>
        <v>1744048.4422110496</v>
      </c>
      <c r="G40" s="935">
        <f t="shared" si="18"/>
        <v>551871.53196622583</v>
      </c>
      <c r="H40" s="950">
        <f>IFERROR(H20+H24+H35+H30,"")</f>
        <v>971548.61223384365</v>
      </c>
      <c r="I40" s="935"/>
      <c r="J40" s="935"/>
      <c r="K40" s="935"/>
      <c r="L40" s="935"/>
      <c r="M40" s="935" t="str">
        <f t="shared" ref="M40:Q40" si="19">IFERROR(M20+M24+M35,"")</f>
        <v/>
      </c>
      <c r="N40" s="935" t="str">
        <f t="shared" si="19"/>
        <v/>
      </c>
      <c r="O40" s="935" t="str">
        <f t="shared" si="19"/>
        <v/>
      </c>
      <c r="P40" s="935" t="str">
        <f t="shared" si="19"/>
        <v/>
      </c>
      <c r="Q40" s="935" t="str">
        <f t="shared" si="19"/>
        <v/>
      </c>
      <c r="S40" s="1818"/>
    </row>
    <row r="41" spans="1:19" s="7" customFormat="1">
      <c r="A41" s="3"/>
      <c r="B41" s="215" t="s">
        <v>178</v>
      </c>
      <c r="C41" s="23"/>
      <c r="D41" s="939">
        <f>D21+D24-D28+D30-D33+D35-D38</f>
        <v>0</v>
      </c>
      <c r="E41" s="939">
        <f t="shared" ref="E41:G41" si="20">E21+E24-E28+E30-E33+E35-E38</f>
        <v>2496145.4839361496</v>
      </c>
      <c r="F41" s="939">
        <f t="shared" si="20"/>
        <v>1744048.4422110468</v>
      </c>
      <c r="G41" s="939">
        <f t="shared" si="20"/>
        <v>551871.53196622431</v>
      </c>
      <c r="H41" s="953">
        <f>IFERROR(H21+H24-H28+H30-H33+H35-H38,"")</f>
        <v>971548.61223384365</v>
      </c>
      <c r="I41" s="939"/>
      <c r="J41" s="939"/>
      <c r="K41" s="939"/>
      <c r="L41" s="939"/>
      <c r="M41" s="939" t="str">
        <f t="shared" ref="M41:Q41" si="21">IFERROR(M21+M24-M28+M35-M38,"")</f>
        <v/>
      </c>
      <c r="N41" s="939" t="str">
        <f t="shared" si="21"/>
        <v/>
      </c>
      <c r="O41" s="939" t="str">
        <f t="shared" si="21"/>
        <v/>
      </c>
      <c r="P41" s="939" t="str">
        <f t="shared" si="21"/>
        <v/>
      </c>
      <c r="Q41" s="939" t="str">
        <f t="shared" si="21"/>
        <v/>
      </c>
    </row>
    <row r="42" spans="1:19" s="4" customFormat="1">
      <c r="B42" s="212" t="str">
        <f>Lang.!B44</f>
        <v>EBITDA (adjusted) Margin</v>
      </c>
      <c r="C42" s="1013"/>
      <c r="D42" s="937" t="str">
        <f>IFERROR(+D40/D$8,"na")</f>
        <v>na</v>
      </c>
      <c r="E42" s="937">
        <f>IFERROR(+E40/E$8,"na")</f>
        <v>6.5315934247865776E-2</v>
      </c>
      <c r="F42" s="937">
        <f>IFERROR(+F40/F$8,"na")</f>
        <v>4.6636932246703421E-2</v>
      </c>
      <c r="G42" s="937">
        <f>IFERROR(+G40/G$8,"na")</f>
        <v>1.6228218203705583E-2</v>
      </c>
      <c r="H42" s="954">
        <f>IFERROR(+H40/H$8,"na")</f>
        <v>2.8008974669472955E-2</v>
      </c>
      <c r="I42" s="937"/>
      <c r="J42" s="937"/>
      <c r="K42" s="937"/>
      <c r="L42" s="937"/>
      <c r="M42" s="937" t="str">
        <f t="shared" ref="I42:Q42" si="22">IFERROR(+M40/M$8," ")</f>
        <v xml:space="preserve"> </v>
      </c>
      <c r="N42" s="937" t="str">
        <f t="shared" si="22"/>
        <v xml:space="preserve"> </v>
      </c>
      <c r="O42" s="937" t="str">
        <f t="shared" si="22"/>
        <v xml:space="preserve"> </v>
      </c>
      <c r="P42" s="937" t="str">
        <f t="shared" si="22"/>
        <v xml:space="preserve"> </v>
      </c>
      <c r="Q42" s="937" t="str">
        <f t="shared" si="22"/>
        <v xml:space="preserve"> </v>
      </c>
    </row>
    <row r="43" spans="1:19">
      <c r="B43" s="208" t="str">
        <f>Lang.!B45</f>
        <v/>
      </c>
      <c r="D43" s="940"/>
      <c r="G43" s="947"/>
      <c r="H43" s="948"/>
      <c r="N43" s="940"/>
      <c r="O43" s="940"/>
      <c r="P43" s="940"/>
      <c r="Q43" s="940"/>
    </row>
    <row r="44" spans="1:19">
      <c r="B44" s="200" t="str">
        <f>Lang.!B46</f>
        <v>Depreciation and Amortization</v>
      </c>
      <c r="D44" s="1082">
        <f>IFERROR(D46+D47+D48, "")</f>
        <v>0</v>
      </c>
      <c r="E44" s="1082">
        <f t="shared" ref="E44:L44" si="23">IFERROR(E46+E47+E48, "")</f>
        <v>0</v>
      </c>
      <c r="F44" s="1082">
        <f t="shared" si="23"/>
        <v>0</v>
      </c>
      <c r="G44" s="1082">
        <f t="shared" si="23"/>
        <v>0</v>
      </c>
      <c r="H44" s="1083">
        <f t="shared" si="23"/>
        <v>0</v>
      </c>
      <c r="I44" s="1084"/>
      <c r="J44" s="1084"/>
      <c r="K44" s="1084"/>
      <c r="L44" s="1084"/>
      <c r="M44" s="1084" t="str">
        <f t="shared" ref="M44:Q44" si="24">IFERROR(M46+M47+M48, " ")</f>
        <v xml:space="preserve"> </v>
      </c>
      <c r="N44" s="1084" t="str">
        <f t="shared" si="24"/>
        <v xml:space="preserve"> </v>
      </c>
      <c r="O44" s="1084" t="str">
        <f t="shared" si="24"/>
        <v xml:space="preserve"> </v>
      </c>
      <c r="P44" s="1084" t="str">
        <f t="shared" si="24"/>
        <v xml:space="preserve"> </v>
      </c>
      <c r="Q44" s="1084" t="str">
        <f t="shared" si="24"/>
        <v xml:space="preserve"> </v>
      </c>
    </row>
    <row r="45" spans="1:19" s="4" customFormat="1">
      <c r="B45" s="207" t="str">
        <f>Lang.!B47</f>
        <v>Depreciation and Amortization</v>
      </c>
      <c r="C45" s="1012" t="s">
        <v>177</v>
      </c>
      <c r="D45" s="943" t="str">
        <f>IFERROR(+D44/D$8, "na")</f>
        <v>na</v>
      </c>
      <c r="E45" s="943">
        <f>IFERROR(+E44/E$8, "na")</f>
        <v>0</v>
      </c>
      <c r="F45" s="943">
        <f>IFERROR(+F44/F$8, "na")</f>
        <v>0</v>
      </c>
      <c r="G45" s="943">
        <f>IFERROR(+G44/G$8, "na")</f>
        <v>0</v>
      </c>
      <c r="H45" s="955">
        <f t="shared" ref="H45:Q45" si="25">IFERROR(+H44/H$8, " ")</f>
        <v>0</v>
      </c>
      <c r="I45" s="956"/>
      <c r="J45" s="956"/>
      <c r="K45" s="956"/>
      <c r="L45" s="956"/>
      <c r="M45" s="956" t="str">
        <f t="shared" si="25"/>
        <v xml:space="preserve"> </v>
      </c>
      <c r="N45" s="956" t="str">
        <f t="shared" si="25"/>
        <v xml:space="preserve"> </v>
      </c>
      <c r="O45" s="956" t="str">
        <f t="shared" si="25"/>
        <v xml:space="preserve"> </v>
      </c>
      <c r="P45" s="956" t="str">
        <f t="shared" si="25"/>
        <v xml:space="preserve"> </v>
      </c>
      <c r="Q45" s="956" t="str">
        <f t="shared" si="25"/>
        <v xml:space="preserve"> </v>
      </c>
    </row>
    <row r="46" spans="1:19">
      <c r="B46" s="1723" t="str">
        <f>Lang.!B48</f>
        <v>a) Intangibles</v>
      </c>
      <c r="D46" s="1069">
        <f>-Financials_Input!E16</f>
        <v>0</v>
      </c>
      <c r="E46" s="1069"/>
      <c r="F46" s="1069"/>
      <c r="G46" s="1069"/>
      <c r="H46" s="1072">
        <f>IFERROR(Planung!H70,"")</f>
        <v>0</v>
      </c>
      <c r="I46" s="1071"/>
      <c r="J46" s="1071"/>
      <c r="K46" s="1071"/>
      <c r="L46" s="1071"/>
      <c r="M46" s="1071">
        <f>IFERROR(Planung!M70,"")</f>
        <v>0</v>
      </c>
      <c r="N46" s="1071">
        <f>IFERROR(Planung!N70,"")</f>
        <v>0</v>
      </c>
      <c r="O46" s="1071">
        <f>IFERROR(Planung!O70,"")</f>
        <v>0</v>
      </c>
      <c r="P46" s="1071">
        <f>IFERROR(Planung!P70,"")</f>
        <v>0</v>
      </c>
      <c r="Q46" s="1071">
        <f>IFERROR(Planung!Q70,"")</f>
        <v>0</v>
      </c>
    </row>
    <row r="47" spans="1:19">
      <c r="B47" s="210" t="str">
        <f>Lang.!B49</f>
        <v>b) PP&amp;E/Current Assets</v>
      </c>
      <c r="D47" s="1069">
        <f>-Financials_Input!E17</f>
        <v>0</v>
      </c>
      <c r="E47" s="1069">
        <v>0</v>
      </c>
      <c r="F47" s="1069">
        <v>0</v>
      </c>
      <c r="G47" s="1069">
        <v>0</v>
      </c>
      <c r="H47" s="1072">
        <f>IFERROR(Planung!H82,"")</f>
        <v>0</v>
      </c>
      <c r="I47" s="1071"/>
      <c r="J47" s="1071"/>
      <c r="K47" s="1071"/>
      <c r="L47" s="1071"/>
      <c r="M47" s="1071">
        <f>IFERROR(Planung!M82,"")</f>
        <v>0</v>
      </c>
      <c r="N47" s="1071">
        <f>IFERROR(Planung!N82,"")</f>
        <v>0</v>
      </c>
      <c r="O47" s="1071">
        <f>IFERROR(Planung!O82,"")</f>
        <v>0</v>
      </c>
      <c r="P47" s="1071">
        <f>IFERROR(Planung!P82,"")</f>
        <v>0</v>
      </c>
      <c r="Q47" s="1071">
        <f>IFERROR(Planung!Q82,"")</f>
        <v>0</v>
      </c>
    </row>
    <row r="48" spans="1:19" s="4" customFormat="1">
      <c r="B48" s="207" t="str">
        <f>Lang.!B50</f>
        <v>Adjustments (Depreciation and Amortization)</v>
      </c>
      <c r="C48" s="1012"/>
      <c r="D48" s="1073">
        <f>Berein.!D34</f>
        <v>0</v>
      </c>
      <c r="E48" s="1073">
        <f>Berein.!E34</f>
        <v>0</v>
      </c>
      <c r="F48" s="1073">
        <f>Berein.!F34</f>
        <v>0</v>
      </c>
      <c r="G48" s="1073">
        <f>Berein.!G34</f>
        <v>0</v>
      </c>
      <c r="H48" s="1074">
        <f>Berein.!H34</f>
        <v>0</v>
      </c>
      <c r="I48" s="1075"/>
      <c r="J48" s="1075"/>
      <c r="K48" s="1075"/>
      <c r="L48" s="1075"/>
      <c r="M48" s="1075" t="str">
        <f>Berein.!M34</f>
        <v xml:space="preserve"> </v>
      </c>
      <c r="N48" s="1075" t="str">
        <f>Berein.!N34</f>
        <v xml:space="preserve"> </v>
      </c>
      <c r="O48" s="1075" t="str">
        <f>Berein.!O34</f>
        <v xml:space="preserve"> </v>
      </c>
      <c r="P48" s="1075" t="str">
        <f>Berein.!P34</f>
        <v xml:space="preserve"> </v>
      </c>
      <c r="Q48" s="1075" t="str">
        <f>Berein.!Q34</f>
        <v xml:space="preserve"> </v>
      </c>
    </row>
    <row r="49" spans="1:20">
      <c r="B49" s="208" t="str">
        <f>Lang.!B51</f>
        <v/>
      </c>
      <c r="D49" s="1090"/>
      <c r="E49" s="1090"/>
      <c r="F49" s="1090"/>
      <c r="G49" s="1084"/>
      <c r="H49" s="1072"/>
      <c r="I49" s="1071"/>
      <c r="J49" s="1071"/>
      <c r="K49" s="1071"/>
      <c r="L49" s="1071"/>
      <c r="M49" s="1071"/>
      <c r="N49" s="1071"/>
      <c r="O49" s="1071"/>
      <c r="P49" s="1071"/>
      <c r="Q49" s="1071"/>
    </row>
    <row r="50" spans="1:20" s="7" customFormat="1">
      <c r="A50" s="3"/>
      <c r="B50" s="205" t="str">
        <f>Lang.!B52</f>
        <v>EBIT (adjusted)</v>
      </c>
      <c r="C50" s="1010"/>
      <c r="D50" s="1092">
        <f t="shared" ref="D50" si="26">+D44+D40</f>
        <v>0</v>
      </c>
      <c r="E50" s="1092">
        <f>+E44+E40</f>
        <v>2496145.4839361529</v>
      </c>
      <c r="F50" s="1092">
        <f t="shared" ref="F50:G50" si="27">+F44+F40</f>
        <v>1744048.4422110496</v>
      </c>
      <c r="G50" s="1092">
        <f t="shared" si="27"/>
        <v>551871.53196622583</v>
      </c>
      <c r="H50" s="1093">
        <f>IFERROR(+H44+H40,"")</f>
        <v>971548.61223384365</v>
      </c>
      <c r="I50" s="1092"/>
      <c r="J50" s="1092"/>
      <c r="K50" s="1092"/>
      <c r="L50" s="1092"/>
      <c r="M50" s="1092" t="str">
        <f t="shared" ref="I50:Q50" si="28">IFERROR(+M44+M40,"")</f>
        <v/>
      </c>
      <c r="N50" s="1092" t="str">
        <f t="shared" si="28"/>
        <v/>
      </c>
      <c r="O50" s="1092" t="str">
        <f t="shared" si="28"/>
        <v/>
      </c>
      <c r="P50" s="1092" t="str">
        <f t="shared" si="28"/>
        <v/>
      </c>
      <c r="Q50" s="1092" t="str">
        <f t="shared" si="28"/>
        <v/>
      </c>
    </row>
    <row r="51" spans="1:20" s="7" customFormat="1">
      <c r="A51" s="3"/>
      <c r="B51" s="215" t="s">
        <v>179</v>
      </c>
      <c r="C51" s="1015"/>
      <c r="D51" s="1077">
        <f>D41+D44-D48</f>
        <v>0</v>
      </c>
      <c r="E51" s="1077">
        <f>E41+E44-E48</f>
        <v>2496145.4839361496</v>
      </c>
      <c r="F51" s="1077">
        <f t="shared" ref="F51:G51" si="29">F41+F44-F48</f>
        <v>1744048.4422110468</v>
      </c>
      <c r="G51" s="1077">
        <f t="shared" si="29"/>
        <v>551871.53196622431</v>
      </c>
      <c r="H51" s="1094">
        <f>IFERROR(H41+H44-H48,"")</f>
        <v>971548.61223384365</v>
      </c>
      <c r="I51" s="1077"/>
      <c r="J51" s="1077"/>
      <c r="K51" s="1077"/>
      <c r="L51" s="1077"/>
      <c r="M51" s="1077" t="str">
        <f t="shared" ref="I51:Q51" si="30">IFERROR(M41+M44-M48,"")</f>
        <v/>
      </c>
      <c r="N51" s="1077" t="str">
        <f t="shared" si="30"/>
        <v/>
      </c>
      <c r="O51" s="1077" t="str">
        <f t="shared" si="30"/>
        <v/>
      </c>
      <c r="P51" s="1077" t="str">
        <f t="shared" si="30"/>
        <v/>
      </c>
      <c r="Q51" s="1077" t="str">
        <f t="shared" si="30"/>
        <v/>
      </c>
      <c r="T51" s="1091"/>
    </row>
    <row r="52" spans="1:20" s="4" customFormat="1">
      <c r="B52" s="212" t="str">
        <f>Lang.!B53</f>
        <v>EBIT (adjusted) Margin</v>
      </c>
      <c r="C52" s="1013" t="s">
        <v>177</v>
      </c>
      <c r="D52" s="937" t="str">
        <f t="shared" ref="D52" si="31">IFERROR(+D50/D$8,"na")</f>
        <v>na</v>
      </c>
      <c r="E52" s="937">
        <f t="shared" ref="E52:K52" si="32">IFERROR(+E50/E$8,"na")</f>
        <v>6.5315934247865776E-2</v>
      </c>
      <c r="F52" s="937">
        <f t="shared" si="32"/>
        <v>4.6636932246703421E-2</v>
      </c>
      <c r="G52" s="937">
        <f t="shared" si="32"/>
        <v>1.6228218203705583E-2</v>
      </c>
      <c r="H52" s="954">
        <f t="shared" si="32"/>
        <v>2.8008974669472955E-2</v>
      </c>
      <c r="I52" s="937"/>
      <c r="J52" s="937"/>
      <c r="K52" s="937"/>
      <c r="L52" s="937"/>
      <c r="M52" s="937" t="str">
        <f t="shared" ref="L52:Q52" si="33">IFERROR(+M50/M$8, " ")</f>
        <v xml:space="preserve"> </v>
      </c>
      <c r="N52" s="937" t="str">
        <f t="shared" si="33"/>
        <v xml:space="preserve"> </v>
      </c>
      <c r="O52" s="937" t="str">
        <f t="shared" si="33"/>
        <v xml:space="preserve"> </v>
      </c>
      <c r="P52" s="937" t="str">
        <f t="shared" si="33"/>
        <v xml:space="preserve"> </v>
      </c>
      <c r="Q52" s="937" t="str">
        <f t="shared" si="33"/>
        <v xml:space="preserve"> </v>
      </c>
    </row>
    <row r="53" spans="1:20" s="7" customFormat="1">
      <c r="B53" s="215" t="str">
        <f>Lang.!B54</f>
        <v/>
      </c>
      <c r="C53" s="1015"/>
      <c r="D53" s="940"/>
      <c r="E53" s="940"/>
      <c r="F53" s="940"/>
      <c r="G53" s="957"/>
      <c r="H53" s="948"/>
      <c r="I53" s="940"/>
      <c r="J53" s="940"/>
      <c r="K53" s="940"/>
      <c r="L53" s="940"/>
      <c r="M53" s="940"/>
      <c r="N53" s="940"/>
      <c r="O53" s="940"/>
      <c r="P53" s="940"/>
      <c r="Q53" s="940"/>
    </row>
    <row r="54" spans="1:20" s="7" customFormat="1">
      <c r="B54" s="200" t="str">
        <f>Lang.!B55</f>
        <v>Financial Result</v>
      </c>
      <c r="C54" s="1015"/>
      <c r="D54" s="1082">
        <f>D56+D57+D58</f>
        <v>0</v>
      </c>
      <c r="E54" s="1082">
        <f>E56+E57+E58</f>
        <v>-156640.53344109911</v>
      </c>
      <c r="F54" s="1082">
        <f>F56+F57+F58</f>
        <v>-182249.24623115594</v>
      </c>
      <c r="G54" s="1082">
        <f>G56+G57+G58</f>
        <v>-60009.851226377126</v>
      </c>
      <c r="H54" s="1083">
        <f>IFERROR(H56+H57+H58,"")</f>
        <v>720470.59789745521</v>
      </c>
      <c r="I54" s="1084"/>
      <c r="J54" s="1084"/>
      <c r="K54" s="1084"/>
      <c r="L54" s="1084"/>
      <c r="M54" s="1084" t="str">
        <f t="shared" ref="I54:Q54" si="34">IFERROR(M56+M57+M58,"")</f>
        <v/>
      </c>
      <c r="N54" s="1084" t="str">
        <f t="shared" si="34"/>
        <v/>
      </c>
      <c r="O54" s="1084" t="str">
        <f t="shared" si="34"/>
        <v/>
      </c>
      <c r="P54" s="1084" t="str">
        <f t="shared" si="34"/>
        <v/>
      </c>
      <c r="Q54" s="1084" t="str">
        <f t="shared" si="34"/>
        <v/>
      </c>
      <c r="R54" s="1091"/>
    </row>
    <row r="55" spans="1:20" s="4" customFormat="1">
      <c r="B55" s="207" t="str">
        <f>Lang.!B56</f>
        <v>Financial Result</v>
      </c>
      <c r="C55" s="1012" t="s">
        <v>177</v>
      </c>
      <c r="D55" s="943" t="str">
        <f t="shared" ref="D55" si="35">IFERROR(+D54/D$8,"na")</f>
        <v>na</v>
      </c>
      <c r="E55" s="943">
        <f t="shared" ref="E55:K55" si="36">IFERROR(+E54/E$8,"na")</f>
        <v>-4.0987686209122999E-3</v>
      </c>
      <c r="F55" s="943">
        <f t="shared" si="36"/>
        <v>-4.8734573781217521E-3</v>
      </c>
      <c r="G55" s="943">
        <f t="shared" si="36"/>
        <v>-1.7646370643614867E-3</v>
      </c>
      <c r="H55" s="955">
        <f t="shared" si="36"/>
        <v>2.0770594978476265E-2</v>
      </c>
      <c r="I55" s="956"/>
      <c r="J55" s="956"/>
      <c r="K55" s="956"/>
      <c r="L55" s="956"/>
      <c r="M55" s="956" t="str">
        <f t="shared" ref="L55:Q55" si="37">IFERROR(+M54/M$8," ")</f>
        <v xml:space="preserve"> </v>
      </c>
      <c r="N55" s="956" t="str">
        <f t="shared" si="37"/>
        <v xml:space="preserve"> </v>
      </c>
      <c r="O55" s="956" t="str">
        <f t="shared" si="37"/>
        <v xml:space="preserve"> </v>
      </c>
      <c r="P55" s="956" t="str">
        <f t="shared" si="37"/>
        <v xml:space="preserve"> </v>
      </c>
      <c r="Q55" s="956" t="str">
        <f t="shared" si="37"/>
        <v xml:space="preserve"> </v>
      </c>
    </row>
    <row r="56" spans="1:20" s="7" customFormat="1">
      <c r="B56" s="210" t="str">
        <f>Lang.!B57</f>
        <v>Other Interest and similar Income</v>
      </c>
      <c r="C56" s="803"/>
      <c r="D56" s="1069">
        <f>Financials_Input!E23</f>
        <v>0</v>
      </c>
      <c r="E56" s="1069">
        <f>'P&amp;L 22-24'!C75</f>
        <v>579822.59042230761</v>
      </c>
      <c r="F56" s="1069">
        <f>'P&amp;L 22-24'!E75</f>
        <v>774900.50251256279</v>
      </c>
      <c r="G56" s="1069">
        <f>'P&amp;L 22-24'!G75</f>
        <v>411227.78447929228</v>
      </c>
      <c r="H56" s="1089">
        <f>IFERROR(Planung!H48,"")</f>
        <v>1412471.5311677039</v>
      </c>
      <c r="I56" s="1090"/>
      <c r="J56" s="1090"/>
      <c r="K56" s="1090"/>
      <c r="L56" s="1090"/>
      <c r="M56" s="1090" t="str">
        <f>IFERROR(Planung!M48,"")</f>
        <v/>
      </c>
      <c r="N56" s="1090" t="str">
        <f>IFERROR(Planung!N48,"")</f>
        <v/>
      </c>
      <c r="O56" s="1090" t="str">
        <f>IFERROR(Planung!O48,"")</f>
        <v/>
      </c>
      <c r="P56" s="1090" t="str">
        <f>IFERROR(Planung!P48,"")</f>
        <v/>
      </c>
      <c r="Q56" s="1090" t="str">
        <f>IFERROR(Planung!Q48,"")</f>
        <v/>
      </c>
      <c r="R56" s="1899"/>
    </row>
    <row r="57" spans="1:20" s="7" customFormat="1">
      <c r="A57" s="6"/>
      <c r="B57" s="213" t="str">
        <f>Lang.!B58</f>
        <v>Interest and similar Expenses</v>
      </c>
      <c r="C57" s="1011"/>
      <c r="D57" s="1081">
        <f>Financials_Input!E20</f>
        <v>0</v>
      </c>
      <c r="E57" s="1069">
        <f>-'P&amp;L 22-24'!C82</f>
        <v>-736463.12386340671</v>
      </c>
      <c r="F57" s="1081">
        <f>-'P&amp;L 22-24'!E82</f>
        <v>-957149.74874371872</v>
      </c>
      <c r="G57" s="1081">
        <f>-'P&amp;L 22-24'!G82</f>
        <v>-471237.63570566941</v>
      </c>
      <c r="H57" s="1089">
        <f>IFERROR(Planung!H37,"")</f>
        <v>-692000.9332702487</v>
      </c>
      <c r="I57" s="1090"/>
      <c r="J57" s="1090"/>
      <c r="K57" s="1090"/>
      <c r="L57" s="1090"/>
      <c r="M57" s="1090" t="str">
        <f>IFERROR(Planung!M37,"")</f>
        <v/>
      </c>
      <c r="N57" s="1090" t="str">
        <f>IFERROR(Planung!N37,"")</f>
        <v/>
      </c>
      <c r="O57" s="1090" t="str">
        <f>IFERROR(Planung!O37,"")</f>
        <v/>
      </c>
      <c r="P57" s="1090" t="str">
        <f>IFERROR(Planung!P37,"")</f>
        <v/>
      </c>
      <c r="Q57" s="1090" t="str">
        <f>IFERROR(Planung!Q37,"")</f>
        <v/>
      </c>
      <c r="R57" s="1899"/>
    </row>
    <row r="58" spans="1:20" s="7" customFormat="1">
      <c r="A58" s="6"/>
      <c r="B58" s="209" t="str">
        <f>Lang.!B59</f>
        <v>Adjustments (Financial Result)</v>
      </c>
      <c r="C58" s="803"/>
      <c r="D58" s="1073">
        <f>Berein.!D38</f>
        <v>0</v>
      </c>
      <c r="E58" s="1073">
        <f>Berein.!E38</f>
        <v>0</v>
      </c>
      <c r="F58" s="1073">
        <f>Berein.!F38</f>
        <v>0</v>
      </c>
      <c r="G58" s="1073">
        <f>Berein.!G38</f>
        <v>0</v>
      </c>
      <c r="H58" s="1074">
        <f>Berein.!H38</f>
        <v>0</v>
      </c>
      <c r="I58" s="1075"/>
      <c r="J58" s="1075"/>
      <c r="K58" s="1075"/>
      <c r="L58" s="1075"/>
      <c r="M58" s="1075" t="str">
        <f>Berein.!M38</f>
        <v xml:space="preserve"> </v>
      </c>
      <c r="N58" s="1075" t="str">
        <f>Berein.!N38</f>
        <v xml:space="preserve"> </v>
      </c>
      <c r="O58" s="1075" t="str">
        <f>Berein.!O38</f>
        <v xml:space="preserve"> </v>
      </c>
      <c r="P58" s="1075" t="str">
        <f>Berein.!P38</f>
        <v xml:space="preserve"> </v>
      </c>
      <c r="Q58" s="1075" t="str">
        <f>Berein.!Q38</f>
        <v xml:space="preserve"> </v>
      </c>
    </row>
    <row r="59" spans="1:20" s="7" customFormat="1">
      <c r="A59" s="6"/>
      <c r="B59" s="200" t="str">
        <f>Lang.!B60</f>
        <v/>
      </c>
      <c r="C59" s="803"/>
      <c r="D59" s="938"/>
      <c r="E59" s="938"/>
      <c r="F59" s="938"/>
      <c r="G59" s="957"/>
      <c r="H59" s="948"/>
      <c r="I59" s="940"/>
      <c r="J59" s="940"/>
      <c r="K59" s="940"/>
      <c r="L59" s="940"/>
      <c r="M59" s="940"/>
      <c r="N59" s="940"/>
      <c r="O59" s="940"/>
      <c r="P59" s="940"/>
      <c r="Q59" s="940"/>
    </row>
    <row r="60" spans="1:20" s="7" customFormat="1">
      <c r="A60" s="6"/>
      <c r="B60" s="200" t="str">
        <f>Lang.!B61</f>
        <v>Depreciation of current assets and amortisation of financial assets</v>
      </c>
      <c r="C60" s="22"/>
      <c r="D60" s="1082">
        <f>D62+D63</f>
        <v>0</v>
      </c>
      <c r="E60" s="1082">
        <f>E62+E63</f>
        <v>0</v>
      </c>
      <c r="F60" s="1082">
        <f t="shared" ref="F60:G60" si="38">F62+F63</f>
        <v>0</v>
      </c>
      <c r="G60" s="1082">
        <f t="shared" si="38"/>
        <v>0</v>
      </c>
      <c r="H60" s="1083">
        <f>IFERROR(H62+H63,"")</f>
        <v>0</v>
      </c>
      <c r="I60" s="1084"/>
      <c r="J60" s="1084"/>
      <c r="K60" s="1084"/>
      <c r="L60" s="1084"/>
      <c r="M60" s="1084" t="str">
        <f t="shared" ref="I60:Q60" si="39">IFERROR(M62+M63,"")</f>
        <v/>
      </c>
      <c r="N60" s="1084" t="str">
        <f t="shared" si="39"/>
        <v/>
      </c>
      <c r="O60" s="1084" t="str">
        <f t="shared" si="39"/>
        <v/>
      </c>
      <c r="P60" s="1084" t="str">
        <f t="shared" si="39"/>
        <v/>
      </c>
      <c r="Q60" s="1084" t="str">
        <f t="shared" si="39"/>
        <v/>
      </c>
    </row>
    <row r="61" spans="1:20" s="7" customFormat="1">
      <c r="A61" s="6"/>
      <c r="B61" s="207" t="str">
        <f>Lang.!B62</f>
        <v>Depreciation of current assets and amortisation of financial assets</v>
      </c>
      <c r="C61" s="1017" t="s">
        <v>177</v>
      </c>
      <c r="D61" s="943" t="str">
        <f>IFERROR(+D60/D$8," ")</f>
        <v xml:space="preserve"> </v>
      </c>
      <c r="E61" s="943">
        <f>IFERROR(+E60/E$8," ")</f>
        <v>0</v>
      </c>
      <c r="F61" s="943">
        <f t="shared" ref="F61:Q61" si="40">IFERROR(+F60/F$8," ")</f>
        <v>0</v>
      </c>
      <c r="G61" s="943">
        <f t="shared" si="40"/>
        <v>0</v>
      </c>
      <c r="H61" s="955">
        <f t="shared" si="40"/>
        <v>0</v>
      </c>
      <c r="I61" s="956"/>
      <c r="J61" s="956"/>
      <c r="K61" s="956"/>
      <c r="L61" s="956"/>
      <c r="M61" s="956" t="str">
        <f t="shared" si="40"/>
        <v xml:space="preserve"> </v>
      </c>
      <c r="N61" s="956" t="str">
        <f t="shared" si="40"/>
        <v xml:space="preserve"> </v>
      </c>
      <c r="O61" s="956" t="str">
        <f t="shared" si="40"/>
        <v xml:space="preserve"> </v>
      </c>
      <c r="P61" s="956" t="str">
        <f t="shared" si="40"/>
        <v xml:space="preserve"> </v>
      </c>
      <c r="Q61" s="956" t="str">
        <f t="shared" si="40"/>
        <v xml:space="preserve"> </v>
      </c>
    </row>
    <row r="62" spans="1:20" s="7" customFormat="1">
      <c r="A62" s="6"/>
      <c r="B62" s="210" t="str">
        <f>Lang.!B63</f>
        <v>Depreciation of current assets and amortisation of financial assets</v>
      </c>
      <c r="C62" s="24"/>
      <c r="D62" s="1069">
        <v>0</v>
      </c>
      <c r="E62" s="1069">
        <v>0</v>
      </c>
      <c r="F62" s="1069">
        <v>0</v>
      </c>
      <c r="G62" s="1069">
        <v>0</v>
      </c>
      <c r="H62" s="1087">
        <f>IFERROR(Planung!H94,"")</f>
        <v>0</v>
      </c>
      <c r="I62" s="1088"/>
      <c r="J62" s="1088"/>
      <c r="K62" s="1088"/>
      <c r="L62" s="1088"/>
      <c r="M62" s="1088">
        <f>IFERROR(Planung!M94,"")</f>
        <v>0</v>
      </c>
      <c r="N62" s="1088">
        <f>IFERROR(Planung!N94,"")</f>
        <v>0</v>
      </c>
      <c r="O62" s="1088">
        <f>IFERROR(Planung!O94,"")</f>
        <v>0</v>
      </c>
      <c r="P62" s="1088">
        <f>IFERROR(Planung!P94,"")</f>
        <v>0</v>
      </c>
      <c r="Q62" s="1088">
        <f>IFERROR(Planung!Q94,"")</f>
        <v>0</v>
      </c>
      <c r="R62" s="21"/>
    </row>
    <row r="63" spans="1:20" s="7" customFormat="1">
      <c r="A63" s="6"/>
      <c r="B63" s="207" t="str">
        <f>Lang.!B64</f>
        <v>Adjustments (Depreciation of current assets and amortisation of financial assets)</v>
      </c>
      <c r="C63" s="33"/>
      <c r="D63" s="1073">
        <f>Berein.!D42</f>
        <v>0</v>
      </c>
      <c r="E63" s="1073">
        <f>Berein.!E42</f>
        <v>0</v>
      </c>
      <c r="F63" s="1073">
        <f>Berein.!F42</f>
        <v>0</v>
      </c>
      <c r="G63" s="1073">
        <f>Berein.!G42</f>
        <v>0</v>
      </c>
      <c r="H63" s="1074">
        <f>Berein.!H42</f>
        <v>0</v>
      </c>
      <c r="I63" s="1075"/>
      <c r="J63" s="1075"/>
      <c r="K63" s="1075"/>
      <c r="L63" s="1075"/>
      <c r="M63" s="1075" t="str">
        <f>Berein.!M42</f>
        <v xml:space="preserve"> </v>
      </c>
      <c r="N63" s="1075" t="str">
        <f>Berein.!N42</f>
        <v xml:space="preserve"> </v>
      </c>
      <c r="O63" s="1075" t="str">
        <f>Berein.!O42</f>
        <v xml:space="preserve"> </v>
      </c>
      <c r="P63" s="1075" t="str">
        <f>Berein.!P42</f>
        <v xml:space="preserve"> </v>
      </c>
      <c r="Q63" s="1075" t="str">
        <f>Berein.!Q42</f>
        <v xml:space="preserve"> </v>
      </c>
    </row>
    <row r="64" spans="1:20" s="7" customFormat="1">
      <c r="A64" s="6"/>
      <c r="B64" s="200" t="str">
        <f>Lang.!B65</f>
        <v/>
      </c>
      <c r="C64" s="803"/>
      <c r="D64" s="938"/>
      <c r="E64" s="938"/>
      <c r="F64" s="938"/>
      <c r="G64" s="957"/>
      <c r="H64" s="948"/>
      <c r="I64" s="940"/>
      <c r="J64" s="940"/>
      <c r="K64" s="940"/>
      <c r="L64" s="940"/>
      <c r="M64" s="940"/>
      <c r="N64" s="940"/>
      <c r="O64" s="940"/>
      <c r="P64" s="940"/>
      <c r="Q64" s="940"/>
    </row>
    <row r="65" spans="1:17" s="7" customFormat="1">
      <c r="A65" s="6"/>
      <c r="B65" s="200" t="str">
        <f>Lang.!B66</f>
        <v>Extraordinary Items</v>
      </c>
      <c r="C65" s="803"/>
      <c r="D65" s="1082">
        <f t="shared" ref="D65" si="41">D66+D68</f>
        <v>0</v>
      </c>
      <c r="E65" s="1082">
        <f t="shared" ref="E65:G65" si="42">E66+E68</f>
        <v>0</v>
      </c>
      <c r="F65" s="1082">
        <f t="shared" si="42"/>
        <v>0</v>
      </c>
      <c r="G65" s="1082">
        <f t="shared" si="42"/>
        <v>0</v>
      </c>
      <c r="H65" s="1083">
        <f>IFERROR(H66+H68,"")</f>
        <v>0</v>
      </c>
      <c r="I65" s="1084"/>
      <c r="J65" s="1084"/>
      <c r="K65" s="1084"/>
      <c r="L65" s="1084"/>
      <c r="M65" s="1084" t="str">
        <f t="shared" ref="I65:Q65" si="43">IFERROR(M66+M68,"")</f>
        <v/>
      </c>
      <c r="N65" s="1084" t="str">
        <f t="shared" si="43"/>
        <v/>
      </c>
      <c r="O65" s="1084" t="str">
        <f t="shared" si="43"/>
        <v/>
      </c>
      <c r="P65" s="1084" t="str">
        <f t="shared" si="43"/>
        <v/>
      </c>
      <c r="Q65" s="1084" t="str">
        <f t="shared" si="43"/>
        <v/>
      </c>
    </row>
    <row r="66" spans="1:17">
      <c r="A66" s="5"/>
      <c r="B66" s="216" t="str">
        <f>Lang.!B67</f>
        <v>Extraordinary Items</v>
      </c>
      <c r="C66" s="1014"/>
      <c r="D66" s="1085">
        <f>Financials_Input!E24-Financials_Input!E21</f>
        <v>0</v>
      </c>
      <c r="E66" s="1085">
        <f>Financials_Input!F24-Financials_Input!F21</f>
        <v>0</v>
      </c>
      <c r="F66" s="1085">
        <f>Financials_Input!G24-Financials_Input!G21</f>
        <v>0</v>
      </c>
      <c r="G66" s="1085">
        <f>Financials_Input!H24-Financials_Input!H21</f>
        <v>0</v>
      </c>
      <c r="H66" s="1070">
        <f>IFERROR(Planung!H53,"")</f>
        <v>0</v>
      </c>
      <c r="I66" s="1086"/>
      <c r="J66" s="1086"/>
      <c r="K66" s="1086"/>
      <c r="L66" s="1086"/>
      <c r="M66" s="1086">
        <f>IFERROR(Planung!M53,"")</f>
        <v>0</v>
      </c>
      <c r="N66" s="1086">
        <f>IFERROR(Planung!N53,"")</f>
        <v>0</v>
      </c>
      <c r="O66" s="1086">
        <f>IFERROR(Planung!O53,"")</f>
        <v>0</v>
      </c>
      <c r="P66" s="1086">
        <f>IFERROR(Planung!P53,"")</f>
        <v>0</v>
      </c>
      <c r="Q66" s="1086">
        <f>IFERROR(Planung!Q53,"")</f>
        <v>0</v>
      </c>
    </row>
    <row r="67" spans="1:17" s="4" customFormat="1">
      <c r="B67" s="209" t="str">
        <f>Lang.!B68</f>
        <v>Extraordinary Items</v>
      </c>
      <c r="C67" s="1013" t="s">
        <v>177</v>
      </c>
      <c r="D67" s="944" t="str">
        <f t="shared" ref="D67" si="44">IFERROR(+D66/D$8," ")</f>
        <v xml:space="preserve"> </v>
      </c>
      <c r="E67" s="944">
        <f t="shared" ref="E67:Q67" si="45">IFERROR(+E66/E$8," ")</f>
        <v>0</v>
      </c>
      <c r="F67" s="944">
        <f t="shared" si="45"/>
        <v>0</v>
      </c>
      <c r="G67" s="944">
        <f t="shared" si="45"/>
        <v>0</v>
      </c>
      <c r="H67" s="958">
        <f t="shared" si="45"/>
        <v>0</v>
      </c>
      <c r="I67" s="959"/>
      <c r="J67" s="959"/>
      <c r="K67" s="959"/>
      <c r="L67" s="959"/>
      <c r="M67" s="959" t="str">
        <f t="shared" si="45"/>
        <v xml:space="preserve"> </v>
      </c>
      <c r="N67" s="959" t="str">
        <f t="shared" si="45"/>
        <v xml:space="preserve"> </v>
      </c>
      <c r="O67" s="959" t="str">
        <f t="shared" si="45"/>
        <v xml:space="preserve"> </v>
      </c>
      <c r="P67" s="959" t="str">
        <f t="shared" si="45"/>
        <v xml:space="preserve"> </v>
      </c>
      <c r="Q67" s="959" t="str">
        <f t="shared" si="45"/>
        <v xml:space="preserve"> </v>
      </c>
    </row>
    <row r="68" spans="1:17" s="4" customFormat="1">
      <c r="B68" s="207" t="str">
        <f>Lang.!B69</f>
        <v>Adjustments (Extraordinary Items)</v>
      </c>
      <c r="C68" s="1012"/>
      <c r="D68" s="1073">
        <f>Berein.!D46</f>
        <v>0</v>
      </c>
      <c r="E68" s="1073">
        <f>Berein.!E46</f>
        <v>0</v>
      </c>
      <c r="F68" s="1073">
        <f>Berein.!F46</f>
        <v>0</v>
      </c>
      <c r="G68" s="1073">
        <f>Berein.!G46</f>
        <v>0</v>
      </c>
      <c r="H68" s="1074">
        <f>Berein.!H46</f>
        <v>0</v>
      </c>
      <c r="I68" s="1075"/>
      <c r="J68" s="1075"/>
      <c r="K68" s="1075"/>
      <c r="L68" s="1075"/>
      <c r="M68" s="1075" t="str">
        <f>Berein.!M46</f>
        <v xml:space="preserve"> </v>
      </c>
      <c r="N68" s="1075" t="str">
        <f>Berein.!N46</f>
        <v xml:space="preserve"> </v>
      </c>
      <c r="O68" s="1075" t="str">
        <f>Berein.!O46</f>
        <v xml:space="preserve"> </v>
      </c>
      <c r="P68" s="1075" t="str">
        <f>Berein.!P46</f>
        <v xml:space="preserve"> </v>
      </c>
      <c r="Q68" s="1075" t="str">
        <f>Berein.!Q46</f>
        <v xml:space="preserve"> </v>
      </c>
    </row>
    <row r="69" spans="1:17" s="4" customFormat="1">
      <c r="B69" s="209" t="str">
        <f>Lang.!B70</f>
        <v/>
      </c>
      <c r="C69" s="1013"/>
      <c r="D69" s="945"/>
      <c r="E69" s="945"/>
      <c r="F69" s="945"/>
      <c r="G69" s="226"/>
      <c r="H69" s="960"/>
      <c r="I69" s="945"/>
      <c r="J69" s="945"/>
      <c r="K69" s="945"/>
      <c r="L69" s="945"/>
      <c r="M69" s="945"/>
      <c r="N69" s="945"/>
      <c r="O69" s="945"/>
      <c r="P69" s="945"/>
      <c r="Q69" s="945"/>
    </row>
    <row r="70" spans="1:17" s="7" customFormat="1">
      <c r="B70" s="205" t="str">
        <f>Lang.!B71</f>
        <v>EBT (adjusted)</v>
      </c>
      <c r="C70" s="1010"/>
      <c r="D70" s="935">
        <f>+D65+D54+D60+D50</f>
        <v>0</v>
      </c>
      <c r="E70" s="935">
        <f>+E65+E54+E60+E50</f>
        <v>2339504.950495054</v>
      </c>
      <c r="F70" s="935">
        <f t="shared" ref="F70:G70" si="46">+F65+F54+F60+F50</f>
        <v>1561799.1959798937</v>
      </c>
      <c r="G70" s="935">
        <f t="shared" si="46"/>
        <v>491861.6807398487</v>
      </c>
      <c r="H70" s="950">
        <f>IFERROR(H65+H54+H60+H50,"")</f>
        <v>1692019.2101312988</v>
      </c>
      <c r="I70" s="935"/>
      <c r="J70" s="935"/>
      <c r="K70" s="935"/>
      <c r="L70" s="935"/>
      <c r="M70" s="935" t="str">
        <f t="shared" ref="I70:Q70" si="47">IFERROR(M65+M54+M60+M50,"")</f>
        <v/>
      </c>
      <c r="N70" s="935" t="str">
        <f t="shared" si="47"/>
        <v/>
      </c>
      <c r="O70" s="935" t="str">
        <f t="shared" si="47"/>
        <v/>
      </c>
      <c r="P70" s="935" t="str">
        <f t="shared" si="47"/>
        <v/>
      </c>
      <c r="Q70" s="935" t="str">
        <f t="shared" si="47"/>
        <v/>
      </c>
    </row>
    <row r="71" spans="1:17" s="7" customFormat="1">
      <c r="B71" s="215" t="s">
        <v>180</v>
      </c>
      <c r="C71" s="1015"/>
      <c r="D71" s="939">
        <f>D51+D54-D58+D60-D63+D65-D68</f>
        <v>0</v>
      </c>
      <c r="E71" s="939">
        <f>E51+E54-E58+E60-E63+E65-E68</f>
        <v>2339504.9504950503</v>
      </c>
      <c r="F71" s="939">
        <f t="shared" ref="F71:G71" si="48">F51+F54-F58+F60-F63+F65-F68</f>
        <v>1561799.1959798909</v>
      </c>
      <c r="G71" s="939">
        <f t="shared" si="48"/>
        <v>491861.68073984719</v>
      </c>
      <c r="H71" s="953">
        <f>IFERROR(H51+H54-H58+H60-H63+H65-H68,"")</f>
        <v>1692019.2101312988</v>
      </c>
      <c r="I71" s="939"/>
      <c r="J71" s="939"/>
      <c r="K71" s="939"/>
      <c r="L71" s="939"/>
      <c r="M71" s="939" t="str">
        <f t="shared" ref="I71:Q71" si="49">IFERROR(M51+M54-M58+M60-M63+M65-M68,"")</f>
        <v/>
      </c>
      <c r="N71" s="939" t="str">
        <f t="shared" si="49"/>
        <v/>
      </c>
      <c r="O71" s="939" t="str">
        <f t="shared" si="49"/>
        <v/>
      </c>
      <c r="P71" s="939" t="str">
        <f t="shared" si="49"/>
        <v/>
      </c>
      <c r="Q71" s="939" t="str">
        <f t="shared" si="49"/>
        <v/>
      </c>
    </row>
    <row r="72" spans="1:17" s="4" customFormat="1">
      <c r="B72" s="212" t="str">
        <f>Lang.!B72</f>
        <v>EBT (adjusted)</v>
      </c>
      <c r="C72" s="1013" t="s">
        <v>177</v>
      </c>
      <c r="D72" s="937" t="str">
        <f t="shared" ref="D72" si="50">IFERROR(+D70/D$8," ")</f>
        <v xml:space="preserve"> </v>
      </c>
      <c r="E72" s="937">
        <f t="shared" ref="E72:Q72" si="51">IFERROR(+E70/E$8," ")</f>
        <v>6.1217165626953486E-2</v>
      </c>
      <c r="F72" s="937">
        <f t="shared" si="51"/>
        <v>4.1763474868581667E-2</v>
      </c>
      <c r="G72" s="937">
        <f t="shared" si="51"/>
        <v>1.4463581139344097E-2</v>
      </c>
      <c r="H72" s="954">
        <f t="shared" si="51"/>
        <v>4.8779569647949217E-2</v>
      </c>
      <c r="I72" s="937"/>
      <c r="J72" s="937"/>
      <c r="K72" s="937"/>
      <c r="L72" s="937"/>
      <c r="M72" s="937" t="str">
        <f t="shared" si="51"/>
        <v xml:space="preserve"> </v>
      </c>
      <c r="N72" s="937" t="str">
        <f t="shared" si="51"/>
        <v xml:space="preserve"> </v>
      </c>
      <c r="O72" s="937" t="str">
        <f t="shared" si="51"/>
        <v xml:space="preserve"> </v>
      </c>
      <c r="P72" s="937" t="str">
        <f t="shared" si="51"/>
        <v xml:space="preserve"> </v>
      </c>
      <c r="Q72" s="937" t="str">
        <f t="shared" si="51"/>
        <v xml:space="preserve"> </v>
      </c>
    </row>
    <row r="73" spans="1:17" s="4" customFormat="1">
      <c r="C73" s="1013"/>
      <c r="D73" s="942"/>
      <c r="E73" s="942"/>
      <c r="F73" s="942"/>
      <c r="G73" s="942"/>
      <c r="H73" s="952"/>
      <c r="I73" s="942"/>
      <c r="J73" s="942"/>
      <c r="K73" s="942"/>
      <c r="L73" s="942"/>
      <c r="M73" s="942"/>
      <c r="N73" s="942"/>
      <c r="O73" s="942"/>
      <c r="P73" s="942"/>
      <c r="Q73" s="942"/>
    </row>
    <row r="74" spans="1:17">
      <c r="A74" s="5"/>
      <c r="B74" s="214" t="str">
        <f>Lang.!B74</f>
        <v>Taxes on income and earnings + other taxes</v>
      </c>
      <c r="C74" s="1011"/>
      <c r="D74" s="1283">
        <f>SUM(D76:D78)</f>
        <v>0</v>
      </c>
      <c r="E74" s="1283">
        <f>SUM(E76:E78)</f>
        <v>-364367.75106082001</v>
      </c>
      <c r="F74" s="1283">
        <f t="shared" ref="F74:G74" si="52">SUM(F76:F78)</f>
        <v>-270599.79899497487</v>
      </c>
      <c r="G74" s="1283">
        <f t="shared" si="52"/>
        <v>-132156.41334941695</v>
      </c>
      <c r="H74" s="1079">
        <f>IFERROR(Planung!H57+H78,"")</f>
        <v>-507605.76303938963</v>
      </c>
      <c r="I74" s="1080"/>
      <c r="J74" s="1080"/>
      <c r="K74" s="1080"/>
      <c r="L74" s="1080"/>
      <c r="M74" s="1080" t="str">
        <f>IFERROR(Planung!M57+M78,"")</f>
        <v/>
      </c>
      <c r="N74" s="1080" t="str">
        <f>IFERROR(Planung!N57+N78,"")</f>
        <v/>
      </c>
      <c r="O74" s="1080" t="str">
        <f>IFERROR(Planung!O57+O78,"")</f>
        <v/>
      </c>
      <c r="P74" s="1080" t="str">
        <f>IFERROR(Planung!P57+P78,"")</f>
        <v/>
      </c>
      <c r="Q74" s="1080" t="str">
        <f>IFERROR(Planung!Q57+Q78,"")</f>
        <v/>
      </c>
    </row>
    <row r="75" spans="1:17">
      <c r="A75" s="5"/>
      <c r="B75" s="209" t="str">
        <f>Lang.!B75</f>
        <v>Taxes on income and earnings + other taxes</v>
      </c>
      <c r="C75" s="803" t="s">
        <v>181</v>
      </c>
      <c r="D75" s="1284" t="str">
        <f>IFERROR(+D74/D$70," ")</f>
        <v xml:space="preserve"> </v>
      </c>
      <c r="E75" s="1284">
        <f>IFERROR(+E74/E$70," ")</f>
        <v>-0.15574566362157835</v>
      </c>
      <c r="F75" s="1284">
        <f t="shared" ref="F75:L75" si="53">IFERROR(+F74/F$70," ")</f>
        <v>-0.17326158170109504</v>
      </c>
      <c r="G75" s="1284">
        <f t="shared" si="53"/>
        <v>-0.26868613377368583</v>
      </c>
      <c r="H75" s="1285">
        <f t="shared" si="53"/>
        <v>-0.3</v>
      </c>
      <c r="I75" s="1286"/>
      <c r="J75" s="1286"/>
      <c r="K75" s="1286"/>
      <c r="L75" s="1286"/>
      <c r="M75" s="1286" t="str">
        <f t="shared" ref="M75" si="54">IFERROR(+M74/M$70," ")</f>
        <v xml:space="preserve"> </v>
      </c>
      <c r="N75" s="1286" t="str">
        <f t="shared" ref="N75" si="55">IFERROR(+N74/N$70," ")</f>
        <v xml:space="preserve"> </v>
      </c>
      <c r="O75" s="1286" t="str">
        <f t="shared" ref="O75" si="56">IFERROR(+O74/O$70," ")</f>
        <v xml:space="preserve"> </v>
      </c>
      <c r="P75" s="1286" t="str">
        <f t="shared" ref="P75" si="57">IFERROR(+P74/P$70," ")</f>
        <v xml:space="preserve"> </v>
      </c>
      <c r="Q75" s="1286" t="str">
        <f t="shared" ref="Q75" si="58">IFERROR(+Q74/Q$70," ")</f>
        <v xml:space="preserve"> </v>
      </c>
    </row>
    <row r="76" spans="1:17">
      <c r="A76" s="5"/>
      <c r="B76" s="210" t="str">
        <f>Lang.!B76</f>
        <v xml:space="preserve">Taxes on Income and Earnings  </v>
      </c>
      <c r="D76" s="1069">
        <f>-Financials_Input!E28</f>
        <v>0</v>
      </c>
      <c r="E76" s="1069">
        <f>-'P&amp;L 22-24'!C90</f>
        <v>-364367.75106082001</v>
      </c>
      <c r="F76" s="1069">
        <f>-'P&amp;L 22-24'!E90</f>
        <v>-270599.79899497487</v>
      </c>
      <c r="G76" s="1078">
        <f>-'P&amp;L 22-24'!G90</f>
        <v>-132156.41334941695</v>
      </c>
      <c r="H76" s="1071"/>
      <c r="I76" s="1071"/>
      <c r="J76" s="1071"/>
      <c r="K76" s="1071"/>
      <c r="L76" s="1071"/>
      <c r="M76" s="1071"/>
      <c r="N76" s="1071"/>
      <c r="O76" s="1071"/>
      <c r="P76" s="1071"/>
      <c r="Q76" s="1071"/>
    </row>
    <row r="77" spans="1:17">
      <c r="A77" s="5"/>
      <c r="B77" s="213" t="str">
        <f>Lang.!B77</f>
        <v>other taxes</v>
      </c>
      <c r="C77" s="1011"/>
      <c r="D77" s="1081">
        <f>-Financials_Input!E30</f>
        <v>0</v>
      </c>
      <c r="E77" s="1081">
        <f>-Financials_Input!F30</f>
        <v>0</v>
      </c>
      <c r="F77" s="1081">
        <f>-Financials_Input!G30</f>
        <v>0</v>
      </c>
      <c r="G77" s="1287">
        <f>-Financials_Input!H30</f>
        <v>0</v>
      </c>
      <c r="H77" s="1071"/>
      <c r="I77" s="1071"/>
      <c r="J77" s="1071"/>
      <c r="K77" s="1071"/>
      <c r="L77" s="1071"/>
      <c r="M77" s="1071"/>
      <c r="N77" s="1071"/>
      <c r="O77" s="1071"/>
      <c r="P77" s="1071"/>
      <c r="Q77" s="1071"/>
    </row>
    <row r="78" spans="1:17" ht="13.5" thickBot="1">
      <c r="A78" s="5"/>
      <c r="B78" s="210" t="str">
        <f>Lang.!B78</f>
        <v>Adjustments (Taxes)</v>
      </c>
      <c r="D78" s="1073">
        <f>Berein.!D50</f>
        <v>0</v>
      </c>
      <c r="E78" s="1073">
        <f>Berein.!E50</f>
        <v>0</v>
      </c>
      <c r="F78" s="1073">
        <f>Berein.!F50</f>
        <v>0</v>
      </c>
      <c r="G78" s="1073">
        <f>Berein.!G50</f>
        <v>0</v>
      </c>
      <c r="H78" s="1074">
        <f>Berein.!H50</f>
        <v>0</v>
      </c>
      <c r="I78" s="1075"/>
      <c r="J78" s="1075"/>
      <c r="K78" s="1075"/>
      <c r="L78" s="1075"/>
      <c r="M78" s="1075" t="str">
        <f>Berein.!M50</f>
        <v xml:space="preserve"> </v>
      </c>
      <c r="N78" s="1075" t="str">
        <f>Berein.!N50</f>
        <v xml:space="preserve"> </v>
      </c>
      <c r="O78" s="1075" t="str">
        <f>Berein.!O50</f>
        <v xml:space="preserve"> </v>
      </c>
      <c r="P78" s="1075" t="str">
        <f>Berein.!P50</f>
        <v xml:space="preserve"> </v>
      </c>
      <c r="Q78" s="1075" t="str">
        <f>Berein.!Q50</f>
        <v xml:space="preserve"> </v>
      </c>
    </row>
    <row r="79" spans="1:17" ht="14.25" thickTop="1" thickBot="1">
      <c r="A79" s="5"/>
      <c r="B79" s="1288" t="str">
        <f>Lang.!B79</f>
        <v/>
      </c>
      <c r="C79" s="1289"/>
      <c r="D79" s="1290"/>
      <c r="E79" s="1290"/>
      <c r="F79" s="1290"/>
      <c r="G79" s="1296"/>
      <c r="H79" s="1291"/>
      <c r="I79" s="1292"/>
      <c r="J79" s="1293"/>
      <c r="K79" s="1293"/>
      <c r="L79" s="1293"/>
      <c r="M79" s="1293"/>
      <c r="N79" s="1293"/>
      <c r="O79" s="1293"/>
      <c r="P79" s="1293"/>
      <c r="Q79" s="1293"/>
    </row>
    <row r="80" spans="1:17" s="7" customFormat="1" ht="13.5" thickTop="1">
      <c r="B80" s="1294" t="str">
        <f>Lang.!B80</f>
        <v>Net Profit (loss) (adjusted)</v>
      </c>
      <c r="C80" s="1015"/>
      <c r="D80" s="1077">
        <f t="shared" ref="D80" si="59">IFERROR(+D74+D70," ")</f>
        <v>0</v>
      </c>
      <c r="E80" s="1077">
        <f t="shared" ref="E80:Q80" si="60">IFERROR(+E74+E70," ")</f>
        <v>1975137.1994342341</v>
      </c>
      <c r="F80" s="1077">
        <f t="shared" si="60"/>
        <v>1291199.3969849187</v>
      </c>
      <c r="G80" s="1295">
        <f t="shared" si="60"/>
        <v>359705.26739043172</v>
      </c>
      <c r="H80" s="1077">
        <f t="shared" si="60"/>
        <v>1184413.4470919091</v>
      </c>
      <c r="I80" s="1077"/>
      <c r="J80" s="1077"/>
      <c r="K80" s="1077"/>
      <c r="L80" s="1077"/>
      <c r="M80" s="1077" t="str">
        <f t="shared" si="60"/>
        <v xml:space="preserve"> </v>
      </c>
      <c r="N80" s="1077" t="str">
        <f t="shared" si="60"/>
        <v xml:space="preserve"> </v>
      </c>
      <c r="O80" s="1077" t="str">
        <f t="shared" si="60"/>
        <v xml:space="preserve"> </v>
      </c>
      <c r="P80" s="1077" t="str">
        <f t="shared" si="60"/>
        <v xml:space="preserve"> </v>
      </c>
      <c r="Q80" s="1077" t="str">
        <f t="shared" si="60"/>
        <v xml:space="preserve"> </v>
      </c>
    </row>
    <row r="81" spans="2:17" s="7" customFormat="1">
      <c r="B81" s="1294" t="str">
        <f>Lang.!B247</f>
        <v>Net Profit (loss) (reported)</v>
      </c>
      <c r="C81" s="1015"/>
      <c r="D81" s="1077">
        <f>D71+D74-D78</f>
        <v>0</v>
      </c>
      <c r="E81" s="1077">
        <f>E71+E74-E78</f>
        <v>1975137.1994342303</v>
      </c>
      <c r="F81" s="1077">
        <f t="shared" ref="F81:G81" si="61">F71+F74-F78</f>
        <v>1291199.3969849159</v>
      </c>
      <c r="G81" s="1295">
        <f t="shared" si="61"/>
        <v>359705.26739043021</v>
      </c>
      <c r="H81" s="1077">
        <f>IFERROR(H71+H74-H78,"")</f>
        <v>1184413.4470919091</v>
      </c>
      <c r="I81" s="1077"/>
      <c r="J81" s="1077"/>
      <c r="K81" s="1077"/>
      <c r="L81" s="1077"/>
      <c r="M81" s="1077" t="str">
        <f t="shared" ref="I81:Q81" si="62">IFERROR(M71+M74-M78,"")</f>
        <v/>
      </c>
      <c r="N81" s="1077" t="str">
        <f t="shared" si="62"/>
        <v/>
      </c>
      <c r="O81" s="1077" t="str">
        <f t="shared" si="62"/>
        <v/>
      </c>
      <c r="P81" s="1077" t="str">
        <f t="shared" si="62"/>
        <v/>
      </c>
      <c r="Q81" s="1077" t="str">
        <f t="shared" si="62"/>
        <v/>
      </c>
    </row>
    <row r="82" spans="2:17" s="4" customFormat="1">
      <c r="B82" s="212" t="str">
        <f>'IS-IM'!B37</f>
        <v>Return on Sales (adjusted)</v>
      </c>
      <c r="C82" s="1013" t="s">
        <v>177</v>
      </c>
      <c r="D82" s="937" t="str">
        <f t="shared" ref="D82" si="63">IFERROR(+D80/D$8," ")</f>
        <v xml:space="preserve"> </v>
      </c>
      <c r="E82" s="937">
        <f t="shared" ref="E82:Q82" si="64">IFERROR(+E80/E$8," ")</f>
        <v>5.1682857541351546E-2</v>
      </c>
      <c r="F82" s="937">
        <f t="shared" si="64"/>
        <v>3.4527469155517278E-2</v>
      </c>
      <c r="G82" s="961">
        <f t="shared" si="64"/>
        <v>1.0577417442491728E-2</v>
      </c>
      <c r="H82" s="937">
        <f t="shared" si="64"/>
        <v>3.4145698753564449E-2</v>
      </c>
      <c r="I82" s="937"/>
      <c r="J82" s="937"/>
      <c r="K82" s="937"/>
      <c r="L82" s="937"/>
      <c r="M82" s="937" t="str">
        <f t="shared" si="64"/>
        <v xml:space="preserve"> </v>
      </c>
      <c r="N82" s="937" t="str">
        <f t="shared" si="64"/>
        <v xml:space="preserve"> </v>
      </c>
      <c r="O82" s="937" t="str">
        <f t="shared" si="64"/>
        <v xml:space="preserve"> </v>
      </c>
      <c r="P82" s="937" t="str">
        <f t="shared" si="64"/>
        <v xml:space="preserve"> </v>
      </c>
      <c r="Q82" s="937" t="str">
        <f t="shared" si="64"/>
        <v xml:space="preserve"> </v>
      </c>
    </row>
    <row r="83" spans="2:17">
      <c r="D83" s="940"/>
      <c r="N83" s="963"/>
    </row>
    <row r="84" spans="2:17">
      <c r="B84" s="4" t="s">
        <v>182</v>
      </c>
      <c r="C84" s="1013"/>
      <c r="D84" s="946">
        <f>D85-D81</f>
        <v>0</v>
      </c>
      <c r="E84" s="1902"/>
      <c r="F84" s="1902"/>
      <c r="G84" s="1902"/>
    </row>
    <row r="85" spans="2:17">
      <c r="B85" s="110" t="str">
        <f>B81&amp; " hardcoded"</f>
        <v>Net Profit (loss) (reported) hardcoded</v>
      </c>
      <c r="D85" s="1069">
        <f>Financials_Input!E31</f>
        <v>0</v>
      </c>
    </row>
  </sheetData>
  <sheetProtection formatCells="0" formatColumns="0" formatRows="0" insertColumns="0" insertRows="0"/>
  <mergeCells count="1">
    <mergeCell ref="B5:C5"/>
  </mergeCells>
  <phoneticPr fontId="214" type="noConversion"/>
  <conditionalFormatting sqref="D84:G84">
    <cfRule type="expression" dxfId="24" priority="43">
      <formula>AND(D84&lt; 0.01, D84&gt; -0.01)</formula>
    </cfRule>
    <cfRule type="expression" dxfId="23" priority="44">
      <formula>OR(D84 &gt;0.01, D84 &lt; -0.01)</formula>
    </cfRule>
    <cfRule type="expression" priority="45">
      <formula>$E$84=TRUE</formula>
    </cfRule>
    <cfRule type="colorScale" priority="46">
      <colorScale>
        <cfvo type="min"/>
        <cfvo type="percentile" val="50"/>
        <cfvo type="max"/>
        <color rgb="FF63BE7B"/>
        <color rgb="FFFFEB84"/>
        <color rgb="FFF8696B"/>
      </colorScale>
    </cfRule>
  </conditionalFormatting>
  <printOptions horizontalCentered="1"/>
  <pageMargins left="0.23622047244094491" right="0.23622047244094491" top="0.74803149606299213" bottom="0.74803149606299213" header="0.31496062992125984" footer="0.31496062992125984"/>
  <pageSetup paperSize="9" scale="49" orientation="portrait" cellComments="asDisplayed" r:id="rId1"/>
  <headerFooter alignWithMargins="0"/>
  <ignoredErrors>
    <ignoredError sqref="C4" unlockedFormula="1"/>
  </ignoredError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rgb="FF92D050"/>
    <pageSetUpPr autoPageBreaks="0" fitToPage="1"/>
  </sheetPr>
  <dimension ref="B1:R92"/>
  <sheetViews>
    <sheetView workbookViewId="0">
      <selection activeCell="I1" sqref="I1:L1048576"/>
    </sheetView>
  </sheetViews>
  <sheetFormatPr defaultColWidth="11.42578125" defaultRowHeight="12.75"/>
  <cols>
    <col min="1" max="1" width="5.7109375" style="1" customWidth="1"/>
    <col min="2" max="2" width="50" style="100" customWidth="1"/>
    <col min="3" max="3" width="8.42578125" style="100" bestFit="1" customWidth="1"/>
    <col min="4" max="4" width="12" style="100" customWidth="1"/>
    <col min="5" max="5" width="12.42578125" style="2" customWidth="1"/>
    <col min="6" max="6" width="12.42578125" style="217" customWidth="1"/>
    <col min="7" max="7" width="13.7109375" style="1" bestFit="1" customWidth="1"/>
    <col min="8" max="11" width="12.42578125" style="1" customWidth="1"/>
    <col min="12" max="12" width="14.7109375" style="1" bestFit="1" customWidth="1"/>
    <col min="13" max="17" width="5.7109375" style="1" customWidth="1"/>
    <col min="18" max="18" width="7.140625" style="218" customWidth="1"/>
    <col min="19" max="16384" width="11.42578125" style="1"/>
  </cols>
  <sheetData>
    <row r="1" spans="2:18" ht="15" customHeight="1"/>
    <row r="2" spans="2:18" ht="18.75">
      <c r="B2" s="115" t="s">
        <v>183</v>
      </c>
    </row>
    <row r="4" spans="2:18" s="27" customFormat="1">
      <c r="B4" s="791" t="str">
        <f>Lang.!B83</f>
        <v>Assets</v>
      </c>
      <c r="C4" s="792" t="str">
        <f>+Eckdaten!C14</f>
        <v>EUR</v>
      </c>
      <c r="D4" s="141">
        <f>E4-1</f>
        <v>2021</v>
      </c>
      <c r="E4" s="141">
        <f>F4-1</f>
        <v>2022</v>
      </c>
      <c r="F4" s="141">
        <f>G4-1</f>
        <v>2023</v>
      </c>
      <c r="G4" s="141">
        <f>Eckdaten!C12</f>
        <v>2024</v>
      </c>
      <c r="H4" s="228">
        <f>+G4+1</f>
        <v>2025</v>
      </c>
      <c r="I4" s="1492"/>
      <c r="J4" s="1492"/>
      <c r="K4" s="1492"/>
      <c r="L4" s="1492"/>
      <c r="M4" s="1492">
        <f>IF(Eckdaten!$C$20+Eckdaten!$C$12&gt;L4,L4+1," ")</f>
        <v>1</v>
      </c>
      <c r="N4" s="1492">
        <f>IF(Eckdaten!$C$20+Eckdaten!$C$12&gt;M4,M4+1," ")</f>
        <v>2</v>
      </c>
      <c r="O4" s="1492">
        <f>IF(Eckdaten!$C$20+Eckdaten!$C$12&gt;N4,N4+1," ")</f>
        <v>3</v>
      </c>
      <c r="P4" s="1492">
        <f>IF(Eckdaten!$C$20+Eckdaten!$C$12&gt;O4,O4+1," ")</f>
        <v>4</v>
      </c>
      <c r="Q4" s="1492">
        <f>IF(Eckdaten!$C$20+Eckdaten!$C$12&gt;P4,P4+1," ")</f>
        <v>5</v>
      </c>
      <c r="R4" s="1496"/>
    </row>
    <row r="5" spans="2:18">
      <c r="B5" s="1919"/>
      <c r="C5" s="1919"/>
      <c r="D5" s="127" t="s">
        <v>173</v>
      </c>
      <c r="E5" s="127" t="s">
        <v>173</v>
      </c>
      <c r="F5" s="127" t="s">
        <v>173</v>
      </c>
      <c r="G5" s="127" t="s">
        <v>173</v>
      </c>
      <c r="H5" s="202" t="s">
        <v>174</v>
      </c>
      <c r="I5" s="1493"/>
      <c r="J5" s="1493"/>
      <c r="K5" s="1493"/>
      <c r="L5" s="1493"/>
      <c r="M5" s="1493" t="str">
        <f t="shared" ref="J5:Q5" si="0">IF(M4=" "," ","P")</f>
        <v>P</v>
      </c>
      <c r="N5" s="1493" t="str">
        <f t="shared" si="0"/>
        <v>P</v>
      </c>
      <c r="O5" s="1493" t="str">
        <f t="shared" si="0"/>
        <v>P</v>
      </c>
      <c r="P5" s="1493" t="str">
        <f t="shared" si="0"/>
        <v>P</v>
      </c>
      <c r="Q5" s="1493" t="str">
        <f t="shared" si="0"/>
        <v>P</v>
      </c>
      <c r="R5" s="1497"/>
    </row>
    <row r="6" spans="2:18">
      <c r="D6" s="2"/>
      <c r="F6" s="2"/>
      <c r="G6" s="2"/>
      <c r="H6" s="219"/>
      <c r="I6" s="2"/>
      <c r="J6" s="2"/>
      <c r="K6" s="2"/>
      <c r="L6" s="2"/>
    </row>
    <row r="7" spans="2:18" s="7" customFormat="1">
      <c r="B7" s="799" t="str">
        <f>Lang.!B84</f>
        <v>A. Fixed Assets</v>
      </c>
      <c r="C7" s="793" t="str">
        <f>IFERROR(RIGHT(B7, LEN(B7) - FIND(". ", B7))," ")</f>
        <v xml:space="preserve"> Fixed Assets</v>
      </c>
      <c r="D7" s="1098">
        <f t="shared" ref="D7" si="1">D9+D14+D20</f>
        <v>0</v>
      </c>
      <c r="E7" s="1098">
        <f t="shared" ref="E7:K7" si="2">E9+E14+E20</f>
        <v>9583463.932107497</v>
      </c>
      <c r="F7" s="1098">
        <f t="shared" si="2"/>
        <v>7426477.7889447249</v>
      </c>
      <c r="G7" s="1098">
        <f t="shared" si="2"/>
        <v>5209763.7716123834</v>
      </c>
      <c r="H7" s="1099">
        <f t="shared" si="2"/>
        <v>6688639.3924089121</v>
      </c>
      <c r="I7" s="1098"/>
      <c r="J7" s="1098"/>
      <c r="K7" s="1098"/>
      <c r="L7" s="1098"/>
      <c r="M7" s="1098" t="e">
        <f t="shared" ref="M7:Q7" si="3">IF(M4 = " ", " ", M9+M14+M20)</f>
        <v>#VALUE!</v>
      </c>
      <c r="N7" s="1098" t="e">
        <f t="shared" si="3"/>
        <v>#VALUE!</v>
      </c>
      <c r="O7" s="1098" t="e">
        <f t="shared" si="3"/>
        <v>#VALUE!</v>
      </c>
      <c r="P7" s="1098" t="e">
        <f t="shared" si="3"/>
        <v>#VALUE!</v>
      </c>
      <c r="Q7" s="1098" t="e">
        <f t="shared" si="3"/>
        <v>#VALUE!</v>
      </c>
      <c r="R7" s="220"/>
    </row>
    <row r="8" spans="2:18" s="7" customFormat="1">
      <c r="B8" s="794" t="str">
        <f>Lang.!B85</f>
        <v/>
      </c>
      <c r="C8" s="794" t="str">
        <f>IFERROR(RIGHT(B8, LEN(B8) - FIND(". ", B8))," ")</f>
        <v xml:space="preserve"> </v>
      </c>
      <c r="D8" s="1100"/>
      <c r="E8" s="1100"/>
      <c r="F8" s="1100"/>
      <c r="G8" s="1091"/>
      <c r="H8" s="1101"/>
      <c r="I8" s="1102"/>
      <c r="J8" s="1102"/>
      <c r="K8" s="1102"/>
      <c r="L8" s="1102"/>
      <c r="M8" s="1102"/>
      <c r="N8" s="1102"/>
      <c r="O8" s="1102"/>
      <c r="P8" s="1102"/>
      <c r="Q8" s="1102"/>
      <c r="R8" s="222"/>
    </row>
    <row r="9" spans="2:18">
      <c r="B9" s="200" t="str">
        <f>Lang.!B86</f>
        <v>I. Intangibles</v>
      </c>
      <c r="C9" s="795" t="str">
        <f>IFERROR(RIGHT(B9, LEN(B9) - FIND(". ", B9))," ")</f>
        <v xml:space="preserve"> Intangibles</v>
      </c>
      <c r="D9" s="1103">
        <f>SUM(D10:D12)</f>
        <v>0</v>
      </c>
      <c r="E9" s="1103">
        <f>SUM(E10:E12)</f>
        <v>4011.3154172560116</v>
      </c>
      <c r="F9" s="1103">
        <f>SUM(F10:F12)</f>
        <v>25585.527638190957</v>
      </c>
      <c r="G9" s="1103">
        <f>SUM(G10:G12)</f>
        <v>19983.514274225974</v>
      </c>
      <c r="H9" s="1104">
        <f>+Planung!H75</f>
        <v>25962.856834469596</v>
      </c>
      <c r="I9" s="1105"/>
      <c r="J9" s="1105"/>
      <c r="K9" s="1105"/>
      <c r="L9" s="1105"/>
      <c r="M9" s="1105" t="str">
        <f>IF(M4 = " ", " ", Planung!M75)</f>
        <v xml:space="preserve"> </v>
      </c>
      <c r="N9" s="1105" t="str">
        <f>IF(N4 = " ", " ", Planung!N75)</f>
        <v xml:space="preserve"> </v>
      </c>
      <c r="O9" s="1105" t="str">
        <f>IF(O4 = " ", " ", Planung!O75)</f>
        <v xml:space="preserve"> </v>
      </c>
      <c r="P9" s="1105" t="str">
        <f>IF(P4 = " ", " ", Planung!P75)</f>
        <v xml:space="preserve"> </v>
      </c>
      <c r="Q9" s="1105" t="str">
        <f>IF(Q4 = " ", " ", Planung!Q75)</f>
        <v xml:space="preserve"> </v>
      </c>
      <c r="R9" s="223"/>
    </row>
    <row r="10" spans="2:18">
      <c r="B10" s="210" t="str">
        <f>Lang.!B87</f>
        <v>1. Self-created and acquired rights and licences</v>
      </c>
      <c r="C10" s="795" t="str">
        <f t="shared" ref="C10:C44" si="4">IFERROR(RIGHT(B10, LEN(B10) - FIND(". ", B10))," ")</f>
        <v xml:space="preserve"> Self-created and acquired rights and licences</v>
      </c>
      <c r="D10" s="1106"/>
      <c r="E10" s="1106">
        <f>'BS 22-24'!C12</f>
        <v>4011.3154172560116</v>
      </c>
      <c r="F10" s="1106">
        <f>'BS 22-24'!E12</f>
        <v>25585.527638190957</v>
      </c>
      <c r="G10" s="1106">
        <f>'BS 22-24'!G12</f>
        <v>19983.514274225974</v>
      </c>
      <c r="H10" s="1107"/>
      <c r="I10" s="1108"/>
      <c r="J10" s="1108"/>
      <c r="K10" s="1108"/>
      <c r="L10" s="1108"/>
      <c r="M10" s="1108"/>
      <c r="N10" s="1108"/>
      <c r="O10" s="1108"/>
      <c r="P10" s="1108"/>
      <c r="Q10" s="1108"/>
      <c r="R10" s="223"/>
    </row>
    <row r="11" spans="2:18">
      <c r="B11" s="210" t="str">
        <f>Lang.!B88</f>
        <v>2. Goodwill</v>
      </c>
      <c r="C11" s="795" t="str">
        <f t="shared" si="4"/>
        <v xml:space="preserve"> Goodwill</v>
      </c>
      <c r="D11" s="1106"/>
      <c r="E11" s="1106">
        <v>0</v>
      </c>
      <c r="F11" s="1106">
        <v>0</v>
      </c>
      <c r="G11" s="1106">
        <v>0</v>
      </c>
      <c r="H11" s="1107"/>
      <c r="I11" s="1108"/>
      <c r="J11" s="1108"/>
      <c r="K11" s="1108"/>
      <c r="L11" s="1108"/>
      <c r="M11" s="1108"/>
      <c r="N11" s="1108"/>
      <c r="O11" s="1108"/>
      <c r="P11" s="1108"/>
      <c r="Q11" s="1108"/>
      <c r="R11" s="223"/>
    </row>
    <row r="12" spans="2:18">
      <c r="B12" s="210" t="str">
        <f>Lang.!B89</f>
        <v>3. Prepaid Expenses</v>
      </c>
      <c r="C12" s="795" t="str">
        <f t="shared" si="4"/>
        <v xml:space="preserve"> Prepaid Expenses</v>
      </c>
      <c r="D12" s="1106"/>
      <c r="E12" s="1106">
        <v>0</v>
      </c>
      <c r="F12" s="1106">
        <v>0</v>
      </c>
      <c r="G12" s="1106">
        <v>0</v>
      </c>
      <c r="H12" s="1107"/>
      <c r="I12" s="1108"/>
      <c r="J12" s="1108"/>
      <c r="K12" s="1108"/>
      <c r="L12" s="1108"/>
      <c r="M12" s="1108"/>
      <c r="N12" s="1108"/>
      <c r="O12" s="1108"/>
      <c r="P12" s="1108"/>
      <c r="Q12" s="1108"/>
      <c r="R12" s="223"/>
    </row>
    <row r="13" spans="2:18">
      <c r="B13" s="200" t="str">
        <f>Lang.!B90</f>
        <v/>
      </c>
      <c r="C13" s="795" t="str">
        <f t="shared" si="4"/>
        <v xml:space="preserve"> </v>
      </c>
      <c r="D13" s="1106"/>
      <c r="E13" s="1106"/>
      <c r="F13" s="1106"/>
      <c r="G13" s="1106"/>
      <c r="H13" s="1107"/>
      <c r="I13" s="1108"/>
      <c r="J13" s="1108"/>
      <c r="K13" s="1108"/>
      <c r="L13" s="1108"/>
      <c r="M13" s="1108"/>
      <c r="N13" s="1108"/>
      <c r="O13" s="1108"/>
      <c r="P13" s="1108"/>
      <c r="Q13" s="1108"/>
      <c r="R13" s="223"/>
    </row>
    <row r="14" spans="2:18">
      <c r="B14" s="200" t="str">
        <f>Lang.!B91</f>
        <v>II. PP&amp;E</v>
      </c>
      <c r="C14" s="795" t="str">
        <f t="shared" si="4"/>
        <v xml:space="preserve"> PP&amp;E</v>
      </c>
      <c r="D14" s="1103">
        <f>SUM(D15:D18)</f>
        <v>0</v>
      </c>
      <c r="E14" s="1103">
        <f>SUM(E15:E18)</f>
        <v>9576643.1602343917</v>
      </c>
      <c r="F14" s="1103">
        <f>SUM(F15:F18)</f>
        <v>7390513.5678391969</v>
      </c>
      <c r="G14" s="1103">
        <f>SUM(G15:G18)</f>
        <v>5179702.4527543215</v>
      </c>
      <c r="H14" s="1104">
        <f>+Planung!H87</f>
        <v>6649510.7461395664</v>
      </c>
      <c r="I14" s="1105"/>
      <c r="J14" s="1105"/>
      <c r="K14" s="1105"/>
      <c r="L14" s="1105"/>
      <c r="M14" s="1105" t="str">
        <f>IF(M4 = " ", " ", Planung!M87)</f>
        <v xml:space="preserve"> </v>
      </c>
      <c r="N14" s="1105" t="str">
        <f>IF(N4 = " ", " ", Planung!N87)</f>
        <v xml:space="preserve"> </v>
      </c>
      <c r="O14" s="1105" t="str">
        <f>IF(O4 = " ", " ", Planung!O87)</f>
        <v xml:space="preserve"> </v>
      </c>
      <c r="P14" s="1105" t="str">
        <f>IF(P4 = " ", " ", Planung!P87)</f>
        <v xml:space="preserve"> </v>
      </c>
      <c r="Q14" s="1105" t="str">
        <f>IF(Q4 = " ", " ", Planung!Q87)</f>
        <v xml:space="preserve"> </v>
      </c>
      <c r="R14" s="223"/>
    </row>
    <row r="15" spans="2:18">
      <c r="B15" s="210" t="str">
        <f>Lang.!B92</f>
        <v>1. Buildings on Third-Party Property</v>
      </c>
      <c r="C15" s="795" t="str">
        <f t="shared" si="4"/>
        <v xml:space="preserve"> Buildings on Third-Party Property</v>
      </c>
      <c r="D15" s="1106"/>
      <c r="E15" s="1106">
        <f>'BS 22-24'!C18+'BS 22-24'!C22</f>
        <v>1528191.35178824</v>
      </c>
      <c r="F15" s="1106">
        <f>'BS 22-24'!E18+'BS 22-24'!E22</f>
        <v>1452865.5276381911</v>
      </c>
      <c r="G15" s="1106">
        <f>'BS 22-24'!G18+'BS 22-24'!G22</f>
        <v>1370667.6718938479</v>
      </c>
      <c r="H15" s="1107"/>
      <c r="I15" s="1108"/>
      <c r="J15" s="1108"/>
      <c r="K15" s="1108"/>
      <c r="L15" s="1108"/>
      <c r="M15" s="1108"/>
      <c r="N15" s="1108"/>
      <c r="O15" s="1108"/>
      <c r="P15" s="1108"/>
      <c r="Q15" s="1108"/>
      <c r="R15" s="223"/>
    </row>
    <row r="16" spans="2:18">
      <c r="B16" s="210" t="str">
        <f>Lang.!B93</f>
        <v>2. Technical Equipment and Machinery</v>
      </c>
      <c r="C16" s="795" t="str">
        <f t="shared" si="4"/>
        <v xml:space="preserve"> Technical Equipment and Machinery</v>
      </c>
      <c r="D16" s="1106"/>
      <c r="E16" s="1106">
        <f>'BS 22-24'!C19</f>
        <v>7850724.7928874521</v>
      </c>
      <c r="F16" s="1106">
        <f>'BS 22-24'!E19</f>
        <v>5860386.3316582916</v>
      </c>
      <c r="G16" s="1106">
        <f>'BS 22-24'!G19</f>
        <v>3554067.9533574586</v>
      </c>
      <c r="H16" s="1107"/>
      <c r="I16" s="1108"/>
      <c r="J16" s="1108"/>
      <c r="K16" s="1108"/>
      <c r="L16" s="1108"/>
      <c r="M16" s="1108"/>
      <c r="N16" s="1108"/>
      <c r="O16" s="1108"/>
      <c r="P16" s="1108"/>
      <c r="Q16" s="1108"/>
      <c r="R16" s="223"/>
    </row>
    <row r="17" spans="2:18">
      <c r="B17" s="210" t="str">
        <f>Lang.!B94</f>
        <v>3. Other equipment, operating and office equipment</v>
      </c>
      <c r="C17" s="795" t="str">
        <f t="shared" si="4"/>
        <v xml:space="preserve"> Other equipment, operating and office equipment</v>
      </c>
      <c r="D17" s="1106"/>
      <c r="E17" s="1106">
        <f>'BS 22-24'!C20</f>
        <v>76867.447969286732</v>
      </c>
      <c r="F17" s="1106">
        <f>'BS 22-24'!E20</f>
        <v>77261.708542713575</v>
      </c>
      <c r="G17" s="1106">
        <f>'BS 22-24'!G20</f>
        <v>154964.817048653</v>
      </c>
      <c r="H17" s="1107"/>
      <c r="I17" s="1108"/>
      <c r="J17" s="1108"/>
      <c r="K17" s="1108"/>
      <c r="L17" s="1108"/>
      <c r="M17" s="1108"/>
      <c r="N17" s="1108"/>
      <c r="O17" s="1108"/>
      <c r="P17" s="1108"/>
      <c r="Q17" s="1108"/>
      <c r="R17" s="223"/>
    </row>
    <row r="18" spans="2:18">
      <c r="B18" s="210" t="str">
        <f>Lang.!B95</f>
        <v>4. Advance payments made and assets under construction</v>
      </c>
      <c r="C18" s="795" t="str">
        <f t="shared" si="4"/>
        <v xml:space="preserve"> Advance payments made and assets under construction</v>
      </c>
      <c r="D18" s="1106"/>
      <c r="E18" s="1106">
        <f>'BS 22-24'!C26</f>
        <v>120859.56758941201</v>
      </c>
      <c r="F18" s="1106">
        <f>0</f>
        <v>0</v>
      </c>
      <c r="G18" s="1106">
        <f>'BS 22-24'!G26</f>
        <v>100002.01045436268</v>
      </c>
      <c r="H18" s="1107"/>
      <c r="I18" s="1108"/>
      <c r="J18" s="1108"/>
      <c r="K18" s="1108"/>
      <c r="L18" s="1108"/>
      <c r="M18" s="1108"/>
      <c r="N18" s="1108"/>
      <c r="O18" s="1108"/>
      <c r="P18" s="1108"/>
      <c r="Q18" s="1108"/>
      <c r="R18" s="223"/>
    </row>
    <row r="19" spans="2:18">
      <c r="B19" s="200" t="str">
        <f>Lang.!B96</f>
        <v/>
      </c>
      <c r="C19" s="795" t="str">
        <f t="shared" si="4"/>
        <v xml:space="preserve"> </v>
      </c>
      <c r="D19" s="1102"/>
      <c r="E19" s="1102"/>
      <c r="F19" s="1102"/>
      <c r="G19" s="1102"/>
      <c r="H19" s="1107"/>
      <c r="I19" s="1108"/>
      <c r="J19" s="1108"/>
      <c r="K19" s="1108"/>
      <c r="L19" s="1108"/>
      <c r="M19" s="1108"/>
      <c r="N19" s="1108"/>
      <c r="O19" s="1108"/>
      <c r="P19" s="1108"/>
      <c r="Q19" s="1108"/>
      <c r="R19" s="223"/>
    </row>
    <row r="20" spans="2:18">
      <c r="B20" s="200" t="str">
        <f>Lang.!B97</f>
        <v>III. Financial Assets</v>
      </c>
      <c r="C20" s="795" t="str">
        <f t="shared" si="4"/>
        <v xml:space="preserve"> Financial Assets</v>
      </c>
      <c r="D20" s="1103">
        <f>SUM(D21:D24)</f>
        <v>0</v>
      </c>
      <c r="E20" s="1103">
        <f>SUM(E21:E24)</f>
        <v>2809.4564558496668</v>
      </c>
      <c r="F20" s="1103">
        <f>SUM(F21:F24)</f>
        <v>10378.693467336685</v>
      </c>
      <c r="G20" s="1103">
        <f>SUM(G21:G24)</f>
        <v>10077.804583835947</v>
      </c>
      <c r="H20" s="1104">
        <f>+Planung!H98</f>
        <v>13165.789434876198</v>
      </c>
      <c r="I20" s="1105"/>
      <c r="J20" s="1105"/>
      <c r="K20" s="1105"/>
      <c r="L20" s="1105"/>
      <c r="M20" s="1105" t="str">
        <f>IF(M4 = " ", " ", Planung!M98)</f>
        <v xml:space="preserve"> </v>
      </c>
      <c r="N20" s="1105" t="str">
        <f>IF(N4 = " ", " ", Planung!N98)</f>
        <v xml:space="preserve"> </v>
      </c>
      <c r="O20" s="1105" t="str">
        <f>IF(O4 = " ", " ", Planung!O98)</f>
        <v xml:space="preserve"> </v>
      </c>
      <c r="P20" s="1105" t="str">
        <f>IF(P4 = " ", " ", Planung!P98)</f>
        <v xml:space="preserve"> </v>
      </c>
      <c r="Q20" s="1105" t="str">
        <f>IF(Q4 = " ", " ", Planung!Q98)</f>
        <v xml:space="preserve"> </v>
      </c>
      <c r="R20" s="223"/>
    </row>
    <row r="21" spans="2:18">
      <c r="B21" s="210" t="str">
        <f>Lang.!B98</f>
        <v>1. Shares in Affiliated Businesses</v>
      </c>
      <c r="C21" s="795" t="str">
        <f t="shared" si="4"/>
        <v xml:space="preserve"> Shares in Affiliated Businesses</v>
      </c>
      <c r="D21" s="1106"/>
      <c r="E21" s="1106">
        <f>0</f>
        <v>0</v>
      </c>
      <c r="F21" s="1106">
        <f>0</f>
        <v>0</v>
      </c>
      <c r="G21" s="1106">
        <f>0</f>
        <v>0</v>
      </c>
      <c r="H21" s="1107"/>
      <c r="I21" s="1108"/>
      <c r="J21" s="1108"/>
      <c r="K21" s="1108"/>
      <c r="L21" s="1108"/>
      <c r="M21" s="1108"/>
      <c r="N21" s="1108"/>
      <c r="O21" s="1108"/>
      <c r="P21" s="1108"/>
      <c r="Q21" s="1108"/>
      <c r="R21" s="223"/>
    </row>
    <row r="22" spans="2:18">
      <c r="B22" s="210" t="str">
        <f>Lang.!B99</f>
        <v>2. Loans</v>
      </c>
      <c r="C22" s="795" t="str">
        <f t="shared" si="4"/>
        <v xml:space="preserve"> Loans</v>
      </c>
      <c r="D22" s="1106"/>
      <c r="E22" s="1121">
        <f>'BS 22-24'!C34</f>
        <v>2809.4564558496668</v>
      </c>
      <c r="F22" s="1121">
        <f>'BS 22-24'!E34</f>
        <v>10378.693467336685</v>
      </c>
      <c r="G22" s="1121">
        <f>'BS 22-24'!G34</f>
        <v>10077.804583835947</v>
      </c>
      <c r="H22" s="1107"/>
      <c r="I22" s="1108"/>
      <c r="J22" s="1108"/>
      <c r="K22" s="1108"/>
      <c r="L22" s="1108"/>
      <c r="M22" s="1108"/>
      <c r="N22" s="1108"/>
      <c r="O22" s="1108"/>
      <c r="P22" s="1108"/>
      <c r="Q22" s="1108"/>
      <c r="R22" s="223"/>
    </row>
    <row r="23" spans="2:18">
      <c r="B23" s="210" t="str">
        <f>Lang.!B100</f>
        <v>3. Participations</v>
      </c>
      <c r="C23" s="795" t="str">
        <f t="shared" si="4"/>
        <v xml:space="preserve"> Participations</v>
      </c>
      <c r="D23" s="1106"/>
      <c r="E23" s="1106">
        <f>0</f>
        <v>0</v>
      </c>
      <c r="F23" s="1106">
        <f>0</f>
        <v>0</v>
      </c>
      <c r="G23" s="1106">
        <f>0</f>
        <v>0</v>
      </c>
      <c r="H23" s="1107"/>
      <c r="I23" s="1108"/>
      <c r="J23" s="1108"/>
      <c r="K23" s="1108"/>
      <c r="L23" s="1108"/>
      <c r="M23" s="1108"/>
      <c r="N23" s="1108"/>
      <c r="O23" s="1108"/>
      <c r="P23" s="1108"/>
      <c r="Q23" s="1108"/>
      <c r="R23" s="223"/>
    </row>
    <row r="24" spans="2:18">
      <c r="B24" s="210" t="str">
        <f>Lang.!B101</f>
        <v>4. Other Financial Assets (Fixed Assets)</v>
      </c>
      <c r="C24" s="795" t="str">
        <f t="shared" si="4"/>
        <v xml:space="preserve"> Other Financial Assets (Fixed Assets)</v>
      </c>
      <c r="D24" s="1106"/>
      <c r="E24" s="1106">
        <f>0</f>
        <v>0</v>
      </c>
      <c r="F24" s="1106">
        <f>0</f>
        <v>0</v>
      </c>
      <c r="G24" s="1106">
        <f>0</f>
        <v>0</v>
      </c>
      <c r="H24" s="1107"/>
      <c r="I24" s="1108"/>
      <c r="J24" s="1108"/>
      <c r="K24" s="1108"/>
      <c r="L24" s="1108"/>
      <c r="M24" s="1108"/>
      <c r="N24" s="1108"/>
      <c r="O24" s="1108"/>
      <c r="P24" s="1108"/>
      <c r="Q24" s="1108"/>
      <c r="R24" s="223"/>
    </row>
    <row r="25" spans="2:18">
      <c r="B25" s="199" t="str">
        <f>Lang.!B102</f>
        <v/>
      </c>
      <c r="C25" s="796" t="str">
        <f t="shared" si="4"/>
        <v xml:space="preserve"> </v>
      </c>
      <c r="D25" s="1102"/>
      <c r="E25" s="1102"/>
      <c r="F25" s="1102"/>
      <c r="G25" s="1102"/>
      <c r="H25" s="1101"/>
      <c r="I25" s="1102"/>
      <c r="J25" s="1102"/>
      <c r="K25" s="1102"/>
      <c r="L25" s="1102"/>
      <c r="M25" s="1102"/>
      <c r="N25" s="1102"/>
      <c r="O25" s="1102"/>
      <c r="P25" s="1102"/>
      <c r="Q25" s="1102"/>
      <c r="R25" s="222"/>
    </row>
    <row r="26" spans="2:18" s="7" customFormat="1">
      <c r="B26" s="799" t="str">
        <f>Lang.!B103</f>
        <v>B. Current Assets</v>
      </c>
      <c r="C26" s="793" t="str">
        <f t="shared" si="4"/>
        <v xml:space="preserve"> Current Assets</v>
      </c>
      <c r="D26" s="1098">
        <f t="shared" ref="D26" si="5">D28+D34+D39+D41</f>
        <v>0</v>
      </c>
      <c r="E26" s="1098">
        <f t="shared" ref="E26:I26" si="6">E28+E34+E39+E41</f>
        <v>11355768.033946253</v>
      </c>
      <c r="F26" s="1098">
        <f>F28+F34+F39+F41</f>
        <v>11208923.819095476</v>
      </c>
      <c r="G26" s="1901">
        <f>G28+G34+G39+G41</f>
        <v>8166426.2746280655</v>
      </c>
      <c r="H26" s="1099" t="e">
        <f t="shared" si="6"/>
        <v>#VALUE!</v>
      </c>
      <c r="I26" s="1098"/>
      <c r="J26" s="1098"/>
      <c r="K26" s="1098"/>
      <c r="L26" s="1098"/>
      <c r="M26" s="1098" t="e">
        <f t="shared" ref="M26:Q26" si="7">IF(M4 = " ", " ", M28+M34+M39+M41)</f>
        <v>#VALUE!</v>
      </c>
      <c r="N26" s="1098" t="e">
        <f t="shared" si="7"/>
        <v>#VALUE!</v>
      </c>
      <c r="O26" s="1098" t="e">
        <f t="shared" si="7"/>
        <v>#VALUE!</v>
      </c>
      <c r="P26" s="1098" t="e">
        <f t="shared" si="7"/>
        <v>#VALUE!</v>
      </c>
      <c r="Q26" s="1098" t="e">
        <f t="shared" si="7"/>
        <v>#VALUE!</v>
      </c>
      <c r="R26" s="220"/>
    </row>
    <row r="27" spans="2:18">
      <c r="B27" s="199" t="str">
        <f>Lang.!B104</f>
        <v/>
      </c>
      <c r="C27" s="797" t="str">
        <f t="shared" si="4"/>
        <v xml:space="preserve"> </v>
      </c>
      <c r="D27" s="1102"/>
      <c r="E27" s="1102"/>
      <c r="F27" s="1102"/>
      <c r="G27" s="1102"/>
      <c r="H27" s="1101"/>
      <c r="I27" s="1102"/>
      <c r="J27" s="1102"/>
      <c r="K27" s="1102"/>
      <c r="L27" s="1102"/>
      <c r="M27" s="1102"/>
      <c r="N27" s="1102"/>
      <c r="O27" s="1102"/>
      <c r="P27" s="1102"/>
      <c r="Q27" s="1102"/>
      <c r="R27" s="222"/>
    </row>
    <row r="28" spans="2:18">
      <c r="B28" s="200" t="str">
        <f>Lang.!B105</f>
        <v>I. Inventories</v>
      </c>
      <c r="C28" s="795" t="str">
        <f t="shared" si="4"/>
        <v xml:space="preserve"> Inventories</v>
      </c>
      <c r="D28" s="1103">
        <f>SUM(D29:D32)</f>
        <v>0</v>
      </c>
      <c r="E28" s="1103">
        <f>SUM(E29:E32)</f>
        <v>144370.78197615681</v>
      </c>
      <c r="F28" s="1103">
        <f t="shared" ref="F28:K28" si="8">SUM(F29:F32)</f>
        <v>133187.53768844221</v>
      </c>
      <c r="G28" s="1103">
        <f t="shared" si="8"/>
        <v>141271.21029352632</v>
      </c>
      <c r="H28" s="1109" t="e">
        <f t="shared" si="8"/>
        <v>#VALUE!</v>
      </c>
      <c r="I28" s="1103"/>
      <c r="J28" s="1103"/>
      <c r="K28" s="1103"/>
      <c r="L28" s="1103"/>
      <c r="M28" s="1103">
        <f t="shared" ref="M28:Q28" si="9">IF(M4 = " ", " ", SUM(M29:M32))</f>
        <v>0</v>
      </c>
      <c r="N28" s="1103">
        <f t="shared" si="9"/>
        <v>0</v>
      </c>
      <c r="O28" s="1103">
        <f t="shared" si="9"/>
        <v>0</v>
      </c>
      <c r="P28" s="1103">
        <f t="shared" si="9"/>
        <v>0</v>
      </c>
      <c r="Q28" s="1103">
        <f t="shared" si="9"/>
        <v>0</v>
      </c>
      <c r="R28" s="222"/>
    </row>
    <row r="29" spans="2:18">
      <c r="B29" s="210" t="str">
        <f>Lang.!B106</f>
        <v>1. Raw Materials and Supplies</v>
      </c>
      <c r="C29" s="795" t="str">
        <f t="shared" si="4"/>
        <v xml:space="preserve"> Raw Materials and Supplies</v>
      </c>
      <c r="D29" s="1106"/>
      <c r="E29" s="1106">
        <f>'BS 22-24'!C41</f>
        <v>144370.78197615681</v>
      </c>
      <c r="F29" s="1106">
        <f>'BS 22-24'!E41</f>
        <v>133187.53768844221</v>
      </c>
      <c r="G29" s="1106">
        <f>'BS 22-24'!G41</f>
        <v>141271.21029352632</v>
      </c>
      <c r="H29" s="1104" t="e">
        <f>IF(Planung!H110&lt;&gt;0,Planung!H110,IF(Planung!$A$109=FALSE,Planung!H109,INDEX('G&amp;V'!$B$4:$Q$112,MATCH(Planung!$A109,'G&amp;V'!$B$4:$B$112,0),MATCH(H$4,'G&amp;V'!$B$4:$Q$4,0))*Planung!H109))</f>
        <v>#VALUE!</v>
      </c>
      <c r="I29" s="1105"/>
      <c r="J29" s="1105"/>
      <c r="K29" s="1105"/>
      <c r="L29" s="1105"/>
      <c r="M29" s="1105" t="str">
        <f>IFERROR(IF(Planung!M110&lt;&gt;0,Planung!M110,IF(Planung!$A$109=FALSE,Planung!M109,INDEX('G&amp;V'!$B$4:$Q$112,MATCH(Planung!$A109,'G&amp;V'!$B$4:$B$112,0),MATCH(M$4,'G&amp;V'!$B$4:$Q$4,0))*Planung!M109)),"")</f>
        <v/>
      </c>
      <c r="N29" s="1105" t="str">
        <f>IFERROR(IF(Planung!N110&lt;&gt;0,Planung!N110,IF(Planung!$A$109=FALSE,Planung!N109,INDEX('G&amp;V'!$B$4:$Q$112,MATCH(Planung!$A109,'G&amp;V'!$B$4:$B$112,0),MATCH(N$4,'G&amp;V'!$B$4:$Q$4,0))*Planung!N109)),"")</f>
        <v/>
      </c>
      <c r="O29" s="1105" t="str">
        <f>IFERROR(IF(Planung!O110&lt;&gt;0,Planung!O110,IF(Planung!$A$109=FALSE,Planung!O109,INDEX('G&amp;V'!$B$4:$Q$112,MATCH(Planung!$A109,'G&amp;V'!$B$4:$B$112,0),MATCH(O$4,'G&amp;V'!$B$4:$Q$4,0))*Planung!O109)),"")</f>
        <v/>
      </c>
      <c r="P29" s="1105" t="str">
        <f>IFERROR(IF(Planung!P110&lt;&gt;0,Planung!P110,IF(Planung!$A$109=FALSE,Planung!P109,INDEX('G&amp;V'!$B$4:$Q$112,MATCH(Planung!$A109,'G&amp;V'!$B$4:$B$112,0),MATCH(P$4,'G&amp;V'!$B$4:$Q$4,0))*Planung!P109)),"")</f>
        <v/>
      </c>
      <c r="Q29" s="1105" t="str">
        <f>IFERROR(IF(Planung!Q110&lt;&gt;0,Planung!Q110,IF(Planung!$A$109=FALSE,Planung!Q109,INDEX('G&amp;V'!$B$4:$Q$112,MATCH(Planung!$A109,'G&amp;V'!$B$4:$B$112,0),MATCH(Q$4,'G&amp;V'!$B$4:$Q$4,0))*Planung!Q109)),"")</f>
        <v/>
      </c>
      <c r="R29" s="223"/>
    </row>
    <row r="30" spans="2:18">
      <c r="B30" s="210" t="str">
        <f>Lang.!B107</f>
        <v>2. Unfinished Goods and Services</v>
      </c>
      <c r="C30" s="795" t="str">
        <f t="shared" si="4"/>
        <v xml:space="preserve"> Unfinished Goods and Services</v>
      </c>
      <c r="D30" s="1106"/>
      <c r="E30" s="1106">
        <f>0</f>
        <v>0</v>
      </c>
      <c r="F30" s="1106">
        <f>0</f>
        <v>0</v>
      </c>
      <c r="G30" s="1106">
        <f>0</f>
        <v>0</v>
      </c>
      <c r="H30" s="1104" t="e">
        <f>IF(Planung!H112&lt;&gt;0,Planung!H112,IF(Planung!$A$111=FALSE,Planung!H111,INDEX('G&amp;V'!$B$4:$Q$112,MATCH(Planung!$A111,'G&amp;V'!$B$4:$B$112,0),MATCH(H$4,'G&amp;V'!$B$4:$Q$4,0))*Planung!H111))</f>
        <v>#VALUE!</v>
      </c>
      <c r="I30" s="1105"/>
      <c r="J30" s="1105"/>
      <c r="K30" s="1105"/>
      <c r="L30" s="1105"/>
      <c r="M30" s="1105" t="str">
        <f>IFERROR(IF(Planung!M112&lt;&gt;0,Planung!M112,IF(Planung!$A$111=FALSE,Planung!M111,INDEX('G&amp;V'!$B$4:$Q$112,MATCH(Planung!$A111,'G&amp;V'!$B$4:$B$112,0),MATCH(M$4,'G&amp;V'!$B$4:$Q$4,0))*Planung!M111)),"")</f>
        <v/>
      </c>
      <c r="N30" s="1105" t="str">
        <f>IFERROR(IF(Planung!N112&lt;&gt;0,Planung!N112,IF(Planung!$A$111=FALSE,Planung!N111,INDEX('G&amp;V'!$B$4:$Q$112,MATCH(Planung!$A111,'G&amp;V'!$B$4:$B$112,0),MATCH(N$4,'G&amp;V'!$B$4:$Q$4,0))*Planung!N111)),"")</f>
        <v/>
      </c>
      <c r="O30" s="1105" t="str">
        <f>IFERROR(IF(Planung!O112&lt;&gt;0,Planung!O112,IF(Planung!$A$111=FALSE,Planung!O111,INDEX('G&amp;V'!$B$4:$Q$112,MATCH(Planung!$A111,'G&amp;V'!$B$4:$B$112,0),MATCH(O$4,'G&amp;V'!$B$4:$Q$4,0))*Planung!O111)),"")</f>
        <v/>
      </c>
      <c r="P30" s="1105" t="str">
        <f>IFERROR(IF(Planung!P112&lt;&gt;0,Planung!P112,IF(Planung!$A$111=FALSE,Planung!P111,INDEX('G&amp;V'!$B$4:$Q$112,MATCH(Planung!$A111,'G&amp;V'!$B$4:$B$112,0),MATCH(P$4,'G&amp;V'!$B$4:$Q$4,0))*Planung!P111)),"")</f>
        <v/>
      </c>
      <c r="Q30" s="1105" t="str">
        <f>IFERROR(IF(Planung!Q112&lt;&gt;0,Planung!Q112,IF(Planung!$A$111=FALSE,Planung!Q111,INDEX('G&amp;V'!$B$4:$Q$112,MATCH(Planung!$A111,'G&amp;V'!$B$4:$B$112,0),MATCH(Q$4,'G&amp;V'!$B$4:$Q$4,0))*Planung!Q111)),"")</f>
        <v/>
      </c>
      <c r="R30" s="223"/>
    </row>
    <row r="31" spans="2:18">
      <c r="B31" s="210" t="str">
        <f>Lang.!B108</f>
        <v>3. Finished products and Goods</v>
      </c>
      <c r="C31" s="795" t="str">
        <f t="shared" si="4"/>
        <v xml:space="preserve"> Finished products and Goods</v>
      </c>
      <c r="D31" s="1106"/>
      <c r="E31" s="1106">
        <f>0</f>
        <v>0</v>
      </c>
      <c r="F31" s="1106">
        <f>0</f>
        <v>0</v>
      </c>
      <c r="G31" s="1106">
        <f>0</f>
        <v>0</v>
      </c>
      <c r="H31" s="1104" t="e">
        <f>IF(Planung!H114&lt;&gt;0,Planung!H114,IF(Planung!$A$113=FALSE,Planung!H113,INDEX('G&amp;V'!$B$4:$Q$112,MATCH(Planung!$A113,'G&amp;V'!$B$4:$B$112,0),MATCH(H$4,'G&amp;V'!$B$4:$Q$4,0))*Planung!H113))</f>
        <v>#VALUE!</v>
      </c>
      <c r="I31" s="1105"/>
      <c r="J31" s="1105"/>
      <c r="K31" s="1105"/>
      <c r="L31" s="1105"/>
      <c r="M31" s="1105" t="str">
        <f>IFERROR(IF(Planung!M114&lt;&gt;0,Planung!M114,IF(Planung!$A$113=FALSE,Planung!M113,INDEX('G&amp;V'!$B$4:$Q$112,MATCH(Planung!$A113,'G&amp;V'!$B$4:$B$112,0),MATCH(M$4,'G&amp;V'!$B$4:$Q$4,0))*Planung!M113)),"")</f>
        <v/>
      </c>
      <c r="N31" s="1105" t="str">
        <f>IFERROR(IF(Planung!N114&lt;&gt;0,Planung!N114,IF(Planung!$A$113=FALSE,Planung!N113,INDEX('G&amp;V'!$B$4:$Q$112,MATCH(Planung!$A113,'G&amp;V'!$B$4:$B$112,0),MATCH(N$4,'G&amp;V'!$B$4:$Q$4,0))*Planung!N113)),"")</f>
        <v/>
      </c>
      <c r="O31" s="1105" t="str">
        <f>IFERROR(IF(Planung!O114&lt;&gt;0,Planung!O114,IF(Planung!$A$113=FALSE,Planung!O113,INDEX('G&amp;V'!$B$4:$Q$112,MATCH(Planung!$A113,'G&amp;V'!$B$4:$B$112,0),MATCH(O$4,'G&amp;V'!$B$4:$Q$4,0))*Planung!O113)),"")</f>
        <v/>
      </c>
      <c r="P31" s="1105" t="str">
        <f>IFERROR(IF(Planung!P114&lt;&gt;0,Planung!P114,IF(Planung!$A$113=FALSE,Planung!P113,INDEX('G&amp;V'!$B$4:$Q$112,MATCH(Planung!$A113,'G&amp;V'!$B$4:$B$112,0),MATCH(P$4,'G&amp;V'!$B$4:$Q$4,0))*Planung!P113)),"")</f>
        <v/>
      </c>
      <c r="Q31" s="1105" t="str">
        <f>IFERROR(IF(Planung!Q114&lt;&gt;0,Planung!Q114,IF(Planung!$A$113=FALSE,Planung!Q113,INDEX('G&amp;V'!$B$4:$Q$112,MATCH(Planung!$A113,'G&amp;V'!$B$4:$B$112,0),MATCH(Q$4,'G&amp;V'!$B$4:$Q$4,0))*Planung!Q113)),"")</f>
        <v/>
      </c>
      <c r="R31" s="223"/>
    </row>
    <row r="32" spans="2:18">
      <c r="B32" s="210" t="str">
        <f>Lang.!B109</f>
        <v>4. Advance Payments Made</v>
      </c>
      <c r="C32" s="795" t="str">
        <f t="shared" si="4"/>
        <v xml:space="preserve"> Advance Payments Made</v>
      </c>
      <c r="D32" s="1106"/>
      <c r="E32" s="1106">
        <f>0</f>
        <v>0</v>
      </c>
      <c r="F32" s="1106">
        <f>0</f>
        <v>0</v>
      </c>
      <c r="G32" s="1106">
        <f>0</f>
        <v>0</v>
      </c>
      <c r="H32" s="1104" t="e">
        <f>IF(Planung!H116&lt;&gt;0,Planung!H116,IF(Planung!$A$115=FALSE,Planung!H115,INDEX('G&amp;V'!$B$4:$Q$112,MATCH(Planung!$A115,'G&amp;V'!$B$4:$B$112,0),MATCH(H$4,'G&amp;V'!$B$4:$Q$4,0))*Planung!H115))</f>
        <v>#VALUE!</v>
      </c>
      <c r="I32" s="1105"/>
      <c r="J32" s="1105"/>
      <c r="K32" s="1105"/>
      <c r="L32" s="1105"/>
      <c r="M32" s="1105" t="str">
        <f>IFERROR(IF(Planung!M116&lt;&gt;0,Planung!M116,IF(Planung!$A$115=FALSE,Planung!M115,INDEX('G&amp;V'!$B$4:$Q$112,MATCH(Planung!$A115,'G&amp;V'!$B$4:$B$112,0),MATCH(M$4,'G&amp;V'!$B$4:$Q$4,0))*Planung!M115)),"")</f>
        <v/>
      </c>
      <c r="N32" s="1105" t="str">
        <f>IFERROR(IF(Planung!N116&lt;&gt;0,Planung!N116,IF(Planung!$A$115=FALSE,Planung!N115,INDEX('G&amp;V'!$B$4:$Q$112,MATCH(Planung!$A115,'G&amp;V'!$B$4:$B$112,0),MATCH(N$4,'G&amp;V'!$B$4:$Q$4,0))*Planung!N115)),"")</f>
        <v/>
      </c>
      <c r="O32" s="1105" t="str">
        <f>IFERROR(IF(Planung!O116&lt;&gt;0,Planung!O116,IF(Planung!$A$115=FALSE,Planung!O115,INDEX('G&amp;V'!$B$4:$Q$112,MATCH(Planung!$A115,'G&amp;V'!$B$4:$B$112,0),MATCH(O$4,'G&amp;V'!$B$4:$Q$4,0))*Planung!O115)),"")</f>
        <v/>
      </c>
      <c r="P32" s="1105" t="str">
        <f>IFERROR(IF(Planung!P116&lt;&gt;0,Planung!P116,IF(Planung!$A$115=FALSE,Planung!P115,INDEX('G&amp;V'!$B$4:$Q$112,MATCH(Planung!$A115,'G&amp;V'!$B$4:$B$112,0),MATCH(P$4,'G&amp;V'!$B$4:$Q$4,0))*Planung!P115)),"")</f>
        <v/>
      </c>
      <c r="Q32" s="1105" t="str">
        <f>IFERROR(IF(Planung!Q116&lt;&gt;0,Planung!Q116,IF(Planung!$A$115=FALSE,Planung!Q115,INDEX('G&amp;V'!$B$4:$Q$112,MATCH(Planung!$A115,'G&amp;V'!$B$4:$B$112,0),MATCH(Q$4,'G&amp;V'!$B$4:$Q$4,0))*Planung!Q115)),"")</f>
        <v/>
      </c>
      <c r="R32" s="223"/>
    </row>
    <row r="33" spans="2:18">
      <c r="B33" s="200" t="str">
        <f>Lang.!B110</f>
        <v/>
      </c>
      <c r="C33" s="795" t="str">
        <f t="shared" si="4"/>
        <v xml:space="preserve"> </v>
      </c>
      <c r="D33" s="1102"/>
      <c r="E33" s="1102"/>
      <c r="F33" s="1102"/>
      <c r="G33" s="1102"/>
      <c r="H33" s="1101"/>
      <c r="I33" s="1102"/>
      <c r="J33" s="1102"/>
      <c r="K33" s="1102"/>
      <c r="L33" s="1102"/>
      <c r="M33" s="1102"/>
      <c r="N33" s="1102"/>
      <c r="O33" s="1102"/>
      <c r="P33" s="1102"/>
      <c r="Q33" s="1102"/>
      <c r="R33" s="222"/>
    </row>
    <row r="34" spans="2:18">
      <c r="B34" s="200" t="str">
        <f>Lang.!B111</f>
        <v>II. Receivables and other assets</v>
      </c>
      <c r="C34" s="795" t="str">
        <f t="shared" si="4"/>
        <v xml:space="preserve"> Receivables and other assets</v>
      </c>
      <c r="D34" s="1103">
        <f t="shared" ref="D34" si="10">SUM(D35:D37)</f>
        <v>0</v>
      </c>
      <c r="E34" s="1103">
        <f t="shared" ref="E34:K34" si="11">SUM(E35:E37)</f>
        <v>7902079.2079207925</v>
      </c>
      <c r="F34" s="1103">
        <f t="shared" si="11"/>
        <v>9988472.5628140699</v>
      </c>
      <c r="G34" s="1103">
        <f t="shared" si="11"/>
        <v>6752800.7639726568</v>
      </c>
      <c r="H34" s="1109">
        <f t="shared" si="11"/>
        <v>7774995.5937661324</v>
      </c>
      <c r="I34" s="1103"/>
      <c r="J34" s="1103"/>
      <c r="K34" s="1103"/>
      <c r="L34" s="1103"/>
      <c r="M34" s="1103">
        <f t="shared" ref="M34:Q34" si="12">IF(M4 = " ", " ", SUM(M35:M37))</f>
        <v>0</v>
      </c>
      <c r="N34" s="1103">
        <f t="shared" si="12"/>
        <v>0</v>
      </c>
      <c r="O34" s="1103">
        <f t="shared" si="12"/>
        <v>0</v>
      </c>
      <c r="P34" s="1103">
        <f t="shared" si="12"/>
        <v>0</v>
      </c>
      <c r="Q34" s="1103">
        <f t="shared" si="12"/>
        <v>0</v>
      </c>
      <c r="R34" s="222"/>
    </row>
    <row r="35" spans="2:18">
      <c r="B35" s="210" t="str">
        <f>Lang.!B112</f>
        <v>1. Trade Receivables</v>
      </c>
      <c r="C35" s="795" t="str">
        <f t="shared" si="4"/>
        <v xml:space="preserve"> Trade Receivables</v>
      </c>
      <c r="D35" s="1106"/>
      <c r="E35" s="1106">
        <f>'BS 22-24'!C47</f>
        <v>6410442.7157001421</v>
      </c>
      <c r="F35" s="1106">
        <f>'BS 22-24'!E47</f>
        <v>5777055.6783919604</v>
      </c>
      <c r="G35" s="1106">
        <f>'BS 22-24'!G47</f>
        <v>5051499.1958182547</v>
      </c>
      <c r="H35" s="1104">
        <f>IF(Planung!H120&lt;&gt;0,Planung!H120,IF(Planung!$A$119=FALSE,Planung!H119,INDEX('G&amp;V'!$B$4:$Q$112,MATCH(Planung!$A119,'G&amp;V'!$B$4:$B$112,0),MATCH(H$4,'G&amp;V'!$B$4:$Q$4,0))*Planung!H119))</f>
        <v>5443156.161928691</v>
      </c>
      <c r="I35" s="1105"/>
      <c r="J35" s="1105"/>
      <c r="K35" s="1105"/>
      <c r="L35" s="1105"/>
      <c r="M35" s="1105" t="str">
        <f>IFERROR(IF(Planung!M120&lt;&gt;0,Planung!M120,IF(Planung!$A$119=FALSE,Planung!M119,INDEX('G&amp;V'!$B$4:$Q$112,MATCH(Planung!$A119,'G&amp;V'!$B$4:$B$112,0),MATCH(M$4,'G&amp;V'!$B$4:$Q$4,0))*Planung!M119)),"")</f>
        <v/>
      </c>
      <c r="N35" s="1105" t="str">
        <f>IFERROR(IF(Planung!N120&lt;&gt;0,Planung!N120,IF(Planung!$A$119=FALSE,Planung!N119,INDEX('G&amp;V'!$B$4:$Q$112,MATCH(Planung!$A119,'G&amp;V'!$B$4:$B$112,0),MATCH(N$4,'G&amp;V'!$B$4:$Q$4,0))*Planung!N119)),"")</f>
        <v/>
      </c>
      <c r="O35" s="1105" t="str">
        <f>IFERROR(IF(Planung!O120&lt;&gt;0,Planung!O120,IF(Planung!$A$119=FALSE,Planung!O119,INDEX('G&amp;V'!$B$4:$Q$112,MATCH(Planung!$A119,'G&amp;V'!$B$4:$B$112,0),MATCH(O$4,'G&amp;V'!$B$4:$Q$4,0))*Planung!O119)),"")</f>
        <v/>
      </c>
      <c r="P35" s="1105" t="str">
        <f>IFERROR(IF(Planung!P120&lt;&gt;0,Planung!P120,IF(Planung!$A$119=FALSE,Planung!P119,INDEX('G&amp;V'!$B$4:$Q$112,MATCH(Planung!$A119,'G&amp;V'!$B$4:$B$112,0),MATCH(P$4,'G&amp;V'!$B$4:$Q$4,0))*Planung!P119)),"")</f>
        <v/>
      </c>
      <c r="Q35" s="1105" t="str">
        <f>IFERROR(IF(Planung!Q120&lt;&gt;0,Planung!Q120,IF(Planung!$A$119=FALSE,Planung!Q119,INDEX('G&amp;V'!$B$4:$Q$112,MATCH(Planung!$A119,'G&amp;V'!$B$4:$B$112,0),MATCH(Q$4,'G&amp;V'!$B$4:$Q$4,0))*Planung!Q119)),"")</f>
        <v/>
      </c>
      <c r="R35" s="223"/>
    </row>
    <row r="36" spans="2:18">
      <c r="B36" s="210" t="str">
        <f>Lang.!B113</f>
        <v>2. Receivables from Affiliated Businesses</v>
      </c>
      <c r="C36" s="795" t="str">
        <f t="shared" si="4"/>
        <v xml:space="preserve"> Receivables from Affiliated Businesses</v>
      </c>
      <c r="D36" s="1106"/>
      <c r="E36" s="1106">
        <f>'BS 22-24'!C48</f>
        <v>508999.7979389776</v>
      </c>
      <c r="F36" s="1106">
        <f>'BS 22-24'!E48</f>
        <v>3977135.2763819098</v>
      </c>
      <c r="G36" s="1106">
        <f>'BS 22-24'!G48</f>
        <v>1379248.6932046642</v>
      </c>
      <c r="H36" s="1104">
        <f>IF(Planung!H122&lt;&gt;0,Planung!H122,IF(Planung!$A$121=FALSE,Planung!H121,INDEX('G&amp;V'!$B$4:$Q$112,MATCH(Planung!$A121,'G&amp;V'!$B$4:$B$112,0),MATCH(H$4,'G&amp;V'!$B$4:$Q$4,0))*Planung!H121))</f>
        <v>1852609.7740952894</v>
      </c>
      <c r="I36" s="1105"/>
      <c r="J36" s="1105"/>
      <c r="K36" s="1105"/>
      <c r="L36" s="1105"/>
      <c r="M36" s="1105" t="str">
        <f>IFERROR(IF(Planung!M122&lt;&gt;0,Planung!M122,IF(Planung!$A$121=FALSE,Planung!M121,INDEX('G&amp;V'!$B$4:$Q$112,MATCH(Planung!$A121,'G&amp;V'!$B$4:$B$112,0),MATCH(M$4,'G&amp;V'!$B$4:$Q$4,0))*Planung!M121)),"")</f>
        <v/>
      </c>
      <c r="N36" s="1105" t="str">
        <f>IFERROR(IF(Planung!N122&lt;&gt;0,Planung!N122,IF(Planung!$A$121=FALSE,Planung!N121,INDEX('G&amp;V'!$B$4:$Q$112,MATCH(Planung!$A121,'G&amp;V'!$B$4:$B$112,0),MATCH(N$4,'G&amp;V'!$B$4:$Q$4,0))*Planung!N121)),"")</f>
        <v/>
      </c>
      <c r="O36" s="1105" t="str">
        <f>IFERROR(IF(Planung!O122&lt;&gt;0,Planung!O122,IF(Planung!$A$121=FALSE,Planung!O121,INDEX('G&amp;V'!$B$4:$Q$112,MATCH(Planung!$A121,'G&amp;V'!$B$4:$B$112,0),MATCH(O$4,'G&amp;V'!$B$4:$Q$4,0))*Planung!O121)),"")</f>
        <v/>
      </c>
      <c r="P36" s="1105" t="str">
        <f>IFERROR(IF(Planung!P122&lt;&gt;0,Planung!P122,IF(Planung!$A$121=FALSE,Planung!P121,INDEX('G&amp;V'!$B$4:$Q$112,MATCH(Planung!$A121,'G&amp;V'!$B$4:$B$112,0),MATCH(P$4,'G&amp;V'!$B$4:$Q$4,0))*Planung!P121)),"")</f>
        <v/>
      </c>
      <c r="Q36" s="1105" t="str">
        <f>IFERROR(IF(Planung!Q122&lt;&gt;0,Planung!Q122,IF(Planung!$A$121=FALSE,Planung!Q121,INDEX('G&amp;V'!$B$4:$Q$112,MATCH(Planung!$A121,'G&amp;V'!$B$4:$B$112,0),MATCH(Q$4,'G&amp;V'!$B$4:$Q$4,0))*Planung!Q121)),"")</f>
        <v/>
      </c>
      <c r="R36" s="223"/>
    </row>
    <row r="37" spans="2:18">
      <c r="B37" s="210" t="str">
        <f>Lang.!B114</f>
        <v>3. Other Assets</v>
      </c>
      <c r="C37" s="795" t="str">
        <f t="shared" si="4"/>
        <v xml:space="preserve"> Other Assets</v>
      </c>
      <c r="D37" s="1106"/>
      <c r="E37" s="1106">
        <f>'BS 22-24'!C50</f>
        <v>982636.69428167306</v>
      </c>
      <c r="F37" s="1106">
        <f>'BS 22-24'!E50</f>
        <v>234281.60804020101</v>
      </c>
      <c r="G37" s="1106">
        <f>'BS 22-24'!G50</f>
        <v>322052.87494973862</v>
      </c>
      <c r="H37" s="1104">
        <f>IF(Planung!H124&lt;&gt;0,Planung!H124,IF(Planung!$A$123=FALSE,Planung!H123,INDEX('G&amp;V'!$B$4:$Q$112,MATCH(Planung!$A123,'G&amp;V'!$B$4:$B$112,0),MATCH(H$4,'G&amp;V'!$B$4:$Q$4,0))*Planung!H123))</f>
        <v>479229.65774215228</v>
      </c>
      <c r="I37" s="1105"/>
      <c r="J37" s="1105"/>
      <c r="K37" s="1105"/>
      <c r="L37" s="1105"/>
      <c r="M37" s="1105" t="str">
        <f>IFERROR(IF(Planung!M124&lt;&gt;0,Planung!M124,IF(Planung!$A$123=FALSE,Planung!M123,INDEX('G&amp;V'!$B$4:$Q$112,MATCH(Planung!$A123,'G&amp;V'!$B$4:$B$112,0),MATCH(M$4,'G&amp;V'!$B$4:$Q$4,0))*Planung!M123)),"")</f>
        <v/>
      </c>
      <c r="N37" s="1105" t="str">
        <f>IFERROR(IF(Planung!N124&lt;&gt;0,Planung!N124,IF(Planung!$A$123=FALSE,Planung!N123,INDEX('G&amp;V'!$B$4:$Q$112,MATCH(Planung!$A123,'G&amp;V'!$B$4:$B$112,0),MATCH(N$4,'G&amp;V'!$B$4:$Q$4,0))*Planung!N123)),"")</f>
        <v/>
      </c>
      <c r="O37" s="1105" t="str">
        <f>IFERROR(IF(Planung!O124&lt;&gt;0,Planung!O124,IF(Planung!$A$123=FALSE,Planung!O123,INDEX('G&amp;V'!$B$4:$Q$112,MATCH(Planung!$A123,'G&amp;V'!$B$4:$B$112,0),MATCH(O$4,'G&amp;V'!$B$4:$Q$4,0))*Planung!O123)),"")</f>
        <v/>
      </c>
      <c r="P37" s="1105" t="str">
        <f>IFERROR(IF(Planung!P124&lt;&gt;0,Planung!P124,IF(Planung!$A$123=FALSE,Planung!P123,INDEX('G&amp;V'!$B$4:$Q$112,MATCH(Planung!$A123,'G&amp;V'!$B$4:$B$112,0),MATCH(P$4,'G&amp;V'!$B$4:$Q$4,0))*Planung!P123)),"")</f>
        <v/>
      </c>
      <c r="Q37" s="1105" t="str">
        <f>IFERROR(IF(Planung!Q124&lt;&gt;0,Planung!Q124,IF(Planung!$A$123=FALSE,Planung!Q123,INDEX('G&amp;V'!$B$4:$Q$112,MATCH(Planung!$A123,'G&amp;V'!$B$4:$B$112,0),MATCH(Q$4,'G&amp;V'!$B$4:$Q$4,0))*Planung!Q123)),"")</f>
        <v/>
      </c>
      <c r="R37" s="223"/>
    </row>
    <row r="38" spans="2:18">
      <c r="B38" s="200" t="str">
        <f>Lang.!B115</f>
        <v/>
      </c>
      <c r="C38" s="795" t="str">
        <f t="shared" si="4"/>
        <v xml:space="preserve"> </v>
      </c>
      <c r="D38" s="1102"/>
      <c r="E38" s="1102"/>
      <c r="F38" s="1102"/>
      <c r="G38" s="1102"/>
      <c r="H38" s="1107"/>
      <c r="I38" s="1108"/>
      <c r="J38" s="1108"/>
      <c r="K38" s="1108"/>
      <c r="L38" s="1108"/>
      <c r="M38" s="1108"/>
      <c r="N38" s="1108"/>
      <c r="O38" s="1108"/>
      <c r="P38" s="1108"/>
      <c r="Q38" s="1108"/>
      <c r="R38" s="223"/>
    </row>
    <row r="39" spans="2:18">
      <c r="B39" s="200" t="str">
        <f>Lang.!B116</f>
        <v>III. Securities</v>
      </c>
      <c r="C39" s="795" t="str">
        <f t="shared" si="4"/>
        <v xml:space="preserve"> Securities</v>
      </c>
      <c r="D39" s="1106"/>
      <c r="E39" s="1106"/>
      <c r="F39" s="1106"/>
      <c r="G39" s="1106"/>
      <c r="H39" s="1104">
        <f>IF(Planung!H127&lt;&gt;0,Planung!H127,IF(Planung!$A$126=FALSE,Planung!H126,INDEX('G&amp;V'!$B$4:$Q$112,MATCH(Planung!$A126,'G&amp;V'!$B$4:$B$112,0),MATCH(H$4,'G&amp;V'!$B$4:$Q$4,0))*Planung!H126))</f>
        <v>0</v>
      </c>
      <c r="I39" s="1105"/>
      <c r="J39" s="1105"/>
      <c r="K39" s="1105"/>
      <c r="L39" s="1105"/>
      <c r="M39" s="1105" t="str">
        <f>IFERROR(IF(Planung!M127&lt;&gt;0,Planung!M127,IF(Planung!$A$126=FALSE,Planung!M126,INDEX('G&amp;V'!$B$4:$Q$112,MATCH(Planung!$A126,'G&amp;V'!$B$4:$B$112,0),MATCH(M$4,'G&amp;V'!$B$4:$Q$4,0))*Planung!M126)),"")</f>
        <v xml:space="preserve"> </v>
      </c>
      <c r="N39" s="1105" t="str">
        <f>IFERROR(IF(Planung!N127&lt;&gt;0,Planung!N127,IF(Planung!$A$126=FALSE,Planung!N126,INDEX('G&amp;V'!$B$4:$Q$112,MATCH(Planung!$A126,'G&amp;V'!$B$4:$B$112,0),MATCH(N$4,'G&amp;V'!$B$4:$Q$4,0))*Planung!N126)),"")</f>
        <v xml:space="preserve"> </v>
      </c>
      <c r="O39" s="1105" t="str">
        <f>IFERROR(IF(Planung!O127&lt;&gt;0,Planung!O127,IF(Planung!$A$126=FALSE,Planung!O126,INDEX('G&amp;V'!$B$4:$Q$112,MATCH(Planung!$A126,'G&amp;V'!$B$4:$B$112,0),MATCH(O$4,'G&amp;V'!$B$4:$Q$4,0))*Planung!O126)),"")</f>
        <v xml:space="preserve"> </v>
      </c>
      <c r="P39" s="1105" t="str">
        <f>IFERROR(IF(Planung!P127&lt;&gt;0,Planung!P127,IF(Planung!$A$126=FALSE,Planung!P126,INDEX('G&amp;V'!$B$4:$Q$112,MATCH(Planung!$A126,'G&amp;V'!$B$4:$B$112,0),MATCH(P$4,'G&amp;V'!$B$4:$Q$4,0))*Planung!P126)),"")</f>
        <v xml:space="preserve"> </v>
      </c>
      <c r="Q39" s="1105" t="str">
        <f>IFERROR(IF(Planung!Q127&lt;&gt;0,Planung!Q127,IF(Planung!$A$126=FALSE,Planung!Q126,INDEX('G&amp;V'!$B$4:$Q$112,MATCH(Planung!$A126,'G&amp;V'!$B$4:$B$112,0),MATCH(Q$4,'G&amp;V'!$B$4:$Q$4,0))*Planung!Q126)),"")</f>
        <v xml:space="preserve"> </v>
      </c>
      <c r="R39" s="223"/>
    </row>
    <row r="40" spans="2:18">
      <c r="B40" s="200" t="str">
        <f>Lang.!B117</f>
        <v/>
      </c>
      <c r="C40" s="795" t="str">
        <f t="shared" si="4"/>
        <v xml:space="preserve"> </v>
      </c>
      <c r="D40" s="1102"/>
      <c r="E40" s="1102"/>
      <c r="F40" s="1102"/>
      <c r="G40" s="1102"/>
      <c r="H40" s="1101"/>
      <c r="I40" s="1102"/>
      <c r="J40" s="1102"/>
      <c r="K40" s="1102"/>
      <c r="L40" s="1102"/>
      <c r="M40" s="1102"/>
      <c r="N40" s="1102"/>
      <c r="O40" s="1102"/>
      <c r="P40" s="1102"/>
      <c r="Q40" s="1102"/>
      <c r="R40" s="222"/>
    </row>
    <row r="41" spans="2:18">
      <c r="B41" s="200" t="str">
        <f>Lang.!B118</f>
        <v>IV. Cash in Hand, Bank Balances</v>
      </c>
      <c r="C41" s="795" t="str">
        <f t="shared" si="4"/>
        <v xml:space="preserve"> Cash in Hand, Bank Balances</v>
      </c>
      <c r="D41" s="1106"/>
      <c r="E41" s="1106">
        <f>'BS 22-24'!C58</f>
        <v>3309318.044049303</v>
      </c>
      <c r="F41" s="1106">
        <f>'BS 22-24'!E58</f>
        <v>1087263.7185929648</v>
      </c>
      <c r="G41" s="1106">
        <f>'BS 22-24'!G58</f>
        <v>1272354.3003618817</v>
      </c>
      <c r="H41" s="1104" t="str">
        <f>IFERROR(IF(H4&lt;&gt;" ",G41+CF!H41,""),"")</f>
        <v/>
      </c>
      <c r="I41" s="1105"/>
      <c r="J41" s="1105"/>
      <c r="K41" s="1105"/>
      <c r="L41" s="1105"/>
      <c r="M41" s="1105" t="str">
        <f>IFERROR(IF(M4&lt;&gt;" ",L41+CF!M41,""),"")</f>
        <v/>
      </c>
      <c r="N41" s="1105" t="str">
        <f>IFERROR(IF(N4&lt;&gt;" ",M41+CF!N41,""),"")</f>
        <v/>
      </c>
      <c r="O41" s="1105" t="str">
        <f>IFERROR(IF(O4&lt;&gt;" ",N41+CF!O41,""),"")</f>
        <v/>
      </c>
      <c r="P41" s="1105" t="str">
        <f>IFERROR(IF(P4&lt;&gt;" ",O41+CF!P41,""),"")</f>
        <v/>
      </c>
      <c r="Q41" s="1105" t="str">
        <f>IFERROR(IF(Q4&lt;&gt;" ",P41+CF!Q41,""),"")</f>
        <v/>
      </c>
      <c r="R41" s="223"/>
    </row>
    <row r="42" spans="2:18">
      <c r="B42" s="200" t="str">
        <f>Lang.!B119</f>
        <v/>
      </c>
      <c r="C42" s="796" t="str">
        <f t="shared" si="4"/>
        <v xml:space="preserve"> </v>
      </c>
      <c r="D42" s="1106"/>
      <c r="E42" s="1106"/>
      <c r="F42" s="1106"/>
      <c r="G42" s="1102"/>
      <c r="H42" s="1101"/>
      <c r="I42" s="1102"/>
      <c r="J42" s="1102"/>
      <c r="K42" s="1102"/>
      <c r="L42" s="1102"/>
      <c r="M42" s="1102"/>
      <c r="N42" s="1102"/>
      <c r="O42" s="1102"/>
      <c r="P42" s="1102"/>
      <c r="Q42" s="1102"/>
      <c r="R42" s="222"/>
    </row>
    <row r="43" spans="2:18" s="7" customFormat="1">
      <c r="B43" s="794" t="str">
        <f>Lang.!B120</f>
        <v>C. Prepaid expenses / Accrued income</v>
      </c>
      <c r="C43" s="793" t="str">
        <f t="shared" si="4"/>
        <v xml:space="preserve"> Prepaid expenses / Accrued income</v>
      </c>
      <c r="D43" s="1110"/>
      <c r="E43" s="1110">
        <f>'BS 22-24'!C62</f>
        <v>158509.59789856538</v>
      </c>
      <c r="F43" s="1110">
        <f>'BS 22-24'!E62</f>
        <v>173844.82412060304</v>
      </c>
      <c r="G43" s="1110">
        <f>'BS 22-24'!G62</f>
        <v>195168.87816646561</v>
      </c>
      <c r="H43" s="1111">
        <f>IF(Planung!H129&lt;&gt;0,Planung!H129,IF(Planung!$A$128=FALSE,Planung!H128,INDEX('G&amp;V'!$B$4:$Q$112,MATCH(Planung!$A128,'G&amp;V'!$B$4:$B$112,0),MATCH(H$4,'G&amp;V'!$B$4:$Q$4,0))*Planung!H128))</f>
        <v>168064.39325150091</v>
      </c>
      <c r="I43" s="1112"/>
      <c r="J43" s="1112"/>
      <c r="K43" s="1112"/>
      <c r="L43" s="1112"/>
      <c r="M43" s="1112" t="str">
        <f>IFERROR(IF(Planung!M129&lt;&gt;0,Planung!M129,IF(Planung!$A$128=FALSE,Planung!M128,INDEX('G&amp;V'!$B$4:$Q$112,MATCH(Planung!$A128,'G&amp;V'!$B$4:$B$112,0),MATCH(M$4,'G&amp;V'!$B$4:$Q$4,0))*Planung!M128)),"")</f>
        <v/>
      </c>
      <c r="N43" s="1112" t="str">
        <f>IFERROR(IF(Planung!N129&lt;&gt;0,Planung!N129,IF(Planung!$A$128=FALSE,Planung!N128,INDEX('G&amp;V'!$B$4:$Q$112,MATCH(Planung!$A128,'G&amp;V'!$B$4:$B$112,0),MATCH(N$4,'G&amp;V'!$B$4:$Q$4,0))*Planung!N128)),"")</f>
        <v/>
      </c>
      <c r="O43" s="1112" t="str">
        <f>IFERROR(IF(Planung!O129&lt;&gt;0,Planung!O129,IF(Planung!$A$128=FALSE,Planung!O128,INDEX('G&amp;V'!$B$4:$Q$112,MATCH(Planung!$A128,'G&amp;V'!$B$4:$B$112,0),MATCH(O$4,'G&amp;V'!$B$4:$Q$4,0))*Planung!O128)),"")</f>
        <v/>
      </c>
      <c r="P43" s="1112" t="str">
        <f>IFERROR(IF(Planung!P129&lt;&gt;0,Planung!P129,IF(Planung!$A$128=FALSE,Planung!P128,INDEX('G&amp;V'!$B$4:$Q$112,MATCH(Planung!$A128,'G&amp;V'!$B$4:$B$112,0),MATCH(P$4,'G&amp;V'!$B$4:$Q$4,0))*Planung!P128)),"")</f>
        <v/>
      </c>
      <c r="Q43" s="1112" t="str">
        <f>IFERROR(IF(Planung!Q129&lt;&gt;0,Planung!Q129,IF(Planung!$A$128=FALSE,Planung!Q128,INDEX('G&amp;V'!$B$4:$Q$112,MATCH(Planung!$A128,'G&amp;V'!$B$4:$B$112,0),MATCH(Q$4,'G&amp;V'!$B$4:$Q$4,0))*Planung!Q128)),"")</f>
        <v/>
      </c>
      <c r="R43" s="224"/>
    </row>
    <row r="44" spans="2:18" s="7" customFormat="1">
      <c r="B44" s="800" t="str">
        <f>Lang.!B121</f>
        <v>D. Deferred tax assets</v>
      </c>
      <c r="C44" s="798" t="str">
        <f t="shared" si="4"/>
        <v xml:space="preserve"> Deferred tax assets</v>
      </c>
      <c r="D44" s="1113"/>
      <c r="E44" s="1113"/>
      <c r="F44" s="1113"/>
      <c r="G44" s="1113"/>
      <c r="H44" s="1114">
        <f>IF(Planung!H131&lt;&gt;0,Planung!H131,IF(Planung!$A$130=FALSE,Planung!H130,INDEX('G&amp;V'!$B$4:$Q$112,MATCH(Planung!$A130,'G&amp;V'!$B$4:$B$112,0),MATCH(H$4,'G&amp;V'!$B$4:$Q$4,0))*Planung!H130))</f>
        <v>0</v>
      </c>
      <c r="I44" s="1115"/>
      <c r="J44" s="1115"/>
      <c r="K44" s="1115"/>
      <c r="L44" s="1115"/>
      <c r="M44" s="1115" t="str">
        <f>IFERROR(IF(Planung!M131&lt;&gt;0,Planung!M131,IF(Planung!$A$130=FALSE,Planung!M130,INDEX('G&amp;V'!$B$4:$Q$112,MATCH(Planung!$A130,'G&amp;V'!$B$4:$B$112,0),MATCH(M$4,'G&amp;V'!$B$4:$Q$4,0))*Planung!M130)),"")</f>
        <v/>
      </c>
      <c r="N44" s="1115" t="str">
        <f>IFERROR(IF(Planung!N131&lt;&gt;0,Planung!N131,IF(Planung!$A$130=FALSE,Planung!N130,INDEX('G&amp;V'!$B$4:$Q$112,MATCH(Planung!$A130,'G&amp;V'!$B$4:$B$112,0),MATCH(N$4,'G&amp;V'!$B$4:$Q$4,0))*Planung!N130)),"")</f>
        <v/>
      </c>
      <c r="O44" s="1115" t="str">
        <f>IFERROR(IF(Planung!O131&lt;&gt;0,Planung!O131,IF(Planung!$A$130=FALSE,Planung!O130,INDEX('G&amp;V'!$B$4:$Q$112,MATCH(Planung!$A130,'G&amp;V'!$B$4:$B$112,0),MATCH(O$4,'G&amp;V'!$B$4:$Q$4,0))*Planung!O130)),"")</f>
        <v/>
      </c>
      <c r="P44" s="1115" t="str">
        <f>IFERROR(IF(Planung!P131&lt;&gt;0,Planung!P131,IF(Planung!$A$130=FALSE,Planung!P130,INDEX('G&amp;V'!$B$4:$Q$112,MATCH(Planung!$A130,'G&amp;V'!$B$4:$B$112,0),MATCH(P$4,'G&amp;V'!$B$4:$Q$4,0))*Planung!P130)),"")</f>
        <v/>
      </c>
      <c r="Q44" s="1115" t="str">
        <f>IFERROR(IF(Planung!Q131&lt;&gt;0,Planung!Q131,IF(Planung!$A$130=FALSE,Planung!Q130,INDEX('G&amp;V'!$B$4:$Q$112,MATCH(Planung!$A130,'G&amp;V'!$B$4:$B$112,0),MATCH(Q$4,'G&amp;V'!$B$4:$Q$4,0))*Planung!Q130)),"")</f>
        <v/>
      </c>
      <c r="R44" s="224"/>
    </row>
    <row r="45" spans="2:18" s="7" customFormat="1">
      <c r="B45" s="199" t="str">
        <f>Lang.!B122</f>
        <v/>
      </c>
      <c r="C45" s="221"/>
      <c r="D45" s="1091"/>
      <c r="E45" s="1091"/>
      <c r="F45" s="1091"/>
      <c r="G45" s="1091"/>
      <c r="H45" s="1116"/>
      <c r="I45" s="1091"/>
      <c r="J45" s="1091"/>
      <c r="K45" s="1091"/>
      <c r="L45" s="1091"/>
      <c r="M45" s="1091"/>
      <c r="N45" s="1091"/>
      <c r="O45" s="1091"/>
      <c r="P45" s="1091"/>
      <c r="Q45" s="1091"/>
      <c r="R45" s="220"/>
    </row>
    <row r="46" spans="2:18" s="7" customFormat="1" ht="13.5" thickBot="1">
      <c r="B46" s="235" t="str">
        <f>Lang.!B123</f>
        <v>Total Assets</v>
      </c>
      <c r="C46" s="225"/>
      <c r="D46" s="1117">
        <f>D7+D26+D43+D44</f>
        <v>0</v>
      </c>
      <c r="E46" s="1117">
        <f>E7+E26+E43+E44</f>
        <v>21097741.563952316</v>
      </c>
      <c r="F46" s="1117">
        <f t="shared" ref="F46:I46" si="13">F7+F26+F43+F44</f>
        <v>18809246.432160802</v>
      </c>
      <c r="G46" s="1117">
        <f t="shared" si="13"/>
        <v>13571358.924406914</v>
      </c>
      <c r="H46" s="1118" t="e">
        <f t="shared" si="13"/>
        <v>#VALUE!</v>
      </c>
      <c r="I46" s="1117"/>
      <c r="J46" s="1117"/>
      <c r="K46" s="1117"/>
      <c r="L46" s="1117"/>
      <c r="M46" s="1117" t="e">
        <f t="shared" ref="M46:Q46" si="14">IF(M4 = " ", " ", M7+M26+M43+M44)</f>
        <v>#VALUE!</v>
      </c>
      <c r="N46" s="1117" t="e">
        <f t="shared" si="14"/>
        <v>#VALUE!</v>
      </c>
      <c r="O46" s="1117" t="e">
        <f t="shared" si="14"/>
        <v>#VALUE!</v>
      </c>
      <c r="P46" s="1117" t="e">
        <f t="shared" si="14"/>
        <v>#VALUE!</v>
      </c>
      <c r="Q46" s="1117" t="e">
        <f t="shared" si="14"/>
        <v>#VALUE!</v>
      </c>
      <c r="R46" s="220"/>
    </row>
    <row r="47" spans="2:18" ht="13.5" thickTop="1">
      <c r="D47" s="1084"/>
      <c r="E47" s="1084"/>
      <c r="F47" s="1102"/>
      <c r="G47" s="1119"/>
      <c r="H47" s="1102"/>
      <c r="I47" s="1102"/>
      <c r="J47" s="1102"/>
      <c r="K47" s="1102"/>
      <c r="L47" s="1102"/>
      <c r="M47" s="1102"/>
      <c r="N47" s="1102"/>
      <c r="O47" s="1102"/>
      <c r="P47" s="1102"/>
      <c r="Q47" s="1102"/>
      <c r="R47" s="222"/>
    </row>
    <row r="48" spans="2:18">
      <c r="B48" s="226" t="s">
        <v>184</v>
      </c>
      <c r="C48" s="226" t="s">
        <v>185</v>
      </c>
      <c r="D48" s="1248">
        <f>IF(D4 = " ",0, +D46-Pas.!D32)</f>
        <v>0</v>
      </c>
      <c r="E48" s="1248">
        <f>ROUND(IF(E4 = " ",0, +E46-Pas.!E32),0)</f>
        <v>0</v>
      </c>
      <c r="F48" s="1248">
        <f>ROUND(IF(F4 = " ",0, +F46-Pas.!F32),0)</f>
        <v>0</v>
      </c>
      <c r="G48" s="1248">
        <f>ROUND(IF(G4 = " ",0, +G46-Pas.!G32),0)</f>
        <v>-1823771</v>
      </c>
      <c r="H48" s="1248" t="e">
        <f>IF(H4 = " ",0, +H46-Pas.!H32)</f>
        <v>#VALUE!</v>
      </c>
      <c r="I48" s="1248"/>
      <c r="J48" s="1248"/>
      <c r="K48" s="1248"/>
      <c r="L48" s="1248"/>
      <c r="M48" s="1248" t="e">
        <f>IF(M4 = " ",0, +M46-Pas.!M32)</f>
        <v>#VALUE!</v>
      </c>
      <c r="N48" s="1248" t="e">
        <f>IF(N4 = " ",0, +N46-Pas.!N32)</f>
        <v>#VALUE!</v>
      </c>
      <c r="O48" s="1248" t="e">
        <f>IF(O4 = " ",0, +O46-Pas.!O32)</f>
        <v>#VALUE!</v>
      </c>
      <c r="P48" s="1248" t="e">
        <f>IF(P4 = " ",0, +P46-Pas.!P32)</f>
        <v>#VALUE!</v>
      </c>
      <c r="Q48" s="1248" t="e">
        <f>IF(Q4 = " ",0, +Q46-Pas.!Q32)</f>
        <v>#VALUE!</v>
      </c>
      <c r="R48" s="8"/>
    </row>
    <row r="49" spans="2:18">
      <c r="B49" s="226" t="s">
        <v>186</v>
      </c>
      <c r="C49" s="226" t="s">
        <v>185</v>
      </c>
      <c r="D49" s="1248">
        <f>IFERROR(IF(OR(C41="",C41=0),0,D41-C41-CF!D41),0)</f>
        <v>0</v>
      </c>
      <c r="E49" s="1248">
        <f>IFERROR(IF(OR(D41="",D41=0),0,E41-D41-CF!E41),0)</f>
        <v>0</v>
      </c>
      <c r="F49" s="1248">
        <f>IFERROR(IF(OR(E41="",E41=0),0,F41-E41-CF!F41),0)</f>
        <v>3307728.5070736716</v>
      </c>
      <c r="G49" s="1248">
        <f>IFERROR(IF(OR(F41="",F41=0),0,G41-F41-CF!G41),0)</f>
        <v>0</v>
      </c>
      <c r="H49" s="1248">
        <f>IFERROR(IF(OR(G41="",G41=0),0,H41-G41-CF!H41),0)</f>
        <v>0</v>
      </c>
      <c r="I49" s="1248"/>
      <c r="J49" s="1248"/>
      <c r="K49" s="1248"/>
      <c r="L49" s="1248"/>
      <c r="M49" s="1248">
        <f>IFERROR(IF(OR(L41="",L41=0),0,M41-L41-CF!M41),0)</f>
        <v>0</v>
      </c>
      <c r="N49" s="1248">
        <f>IFERROR(IF(OR(M41="",M41=0),0,N41-M41-CF!N41),0)</f>
        <v>0</v>
      </c>
      <c r="O49" s="1248">
        <f>IFERROR(IF(OR(N41="",N41=0),0,O41-N41-CF!O41),0)</f>
        <v>0</v>
      </c>
      <c r="P49" s="1248">
        <f>IFERROR(IF(OR(O41="",O41=0),0,P41-O41-CF!P41),0)</f>
        <v>0</v>
      </c>
      <c r="Q49" s="1248">
        <f>IFERROR(IF(OR(P41="",P41=0),0,Q41-P41-CF!Q41),0)</f>
        <v>0</v>
      </c>
      <c r="R49" s="8"/>
    </row>
    <row r="50" spans="2:18">
      <c r="I50" s="8"/>
      <c r="J50" s="8"/>
      <c r="K50" s="8"/>
      <c r="L50" s="8"/>
      <c r="M50" s="8"/>
      <c r="N50" s="8"/>
      <c r="O50" s="8"/>
      <c r="P50" s="8"/>
      <c r="Q50" s="8"/>
      <c r="R50" s="8"/>
    </row>
    <row r="51" spans="2:18">
      <c r="B51" s="1"/>
      <c r="C51" s="1"/>
      <c r="D51" s="1"/>
      <c r="E51" s="1"/>
      <c r="F51" s="1"/>
      <c r="H51" s="2"/>
      <c r="I51" s="8"/>
      <c r="J51" s="8"/>
      <c r="K51" s="8"/>
      <c r="L51" s="8"/>
      <c r="M51" s="8"/>
      <c r="N51" s="8"/>
      <c r="O51" s="8"/>
      <c r="P51" s="8"/>
      <c r="Q51" s="8"/>
      <c r="R51" s="8"/>
    </row>
    <row r="52" spans="2:18">
      <c r="B52" s="1"/>
      <c r="C52" s="1"/>
      <c r="D52" s="1"/>
      <c r="E52" s="1"/>
      <c r="F52" s="1"/>
      <c r="H52" s="2"/>
      <c r="I52" s="8"/>
      <c r="J52" s="8"/>
      <c r="K52" s="8"/>
      <c r="L52" s="8"/>
      <c r="M52" s="8"/>
      <c r="N52" s="8"/>
      <c r="O52" s="8"/>
      <c r="P52" s="8"/>
      <c r="Q52" s="8"/>
      <c r="R52" s="8"/>
    </row>
    <row r="53" spans="2:18">
      <c r="B53" s="1"/>
      <c r="C53" s="1"/>
      <c r="D53" s="1"/>
      <c r="E53" s="1"/>
      <c r="F53" s="1"/>
      <c r="H53" s="2"/>
      <c r="I53" s="8"/>
      <c r="J53" s="8"/>
      <c r="K53" s="8"/>
      <c r="L53" s="8"/>
      <c r="M53" s="8"/>
      <c r="N53" s="8"/>
      <c r="O53" s="8"/>
      <c r="P53" s="8"/>
      <c r="Q53" s="8"/>
      <c r="R53" s="8"/>
    </row>
    <row r="54" spans="2:18">
      <c r="B54" s="1"/>
      <c r="C54" s="1"/>
      <c r="D54" s="1"/>
      <c r="E54" s="1"/>
      <c r="F54" s="1"/>
      <c r="H54" s="2"/>
    </row>
    <row r="55" spans="2:18">
      <c r="B55" s="1"/>
      <c r="C55" s="1"/>
      <c r="D55" s="1"/>
      <c r="E55" s="1"/>
      <c r="F55" s="1"/>
      <c r="H55" s="2"/>
    </row>
    <row r="56" spans="2:18">
      <c r="B56" s="1"/>
      <c r="C56" s="1"/>
      <c r="D56" s="1"/>
      <c r="E56" s="1"/>
      <c r="F56" s="1"/>
      <c r="H56" s="2"/>
    </row>
    <row r="57" spans="2:18">
      <c r="B57" s="1"/>
      <c r="C57" s="1"/>
      <c r="D57" s="1"/>
      <c r="E57" s="1"/>
      <c r="F57" s="1"/>
      <c r="H57" s="2"/>
    </row>
    <row r="58" spans="2:18">
      <c r="B58" s="1"/>
      <c r="C58" s="1"/>
      <c r="D58" s="1"/>
      <c r="E58" s="1"/>
      <c r="F58" s="1"/>
      <c r="H58" s="2"/>
    </row>
    <row r="59" spans="2:18">
      <c r="B59" s="1"/>
      <c r="C59" s="1"/>
      <c r="D59" s="1"/>
      <c r="E59" s="1"/>
      <c r="F59" s="1"/>
      <c r="H59" s="2"/>
    </row>
    <row r="60" spans="2:18">
      <c r="B60" s="1"/>
      <c r="C60" s="1"/>
      <c r="D60" s="1"/>
      <c r="E60" s="1"/>
      <c r="F60" s="1"/>
      <c r="H60" s="2"/>
    </row>
    <row r="61" spans="2:18">
      <c r="B61" s="1"/>
      <c r="C61" s="1"/>
      <c r="D61" s="1"/>
      <c r="E61" s="1"/>
      <c r="F61" s="1"/>
      <c r="H61" s="2"/>
    </row>
    <row r="62" spans="2:18">
      <c r="B62" s="1"/>
      <c r="C62" s="1"/>
      <c r="D62" s="1"/>
      <c r="E62" s="1"/>
      <c r="F62" s="1"/>
      <c r="H62" s="2"/>
    </row>
    <row r="63" spans="2:18">
      <c r="B63" s="1"/>
      <c r="C63" s="1"/>
      <c r="D63" s="1"/>
      <c r="E63" s="1"/>
      <c r="F63" s="1"/>
      <c r="H63" s="2"/>
    </row>
    <row r="64" spans="2:18">
      <c r="B64" s="1"/>
      <c r="C64" s="1"/>
      <c r="D64" s="1"/>
      <c r="E64" s="1"/>
      <c r="F64" s="1"/>
      <c r="H64" s="2"/>
    </row>
    <row r="65" spans="8:18" s="1" customFormat="1">
      <c r="H65" s="2"/>
      <c r="R65" s="218"/>
    </row>
    <row r="66" spans="8:18" s="1" customFormat="1">
      <c r="H66" s="2"/>
      <c r="R66" s="218"/>
    </row>
    <row r="67" spans="8:18" s="1" customFormat="1">
      <c r="H67" s="2"/>
      <c r="R67" s="218"/>
    </row>
    <row r="68" spans="8:18" s="1" customFormat="1">
      <c r="H68" s="2"/>
      <c r="R68" s="218"/>
    </row>
    <row r="69" spans="8:18" s="1" customFormat="1">
      <c r="H69" s="2"/>
      <c r="R69" s="218"/>
    </row>
    <row r="70" spans="8:18" s="1" customFormat="1">
      <c r="H70" s="2"/>
      <c r="R70" s="218"/>
    </row>
    <row r="71" spans="8:18" s="1" customFormat="1">
      <c r="H71" s="2"/>
      <c r="R71" s="218"/>
    </row>
    <row r="72" spans="8:18" s="1" customFormat="1">
      <c r="H72" s="2"/>
      <c r="R72" s="218"/>
    </row>
    <row r="73" spans="8:18" s="1" customFormat="1">
      <c r="H73" s="2"/>
      <c r="R73" s="218"/>
    </row>
    <row r="74" spans="8:18" s="1" customFormat="1">
      <c r="H74" s="2"/>
      <c r="R74" s="218"/>
    </row>
    <row r="75" spans="8:18" s="1" customFormat="1">
      <c r="H75" s="2"/>
      <c r="L75" s="218"/>
      <c r="R75" s="218"/>
    </row>
    <row r="76" spans="8:18" s="1" customFormat="1">
      <c r="H76" s="2"/>
      <c r="R76" s="218"/>
    </row>
    <row r="77" spans="8:18" s="1" customFormat="1">
      <c r="H77" s="2"/>
      <c r="R77" s="218"/>
    </row>
    <row r="78" spans="8:18" s="1" customFormat="1">
      <c r="H78" s="2"/>
      <c r="R78" s="218"/>
    </row>
    <row r="79" spans="8:18" s="1" customFormat="1">
      <c r="H79" s="2"/>
      <c r="R79" s="218"/>
    </row>
    <row r="80" spans="8:18" s="1" customFormat="1">
      <c r="H80" s="2"/>
      <c r="R80" s="218"/>
    </row>
    <row r="81" spans="8:18" s="1" customFormat="1">
      <c r="H81" s="2"/>
      <c r="R81" s="218"/>
    </row>
    <row r="82" spans="8:18" s="1" customFormat="1">
      <c r="H82" s="2"/>
      <c r="R82" s="218"/>
    </row>
    <row r="83" spans="8:18" s="1" customFormat="1">
      <c r="H83" s="2"/>
      <c r="R83" s="218"/>
    </row>
    <row r="84" spans="8:18" s="1" customFormat="1">
      <c r="H84" s="2"/>
      <c r="R84" s="218"/>
    </row>
    <row r="85" spans="8:18" s="1" customFormat="1">
      <c r="H85" s="2"/>
      <c r="R85" s="218"/>
    </row>
    <row r="86" spans="8:18" s="1" customFormat="1">
      <c r="H86" s="2"/>
      <c r="R86" s="218"/>
    </row>
    <row r="87" spans="8:18" s="1" customFormat="1">
      <c r="H87" s="2"/>
      <c r="R87" s="218"/>
    </row>
    <row r="88" spans="8:18" s="1" customFormat="1">
      <c r="H88" s="2"/>
      <c r="R88" s="218"/>
    </row>
    <row r="89" spans="8:18" s="1" customFormat="1">
      <c r="H89" s="2"/>
      <c r="R89" s="218"/>
    </row>
    <row r="90" spans="8:18" s="1" customFormat="1">
      <c r="H90" s="2"/>
      <c r="R90" s="218"/>
    </row>
    <row r="91" spans="8:18" s="1" customFormat="1">
      <c r="H91" s="2"/>
      <c r="R91" s="218"/>
    </row>
    <row r="92" spans="8:18" s="1" customFormat="1">
      <c r="H92" s="2"/>
      <c r="R92" s="218"/>
    </row>
  </sheetData>
  <sheetProtection formatCells="0" formatColumns="0" formatRows="0" insertColumns="0" insertRows="0"/>
  <mergeCells count="1">
    <mergeCell ref="B5:C5"/>
  </mergeCells>
  <phoneticPr fontId="0" type="noConversion"/>
  <conditionalFormatting sqref="D48:Q48">
    <cfRule type="colorScale" priority="34">
      <colorScale>
        <cfvo type="min"/>
        <cfvo type="percentile" val="50"/>
        <cfvo type="max"/>
        <color rgb="FF63BE7B"/>
        <color rgb="FFFFEB84"/>
        <color rgb="FFF8696B"/>
      </colorScale>
    </cfRule>
  </conditionalFormatting>
  <conditionalFormatting sqref="D48:Q49">
    <cfRule type="expression" dxfId="22" priority="23">
      <formula>AND(D48&lt; 0.01, D48&gt; -0.01)</formula>
    </cfRule>
    <cfRule type="expression" dxfId="21" priority="24">
      <formula>OR(D48 &gt;0.01, D48 &lt; -0.01)</formula>
    </cfRule>
    <cfRule type="expression" priority="25">
      <formula>$E$79=TRUE</formula>
    </cfRule>
  </conditionalFormatting>
  <conditionalFormatting sqref="D49:Q49">
    <cfRule type="colorScale" priority="26">
      <colorScale>
        <cfvo type="min"/>
        <cfvo type="percentile" val="50"/>
        <cfvo type="max"/>
        <color rgb="FF63BE7B"/>
        <color rgb="FFFFEB84"/>
        <color rgb="FFF8696B"/>
      </colorScale>
    </cfRule>
  </conditionalFormatting>
  <printOptions horizontalCentered="1"/>
  <pageMargins left="0.23622047244094491" right="0.23622047244094491" top="0.74803149606299213" bottom="0.74803149606299213" header="0.31496062992125984" footer="0.31496062992125984"/>
  <pageSetup paperSize="9" orientation="portrait" cellComments="asDisplayed" r:id="rId1"/>
  <headerFooter alignWithMargins="0"/>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tabColor rgb="FF92D050"/>
    <pageSetUpPr autoPageBreaks="0" fitToPage="1"/>
  </sheetPr>
  <dimension ref="B1:T62"/>
  <sheetViews>
    <sheetView topLeftCell="A2" workbookViewId="0">
      <selection activeCell="I1" sqref="I1:L1048576"/>
    </sheetView>
  </sheetViews>
  <sheetFormatPr defaultColWidth="11.42578125" defaultRowHeight="12.75"/>
  <cols>
    <col min="1" max="1" width="5.7109375" style="1" customWidth="1"/>
    <col min="2" max="2" width="60.7109375" style="1" customWidth="1"/>
    <col min="3" max="3" width="8.42578125" style="1" bestFit="1" customWidth="1"/>
    <col min="4" max="4" width="12.42578125" style="1" customWidth="1"/>
    <col min="5" max="5" width="12.42578125" style="2" customWidth="1"/>
    <col min="6" max="12" width="12.42578125" style="1" customWidth="1"/>
    <col min="13" max="17" width="5.7109375" style="1" customWidth="1"/>
    <col min="18" max="18" width="7.140625" style="1" customWidth="1"/>
    <col min="19" max="16384" width="11.42578125" style="1"/>
  </cols>
  <sheetData>
    <row r="1" spans="2:17" ht="15" customHeight="1"/>
    <row r="2" spans="2:17" ht="18.75">
      <c r="B2" s="115" t="s">
        <v>187</v>
      </c>
    </row>
    <row r="4" spans="2:17" s="26" customFormat="1">
      <c r="B4" s="203" t="str">
        <f>Lang.!B125</f>
        <v>Liabilities and Shareholders' Equity</v>
      </c>
      <c r="C4" s="227" t="str">
        <f>Eckdaten!C14</f>
        <v>EUR</v>
      </c>
      <c r="D4" s="141">
        <f>E4-1</f>
        <v>2021</v>
      </c>
      <c r="E4" s="141">
        <f>F4-1</f>
        <v>2022</v>
      </c>
      <c r="F4" s="141">
        <f>G4-1</f>
        <v>2023</v>
      </c>
      <c r="G4" s="141">
        <f>Eckdaten!C12</f>
        <v>2024</v>
      </c>
      <c r="H4" s="228">
        <f>+G4+1</f>
        <v>2025</v>
      </c>
      <c r="I4" s="1492"/>
      <c r="J4" s="1492"/>
      <c r="K4" s="1492"/>
      <c r="L4" s="1492"/>
      <c r="M4" s="1492">
        <f>IF(Eckdaten!$C$20+Eckdaten!$C$12&gt;L4,L4+1," ")</f>
        <v>1</v>
      </c>
      <c r="N4" s="1492">
        <f>IF(Eckdaten!$C$20+Eckdaten!$C$12&gt;M4,M4+1," ")</f>
        <v>2</v>
      </c>
      <c r="O4" s="1492">
        <f>IF(Eckdaten!$C$20+Eckdaten!$C$12&gt;N4,N4+1," ")</f>
        <v>3</v>
      </c>
      <c r="P4" s="1492">
        <f>IF(Eckdaten!$C$20+Eckdaten!$C$12&gt;O4,O4+1," ")</f>
        <v>4</v>
      </c>
      <c r="Q4" s="1492">
        <f>IF(Eckdaten!$C$20+Eckdaten!$C$12&gt;P4,P4+1," ")</f>
        <v>5</v>
      </c>
    </row>
    <row r="5" spans="2:17">
      <c r="B5" s="1920"/>
      <c r="C5" s="1918"/>
      <c r="D5" s="127" t="s">
        <v>173</v>
      </c>
      <c r="E5" s="127" t="s">
        <v>173</v>
      </c>
      <c r="F5" s="127" t="s">
        <v>173</v>
      </c>
      <c r="G5" s="127" t="s">
        <v>173</v>
      </c>
      <c r="H5" s="202" t="s">
        <v>174</v>
      </c>
      <c r="I5" s="1493"/>
      <c r="J5" s="1493"/>
      <c r="K5" s="1493"/>
      <c r="L5" s="1493"/>
      <c r="M5" s="1493" t="str">
        <f t="shared" ref="J5:Q5" si="0">IF(M4=" "," ","P")</f>
        <v>P</v>
      </c>
      <c r="N5" s="1493" t="str">
        <f t="shared" si="0"/>
        <v>P</v>
      </c>
      <c r="O5" s="1493" t="str">
        <f t="shared" si="0"/>
        <v>P</v>
      </c>
      <c r="P5" s="1493" t="str">
        <f t="shared" si="0"/>
        <v>P</v>
      </c>
      <c r="Q5" s="1493" t="str">
        <f t="shared" si="0"/>
        <v>P</v>
      </c>
    </row>
    <row r="6" spans="2:17">
      <c r="E6" s="8"/>
      <c r="F6" s="8"/>
      <c r="G6" s="8"/>
      <c r="H6" s="112"/>
      <c r="I6" s="2"/>
      <c r="J6" s="2"/>
      <c r="K6" s="2"/>
      <c r="L6" s="2"/>
    </row>
    <row r="7" spans="2:17" s="7" customFormat="1">
      <c r="B7" s="229" t="str">
        <f>Lang.!B126</f>
        <v>A. Equity</v>
      </c>
      <c r="C7" s="230" t="str">
        <f>IFERROR(RIGHT(B7, LEN(B7) - FIND(". ", B7))," ")</f>
        <v xml:space="preserve"> Equity</v>
      </c>
      <c r="D7" s="1098"/>
      <c r="E7" s="1098">
        <f>SUM(E9:E12)</f>
        <v>1607300.262679334</v>
      </c>
      <c r="F7" s="1098">
        <f t="shared" ref="F7:G7" si="1">SUM(F9:F12)</f>
        <v>2550800.8040200947</v>
      </c>
      <c r="G7" s="1098">
        <f t="shared" si="1"/>
        <v>2911018.8982710107</v>
      </c>
      <c r="H7" s="1099">
        <f>SUM(H9:H12)</f>
        <v>4095432.3453629198</v>
      </c>
      <c r="I7" s="1098"/>
      <c r="J7" s="1098"/>
      <c r="K7" s="1098"/>
      <c r="L7" s="1098"/>
      <c r="M7" s="1098">
        <f t="shared" ref="M7:Q7" si="2">IF(M4 = " ", " ", SUM(M9:M12))</f>
        <v>0</v>
      </c>
      <c r="N7" s="1098" t="e">
        <f t="shared" si="2"/>
        <v>#VALUE!</v>
      </c>
      <c r="O7" s="1098" t="e">
        <f t="shared" si="2"/>
        <v>#VALUE!</v>
      </c>
      <c r="P7" s="1098" t="e">
        <f t="shared" si="2"/>
        <v>#VALUE!</v>
      </c>
      <c r="Q7" s="1098" t="e">
        <f t="shared" si="2"/>
        <v>#VALUE!</v>
      </c>
    </row>
    <row r="8" spans="2:17" s="7" customFormat="1">
      <c r="B8" s="215" t="str">
        <f>Lang.!B127</f>
        <v/>
      </c>
      <c r="C8" s="231" t="str">
        <f t="shared" ref="C8:C32" si="3">IFERROR(RIGHT(B8, LEN(B8) - FIND(". ", B8))," ")</f>
        <v xml:space="preserve"> </v>
      </c>
      <c r="D8" s="1091"/>
      <c r="E8" s="1091"/>
      <c r="F8" s="1091"/>
      <c r="G8" s="1091"/>
      <c r="H8" s="1116"/>
      <c r="I8" s="1091"/>
      <c r="J8" s="1091"/>
      <c r="K8" s="1091"/>
      <c r="L8" s="1091"/>
      <c r="M8" s="1091"/>
      <c r="N8" s="1091"/>
      <c r="O8" s="1091"/>
      <c r="P8" s="1091"/>
      <c r="Q8" s="1091"/>
    </row>
    <row r="9" spans="2:17">
      <c r="B9" s="200" t="str">
        <f>Lang.!B128</f>
        <v>I. Common Stock</v>
      </c>
      <c r="C9" s="232" t="str">
        <f t="shared" si="3"/>
        <v xml:space="preserve"> Common Stock</v>
      </c>
      <c r="E9" s="1121">
        <f>'BS 22-24'!C112</f>
        <v>2020.610224287735</v>
      </c>
      <c r="F9" s="1121">
        <f>'BS 22-24'!E112</f>
        <v>2010.0502512562816</v>
      </c>
      <c r="G9" s="1121">
        <f>'BS 22-24'!G112</f>
        <v>2010.454362685967</v>
      </c>
      <c r="H9" s="1109">
        <f>G9+Planung!H163</f>
        <v>2010.454362685967</v>
      </c>
      <c r="I9" s="1103"/>
      <c r="J9" s="1103"/>
      <c r="K9" s="1103"/>
      <c r="L9" s="1103"/>
      <c r="M9" s="1103">
        <f>IF(M4=" "," ",L9+Planung!M163)</f>
        <v>0</v>
      </c>
      <c r="N9" s="1103">
        <f>IF(N4=" "," ",M9+Planung!N163)</f>
        <v>0</v>
      </c>
      <c r="O9" s="1103">
        <f>IF(O4=" "," ",N9+Planung!O163)</f>
        <v>0</v>
      </c>
      <c r="P9" s="1103">
        <f>IF(P4=" "," ",O9+Planung!P163)</f>
        <v>0</v>
      </c>
      <c r="Q9" s="1103">
        <f>IF(Q4=" "," ",P9+Planung!Q163)</f>
        <v>0</v>
      </c>
    </row>
    <row r="10" spans="2:17">
      <c r="B10" s="104" t="str">
        <f>Lang.!B129</f>
        <v>II. Additional Paid-In Capital</v>
      </c>
      <c r="C10" s="232" t="str">
        <f t="shared" si="3"/>
        <v xml:space="preserve"> Additional Paid-In Capital</v>
      </c>
      <c r="E10" s="1121">
        <f>SUM('BS 22-24'!C120,'BS 22-24'!C125)</f>
        <v>39651.24267528794</v>
      </c>
      <c r="F10" s="1121">
        <f>SUM('BS 22-24'!E120,'BS 22-24'!E125)</f>
        <v>39444.020100502516</v>
      </c>
      <c r="G10" s="1121">
        <f>SUM('BS 22-24'!G120,'BS 22-24'!G125)</f>
        <v>39451.950140731802</v>
      </c>
      <c r="H10" s="1109">
        <f>G10+Planung!H164</f>
        <v>39451.950140731802</v>
      </c>
      <c r="I10" s="1103"/>
      <c r="J10" s="1103"/>
      <c r="K10" s="1103"/>
      <c r="L10" s="1103"/>
      <c r="M10" s="1103">
        <f>IF(M4=" "," ",L10+Planung!M164)</f>
        <v>0</v>
      </c>
      <c r="N10" s="1103">
        <f>IF(N4=" "," ",M10+Planung!N164)</f>
        <v>0</v>
      </c>
      <c r="O10" s="1103">
        <f>IF(O4=" "," ",N10+Planung!O164)</f>
        <v>0</v>
      </c>
      <c r="P10" s="1103">
        <f>IF(P4=" "," ",O10+Planung!P164)</f>
        <v>0</v>
      </c>
      <c r="Q10" s="1103">
        <f>IF(Q4=" "," ",P10+Planung!Q164)</f>
        <v>0</v>
      </c>
    </row>
    <row r="11" spans="2:17">
      <c r="B11" s="200" t="str">
        <f>Lang.!B130</f>
        <v>III. Retained earnings/loss carried forward</v>
      </c>
      <c r="C11" s="232" t="str">
        <f t="shared" si="3"/>
        <v xml:space="preserve"> Retained earnings/loss carried forward</v>
      </c>
      <c r="E11" s="1121">
        <f>-'BS 22-24'!C129</f>
        <v>-409508.78965447564</v>
      </c>
      <c r="F11" s="1121">
        <f>'BS 22-24'!E131</f>
        <v>1218147.3366834172</v>
      </c>
      <c r="G11" s="1121">
        <f>'BS 22-24'!G131</f>
        <v>2509851.2263771612</v>
      </c>
      <c r="H11" s="1122">
        <f>G11+G12-Planung!H166</f>
        <v>2869556.4937675931</v>
      </c>
      <c r="I11" s="1123"/>
      <c r="J11" s="1123"/>
      <c r="K11" s="1123"/>
      <c r="L11" s="1123"/>
      <c r="M11" s="1123">
        <f>IF(M4 = " ", " ", L11+L12-Planung!M166)</f>
        <v>0</v>
      </c>
      <c r="N11" s="1123" t="e">
        <f>IF(N4 = " ", " ", M11+M12-Planung!N166)</f>
        <v>#VALUE!</v>
      </c>
      <c r="O11" s="1123" t="e">
        <f>IF(O4 = " ", " ", N11+N12-Planung!O166)</f>
        <v>#VALUE!</v>
      </c>
      <c r="P11" s="1123" t="e">
        <f>IF(P4 = " ", " ", O11+O12-Planung!P166)</f>
        <v>#VALUE!</v>
      </c>
      <c r="Q11" s="1123" t="e">
        <f>IF(Q4 = " ", " ", P11+P12-Planung!Q166)</f>
        <v>#VALUE!</v>
      </c>
    </row>
    <row r="12" spans="2:17">
      <c r="B12" s="200" t="str">
        <f>Lang.!B131</f>
        <v>IV. Net Profit</v>
      </c>
      <c r="C12" s="232" t="str">
        <f t="shared" si="3"/>
        <v xml:space="preserve"> Net Profit</v>
      </c>
      <c r="E12" s="1121">
        <f>'G&amp;V'!E80</f>
        <v>1975137.1994342341</v>
      </c>
      <c r="F12" s="1121">
        <f>'G&amp;V'!F80</f>
        <v>1291199.3969849187</v>
      </c>
      <c r="G12" s="1121">
        <f>'G&amp;V'!G80</f>
        <v>359705.26739043172</v>
      </c>
      <c r="H12" s="1122">
        <f>'G&amp;V'!H80</f>
        <v>1184413.4470919091</v>
      </c>
      <c r="I12" s="1123"/>
      <c r="J12" s="1123"/>
      <c r="K12" s="1123"/>
      <c r="L12" s="1123"/>
      <c r="M12" s="1123" t="str">
        <f>IF(M4 = " ", " ", 'G&amp;V'!M80)</f>
        <v xml:space="preserve"> </v>
      </c>
      <c r="N12" s="1123" t="str">
        <f>IF(N4 = " ", " ", 'G&amp;V'!N80)</f>
        <v xml:space="preserve"> </v>
      </c>
      <c r="O12" s="1123" t="str">
        <f>IF(O4 = " ", " ", 'G&amp;V'!O80)</f>
        <v xml:space="preserve"> </v>
      </c>
      <c r="P12" s="1123" t="str">
        <f>IF(P4 = " ", " ", 'G&amp;V'!P80)</f>
        <v xml:space="preserve"> </v>
      </c>
      <c r="Q12" s="1123" t="str">
        <f>IF(Q4 = " ", " ", 'G&amp;V'!Q80)</f>
        <v xml:space="preserve"> </v>
      </c>
    </row>
    <row r="13" spans="2:17">
      <c r="B13" s="208" t="str">
        <f>Lang.!B132</f>
        <v/>
      </c>
      <c r="C13" s="232" t="str">
        <f t="shared" si="3"/>
        <v xml:space="preserve"> </v>
      </c>
      <c r="D13" s="1102"/>
      <c r="E13" s="1102"/>
      <c r="F13" s="1102"/>
      <c r="G13" s="1102"/>
      <c r="H13" s="1101"/>
      <c r="I13" s="1102"/>
      <c r="J13" s="1102"/>
      <c r="K13" s="1102"/>
      <c r="L13" s="1102"/>
      <c r="M13" s="1102"/>
      <c r="N13" s="1102"/>
      <c r="O13" s="1102"/>
      <c r="P13" s="1102"/>
      <c r="Q13" s="1102"/>
    </row>
    <row r="14" spans="2:17" s="7" customFormat="1">
      <c r="B14" s="229" t="str">
        <f>Lang.!B133</f>
        <v>B. Provisions</v>
      </c>
      <c r="C14" s="230" t="str">
        <f t="shared" si="3"/>
        <v xml:space="preserve"> Provisions</v>
      </c>
      <c r="D14" s="1098">
        <f t="shared" ref="D14" si="4">SUM(D16:D18)</f>
        <v>0</v>
      </c>
      <c r="E14" s="1098">
        <f t="shared" ref="E14:G14" si="5">SUM(E16:E18)</f>
        <v>0</v>
      </c>
      <c r="F14" s="1098">
        <f t="shared" si="5"/>
        <v>0</v>
      </c>
      <c r="G14" s="1098">
        <f t="shared" si="5"/>
        <v>0</v>
      </c>
      <c r="H14" s="1099">
        <f>SUM(H16:H18)</f>
        <v>0</v>
      </c>
      <c r="I14" s="1098"/>
      <c r="J14" s="1098"/>
      <c r="K14" s="1098"/>
      <c r="L14" s="1098"/>
      <c r="M14" s="1098">
        <f t="shared" ref="M14:Q14" si="6">IF(M4 = " ", " ", SUM(M16:M18))</f>
        <v>0</v>
      </c>
      <c r="N14" s="1098">
        <f t="shared" si="6"/>
        <v>0</v>
      </c>
      <c r="O14" s="1098">
        <f t="shared" si="6"/>
        <v>0</v>
      </c>
      <c r="P14" s="1098">
        <f t="shared" si="6"/>
        <v>0</v>
      </c>
      <c r="Q14" s="1098">
        <f t="shared" si="6"/>
        <v>0</v>
      </c>
    </row>
    <row r="15" spans="2:17" s="7" customFormat="1">
      <c r="B15" s="215" t="str">
        <f>Lang.!B134</f>
        <v/>
      </c>
      <c r="C15" s="231" t="str">
        <f t="shared" si="3"/>
        <v xml:space="preserve"> </v>
      </c>
      <c r="D15" s="1091"/>
      <c r="E15" s="1091"/>
      <c r="F15" s="1091"/>
      <c r="G15" s="1091"/>
      <c r="H15" s="1116"/>
      <c r="I15" s="1091"/>
      <c r="J15" s="1091"/>
      <c r="K15" s="1091"/>
      <c r="L15" s="1091"/>
      <c r="M15" s="1091"/>
      <c r="N15" s="1091"/>
      <c r="O15" s="1091"/>
      <c r="P15" s="1091"/>
      <c r="Q15" s="1091"/>
    </row>
    <row r="16" spans="2:17">
      <c r="B16" s="200" t="str">
        <f>Lang.!B135</f>
        <v>1. Provisions for pensions and similar obligations</v>
      </c>
      <c r="C16" s="232" t="str">
        <f t="shared" si="3"/>
        <v xml:space="preserve"> Provisions for pensions and similar obligations</v>
      </c>
      <c r="D16" s="1121"/>
      <c r="E16" s="1121"/>
      <c r="F16" s="1121"/>
      <c r="G16" s="1121"/>
      <c r="H16" s="1122">
        <f>IF(Planung!H137&lt;&gt;0,Planung!H137,IF(Planung!$A$136=FALSE,Planung!H136,INDEX('G&amp;V'!$B$4:$Q$112,MATCH(Planung!$A136,'G&amp;V'!$B$4:$B$112,0),MATCH(H$4,'G&amp;V'!$B$4:$Q$4,0))*Planung!H136))</f>
        <v>0</v>
      </c>
      <c r="I16" s="1123"/>
      <c r="J16" s="1123"/>
      <c r="K16" s="1123"/>
      <c r="L16" s="1123"/>
      <c r="M16" s="1123" t="str">
        <f>IFERROR(IF(Planung!M137&lt;&gt;0,Planung!M137,IF(Planung!$A$136=FALSE,Planung!M136,INDEX('G&amp;V'!$B$4:$Q$112,MATCH(Planung!$A136,'G&amp;V'!$B$4:$B$112,0),MATCH(M$4,'G&amp;V'!$B$4:$Q$4,0))*Planung!M136)),"")</f>
        <v/>
      </c>
      <c r="N16" s="1123" t="str">
        <f>IFERROR(IF(Planung!N137&lt;&gt;0,Planung!N137,IF(Planung!$A$136=FALSE,Planung!N136,INDEX('G&amp;V'!$B$4:$Q$112,MATCH(Planung!$A136,'G&amp;V'!$B$4:$B$112,0),MATCH(N$4,'G&amp;V'!$B$4:$Q$4,0))*Planung!N136)),"")</f>
        <v/>
      </c>
      <c r="O16" s="1123" t="str">
        <f>IFERROR(IF(Planung!O137&lt;&gt;0,Planung!O137,IF(Planung!$A$136=FALSE,Planung!O136,INDEX('G&amp;V'!$B$4:$Q$112,MATCH(Planung!$A136,'G&amp;V'!$B$4:$B$112,0),MATCH(O$4,'G&amp;V'!$B$4:$Q$4,0))*Planung!O136)),"")</f>
        <v/>
      </c>
      <c r="P16" s="1123" t="str">
        <f>IFERROR(IF(Planung!P137&lt;&gt;0,Planung!P137,IF(Planung!$A$136=FALSE,Planung!P136,INDEX('G&amp;V'!$B$4:$Q$112,MATCH(Planung!$A136,'G&amp;V'!$B$4:$B$112,0),MATCH(P$4,'G&amp;V'!$B$4:$Q$4,0))*Planung!P136)),"")</f>
        <v/>
      </c>
      <c r="Q16" s="1123" t="str">
        <f>IFERROR(IF(Planung!Q137&lt;&gt;0,Planung!Q137,IF(Planung!$A$136=FALSE,Planung!Q136,INDEX('G&amp;V'!$B$4:$Q$112,MATCH(Planung!$A136,'G&amp;V'!$B$4:$B$112,0),MATCH(Q$4,'G&amp;V'!$B$4:$Q$4,0))*Planung!Q136)),"")</f>
        <v/>
      </c>
    </row>
    <row r="17" spans="2:20">
      <c r="B17" s="200" t="str">
        <f>Lang.!B136</f>
        <v>2. Tax Provisions</v>
      </c>
      <c r="C17" s="232" t="str">
        <f t="shared" si="3"/>
        <v xml:space="preserve"> Tax Provisions</v>
      </c>
      <c r="D17" s="1121"/>
      <c r="E17" s="1121"/>
      <c r="F17" s="1121"/>
      <c r="G17" s="1121"/>
      <c r="H17" s="1122">
        <f>IF(Planung!H139&lt;&gt;0,Planung!H139,IF(Planung!$A$138=FALSE,Planung!H138,INDEX('G&amp;V'!$B$4:$Q$112,MATCH(Planung!$A138,'G&amp;V'!$B$4:$B$112,0),MATCH(H$4,'G&amp;V'!$B$4:$Q$4,0))*Planung!H138))</f>
        <v>0</v>
      </c>
      <c r="I17" s="1123"/>
      <c r="J17" s="1123"/>
      <c r="K17" s="1123"/>
      <c r="L17" s="1123"/>
      <c r="M17" s="1123" t="str">
        <f>IFERROR(IF(Planung!M139&lt;&gt;0,Planung!M139,IF(Planung!$A$138=FALSE,Planung!M138,INDEX('G&amp;V'!$B$4:$Q$112,MATCH(Planung!$A138,'G&amp;V'!$B$4:$B$112,0),MATCH(M$4,'G&amp;V'!$B$4:$Q$4,0))*Planung!M138)),"")</f>
        <v/>
      </c>
      <c r="N17" s="1123" t="str">
        <f>IFERROR(IF(Planung!N139&lt;&gt;0,Planung!N139,IF(Planung!$A$138=FALSE,Planung!N138,INDEX('G&amp;V'!$B$4:$Q$112,MATCH(Planung!$A138,'G&amp;V'!$B$4:$B$112,0),MATCH(N$4,'G&amp;V'!$B$4:$Q$4,0))*Planung!N138)),"")</f>
        <v/>
      </c>
      <c r="O17" s="1123" t="str">
        <f>IFERROR(IF(Planung!O139&lt;&gt;0,Planung!O139,IF(Planung!$A$138=FALSE,Planung!O138,INDEX('G&amp;V'!$B$4:$Q$112,MATCH(Planung!$A138,'G&amp;V'!$B$4:$B$112,0),MATCH(O$4,'G&amp;V'!$B$4:$Q$4,0))*Planung!O138)),"")</f>
        <v/>
      </c>
      <c r="P17" s="1123" t="str">
        <f>IFERROR(IF(Planung!P139&lt;&gt;0,Planung!P139,IF(Planung!$A$138=FALSE,Planung!P138,INDEX('G&amp;V'!$B$4:$Q$112,MATCH(Planung!$A138,'G&amp;V'!$B$4:$B$112,0),MATCH(P$4,'G&amp;V'!$B$4:$Q$4,0))*Planung!P138)),"")</f>
        <v/>
      </c>
      <c r="Q17" s="1123" t="str">
        <f>IFERROR(IF(Planung!Q139&lt;&gt;0,Planung!Q139,IF(Planung!$A$138=FALSE,Planung!Q138,INDEX('G&amp;V'!$B$4:$Q$112,MATCH(Planung!$A138,'G&amp;V'!$B$4:$B$112,0),MATCH(Q$4,'G&amp;V'!$B$4:$Q$4,0))*Planung!Q138)),"")</f>
        <v/>
      </c>
    </row>
    <row r="18" spans="2:20">
      <c r="B18" s="200" t="str">
        <f>Lang.!B137</f>
        <v>3. Other Provisions</v>
      </c>
      <c r="C18" s="232" t="str">
        <f t="shared" si="3"/>
        <v xml:space="preserve"> Other Provisions</v>
      </c>
      <c r="D18" s="1121"/>
      <c r="E18" s="1121"/>
      <c r="F18" s="1121"/>
      <c r="G18" s="1121"/>
      <c r="H18" s="1122">
        <f>IF(Planung!H141&lt;&gt;0,Planung!H141,IF(Planung!$A$140=FALSE,Planung!H140,INDEX('G&amp;V'!$B$4:$Q$112,MATCH(Planung!$A140,'G&amp;V'!$B$4:$B$112,0),MATCH(H$4,'G&amp;V'!$B$4:$Q$4,0))*Planung!H140))</f>
        <v>0</v>
      </c>
      <c r="I18" s="1123"/>
      <c r="J18" s="1123"/>
      <c r="K18" s="1123"/>
      <c r="L18" s="1123"/>
      <c r="M18" s="1123" t="str">
        <f>IFERROR(IF(Planung!M141&lt;&gt;0,Planung!M141,IF(Planung!$A$140=FALSE,Planung!M140,INDEX('G&amp;V'!$B$4:$Q$112,MATCH(Planung!$A140,'G&amp;V'!$B$4:$B$112,0),MATCH(M$4,'G&amp;V'!$B$4:$Q$4,0))*Planung!M140)),"")</f>
        <v/>
      </c>
      <c r="N18" s="1123" t="str">
        <f>IFERROR(IF(Planung!N141&lt;&gt;0,Planung!N141,IF(Planung!$A$140=FALSE,Planung!N140,INDEX('G&amp;V'!$B$4:$Q$112,MATCH(Planung!$A140,'G&amp;V'!$B$4:$B$112,0),MATCH(N$4,'G&amp;V'!$B$4:$Q$4,0))*Planung!N140)),"")</f>
        <v/>
      </c>
      <c r="O18" s="1123" t="str">
        <f>IFERROR(IF(Planung!O141&lt;&gt;0,Planung!O141,IF(Planung!$A$140=FALSE,Planung!O140,INDEX('G&amp;V'!$B$4:$Q$112,MATCH(Planung!$A140,'G&amp;V'!$B$4:$B$112,0),MATCH(O$4,'G&amp;V'!$B$4:$Q$4,0))*Planung!O140)),"")</f>
        <v/>
      </c>
      <c r="P18" s="1123" t="str">
        <f>IFERROR(IF(Planung!P141&lt;&gt;0,Planung!P141,IF(Planung!$A$140=FALSE,Planung!P140,INDEX('G&amp;V'!$B$4:$Q$112,MATCH(Planung!$A140,'G&amp;V'!$B$4:$B$112,0),MATCH(P$4,'G&amp;V'!$B$4:$Q$4,0))*Planung!P140)),"")</f>
        <v/>
      </c>
      <c r="Q18" s="1123" t="str">
        <f>IFERROR(IF(Planung!Q141&lt;&gt;0,Planung!Q141,IF(Planung!$A$140=FALSE,Planung!Q140,INDEX('G&amp;V'!$B$4:$Q$112,MATCH(Planung!$A140,'G&amp;V'!$B$4:$B$112,0),MATCH(Q$4,'G&amp;V'!$B$4:$Q$4,0))*Planung!Q140)),"")</f>
        <v/>
      </c>
    </row>
    <row r="19" spans="2:20">
      <c r="B19" s="208" t="str">
        <f>Lang.!B138</f>
        <v/>
      </c>
      <c r="C19" s="232" t="str">
        <f t="shared" si="3"/>
        <v xml:space="preserve"> </v>
      </c>
      <c r="D19" s="1102"/>
      <c r="E19" s="1102"/>
      <c r="F19" s="1102"/>
      <c r="G19" s="1102"/>
      <c r="H19" s="1101"/>
      <c r="I19" s="1102"/>
      <c r="J19" s="1102"/>
      <c r="K19" s="1102"/>
      <c r="L19" s="1102"/>
      <c r="M19" s="1102"/>
      <c r="N19" s="1102"/>
      <c r="O19" s="1102"/>
      <c r="P19" s="1102"/>
      <c r="Q19" s="1102"/>
    </row>
    <row r="20" spans="2:20" s="7" customFormat="1">
      <c r="B20" s="229" t="str">
        <f>Lang.!B139</f>
        <v>C. Liabilities</v>
      </c>
      <c r="C20" s="230" t="str">
        <f t="shared" si="3"/>
        <v xml:space="preserve"> Liabilities</v>
      </c>
      <c r="D20" s="1098">
        <f>SUM(D22:D27)</f>
        <v>0</v>
      </c>
      <c r="E20" s="1098">
        <f>SUM(E22:E27)</f>
        <v>19490441.099211961</v>
      </c>
      <c r="F20" s="1098">
        <f>SUM(F22:F27)</f>
        <v>16258445.82914573</v>
      </c>
      <c r="G20" s="1098">
        <f t="shared" ref="G20" si="7">SUM(G22:G27)</f>
        <v>12484110.97708082</v>
      </c>
      <c r="H20" s="1099" t="e">
        <f>SUM(H22:H27)</f>
        <v>#VALUE!</v>
      </c>
      <c r="I20" s="1098"/>
      <c r="J20" s="1098"/>
      <c r="K20" s="1098"/>
      <c r="L20" s="1098"/>
      <c r="M20" s="1098">
        <f t="shared" ref="M20:Q20" si="8">IF(M4 = " ", " ", SUM(M22:M27))</f>
        <v>0</v>
      </c>
      <c r="N20" s="1098">
        <f t="shared" si="8"/>
        <v>0</v>
      </c>
      <c r="O20" s="1098">
        <f t="shared" si="8"/>
        <v>0</v>
      </c>
      <c r="P20" s="1098">
        <f t="shared" si="8"/>
        <v>0</v>
      </c>
      <c r="Q20" s="1098">
        <f t="shared" si="8"/>
        <v>0</v>
      </c>
    </row>
    <row r="21" spans="2:20" s="7" customFormat="1">
      <c r="B21" s="215" t="str">
        <f>Lang.!B140</f>
        <v/>
      </c>
      <c r="C21" s="231" t="str">
        <f t="shared" si="3"/>
        <v xml:space="preserve"> </v>
      </c>
      <c r="D21" s="1091"/>
      <c r="E21" s="1091"/>
      <c r="F21" s="1091"/>
      <c r="G21" s="1091"/>
      <c r="H21" s="1116"/>
      <c r="I21" s="1091"/>
      <c r="J21" s="1091"/>
      <c r="K21" s="1091"/>
      <c r="L21" s="1091"/>
      <c r="M21" s="1091"/>
      <c r="N21" s="1091"/>
      <c r="O21" s="1091"/>
      <c r="P21" s="1091"/>
      <c r="Q21" s="1091"/>
    </row>
    <row r="22" spans="2:20" s="7" customFormat="1">
      <c r="B22" s="200" t="str">
        <f>Lang.!B141</f>
        <v>1. Bonds</v>
      </c>
      <c r="C22" s="231" t="str">
        <f t="shared" si="3"/>
        <v xml:space="preserve"> Bonds</v>
      </c>
      <c r="D22" s="1121"/>
      <c r="E22" s="1121"/>
      <c r="F22" s="1121"/>
      <c r="G22" s="1121"/>
      <c r="H22" s="1122">
        <f>IF(Planung!H145&lt;&gt;0,Planung!H145,IF(Planung!$A$144=FALSE,Planung!H144,INDEX('G&amp;V'!$B$4:$Q$112,MATCH(Planung!$A144,'G&amp;V'!$B$4:$B$112,0),MATCH(H$4,'G&amp;V'!$B$4:$Q$4,0))*Planung!H144))</f>
        <v>0</v>
      </c>
      <c r="I22" s="1123"/>
      <c r="J22" s="1123"/>
      <c r="K22" s="1123"/>
      <c r="L22" s="1123"/>
      <c r="M22" s="1123" t="str">
        <f>IFERROR(IF(Planung!M145&lt;&gt;0,Planung!M145,IF(Planung!$A$144=FALSE,Planung!M144,INDEX('G&amp;V'!$B$4:$Q$112,MATCH(Planung!$A144,'G&amp;V'!$B$4:$B$112,0),MATCH(M$4,'G&amp;V'!$B$4:$Q$4,0))*Planung!M144)),"")</f>
        <v xml:space="preserve"> </v>
      </c>
      <c r="N22" s="1123" t="str">
        <f>IFERROR(IF(Planung!N145&lt;&gt;0,Planung!N145,IF(Planung!$A$144=FALSE,Planung!N144,INDEX('G&amp;V'!$B$4:$Q$112,MATCH(Planung!$A144,'G&amp;V'!$B$4:$B$112,0),MATCH(N$4,'G&amp;V'!$B$4:$Q$4,0))*Planung!N144)),"")</f>
        <v xml:space="preserve"> </v>
      </c>
      <c r="O22" s="1123" t="str">
        <f>IFERROR(IF(Planung!O145&lt;&gt;0,Planung!O145,IF(Planung!$A$144=FALSE,Planung!O144,INDEX('G&amp;V'!$B$4:$Q$112,MATCH(Planung!$A144,'G&amp;V'!$B$4:$B$112,0),MATCH(O$4,'G&amp;V'!$B$4:$Q$4,0))*Planung!O144)),"")</f>
        <v xml:space="preserve"> </v>
      </c>
      <c r="P22" s="1123" t="str">
        <f>IFERROR(IF(Planung!P145&lt;&gt;0,Planung!P145,IF(Planung!$A$144=FALSE,Planung!P144,INDEX('G&amp;V'!$B$4:$Q$112,MATCH(Planung!$A144,'G&amp;V'!$B$4:$B$112,0),MATCH(P$4,'G&amp;V'!$B$4:$Q$4,0))*Planung!P144)),"")</f>
        <v xml:space="preserve"> </v>
      </c>
      <c r="Q22" s="1123" t="str">
        <f>IFERROR(IF(Planung!Q145&lt;&gt;0,Planung!Q145,IF(Planung!$A$144=FALSE,Planung!Q144,INDEX('G&amp;V'!$B$4:$Q$112,MATCH(Planung!$A144,'G&amp;V'!$B$4:$B$112,0),MATCH(Q$4,'G&amp;V'!$B$4:$Q$4,0))*Planung!Q144)),"")</f>
        <v xml:space="preserve"> </v>
      </c>
    </row>
    <row r="23" spans="2:20">
      <c r="B23" s="200" t="str">
        <f>Lang.!B142</f>
        <v>2. Liabilities to Credit Institutions</v>
      </c>
      <c r="C23" s="232" t="str">
        <f t="shared" si="3"/>
        <v xml:space="preserve"> Liabilities to Credit Institutions</v>
      </c>
      <c r="E23" s="1121">
        <f>'BS 22-24'!C70+'BS 22-24'!C85</f>
        <v>14025812.487371186</v>
      </c>
      <c r="F23" s="1121">
        <f>'BS 22-24'!E70+'BS 22-24'!E85</f>
        <v>11663180.100502513</v>
      </c>
      <c r="G23" s="1121">
        <f>'BS 22-24'!G70+'BS 22-24'!G85</f>
        <v>8608824.286288701</v>
      </c>
      <c r="H23" s="1122">
        <f>IF(Planung!H147&lt;&gt;0,Planung!H147,IF(Planung!$A$146=FALSE,Planung!H146,INDEX('G&amp;V'!$B$4:$Q$112,MATCH(Planung!$A146,'G&amp;V'!$B$4:$B$112,0),MATCH(H$4,'G&amp;V'!$B$4:$Q$4,0))*Planung!H146))</f>
        <v>10776564.614694452</v>
      </c>
      <c r="I23" s="1123"/>
      <c r="J23" s="1123"/>
      <c r="K23" s="1123"/>
      <c r="L23" s="1123"/>
      <c r="M23" s="1123" t="str">
        <f>IFERROR(IF(Planung!M147&lt;&gt;0,Planung!M147,IF(Planung!$A$146=FALSE,Planung!M146,INDEX('G&amp;V'!$B$4:$Q$112,MATCH(Planung!$A146,'G&amp;V'!$B$4:$B$112,0),MATCH(M$4,'G&amp;V'!$B$4:$Q$4,0))*Planung!M146)),"")</f>
        <v/>
      </c>
      <c r="N23" s="1123" t="str">
        <f>IFERROR(IF(Planung!N147&lt;&gt;0,Planung!N147,IF(Planung!$A$146=FALSE,Planung!N146,INDEX('G&amp;V'!$B$4:$Q$112,MATCH(Planung!$A146,'G&amp;V'!$B$4:$B$112,0),MATCH(N$4,'G&amp;V'!$B$4:$Q$4,0))*Planung!N146)),"")</f>
        <v/>
      </c>
      <c r="O23" s="1123" t="str">
        <f>IFERROR(IF(Planung!O147&lt;&gt;0,Planung!O147,IF(Planung!$A$146=FALSE,Planung!O146,INDEX('G&amp;V'!$B$4:$Q$112,MATCH(Planung!$A146,'G&amp;V'!$B$4:$B$112,0),MATCH(O$4,'G&amp;V'!$B$4:$Q$4,0))*Planung!O146)),"")</f>
        <v/>
      </c>
      <c r="P23" s="1123" t="str">
        <f>IFERROR(IF(Planung!P147&lt;&gt;0,Planung!P147,IF(Planung!$A$146=FALSE,Planung!P146,INDEX('G&amp;V'!$B$4:$Q$112,MATCH(Planung!$A146,'G&amp;V'!$B$4:$B$112,0),MATCH(P$4,'G&amp;V'!$B$4:$Q$4,0))*Planung!P146)),"")</f>
        <v/>
      </c>
      <c r="Q23" s="1123" t="str">
        <f>IFERROR(IF(Planung!Q147&lt;&gt;0,Planung!Q147,IF(Planung!$A$146=FALSE,Planung!Q146,INDEX('G&amp;V'!$B$4:$Q$112,MATCH(Planung!$A146,'G&amp;V'!$B$4:$B$112,0),MATCH(Q$4,'G&amp;V'!$B$4:$Q$4,0))*Planung!Q146)),"")</f>
        <v/>
      </c>
    </row>
    <row r="24" spans="2:20">
      <c r="B24" s="200" t="str">
        <f>Lang.!B143</f>
        <v>3. Unearned Revenue</v>
      </c>
      <c r="C24" s="232" t="str">
        <f t="shared" si="3"/>
        <v xml:space="preserve"> Unearned Revenue</v>
      </c>
      <c r="E24" s="1121"/>
      <c r="F24" s="1121"/>
      <c r="G24" s="1121"/>
      <c r="H24" s="1122">
        <f>IF(Planung!H149&lt;&gt;0,Planung!H149,IF(Planung!$A$148=FALSE,Planung!H148,INDEX('G&amp;V'!$B$4:$Q$112,MATCH(Planung!$A148,'G&amp;V'!$B$4:$B$112,0),MATCH(H$4,'G&amp;V'!$B$4:$Q$4,0))*Planung!H148))</f>
        <v>0</v>
      </c>
      <c r="I24" s="1123"/>
      <c r="J24" s="1123"/>
      <c r="K24" s="1123"/>
      <c r="L24" s="1123"/>
      <c r="M24" s="1123" t="str">
        <f>IFERROR(IF(Planung!M149&lt;&gt;0,Planung!M149,IF(Planung!$A$148=FALSE,Planung!M148,INDEX('G&amp;V'!$B$4:$Q$112,MATCH(Planung!$A148,'G&amp;V'!$B$4:$B$112,0),MATCH(M$4,'G&amp;V'!$B$4:$Q$4,0))*Planung!M148)),"")</f>
        <v/>
      </c>
      <c r="N24" s="1123" t="str">
        <f>IFERROR(IF(Planung!N149&lt;&gt;0,Planung!N149,IF(Planung!$A$148=FALSE,Planung!N148,INDEX('G&amp;V'!$B$4:$Q$112,MATCH(Planung!$A148,'G&amp;V'!$B$4:$B$112,0),MATCH(N$4,'G&amp;V'!$B$4:$Q$4,0))*Planung!N148)),"")</f>
        <v/>
      </c>
      <c r="O24" s="1123" t="str">
        <f>IFERROR(IF(Planung!O149&lt;&gt;0,Planung!O149,IF(Planung!$A$148=FALSE,Planung!O148,INDEX('G&amp;V'!$B$4:$Q$112,MATCH(Planung!$A148,'G&amp;V'!$B$4:$B$112,0),MATCH(O$4,'G&amp;V'!$B$4:$Q$4,0))*Planung!O148)),"")</f>
        <v/>
      </c>
      <c r="P24" s="1123" t="str">
        <f>IFERROR(IF(Planung!P149&lt;&gt;0,Planung!P149,IF(Planung!$A$148=FALSE,Planung!P148,INDEX('G&amp;V'!$B$4:$Q$112,MATCH(Planung!$A148,'G&amp;V'!$B$4:$B$112,0),MATCH(P$4,'G&amp;V'!$B$4:$Q$4,0))*Planung!P148)),"")</f>
        <v/>
      </c>
      <c r="Q24" s="1123" t="str">
        <f>IFERROR(IF(Planung!Q149&lt;&gt;0,Planung!Q149,IF(Planung!$A$148=FALSE,Planung!Q148,INDEX('G&amp;V'!$B$4:$Q$112,MATCH(Planung!$A148,'G&amp;V'!$B$4:$B$112,0),MATCH(Q$4,'G&amp;V'!$B$4:$Q$4,0))*Planung!Q148)),"")</f>
        <v/>
      </c>
    </row>
    <row r="25" spans="2:20">
      <c r="B25" s="200" t="str">
        <f>Lang.!B144</f>
        <v>4. Liabilities from trade payables</v>
      </c>
      <c r="C25" s="232" t="str">
        <f t="shared" si="3"/>
        <v xml:space="preserve"> Liabilities from trade payables</v>
      </c>
      <c r="E25" s="1121">
        <f>'BS 22-24'!C72</f>
        <v>3341737.7247928875</v>
      </c>
      <c r="F25" s="1121">
        <f>'BS 22-24'!E72</f>
        <v>3288470.5527638192</v>
      </c>
      <c r="G25" s="1121">
        <f>'BS 22-24'!G72</f>
        <v>2804518.8982710093</v>
      </c>
      <c r="H25" s="1122" t="e">
        <f>IF(Planung!H151&lt;&gt;0,Planung!H151,IF(Planung!$A$150=FALSE,Planung!H150,INDEX('G&amp;V'!$B$4:$Q$112,MATCH(Planung!$A150,'G&amp;V'!$B$4:$B$112,0),MATCH(H$4,'G&amp;V'!$B$4:$Q$4,0))*Planung!H150))</f>
        <v>#VALUE!</v>
      </c>
      <c r="I25" s="1123"/>
      <c r="J25" s="1123"/>
      <c r="K25" s="1123"/>
      <c r="L25" s="1123"/>
      <c r="M25" s="1123" t="str">
        <f>IFERROR(IF(Planung!M151&lt;&gt;0,Planung!M151,IF(Planung!$A$150=FALSE,Planung!M150,INDEX('G&amp;V'!$B$4:$Q$112,MATCH(Planung!$A150,'G&amp;V'!$B$4:$B$112,0),MATCH(M$4,'G&amp;V'!$B$4:$Q$4,0))*Planung!M150)),"")</f>
        <v/>
      </c>
      <c r="N25" s="1123" t="str">
        <f>IFERROR(IF(Planung!N151&lt;&gt;0,Planung!N151,IF(Planung!$A$150=FALSE,Planung!N150,INDEX('G&amp;V'!$B$4:$Q$112,MATCH(Planung!$A150,'G&amp;V'!$B$4:$B$112,0),MATCH(N$4,'G&amp;V'!$B$4:$Q$4,0))*Planung!N150)),"")</f>
        <v/>
      </c>
      <c r="O25" s="1123" t="str">
        <f>IFERROR(IF(Planung!O151&lt;&gt;0,Planung!O151,IF(Planung!$A$150=FALSE,Planung!O150,INDEX('G&amp;V'!$B$4:$Q$112,MATCH(Planung!$A150,'G&amp;V'!$B$4:$B$112,0),MATCH(O$4,'G&amp;V'!$B$4:$Q$4,0))*Planung!O150)),"")</f>
        <v/>
      </c>
      <c r="P25" s="1123" t="str">
        <f>IFERROR(IF(Planung!P151&lt;&gt;0,Planung!P151,IF(Planung!$A$150=FALSE,Planung!P150,INDEX('G&amp;V'!$B$4:$Q$112,MATCH(Planung!$A150,'G&amp;V'!$B$4:$B$112,0),MATCH(P$4,'G&amp;V'!$B$4:$Q$4,0))*Planung!P150)),"")</f>
        <v/>
      </c>
      <c r="Q25" s="1123" t="str">
        <f>IFERROR(IF(Planung!Q151&lt;&gt;0,Planung!Q151,IF(Planung!$A$150=FALSE,Planung!Q150,INDEX('G&amp;V'!$B$4:$Q$112,MATCH(Planung!$A150,'G&amp;V'!$B$4:$B$112,0),MATCH(Q$4,'G&amp;V'!$B$4:$Q$4,0))*Planung!Q150)),"")</f>
        <v/>
      </c>
    </row>
    <row r="26" spans="2:20">
      <c r="B26" s="200" t="str">
        <f>Lang.!B145</f>
        <v>5. Liabilities to affiliated companies/shareholders Companies/ shareholders</v>
      </c>
      <c r="C26" s="232" t="str">
        <f t="shared" si="3"/>
        <v xml:space="preserve"> Liabilities to affiliated companies/shareholders Companies/ shareholders</v>
      </c>
      <c r="E26" s="1121">
        <f>'BS 22-24'!C75</f>
        <v>899709.03212770261</v>
      </c>
      <c r="F26" s="1121">
        <f>'BS 22-24'!E75</f>
        <v>0</v>
      </c>
      <c r="G26" s="1121">
        <f>'BS 22-24'!G75</f>
        <v>0</v>
      </c>
      <c r="H26" s="1122">
        <f>IF(Planung!H153&lt;&gt;0,Planung!H153,IF(Planung!$A$152=FALSE,Planung!H152,INDEX('G&amp;V'!$B$4:$Q$112,MATCH(Planung!$A152,'G&amp;V'!$B$4:$B$112,0),MATCH(H$4,'G&amp;V'!$B$4:$Q$4,0))*Planung!H152))</f>
        <v>272205.81578737218</v>
      </c>
      <c r="I26" s="1123"/>
      <c r="J26" s="1123"/>
      <c r="K26" s="1123"/>
      <c r="L26" s="1123"/>
      <c r="M26" s="1123" t="str">
        <f>IFERROR(IF(Planung!M153&lt;&gt;0,Planung!M153,IF(Planung!$A$152=FALSE,Planung!M152,INDEX('G&amp;V'!$B$4:$Q$112,MATCH(Planung!$A152,'G&amp;V'!$B$4:$B$112,0),MATCH(M$4,'G&amp;V'!$B$4:$Q$4,0))*Planung!M152)),"")</f>
        <v/>
      </c>
      <c r="N26" s="1123" t="str">
        <f>IFERROR(IF(Planung!N153&lt;&gt;0,Planung!N153,IF(Planung!$A$152=FALSE,Planung!N152,INDEX('G&amp;V'!$B$4:$Q$112,MATCH(Planung!$A152,'G&amp;V'!$B$4:$B$112,0),MATCH(N$4,'G&amp;V'!$B$4:$Q$4,0))*Planung!N152)),"")</f>
        <v/>
      </c>
      <c r="O26" s="1123" t="str">
        <f>IFERROR(IF(Planung!O153&lt;&gt;0,Planung!O153,IF(Planung!$A$152=FALSE,Planung!O152,INDEX('G&amp;V'!$B$4:$Q$112,MATCH(Planung!$A152,'G&amp;V'!$B$4:$B$112,0),MATCH(O$4,'G&amp;V'!$B$4:$Q$4,0))*Planung!O152)),"")</f>
        <v/>
      </c>
      <c r="P26" s="1123" t="str">
        <f>IFERROR(IF(Planung!P153&lt;&gt;0,Planung!P153,IF(Planung!$A$152=FALSE,Planung!P152,INDEX('G&amp;V'!$B$4:$Q$112,MATCH(Planung!$A152,'G&amp;V'!$B$4:$B$112,0),MATCH(P$4,'G&amp;V'!$B$4:$Q$4,0))*Planung!P152)),"")</f>
        <v/>
      </c>
      <c r="Q26" s="1123" t="str">
        <f>IFERROR(IF(Planung!Q153&lt;&gt;0,Planung!Q153,IF(Planung!$A$152=FALSE,Planung!Q152,INDEX('G&amp;V'!$B$4:$Q$112,MATCH(Planung!$A152,'G&amp;V'!$B$4:$B$112,0),MATCH(Q$4,'G&amp;V'!$B$4:$Q$4,0))*Planung!Q152)),"")</f>
        <v/>
      </c>
      <c r="T26" s="1102"/>
    </row>
    <row r="27" spans="2:20">
      <c r="B27" s="200" t="str">
        <f>Lang.!B146</f>
        <v>6. Other Liabilities</v>
      </c>
      <c r="C27" s="232" t="str">
        <f t="shared" si="3"/>
        <v xml:space="preserve"> Other Liabilities</v>
      </c>
      <c r="E27" s="1121">
        <f>'BS 22-24'!C71+'BS 22-24'!C76+'BS 22-24'!C91</f>
        <v>1223181.8549201859</v>
      </c>
      <c r="F27" s="1121">
        <f>'BS 22-24'!E71+'BS 22-24'!E76+'BS 22-24'!E91</f>
        <v>1306795.175879397</v>
      </c>
      <c r="G27" s="1121">
        <f>'BS 22-24'!G71+'BS 22-24'!G76+'BS 22-24'!G91</f>
        <v>1070767.7925211098</v>
      </c>
      <c r="H27" s="1122">
        <f>IF(Planung!H155&lt;&gt;0,Planung!H155,IF(Planung!$A$154=FALSE,Planung!H154,INDEX('G&amp;V'!$B$4:$Q$112,MATCH(Planung!$A154,'G&amp;V'!$B$4:$B$112,0),MATCH(H$4,'G&amp;V'!$B$4:$Q$4,0))*Planung!H154))</f>
        <v>1138173.7693380015</v>
      </c>
      <c r="I27" s="1123"/>
      <c r="J27" s="1123"/>
      <c r="K27" s="1123"/>
      <c r="L27" s="1123"/>
      <c r="M27" s="1123" t="str">
        <f>IFERROR(IF(Planung!M155&lt;&gt;0,Planung!M155,IF(Planung!$A$154=FALSE,Planung!M154,INDEX('G&amp;V'!$B$4:$Q$112,MATCH(Planung!$A154,'G&amp;V'!$B$4:$B$112,0),MATCH(M$4,'G&amp;V'!$B$4:$Q$4,0))*Planung!M154)),"")</f>
        <v/>
      </c>
      <c r="N27" s="1123" t="str">
        <f>IFERROR(IF(Planung!N155&lt;&gt;0,Planung!N155,IF(Planung!$A$154=FALSE,Planung!N154,INDEX('G&amp;V'!$B$4:$Q$112,MATCH(Planung!$A154,'G&amp;V'!$B$4:$B$112,0),MATCH(N$4,'G&amp;V'!$B$4:$Q$4,0))*Planung!N154)),"")</f>
        <v/>
      </c>
      <c r="O27" s="1123" t="str">
        <f>IFERROR(IF(Planung!O155&lt;&gt;0,Planung!O155,IF(Planung!$A$154=FALSE,Planung!O154,INDEX('G&amp;V'!$B$4:$Q$112,MATCH(Planung!$A154,'G&amp;V'!$B$4:$B$112,0),MATCH(O$4,'G&amp;V'!$B$4:$Q$4,0))*Planung!O154)),"")</f>
        <v/>
      </c>
      <c r="P27" s="1123" t="str">
        <f>IFERROR(IF(Planung!P155&lt;&gt;0,Planung!P155,IF(Planung!$A$154=FALSE,Planung!P154,INDEX('G&amp;V'!$B$4:$Q$112,MATCH(Planung!$A154,'G&amp;V'!$B$4:$B$112,0),MATCH(P$4,'G&amp;V'!$B$4:$Q$4,0))*Planung!P154)),"")</f>
        <v/>
      </c>
      <c r="Q27" s="1123" t="str">
        <f>IFERROR(IF(Planung!Q155&lt;&gt;0,Planung!Q155,IF(Planung!$A$154=FALSE,Planung!Q154,INDEX('G&amp;V'!$B$4:$Q$112,MATCH(Planung!$A154,'G&amp;V'!$B$4:$B$112,0),MATCH(Q$4,'G&amp;V'!$B$4:$Q$4,0))*Planung!Q154)),"")</f>
        <v/>
      </c>
    </row>
    <row r="28" spans="2:20">
      <c r="B28" s="208" t="str">
        <f>Lang.!B147</f>
        <v/>
      </c>
      <c r="C28" s="232" t="str">
        <f t="shared" si="3"/>
        <v xml:space="preserve"> </v>
      </c>
      <c r="D28" s="1102"/>
      <c r="E28" s="1102"/>
      <c r="F28" s="1102"/>
      <c r="G28" s="1102"/>
      <c r="H28" s="1107"/>
      <c r="I28" s="1108"/>
      <c r="J28" s="1108"/>
      <c r="K28" s="1108"/>
      <c r="L28" s="1108"/>
      <c r="M28" s="1108"/>
      <c r="N28" s="1108"/>
      <c r="O28" s="1108"/>
      <c r="P28" s="1108"/>
      <c r="Q28" s="1108"/>
    </row>
    <row r="29" spans="2:20" s="7" customFormat="1">
      <c r="B29" s="229" t="str">
        <f>Lang.!B148</f>
        <v>D. Accrued expenses / Deferred income</v>
      </c>
      <c r="C29" s="230" t="str">
        <f t="shared" si="3"/>
        <v xml:space="preserve"> Accrued expenses / Deferred income</v>
      </c>
      <c r="D29" s="1124"/>
      <c r="E29" s="1124"/>
      <c r="F29" s="1124"/>
      <c r="G29" s="1124"/>
      <c r="H29" s="1125">
        <f>IF(Planung!H158&lt;&gt;0,Planung!H158,IF(Planung!$A$157=FALSE,Planung!H157,INDEX('G&amp;V'!$B$4:$Q$112,MATCH(Planung!$A157,'G&amp;V'!$B$4:$B$112,0),MATCH(H$4,'G&amp;V'!$B$4:$Q$4,0))*Planung!H157))</f>
        <v>0</v>
      </c>
      <c r="I29" s="1126"/>
      <c r="J29" s="1126"/>
      <c r="K29" s="1126"/>
      <c r="L29" s="1126"/>
      <c r="M29" s="1126" t="str">
        <f>IFERROR(IF(Planung!M158&lt;&gt;0,Planung!M158,IF(Planung!$A$157=FALSE,Planung!M157,INDEX('G&amp;V'!$B$4:$Q$112,MATCH(Planung!$A157,'G&amp;V'!$B$4:$B$112,0),MATCH(M$4,'G&amp;V'!$B$4:$Q$4,0))*Planung!M157)),"")</f>
        <v/>
      </c>
      <c r="N29" s="1126" t="str">
        <f>IFERROR(IF(Planung!N158&lt;&gt;0,Planung!N158,IF(Planung!$A$157=FALSE,Planung!N157,INDEX('G&amp;V'!$B$4:$Q$112,MATCH(Planung!$A157,'G&amp;V'!$B$4:$B$112,0),MATCH(N$4,'G&amp;V'!$B$4:$Q$4,0))*Planung!N157)),"")</f>
        <v/>
      </c>
      <c r="O29" s="1126" t="str">
        <f>IFERROR(IF(Planung!O158&lt;&gt;0,Planung!O158,IF(Planung!$A$157=FALSE,Planung!O157,INDEX('G&amp;V'!$B$4:$Q$112,MATCH(Planung!$A157,'G&amp;V'!$B$4:$B$112,0),MATCH(O$4,'G&amp;V'!$B$4:$Q$4,0))*Planung!O157)),"")</f>
        <v/>
      </c>
      <c r="P29" s="1126" t="str">
        <f>IFERROR(IF(Planung!P158&lt;&gt;0,Planung!P158,IF(Planung!$A$157=FALSE,Planung!P157,INDEX('G&amp;V'!$B$4:$Q$112,MATCH(Planung!$A157,'G&amp;V'!$B$4:$B$112,0),MATCH(P$4,'G&amp;V'!$B$4:$Q$4,0))*Planung!P157)),"")</f>
        <v/>
      </c>
      <c r="Q29" s="1126" t="str">
        <f>IFERROR(IF(Planung!Q158&lt;&gt;0,Planung!Q158,IF(Planung!$A$157=FALSE,Planung!Q157,INDEX('G&amp;V'!$B$4:$Q$112,MATCH(Planung!$A157,'G&amp;V'!$B$4:$B$112,0),MATCH(Q$4,'G&amp;V'!$B$4:$Q$4,0))*Planung!Q157)),"")</f>
        <v/>
      </c>
    </row>
    <row r="30" spans="2:20" s="7" customFormat="1">
      <c r="B30" s="233" t="str">
        <f>Lang.!B149</f>
        <v>E. Deferred Tax Liabilities</v>
      </c>
      <c r="C30" s="231" t="str">
        <f t="shared" si="3"/>
        <v xml:space="preserve"> Deferred Tax Liabilities</v>
      </c>
      <c r="D30" s="1127"/>
      <c r="E30" s="1127"/>
      <c r="F30" s="1127"/>
      <c r="G30" s="1127"/>
      <c r="H30" s="1128">
        <f>IF(Planung!H160&lt;&gt;0,Planung!H160,IF(Planung!$A$159=FALSE,Planung!H159,INDEX('G&amp;V'!$B$4:$Q$112,MATCH(Planung!$A159,'G&amp;V'!$B$4:$B$112,0),MATCH(H$4,'G&amp;V'!$B$4:$Q$4,0))*Planung!H159))</f>
        <v>0</v>
      </c>
      <c r="I30" s="1129"/>
      <c r="J30" s="1129"/>
      <c r="K30" s="1129"/>
      <c r="L30" s="1129"/>
      <c r="M30" s="1129" t="str">
        <f>IFERROR(IF(Planung!M160&lt;&gt;0,Planung!M160,IF(Planung!$A$159=FALSE,Planung!M159,INDEX('G&amp;V'!$B$4:$Q$112,MATCH(Planung!$A159,'G&amp;V'!$B$4:$B$112,0),MATCH(M$4,'G&amp;V'!$B$4:$Q$4,0))*Planung!M159)),"")</f>
        <v/>
      </c>
      <c r="N30" s="1129" t="str">
        <f>IFERROR(IF(Planung!N160&lt;&gt;0,Planung!N160,IF(Planung!$A$159=FALSE,Planung!N159,INDEX('G&amp;V'!$B$4:$Q$112,MATCH(Planung!$A159,'G&amp;V'!$B$4:$B$112,0),MATCH(N$4,'G&amp;V'!$B$4:$Q$4,0))*Planung!N159)),"")</f>
        <v/>
      </c>
      <c r="O30" s="1129" t="str">
        <f>IFERROR(IF(Planung!O160&lt;&gt;0,Planung!O160,IF(Planung!$A$159=FALSE,Planung!O159,INDEX('G&amp;V'!$B$4:$Q$112,MATCH(Planung!$A159,'G&amp;V'!$B$4:$B$112,0),MATCH(O$4,'G&amp;V'!$B$4:$Q$4,0))*Planung!O159)),"")</f>
        <v/>
      </c>
      <c r="P30" s="1129" t="str">
        <f>IFERROR(IF(Planung!P160&lt;&gt;0,Planung!P160,IF(Planung!$A$159=FALSE,Planung!P159,INDEX('G&amp;V'!$B$4:$Q$112,MATCH(Planung!$A159,'G&amp;V'!$B$4:$B$112,0),MATCH(P$4,'G&amp;V'!$B$4:$Q$4,0))*Planung!P159)),"")</f>
        <v/>
      </c>
      <c r="Q30" s="1129" t="str">
        <f>IFERROR(IF(Planung!Q160&lt;&gt;0,Planung!Q160,IF(Planung!$A$159=FALSE,Planung!Q159,INDEX('G&amp;V'!$B$4:$Q$112,MATCH(Planung!$A159,'G&amp;V'!$B$4:$B$112,0),MATCH(Q$4,'G&amp;V'!$B$4:$Q$4,0))*Planung!Q159)),"")</f>
        <v/>
      </c>
    </row>
    <row r="31" spans="2:20" s="7" customFormat="1">
      <c r="B31" s="215" t="str">
        <f>Lang.!B150</f>
        <v/>
      </c>
      <c r="C31" s="215" t="str">
        <f t="shared" si="3"/>
        <v xml:space="preserve"> </v>
      </c>
      <c r="D31" s="1102"/>
      <c r="E31" s="1102"/>
      <c r="F31" s="1102"/>
      <c r="G31" s="1091"/>
      <c r="H31" s="1116"/>
      <c r="I31" s="1091"/>
      <c r="J31" s="1091"/>
      <c r="K31" s="1091"/>
      <c r="L31" s="1091"/>
      <c r="M31" s="1091"/>
      <c r="N31" s="1091"/>
      <c r="O31" s="1091"/>
      <c r="P31" s="1091"/>
      <c r="Q31" s="1091"/>
    </row>
    <row r="32" spans="2:20" s="7" customFormat="1" ht="13.5" thickBot="1">
      <c r="B32" s="234" t="str">
        <f>Lang.!B151</f>
        <v>Total Liabilities and Shareholders's Equity</v>
      </c>
      <c r="C32" s="234" t="str">
        <f t="shared" si="3"/>
        <v xml:space="preserve"> </v>
      </c>
      <c r="D32" s="1117">
        <f>D7+D14+D20+D29+D30</f>
        <v>0</v>
      </c>
      <c r="E32" s="1117">
        <f>E7+E14+E20+E29+E30</f>
        <v>21097741.361891296</v>
      </c>
      <c r="F32" s="1117">
        <f>F7+F14+F20+F29+F30</f>
        <v>18809246.633165825</v>
      </c>
      <c r="G32" s="1117">
        <f t="shared" ref="G32" si="9">G7+G14+G20+G29+G30</f>
        <v>15395129.875351831</v>
      </c>
      <c r="H32" s="1118" t="e">
        <f>H7+H14+H20+H29+H30</f>
        <v>#VALUE!</v>
      </c>
      <c r="I32" s="1117"/>
      <c r="J32" s="1117"/>
      <c r="K32" s="1117"/>
      <c r="L32" s="1117"/>
      <c r="M32" s="1117" t="e">
        <f t="shared" ref="M32:Q32" si="10">IF(M4 = " ", " ", M7+M14+M20+M29+M30)</f>
        <v>#VALUE!</v>
      </c>
      <c r="N32" s="1117" t="e">
        <f t="shared" si="10"/>
        <v>#VALUE!</v>
      </c>
      <c r="O32" s="1117" t="e">
        <f t="shared" si="10"/>
        <v>#VALUE!</v>
      </c>
      <c r="P32" s="1117" t="e">
        <f t="shared" si="10"/>
        <v>#VALUE!</v>
      </c>
      <c r="Q32" s="1117" t="e">
        <f t="shared" si="10"/>
        <v>#VALUE!</v>
      </c>
    </row>
    <row r="33" spans="2:17" ht="13.5" thickTop="1">
      <c r="D33" s="1102"/>
      <c r="E33" s="1102"/>
      <c r="F33" s="1102"/>
      <c r="G33" s="1102"/>
      <c r="H33" s="1101"/>
      <c r="I33" s="1102"/>
      <c r="J33" s="1102"/>
      <c r="K33" s="1102"/>
      <c r="L33" s="1102"/>
      <c r="M33" s="1102"/>
      <c r="N33" s="1102"/>
      <c r="O33" s="1102"/>
      <c r="P33" s="1102"/>
      <c r="Q33" s="1102"/>
    </row>
    <row r="34" spans="2:17" s="4" customFormat="1">
      <c r="B34" s="226" t="s">
        <v>184</v>
      </c>
      <c r="C34" s="226" t="s">
        <v>185</v>
      </c>
      <c r="D34" s="1120">
        <f>+D32-Akt.!D46</f>
        <v>0</v>
      </c>
      <c r="E34" s="1120">
        <f>ROUND(+E32-Akt.!E46,0)</f>
        <v>0</v>
      </c>
      <c r="F34" s="1120">
        <f>ROUND(+F32-Akt.!F46,0)</f>
        <v>0</v>
      </c>
      <c r="G34" s="1120">
        <f>ROUND(+G32-Akt.!G46,0)</f>
        <v>1823771</v>
      </c>
      <c r="H34" s="1120" t="e">
        <f>+H32-Akt.!H46</f>
        <v>#VALUE!</v>
      </c>
      <c r="I34" s="1120"/>
      <c r="J34" s="1120"/>
      <c r="K34" s="1120"/>
      <c r="L34" s="1120"/>
      <c r="M34" s="1120" t="e">
        <f>IF(M4 = " ",0, M32-Akt.!M46)</f>
        <v>#VALUE!</v>
      </c>
      <c r="N34" s="1120" t="e">
        <f>IF(N4 = " ",0, N32-Akt.!N46)</f>
        <v>#VALUE!</v>
      </c>
      <c r="O34" s="1120" t="e">
        <f>IF(O4 = " ",0, O32-Akt.!O46)</f>
        <v>#VALUE!</v>
      </c>
      <c r="P34" s="1120" t="e">
        <f>IF(P4 = " ",0, P32-Akt.!P46)</f>
        <v>#VALUE!</v>
      </c>
      <c r="Q34" s="1120" t="e">
        <f>IF(Q4 = " ",0, Q32-Akt.!Q46)</f>
        <v>#VALUE!</v>
      </c>
    </row>
    <row r="35" spans="2:17">
      <c r="E35" s="8"/>
      <c r="F35" s="8"/>
      <c r="G35" s="8"/>
      <c r="H35" s="8"/>
      <c r="I35" s="8"/>
      <c r="J35" s="8"/>
      <c r="K35" s="8"/>
      <c r="L35" s="8"/>
    </row>
    <row r="36" spans="2:17">
      <c r="H36" s="2"/>
    </row>
    <row r="37" spans="2:17">
      <c r="F37" s="2"/>
      <c r="H37" s="2"/>
    </row>
    <row r="38" spans="2:17">
      <c r="G38" s="2"/>
      <c r="H38" s="2"/>
    </row>
    <row r="39" spans="2:17">
      <c r="H39" s="2"/>
    </row>
    <row r="40" spans="2:17">
      <c r="H40" s="2"/>
    </row>
    <row r="41" spans="2:17">
      <c r="H41" s="2"/>
    </row>
    <row r="42" spans="2:17">
      <c r="H42" s="2"/>
    </row>
    <row r="43" spans="2:17">
      <c r="H43" s="2"/>
    </row>
    <row r="44" spans="2:17">
      <c r="G44" s="2"/>
      <c r="H44" s="2"/>
    </row>
    <row r="45" spans="2:17">
      <c r="H45" s="2"/>
    </row>
    <row r="46" spans="2:17">
      <c r="H46" s="2"/>
    </row>
    <row r="47" spans="2:17">
      <c r="H47" s="2"/>
    </row>
    <row r="48" spans="2:17">
      <c r="H48" s="2"/>
    </row>
    <row r="49" spans="8:8">
      <c r="H49" s="2"/>
    </row>
    <row r="50" spans="8:8">
      <c r="H50" s="2"/>
    </row>
    <row r="51" spans="8:8">
      <c r="H51" s="2"/>
    </row>
    <row r="52" spans="8:8">
      <c r="H52" s="2"/>
    </row>
    <row r="53" spans="8:8">
      <c r="H53" s="2"/>
    </row>
    <row r="54" spans="8:8">
      <c r="H54" s="2"/>
    </row>
    <row r="55" spans="8:8">
      <c r="H55" s="2"/>
    </row>
    <row r="56" spans="8:8">
      <c r="H56" s="2"/>
    </row>
    <row r="57" spans="8:8">
      <c r="H57" s="2"/>
    </row>
    <row r="58" spans="8:8">
      <c r="H58" s="2"/>
    </row>
    <row r="59" spans="8:8">
      <c r="H59" s="2"/>
    </row>
    <row r="60" spans="8:8">
      <c r="H60" s="2"/>
    </row>
    <row r="61" spans="8:8">
      <c r="H61" s="2"/>
    </row>
    <row r="62" spans="8:8">
      <c r="H62" s="2"/>
    </row>
  </sheetData>
  <sheetProtection formatCells="0" formatColumns="0" formatRows="0" insertRows="0"/>
  <mergeCells count="1">
    <mergeCell ref="B5:C5"/>
  </mergeCells>
  <phoneticPr fontId="0" type="noConversion"/>
  <conditionalFormatting sqref="D34:Q34">
    <cfRule type="expression" dxfId="20" priority="35">
      <formula>AND(D34&lt; 0.01, D34&gt; -0.01)</formula>
    </cfRule>
    <cfRule type="expression" dxfId="19" priority="36">
      <formula>OR(D34 &gt;0.01, D34 &lt; -0.01)</formula>
    </cfRule>
    <cfRule type="expression" priority="37">
      <formula>$E$79=TRUE</formula>
    </cfRule>
    <cfRule type="colorScale" priority="38">
      <colorScale>
        <cfvo type="min"/>
        <cfvo type="percentile" val="50"/>
        <cfvo type="max"/>
        <color rgb="FF63BE7B"/>
        <color rgb="FFFFEB84"/>
        <color rgb="FFF8696B"/>
      </colorScale>
    </cfRule>
  </conditionalFormatting>
  <printOptions horizontalCentered="1"/>
  <pageMargins left="0.23622047244094491" right="0.23622047244094491" top="0.74803149606299213" bottom="0.74803149606299213" header="0.31496062992125984" footer="0.31496062992125984"/>
  <pageSetup paperSize="9" orientation="portrait" cellComments="asDisplayed" r:id="rId1"/>
  <headerFooter alignWithMargins="0"/>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6">
    <tabColor rgb="FF92D050"/>
    <pageSetUpPr fitToPage="1"/>
  </sheetPr>
  <dimension ref="A1:Q44"/>
  <sheetViews>
    <sheetView workbookViewId="0">
      <selection activeCell="C48" sqref="C48"/>
    </sheetView>
  </sheetViews>
  <sheetFormatPr defaultColWidth="11.42578125" defaultRowHeight="12.75"/>
  <cols>
    <col min="1" max="1" width="5.7109375" style="238" customWidth="1"/>
    <col min="2" max="2" width="75" style="236" bestFit="1" customWidth="1"/>
    <col min="3" max="3" width="5.7109375" style="236" bestFit="1" customWidth="1"/>
    <col min="4" max="4" width="10.42578125" style="236" customWidth="1"/>
    <col min="5" max="5" width="12.42578125" style="236" customWidth="1"/>
    <col min="6" max="6" width="12.42578125" style="237" customWidth="1" collapsed="1"/>
    <col min="7" max="7" width="12.42578125" style="237" customWidth="1"/>
    <col min="8" max="12" width="12.42578125" style="238" customWidth="1"/>
    <col min="13" max="17" width="5.7109375" style="238" customWidth="1"/>
    <col min="18" max="18" width="7.140625" style="238" customWidth="1"/>
    <col min="19" max="16384" width="11.42578125" style="238"/>
  </cols>
  <sheetData>
    <row r="1" spans="2:17" ht="15" customHeight="1"/>
    <row r="2" spans="2:17" ht="18.75">
      <c r="B2" s="115" t="s">
        <v>188</v>
      </c>
    </row>
    <row r="4" spans="2:17" s="1" customFormat="1">
      <c r="B4" s="253" t="str">
        <f>Lang.!B153</f>
        <v>Statement of Cash Flows</v>
      </c>
      <c r="C4" s="254" t="str">
        <f>Eckdaten!C14</f>
        <v>EUR</v>
      </c>
      <c r="D4" s="141">
        <f t="shared" ref="D4:E4" si="0">+E4-1</f>
        <v>2021</v>
      </c>
      <c r="E4" s="141">
        <f t="shared" si="0"/>
        <v>2022</v>
      </c>
      <c r="F4" s="141">
        <f>+G4-1</f>
        <v>2023</v>
      </c>
      <c r="G4" s="141">
        <f>+Eckdaten!C12</f>
        <v>2024</v>
      </c>
      <c r="H4" s="228">
        <f>+G4+1</f>
        <v>2025</v>
      </c>
      <c r="I4" s="1492">
        <f>IF(Eckdaten!$C$20+Eckdaten!$C$12&gt;H4,H4+1," ")</f>
        <v>2026</v>
      </c>
      <c r="J4" s="1492">
        <f>IF(Eckdaten!$C$20+Eckdaten!$C$12&gt;I4,I4+1," ")</f>
        <v>2027</v>
      </c>
      <c r="K4" s="1492">
        <f>IF(Eckdaten!$C$20+Eckdaten!$C$12&gt;J4,J4+1," ")</f>
        <v>2028</v>
      </c>
      <c r="L4" s="1492">
        <f>IF(Eckdaten!$C$20+Eckdaten!$C$12&gt;K4,K4+1," ")</f>
        <v>2029</v>
      </c>
      <c r="M4" s="1492" t="str">
        <f>IF(Eckdaten!$C$20+Eckdaten!$C$12&gt;L4,L4+1," ")</f>
        <v xml:space="preserve"> </v>
      </c>
      <c r="N4" s="1492" t="str">
        <f>IF(Eckdaten!$C$20+Eckdaten!$C$12&gt;M4,M4+1," ")</f>
        <v xml:space="preserve"> </v>
      </c>
      <c r="O4" s="1492" t="str">
        <f>IF(Eckdaten!$C$20+Eckdaten!$C$12&gt;N4,N4+1," ")</f>
        <v xml:space="preserve"> </v>
      </c>
      <c r="P4" s="1492" t="str">
        <f>IF(Eckdaten!$C$20+Eckdaten!$C$12&gt;O4,O4+1," ")</f>
        <v xml:space="preserve"> </v>
      </c>
      <c r="Q4" s="1492" t="str">
        <f>IF(Eckdaten!$C$20+Eckdaten!$C$12&gt;P4,P4+1," ")</f>
        <v xml:space="preserve"> </v>
      </c>
    </row>
    <row r="5" spans="2:17" s="1" customFormat="1">
      <c r="B5" s="239"/>
      <c r="C5" s="240"/>
      <c r="D5" s="127" t="s">
        <v>173</v>
      </c>
      <c r="E5" s="127" t="s">
        <v>173</v>
      </c>
      <c r="F5" s="127" t="s">
        <v>173</v>
      </c>
      <c r="G5" s="127" t="s">
        <v>173</v>
      </c>
      <c r="H5" s="1731" t="str">
        <f>+'G&amp;V'!H5</f>
        <v>FC</v>
      </c>
      <c r="I5" s="1493" t="str">
        <f>IF(I4=" "," ","P")</f>
        <v>P</v>
      </c>
      <c r="J5" s="1493" t="str">
        <f t="shared" ref="J5:Q5" si="1">IF(J4=" "," ","P")</f>
        <v>P</v>
      </c>
      <c r="K5" s="1493" t="str">
        <f t="shared" si="1"/>
        <v>P</v>
      </c>
      <c r="L5" s="1493" t="str">
        <f t="shared" si="1"/>
        <v>P</v>
      </c>
      <c r="M5" s="1493" t="str">
        <f t="shared" si="1"/>
        <v xml:space="preserve"> </v>
      </c>
      <c r="N5" s="1493" t="str">
        <f t="shared" si="1"/>
        <v xml:space="preserve"> </v>
      </c>
      <c r="O5" s="1493" t="str">
        <f t="shared" si="1"/>
        <v xml:space="preserve"> </v>
      </c>
      <c r="P5" s="1493" t="str">
        <f t="shared" si="1"/>
        <v xml:space="preserve"> </v>
      </c>
      <c r="Q5" s="1493" t="str">
        <f t="shared" si="1"/>
        <v xml:space="preserve"> </v>
      </c>
    </row>
    <row r="6" spans="2:17">
      <c r="B6" s="241"/>
      <c r="C6" s="241"/>
      <c r="D6" s="237"/>
      <c r="E6" s="237"/>
      <c r="G6" s="242"/>
      <c r="H6" s="1732"/>
      <c r="I6" s="242"/>
      <c r="J6" s="242"/>
      <c r="K6" s="242"/>
      <c r="L6" s="242"/>
    </row>
    <row r="7" spans="2:17" s="245" customFormat="1">
      <c r="B7" s="258" t="str">
        <f>Lang.!B155</f>
        <v>Net profit / loss for the year</v>
      </c>
      <c r="C7" s="244"/>
      <c r="D7" s="255"/>
      <c r="E7" s="1130">
        <f>+'G&amp;V'!E81</f>
        <v>1975137.1994342303</v>
      </c>
      <c r="F7" s="1130">
        <f>+'G&amp;V'!F81</f>
        <v>1291199.3969849159</v>
      </c>
      <c r="G7" s="1130">
        <f>+'G&amp;V'!G81</f>
        <v>359705.26739043021</v>
      </c>
      <c r="H7" s="1733">
        <f>+'G&amp;V'!H81</f>
        <v>1184413.4470919091</v>
      </c>
      <c r="I7" s="1130">
        <f>+'G&amp;V'!I81</f>
        <v>0</v>
      </c>
      <c r="J7" s="1130">
        <f>+'G&amp;V'!J81</f>
        <v>0</v>
      </c>
      <c r="K7" s="1130">
        <f>+'G&amp;V'!K81</f>
        <v>0</v>
      </c>
      <c r="L7" s="1130">
        <f>+'G&amp;V'!L81</f>
        <v>0</v>
      </c>
      <c r="M7" s="1130" t="str">
        <f>+'G&amp;V'!M81</f>
        <v/>
      </c>
      <c r="N7" s="1130" t="str">
        <f>+'G&amp;V'!N81</f>
        <v/>
      </c>
      <c r="O7" s="1130" t="str">
        <f>+'G&amp;V'!O81</f>
        <v/>
      </c>
      <c r="P7" s="1130" t="str">
        <f>+'G&amp;V'!P81</f>
        <v/>
      </c>
      <c r="Q7" s="1130" t="str">
        <f>+'G&amp;V'!Q81</f>
        <v/>
      </c>
    </row>
    <row r="8" spans="2:17">
      <c r="B8" s="259" t="str">
        <f>Lang.!B156</f>
        <v>Liabilities and Stockholders' Equity</v>
      </c>
      <c r="C8" s="246"/>
      <c r="D8" s="237"/>
      <c r="E8" s="1131"/>
      <c r="F8" s="1131"/>
      <c r="G8" s="1131"/>
      <c r="H8" s="1734"/>
      <c r="I8" s="1131"/>
      <c r="J8" s="1131"/>
      <c r="K8" s="1131"/>
      <c r="L8" s="1131"/>
      <c r="M8" s="1131"/>
      <c r="N8" s="1131"/>
      <c r="O8" s="1131"/>
      <c r="P8" s="1131"/>
      <c r="Q8" s="1131"/>
    </row>
    <row r="9" spans="2:17">
      <c r="B9" s="260" t="str">
        <f>Lang.!B157</f>
        <v>Increase (+) / decrease (-) in provisions for pensions and similar obligations</v>
      </c>
      <c r="C9" s="238"/>
      <c r="D9" s="256"/>
      <c r="E9" s="1132">
        <f>Pas.!E16-Pas.!D16</f>
        <v>0</v>
      </c>
      <c r="F9" s="1132">
        <f>Pas.!F16-Pas.!E16</f>
        <v>0</v>
      </c>
      <c r="G9" s="1132">
        <f>Pas.!G16-Pas.!F16</f>
        <v>0</v>
      </c>
      <c r="H9" s="1735">
        <f>Pas.!H16-Pas.!G16</f>
        <v>0</v>
      </c>
      <c r="I9" s="1132">
        <f>Pas.!I16-Pas.!H16</f>
        <v>0</v>
      </c>
      <c r="J9" s="1132">
        <f>Pas.!J16-Pas.!I16</f>
        <v>0</v>
      </c>
      <c r="K9" s="1132">
        <f>Pas.!K16-Pas.!J16</f>
        <v>0</v>
      </c>
      <c r="L9" s="1132">
        <f>Pas.!L16-Pas.!K16</f>
        <v>0</v>
      </c>
      <c r="M9" s="1132" t="e">
        <f>Pas.!M16-Pas.!L16</f>
        <v>#VALUE!</v>
      </c>
      <c r="N9" s="1132" t="e">
        <f>Pas.!N16-Pas.!M16</f>
        <v>#VALUE!</v>
      </c>
      <c r="O9" s="1132" t="str">
        <f>IFERROR(Pas.!O16-Pas.!N16, " ")</f>
        <v xml:space="preserve"> </v>
      </c>
      <c r="P9" s="1132" t="str">
        <f>IFERROR(Pas.!P16-Pas.!O16, " ")</f>
        <v xml:space="preserve"> </v>
      </c>
      <c r="Q9" s="1132" t="str">
        <f>IFERROR(Pas.!Q16-Pas.!P16, " ")</f>
        <v xml:space="preserve"> </v>
      </c>
    </row>
    <row r="10" spans="2:17">
      <c r="B10" s="260" t="str">
        <f>Lang.!B158</f>
        <v>Increase (+) / decrease (-) in tax provisions</v>
      </c>
      <c r="C10" s="238"/>
      <c r="D10" s="256"/>
      <c r="E10" s="1132">
        <f>Pas.!E17-Pas.!D17</f>
        <v>0</v>
      </c>
      <c r="F10" s="1132">
        <f>Pas.!F17-Pas.!E17</f>
        <v>0</v>
      </c>
      <c r="G10" s="1132">
        <f>Pas.!G17-Pas.!F17</f>
        <v>0</v>
      </c>
      <c r="H10" s="1735">
        <f>Pas.!H17-Pas.!G17</f>
        <v>0</v>
      </c>
      <c r="I10" s="1132">
        <f>Pas.!I17-Pas.!H17</f>
        <v>0</v>
      </c>
      <c r="J10" s="1132">
        <f>Pas.!J17-Pas.!I17</f>
        <v>0</v>
      </c>
      <c r="K10" s="1132">
        <f>Pas.!K17-Pas.!J17</f>
        <v>0</v>
      </c>
      <c r="L10" s="1132">
        <f>Pas.!L17-Pas.!K17</f>
        <v>0</v>
      </c>
      <c r="M10" s="1132" t="e">
        <f>Pas.!M17-Pas.!L17</f>
        <v>#VALUE!</v>
      </c>
      <c r="N10" s="1132" t="e">
        <f>Pas.!N17-Pas.!M17</f>
        <v>#VALUE!</v>
      </c>
      <c r="O10" s="1132" t="str">
        <f>IFERROR(Pas.!O17-Pas.!N17, " ")</f>
        <v xml:space="preserve"> </v>
      </c>
      <c r="P10" s="1132" t="str">
        <f>IFERROR(Pas.!P17-Pas.!O17, " ")</f>
        <v xml:space="preserve"> </v>
      </c>
      <c r="Q10" s="1132" t="str">
        <f>IFERROR(Pas.!Q17-Pas.!P17, " ")</f>
        <v xml:space="preserve"> </v>
      </c>
    </row>
    <row r="11" spans="2:17">
      <c r="B11" s="260" t="str">
        <f>Lang.!B159</f>
        <v>Increase (+) / decrease (-) in other provisions</v>
      </c>
      <c r="C11" s="238"/>
      <c r="D11" s="256"/>
      <c r="E11" s="1132">
        <f>Pas.!E18-Pas.!D18</f>
        <v>0</v>
      </c>
      <c r="F11" s="1132">
        <f>Pas.!F18-Pas.!E18</f>
        <v>0</v>
      </c>
      <c r="G11" s="1132">
        <f>Pas.!G18-Pas.!F18</f>
        <v>0</v>
      </c>
      <c r="H11" s="1735">
        <f>Pas.!H18-Pas.!G18</f>
        <v>0</v>
      </c>
      <c r="I11" s="1132">
        <f>Pas.!I18-Pas.!H18</f>
        <v>0</v>
      </c>
      <c r="J11" s="1132">
        <f>Pas.!J18-Pas.!I18</f>
        <v>0</v>
      </c>
      <c r="K11" s="1132">
        <f>Pas.!K18-Pas.!J18</f>
        <v>0</v>
      </c>
      <c r="L11" s="1132">
        <f>Pas.!L18-Pas.!K18</f>
        <v>0</v>
      </c>
      <c r="M11" s="1132" t="e">
        <f>Pas.!M18-Pas.!L18</f>
        <v>#VALUE!</v>
      </c>
      <c r="N11" s="1132" t="e">
        <f>Pas.!N18-Pas.!M18</f>
        <v>#VALUE!</v>
      </c>
      <c r="O11" s="1132" t="str">
        <f>IFERROR(Pas.!O18-Pas.!N18, " ")</f>
        <v xml:space="preserve"> </v>
      </c>
      <c r="P11" s="1132" t="str">
        <f>IFERROR(Pas.!P18-Pas.!O18, " ")</f>
        <v xml:space="preserve"> </v>
      </c>
      <c r="Q11" s="1132" t="str">
        <f>IFERROR(Pas.!Q18-Pas.!P18, " ")</f>
        <v xml:space="preserve"> </v>
      </c>
    </row>
    <row r="12" spans="2:17">
      <c r="B12" s="260" t="str">
        <f>Lang.!B160</f>
        <v>Increase (+) / decrease (-) in other liabilities</v>
      </c>
      <c r="C12" s="238"/>
      <c r="D12" s="256"/>
      <c r="E12" s="1132">
        <f>Pas.!F27-Pas.!E27</f>
        <v>83613.320959211094</v>
      </c>
      <c r="F12" s="1132">
        <f>Pas.!F27-Pas.!E27</f>
        <v>83613.320959211094</v>
      </c>
      <c r="G12" s="1132">
        <f>Pas.!G27-Pas.!F27</f>
        <v>-236027.38335828716</v>
      </c>
      <c r="H12" s="1735">
        <f>Pas.!H27-Pas.!G27</f>
        <v>67405.976816891693</v>
      </c>
      <c r="I12" s="1132">
        <f>Pas.!I27-Pas.!H27</f>
        <v>-1138173.7693380015</v>
      </c>
      <c r="J12" s="1132">
        <f>Pas.!J27-Pas.!I27</f>
        <v>0</v>
      </c>
      <c r="K12" s="1132">
        <f>Pas.!K27-Pas.!J27</f>
        <v>0</v>
      </c>
      <c r="L12" s="1132">
        <f>Pas.!L27-Pas.!K27</f>
        <v>0</v>
      </c>
      <c r="M12" s="1132" t="e">
        <f>Pas.!M27-Pas.!L27</f>
        <v>#VALUE!</v>
      </c>
      <c r="N12" s="1132" t="e">
        <f>Pas.!N27-Pas.!M27</f>
        <v>#VALUE!</v>
      </c>
      <c r="O12" s="1132" t="str">
        <f>IFERROR(Pas.!O27-Pas.!N27, " ")</f>
        <v xml:space="preserve"> </v>
      </c>
      <c r="P12" s="1132" t="str">
        <f>IFERROR(Pas.!P27-Pas.!O27, " ")</f>
        <v xml:space="preserve"> </v>
      </c>
      <c r="Q12" s="1132" t="str">
        <f>IFERROR(Pas.!Q27-Pas.!P27, " ")</f>
        <v xml:space="preserve"> </v>
      </c>
    </row>
    <row r="13" spans="2:17">
      <c r="B13" s="260" t="str">
        <f>Lang.!B161</f>
        <v>Increase (+) / decrease (-) in accrued expenses and deferred income</v>
      </c>
      <c r="C13" s="238"/>
      <c r="D13" s="256"/>
      <c r="E13" s="1132">
        <f>Pas.!E29-Pas.!D29</f>
        <v>0</v>
      </c>
      <c r="F13" s="1132">
        <f>Pas.!F29-Pas.!E29</f>
        <v>0</v>
      </c>
      <c r="G13" s="1132">
        <f>Pas.!G29-Pas.!F29</f>
        <v>0</v>
      </c>
      <c r="H13" s="1735">
        <f>Pas.!H29-Pas.!G29</f>
        <v>0</v>
      </c>
      <c r="I13" s="1132">
        <f>Pas.!I29-Pas.!H29</f>
        <v>0</v>
      </c>
      <c r="J13" s="1132">
        <f>Pas.!J29-Pas.!I29</f>
        <v>0</v>
      </c>
      <c r="K13" s="1132">
        <f>Pas.!K29-Pas.!J29</f>
        <v>0</v>
      </c>
      <c r="L13" s="1132">
        <f>Pas.!L29-Pas.!K29</f>
        <v>0</v>
      </c>
      <c r="M13" s="1132" t="e">
        <f>Pas.!M29-Pas.!L29</f>
        <v>#VALUE!</v>
      </c>
      <c r="N13" s="1132" t="e">
        <f>Pas.!N29-Pas.!M29</f>
        <v>#VALUE!</v>
      </c>
      <c r="O13" s="1132" t="str">
        <f>IFERROR(Pas.!O29-Pas.!N29, " ")</f>
        <v xml:space="preserve"> </v>
      </c>
      <c r="P13" s="1132" t="str">
        <f>IFERROR(Pas.!P29-Pas.!O29, " ")</f>
        <v xml:space="preserve"> </v>
      </c>
      <c r="Q13" s="1132" t="str">
        <f>IFERROR(Pas.!Q29-Pas.!P29, " ")</f>
        <v xml:space="preserve"> </v>
      </c>
    </row>
    <row r="14" spans="2:17">
      <c r="B14" s="260" t="str">
        <f>Lang.!B162</f>
        <v>Increase (+) / decrease (-) in deferred tax liabilities</v>
      </c>
      <c r="C14" s="238"/>
      <c r="D14" s="256"/>
      <c r="E14" s="1132">
        <f>Pas.!E30-Pas.!D30</f>
        <v>0</v>
      </c>
      <c r="F14" s="1132">
        <f>Pas.!F30-Pas.!E30</f>
        <v>0</v>
      </c>
      <c r="G14" s="1132">
        <f>Pas.!G30-Pas.!F30</f>
        <v>0</v>
      </c>
      <c r="H14" s="1735">
        <f>Pas.!H30-Pas.!G30</f>
        <v>0</v>
      </c>
      <c r="I14" s="1132">
        <f>Pas.!I30-Pas.!H30</f>
        <v>0</v>
      </c>
      <c r="J14" s="1132">
        <f>Pas.!J30-Pas.!I30</f>
        <v>0</v>
      </c>
      <c r="K14" s="1132">
        <f>Pas.!K30-Pas.!J30</f>
        <v>0</v>
      </c>
      <c r="L14" s="1132">
        <f>Pas.!L30-Pas.!K30</f>
        <v>0</v>
      </c>
      <c r="M14" s="1132" t="e">
        <f>Pas.!M30-Pas.!L30</f>
        <v>#VALUE!</v>
      </c>
      <c r="N14" s="1132" t="e">
        <f>Pas.!N30-Pas.!M30</f>
        <v>#VALUE!</v>
      </c>
      <c r="O14" s="1132" t="str">
        <f>IFERROR(Pas.!O30-Pas.!N30, " ")</f>
        <v xml:space="preserve"> </v>
      </c>
      <c r="P14" s="1132" t="str">
        <f>IFERROR(Pas.!P30-Pas.!O30, " ")</f>
        <v xml:space="preserve"> </v>
      </c>
      <c r="Q14" s="1132" t="str">
        <f>IFERROR(Pas.!Q30-Pas.!P30, " ")</f>
        <v xml:space="preserve"> </v>
      </c>
    </row>
    <row r="15" spans="2:17">
      <c r="B15" s="261" t="str">
        <f>Lang.!B163</f>
        <v>Working Capital</v>
      </c>
      <c r="C15" s="238"/>
      <c r="D15" s="247"/>
      <c r="E15" s="1133"/>
      <c r="F15" s="1133"/>
      <c r="G15" s="1133"/>
      <c r="H15" s="1736"/>
      <c r="I15" s="1133"/>
      <c r="J15" s="1133"/>
      <c r="K15" s="1133"/>
      <c r="L15" s="1133"/>
      <c r="M15" s="1133"/>
      <c r="N15" s="1133"/>
      <c r="O15" s="1133"/>
      <c r="P15" s="1133"/>
      <c r="Q15" s="1133"/>
    </row>
    <row r="16" spans="2:17">
      <c r="B16" s="260" t="str">
        <f>Lang.!B164</f>
        <v>Increase (-) / decrease (+) in working capital</v>
      </c>
      <c r="C16" s="238"/>
      <c r="D16" s="256"/>
      <c r="E16" s="1132">
        <f>(+Akt.!D28+Akt.!D35-Pas.!E25-Pas.!E24)-(+Akt.!E28+Akt.!E35-Pas.!F25-Pas.!F24)</f>
        <v>-6608080.6697053667</v>
      </c>
      <c r="F16" s="1132">
        <f>(+Akt.!E28+Akt.!E35-Pas.!F25-Pas.!F24)-(+Akt.!F28+Akt.!F35-Pas.!E25-Pas.!E24)</f>
        <v>697837.45362496423</v>
      </c>
      <c r="G16" s="1132" t="e">
        <f>(+Akt.!F28+Akt.!F35-Pas.!G25-Pas.!G24)-(+Akt.!G28+Akt.!G35-Pas.!H25-Pas.!H24)</f>
        <v>#VALUE!</v>
      </c>
      <c r="H16" s="1735" t="e">
        <f>(+Akt.!G28+Akt.!G35-Pas.!G25-Pas.!G24)-(+Akt.!H28+Akt.!H35-Pas.!H25-Pas.!H24)</f>
        <v>#VALUE!</v>
      </c>
      <c r="I16" s="1132" t="e">
        <f>(+Akt.!H28+Akt.!H35-Pas.!H25-Pas.!H24)-(+Akt.!I28+Akt.!I35-Pas.!I25-Pas.!I24)</f>
        <v>#VALUE!</v>
      </c>
      <c r="J16" s="1132">
        <f>(+Akt.!I28+Akt.!I35-Pas.!I25-Pas.!I24)-(+Akt.!J28+Akt.!J35-Pas.!J25-Pas.!J24)</f>
        <v>0</v>
      </c>
      <c r="K16" s="1132">
        <f>(+Akt.!J28+Akt.!J35-Pas.!J25-Pas.!J24)-(+Akt.!K28+Akt.!K35-Pas.!K25-Pas.!K24)</f>
        <v>0</v>
      </c>
      <c r="L16" s="1132">
        <f>(+Akt.!K28+Akt.!K35-Pas.!K25-Pas.!K24)-(+Akt.!L28+Akt.!L35-Pas.!L25-Pas.!L24)</f>
        <v>0</v>
      </c>
      <c r="M16" s="1132" t="e">
        <f>(+Akt.!L28+Akt.!L35-Pas.!L25-Pas.!L24)-(+Akt.!M28+Akt.!M35-Pas.!M25-Pas.!M24)</f>
        <v>#VALUE!</v>
      </c>
      <c r="N16" s="1132" t="e">
        <f>(+Akt.!M28+Akt.!M35-Pas.!M25-Pas.!M24)-(+Akt.!N28+Akt.!N35-Pas.!N25-Pas.!N24)</f>
        <v>#VALUE!</v>
      </c>
      <c r="O16" s="1132" t="str">
        <f>IFERROR('WC&amp;ND'!O14, " ")</f>
        <v xml:space="preserve"> </v>
      </c>
      <c r="P16" s="1132" t="str">
        <f>IFERROR('WC&amp;ND'!P14, " ")</f>
        <v xml:space="preserve"> </v>
      </c>
      <c r="Q16" s="1132" t="str">
        <f>IFERROR('WC&amp;ND'!Q14, " ")</f>
        <v xml:space="preserve"> </v>
      </c>
    </row>
    <row r="17" spans="1:17">
      <c r="B17" s="261" t="str">
        <f>Lang.!B165</f>
        <v>Assets</v>
      </c>
      <c r="C17" s="238"/>
      <c r="D17" s="247"/>
      <c r="E17" s="1133"/>
      <c r="F17" s="1133"/>
      <c r="G17" s="1133"/>
      <c r="H17" s="1736"/>
      <c r="I17" s="1133"/>
      <c r="J17" s="1133"/>
      <c r="K17" s="1133"/>
      <c r="L17" s="1133"/>
      <c r="M17" s="1133"/>
      <c r="N17" s="1133"/>
      <c r="O17" s="1133"/>
      <c r="P17" s="1133"/>
      <c r="Q17" s="1133"/>
    </row>
    <row r="18" spans="1:17">
      <c r="B18" s="260" t="str">
        <f>Lang.!B166</f>
        <v>Depreciation (+) / write-ups (-) on non-financial assets</v>
      </c>
      <c r="C18" s="238"/>
      <c r="D18" s="256"/>
      <c r="E18" s="1132">
        <f>-'G&amp;V'!E46-'G&amp;V'!E47-'G&amp;V'!E62</f>
        <v>0</v>
      </c>
      <c r="F18" s="1132">
        <f>-'G&amp;V'!F46-'G&amp;V'!F47-'G&amp;V'!F62</f>
        <v>0</v>
      </c>
      <c r="G18" s="1132">
        <f>-'G&amp;V'!G46-'G&amp;V'!G47-'G&amp;V'!G62</f>
        <v>0</v>
      </c>
      <c r="H18" s="1735">
        <f>-'G&amp;V'!H46-'G&amp;V'!H47-'G&amp;V'!H62</f>
        <v>0</v>
      </c>
      <c r="I18" s="1132">
        <f>-'G&amp;V'!I46-'G&amp;V'!I47-'G&amp;V'!I62</f>
        <v>0</v>
      </c>
      <c r="J18" s="1132">
        <f>-'G&amp;V'!J46-'G&amp;V'!J47-'G&amp;V'!J62</f>
        <v>0</v>
      </c>
      <c r="K18" s="1132">
        <f>-'G&amp;V'!K46-'G&amp;V'!K47-'G&amp;V'!K62</f>
        <v>0</v>
      </c>
      <c r="L18" s="1132">
        <f>-'G&amp;V'!L46-'G&amp;V'!L47-'G&amp;V'!L62</f>
        <v>0</v>
      </c>
      <c r="M18" s="1132">
        <f>-'G&amp;V'!M46-'G&amp;V'!M47-'G&amp;V'!M62</f>
        <v>0</v>
      </c>
      <c r="N18" s="1132">
        <f>-'G&amp;V'!N46-'G&amp;V'!N47-'G&amp;V'!N62</f>
        <v>0</v>
      </c>
      <c r="O18" s="1132" t="str">
        <f>IFERROR(-Planung!O100, " ")</f>
        <v xml:space="preserve"> </v>
      </c>
      <c r="P18" s="1132" t="str">
        <f>IFERROR(-Planung!P100, " ")</f>
        <v xml:space="preserve"> </v>
      </c>
      <c r="Q18" s="1132" t="str">
        <f>IFERROR(-Planung!Q100, " ")</f>
        <v xml:space="preserve"> </v>
      </c>
    </row>
    <row r="19" spans="1:17">
      <c r="B19" s="260" t="str">
        <f>Lang.!B167</f>
        <v>Increase (-) / decrease (+) in other assets</v>
      </c>
      <c r="C19" s="238"/>
      <c r="D19" s="256"/>
      <c r="E19" s="1132">
        <f>+Akt.!D37-Akt.!E37</f>
        <v>-982636.69428167306</v>
      </c>
      <c r="F19" s="1132">
        <f>+Akt.!E37-Akt.!F37</f>
        <v>748355.08624147205</v>
      </c>
      <c r="G19" s="1132">
        <f>+Akt.!F37-Akt.!G37</f>
        <v>-87771.266909537604</v>
      </c>
      <c r="H19" s="1735">
        <f>+Akt.!G37-Akt.!H37</f>
        <v>-157176.78279241367</v>
      </c>
      <c r="I19" s="1132">
        <f>+Akt.!H37-Akt.!I37</f>
        <v>479229.65774215228</v>
      </c>
      <c r="J19" s="1132">
        <f>+Akt.!I37-Akt.!J37</f>
        <v>0</v>
      </c>
      <c r="K19" s="1132">
        <f>+Akt.!J37-Akt.!K37</f>
        <v>0</v>
      </c>
      <c r="L19" s="1132">
        <f>+Akt.!K37-Akt.!L37</f>
        <v>0</v>
      </c>
      <c r="M19" s="1132" t="e">
        <f>+Akt.!L37-Akt.!M37</f>
        <v>#VALUE!</v>
      </c>
      <c r="N19" s="1132" t="e">
        <f>+Akt.!M37-Akt.!N37</f>
        <v>#VALUE!</v>
      </c>
      <c r="O19" s="1132" t="str">
        <f>IFERROR(Akt.!N37-Akt.!O37, " ")</f>
        <v xml:space="preserve"> </v>
      </c>
      <c r="P19" s="1132" t="str">
        <f>IFERROR(Akt.!O37-Akt.!P37, " ")</f>
        <v xml:space="preserve"> </v>
      </c>
      <c r="Q19" s="1132" t="str">
        <f>IFERROR(Akt.!P37-Akt.!Q37, " ")</f>
        <v xml:space="preserve"> </v>
      </c>
    </row>
    <row r="20" spans="1:17">
      <c r="B20" s="260" t="str">
        <f>Lang.!B168</f>
        <v>Increase (-) / decrease (+) in prepaid expenses and deferred charges</v>
      </c>
      <c r="C20" s="238"/>
      <c r="D20" s="256"/>
      <c r="E20" s="1132">
        <f>+Akt.!D43-Akt.!E43</f>
        <v>-158509.59789856538</v>
      </c>
      <c r="F20" s="1132">
        <f>+Akt.!E43-Akt.!F43</f>
        <v>-15335.226222037658</v>
      </c>
      <c r="G20" s="1132">
        <f>+Akt.!F43-Akt.!G43</f>
        <v>-21324.054045862576</v>
      </c>
      <c r="H20" s="1735">
        <f>+Akt.!G43-Akt.!H43</f>
        <v>27104.484914964705</v>
      </c>
      <c r="I20" s="1132">
        <f>+Akt.!H43-Akt.!I43</f>
        <v>168064.39325150091</v>
      </c>
      <c r="J20" s="1132">
        <f>+Akt.!I43-Akt.!J43</f>
        <v>0</v>
      </c>
      <c r="K20" s="1132">
        <f>+Akt.!J43-Akt.!K43</f>
        <v>0</v>
      </c>
      <c r="L20" s="1132">
        <f>+Akt.!K43-Akt.!L43</f>
        <v>0</v>
      </c>
      <c r="M20" s="1132" t="e">
        <f>+Akt.!L43-Akt.!M43</f>
        <v>#VALUE!</v>
      </c>
      <c r="N20" s="1132" t="e">
        <f>+Akt.!M43-Akt.!N43</f>
        <v>#VALUE!</v>
      </c>
      <c r="O20" s="1132" t="str">
        <f>IFERROR(Akt.!N43-Akt.!O43, " ")</f>
        <v xml:space="preserve"> </v>
      </c>
      <c r="P20" s="1132" t="str">
        <f>IFERROR(Akt.!O43-Akt.!P43, " ")</f>
        <v xml:space="preserve"> </v>
      </c>
      <c r="Q20" s="1132" t="str">
        <f>IFERROR(Akt.!P43-Akt.!Q43, " ")</f>
        <v xml:space="preserve"> </v>
      </c>
    </row>
    <row r="21" spans="1:17">
      <c r="B21" s="260" t="str">
        <f>Lang.!B169</f>
        <v>Increase (-) / decrease (+) in deferred tax assets</v>
      </c>
      <c r="C21" s="238"/>
      <c r="D21" s="256"/>
      <c r="E21" s="1132">
        <f>+Akt.!D44-Akt.!E44</f>
        <v>0</v>
      </c>
      <c r="F21" s="1132">
        <f>+Akt.!E44-Akt.!F44</f>
        <v>0</v>
      </c>
      <c r="G21" s="1132">
        <f>+Akt.!F44-Akt.!G44</f>
        <v>0</v>
      </c>
      <c r="H21" s="1735">
        <f>+Akt.!G44-Akt.!H44</f>
        <v>0</v>
      </c>
      <c r="I21" s="1132">
        <f>+Akt.!H44-Akt.!I44</f>
        <v>0</v>
      </c>
      <c r="J21" s="1132">
        <f>+Akt.!I44-Akt.!J44</f>
        <v>0</v>
      </c>
      <c r="K21" s="1132">
        <f>+Akt.!J44-Akt.!K44</f>
        <v>0</v>
      </c>
      <c r="L21" s="1132">
        <f>+Akt.!K44-Akt.!L44</f>
        <v>0</v>
      </c>
      <c r="M21" s="1132" t="e">
        <f>+Akt.!L44-Akt.!M44</f>
        <v>#VALUE!</v>
      </c>
      <c r="N21" s="1132" t="e">
        <f>+Akt.!M44-Akt.!N44</f>
        <v>#VALUE!</v>
      </c>
      <c r="O21" s="1132" t="str">
        <f>IFERROR(Akt.!N44-Akt.!O44, " ")</f>
        <v xml:space="preserve"> </v>
      </c>
      <c r="P21" s="1132" t="str">
        <f>IFERROR(Akt.!O44-Akt.!P44, " ")</f>
        <v xml:space="preserve"> </v>
      </c>
      <c r="Q21" s="1132" t="str">
        <f>IFERROR(Akt.!P44-Akt.!Q44, " ")</f>
        <v xml:space="preserve"> </v>
      </c>
    </row>
    <row r="22" spans="1:17" s="243" customFormat="1">
      <c r="B22" s="262" t="str">
        <f>Lang.!B170</f>
        <v>Cash Flow I from operating activities</v>
      </c>
      <c r="C22" s="248"/>
      <c r="D22" s="257"/>
      <c r="E22" s="1134">
        <f t="shared" ref="E22" si="2">SUM(E7:E21)</f>
        <v>-5690476.4414921636</v>
      </c>
      <c r="F22" s="1134">
        <f t="shared" ref="F22:H22" si="3">SUM(F7:F21)</f>
        <v>2805670.0315885255</v>
      </c>
      <c r="G22" s="1134" t="e">
        <f t="shared" si="3"/>
        <v>#VALUE!</v>
      </c>
      <c r="H22" s="1737" t="e">
        <f t="shared" si="3"/>
        <v>#VALUE!</v>
      </c>
      <c r="I22" s="1134" t="e">
        <f>IF(I7 = " ", " ", SUM(I7:I21))</f>
        <v>#VALUE!</v>
      </c>
      <c r="J22" s="1134">
        <f t="shared" ref="J22:Q22" si="4">IF(J7 = " ", " ", SUM(J7:J21))</f>
        <v>0</v>
      </c>
      <c r="K22" s="1134">
        <f t="shared" si="4"/>
        <v>0</v>
      </c>
      <c r="L22" s="1134">
        <f t="shared" si="4"/>
        <v>0</v>
      </c>
      <c r="M22" s="1134" t="e">
        <f t="shared" si="4"/>
        <v>#VALUE!</v>
      </c>
      <c r="N22" s="1134" t="e">
        <f t="shared" si="4"/>
        <v>#VALUE!</v>
      </c>
      <c r="O22" s="1134">
        <f t="shared" si="4"/>
        <v>0</v>
      </c>
      <c r="P22" s="1134">
        <f t="shared" si="4"/>
        <v>0</v>
      </c>
      <c r="Q22" s="1134">
        <f t="shared" si="4"/>
        <v>0</v>
      </c>
    </row>
    <row r="23" spans="1:17">
      <c r="B23" s="263" t="str">
        <f>Lang.!B171</f>
        <v/>
      </c>
      <c r="C23" s="246"/>
      <c r="D23" s="237"/>
      <c r="E23" s="1131"/>
      <c r="F23" s="1131"/>
      <c r="G23" s="1131"/>
      <c r="H23" s="1734"/>
      <c r="I23" s="1131"/>
      <c r="J23" s="1131"/>
      <c r="K23" s="1131"/>
      <c r="L23" s="1131"/>
      <c r="M23" s="1131"/>
      <c r="N23" s="1131"/>
      <c r="O23" s="1131"/>
      <c r="P23" s="1131"/>
      <c r="Q23" s="1131"/>
    </row>
    <row r="24" spans="1:17">
      <c r="B24" s="263" t="str">
        <f>Lang.!B172</f>
        <v xml:space="preserve">Cash outflows for investments/disposals/transfers to intangible assets </v>
      </c>
      <c r="C24" s="246"/>
      <c r="D24" s="256"/>
      <c r="E24" s="1132">
        <f>-(Akt.!E9-Akt.!D9-'G&amp;V'!E46)</f>
        <v>-4011.3154172560116</v>
      </c>
      <c r="F24" s="1132">
        <f>-(Akt.!E9-Akt.!F9-'G&amp;V'!F46)</f>
        <v>21574.212220934947</v>
      </c>
      <c r="G24" s="1132">
        <f>-(Akt.!G9-Akt.!F9-'G&amp;V'!G46)</f>
        <v>5602.013363964983</v>
      </c>
      <c r="H24" s="1735">
        <f>-(Akt.!H9-Akt.!G9-'G&amp;V'!H46)</f>
        <v>-5979.3425602436218</v>
      </c>
      <c r="I24" s="1132">
        <f>-(Akt.!I9-Akt.!H9-'G&amp;V'!I46)</f>
        <v>25962.856834469596</v>
      </c>
      <c r="J24" s="1132">
        <f>-(Akt.!J9-Akt.!I9-'G&amp;V'!J46)</f>
        <v>0</v>
      </c>
      <c r="K24" s="1132">
        <f>-(Akt.!K9-Akt.!J9-'G&amp;V'!K46)</f>
        <v>0</v>
      </c>
      <c r="L24" s="1132">
        <f>-(Akt.!L9-Akt.!K9-'G&amp;V'!L46)</f>
        <v>0</v>
      </c>
      <c r="M24" s="1132" t="e">
        <f>-(Akt.!M9-Akt.!L9-'G&amp;V'!M46)</f>
        <v>#VALUE!</v>
      </c>
      <c r="N24" s="1132" t="e">
        <f>-(Akt.!N9-Akt.!M9-'G&amp;V'!N46)</f>
        <v>#VALUE!</v>
      </c>
      <c r="O24" s="1132" t="str">
        <f>IFERROR(-(Akt.!O9-Akt.!N9-'G&amp;V'!O46),"")</f>
        <v/>
      </c>
      <c r="P24" s="1132" t="str">
        <f>IFERROR(-Planung!P67-Planung!P73-Planung!P74, " ")</f>
        <v xml:space="preserve"> </v>
      </c>
      <c r="Q24" s="1132" t="str">
        <f>IFERROR(-Planung!Q67-Planung!Q73-Planung!Q74, " ")</f>
        <v xml:space="preserve"> </v>
      </c>
    </row>
    <row r="25" spans="1:17">
      <c r="B25" s="263" t="str">
        <f>Lang.!B173</f>
        <v>Cash outflows for investments/disposals/transfers to property, plant and equipment</v>
      </c>
      <c r="C25" s="246"/>
      <c r="D25" s="256"/>
      <c r="E25" s="1132">
        <f>-(Akt.!E14-Akt.!D14-'G&amp;V'!E47)</f>
        <v>-9576643.1602343917</v>
      </c>
      <c r="F25" s="1132">
        <f>-(Akt.!E14-Akt.!F14-'G&amp;V'!F47)</f>
        <v>-2186129.5923951948</v>
      </c>
      <c r="G25" s="1132">
        <f>-(Akt.!G14-Akt.!F14-'G&amp;V'!G47)</f>
        <v>2210811.1150848754</v>
      </c>
      <c r="H25" s="1735">
        <f>-(Akt.!H14-Akt.!G14-'G&amp;V'!H47)</f>
        <v>-1469808.2933852449</v>
      </c>
      <c r="I25" s="1132">
        <f>-(Akt.!I14-Akt.!H14-'G&amp;V'!I47)</f>
        <v>6649510.7461395664</v>
      </c>
      <c r="J25" s="1132">
        <f>-(Akt.!J14-Akt.!I14-'G&amp;V'!J47)</f>
        <v>0</v>
      </c>
      <c r="K25" s="1132">
        <f>-(Akt.!K14-Akt.!J14-'G&amp;V'!K47)</f>
        <v>0</v>
      </c>
      <c r="L25" s="1132">
        <f>-(Akt.!L14-Akt.!K14-'G&amp;V'!L47)</f>
        <v>0</v>
      </c>
      <c r="M25" s="1132" t="e">
        <f>-(Akt.!M14-Akt.!L14-'G&amp;V'!M47)</f>
        <v>#VALUE!</v>
      </c>
      <c r="N25" s="1132" t="e">
        <f>-(Akt.!N14-Akt.!M14-'G&amp;V'!N47)</f>
        <v>#VALUE!</v>
      </c>
      <c r="O25" s="1132" t="str">
        <f>IFERROR(-(Akt.!O14-Akt.!N14-'G&amp;V'!O47),"")</f>
        <v/>
      </c>
      <c r="P25" s="1132" t="str">
        <f>IFERROR(-Planung!P79-Planung!P85-Planung!P86, " ")</f>
        <v xml:space="preserve"> </v>
      </c>
      <c r="Q25" s="1132" t="str">
        <f>IFERROR(-Planung!Q79-Planung!Q85-Planung!Q86, " ")</f>
        <v xml:space="preserve"> </v>
      </c>
    </row>
    <row r="26" spans="1:17">
      <c r="B26" s="263" t="str">
        <f>Lang.!B174</f>
        <v>Cash outflows for investments/disposals in financial assets</v>
      </c>
      <c r="C26" s="246"/>
      <c r="D26" s="256"/>
      <c r="E26" s="1132">
        <f>-(Akt.!E20-Akt.!D20-'G&amp;V'!E62)</f>
        <v>-2809.4564558496668</v>
      </c>
      <c r="F26" s="1132">
        <f>-(Akt.!E20-Akt.!F20-'G&amp;V'!F62)</f>
        <v>7569.2370114870182</v>
      </c>
      <c r="G26" s="1132">
        <f>-(Akt.!G20-Akt.!F20-'G&amp;V'!G62)</f>
        <v>300.8888835007383</v>
      </c>
      <c r="H26" s="1735">
        <f>-(Akt.!H20-Akt.!G20-'G&amp;V'!H62)</f>
        <v>-3087.9848510402517</v>
      </c>
      <c r="I26" s="1132">
        <f>-(Akt.!I20-Akt.!H20-'G&amp;V'!I62)</f>
        <v>13165.789434876198</v>
      </c>
      <c r="J26" s="1132">
        <f>-(Akt.!J20-Akt.!I20-'G&amp;V'!J62)</f>
        <v>0</v>
      </c>
      <c r="K26" s="1132">
        <f>-(Akt.!K20-Akt.!J20-'G&amp;V'!K62)</f>
        <v>0</v>
      </c>
      <c r="L26" s="1132">
        <f>-(Akt.!L20-Akt.!K20-'G&amp;V'!L62)</f>
        <v>0</v>
      </c>
      <c r="M26" s="1132" t="e">
        <f>-(Akt.!M20-Akt.!L20-'G&amp;V'!M62)</f>
        <v>#VALUE!</v>
      </c>
      <c r="N26" s="1132" t="e">
        <f>-(Akt.!N20-Akt.!M20-'G&amp;V'!N62)</f>
        <v>#VALUE!</v>
      </c>
      <c r="O26" s="1132" t="str">
        <f>IFERROR(-(Akt.!O20-Akt.!N20-'G&amp;V'!O60),"")</f>
        <v/>
      </c>
      <c r="P26" s="1132">
        <f>IFERROR(-Planung!P91-Planung!P97,"")</f>
        <v>0</v>
      </c>
      <c r="Q26" s="1132">
        <f>IFERROR(-Planung!Q91-Planung!Q97,"")</f>
        <v>0</v>
      </c>
    </row>
    <row r="27" spans="1:17" s="243" customFormat="1">
      <c r="B27" s="262" t="str">
        <f>Lang.!B175</f>
        <v>Cash Flow II from investing activities</v>
      </c>
      <c r="C27" s="248"/>
      <c r="D27" s="257"/>
      <c r="E27" s="1134">
        <f t="shared" ref="E27" si="5">SUM(E24:E26)</f>
        <v>-9583463.932107497</v>
      </c>
      <c r="F27" s="1134">
        <f>SUM(F24:F26)</f>
        <v>-2156986.1431627725</v>
      </c>
      <c r="G27" s="1134">
        <f t="shared" ref="G27:H27" si="6">SUM(G24:G26)</f>
        <v>2216714.0173323411</v>
      </c>
      <c r="H27" s="1737">
        <f t="shared" si="6"/>
        <v>-1478875.6207965286</v>
      </c>
      <c r="I27" s="1134">
        <f>IF(I7 = " ", " ", SUM(I24:I26))</f>
        <v>6688639.3924089121</v>
      </c>
      <c r="J27" s="1134">
        <f t="shared" ref="J27:Q27" si="7">IF(J7 = " ", " ", SUM(J24:J26))</f>
        <v>0</v>
      </c>
      <c r="K27" s="1134">
        <f t="shared" si="7"/>
        <v>0</v>
      </c>
      <c r="L27" s="1134">
        <f t="shared" si="7"/>
        <v>0</v>
      </c>
      <c r="M27" s="1134" t="e">
        <f t="shared" si="7"/>
        <v>#VALUE!</v>
      </c>
      <c r="N27" s="1134" t="e">
        <f t="shared" si="7"/>
        <v>#VALUE!</v>
      </c>
      <c r="O27" s="1134">
        <f t="shared" si="7"/>
        <v>0</v>
      </c>
      <c r="P27" s="1134">
        <f t="shared" si="7"/>
        <v>0</v>
      </c>
      <c r="Q27" s="1134">
        <f t="shared" si="7"/>
        <v>0</v>
      </c>
    </row>
    <row r="28" spans="1:17" s="243" customFormat="1">
      <c r="B28" s="264" t="str">
        <f>Lang.!B176</f>
        <v/>
      </c>
      <c r="C28" s="249"/>
      <c r="D28" s="250"/>
      <c r="E28" s="1135"/>
      <c r="F28" s="1135"/>
      <c r="G28" s="1135"/>
      <c r="H28" s="1738"/>
      <c r="I28" s="1135"/>
      <c r="J28" s="1135"/>
      <c r="K28" s="1135"/>
      <c r="L28" s="1135"/>
      <c r="M28" s="1135"/>
      <c r="N28" s="1135"/>
      <c r="O28" s="1135"/>
      <c r="P28" s="1135"/>
      <c r="Q28" s="1135"/>
    </row>
    <row r="29" spans="1:17">
      <c r="A29" s="246"/>
      <c r="B29" s="265" t="str">
        <f>Lang.!B177</f>
        <v>Liabilities and Stockholders' Equity</v>
      </c>
      <c r="C29" s="246"/>
      <c r="D29" s="247"/>
      <c r="E29" s="1133"/>
      <c r="F29" s="1133"/>
      <c r="G29" s="1133"/>
      <c r="H29" s="1736"/>
      <c r="I29" s="1133"/>
      <c r="J29" s="1133"/>
      <c r="K29" s="1133"/>
      <c r="L29" s="1133"/>
      <c r="M29" s="1133"/>
      <c r="N29" s="1133"/>
      <c r="O29" s="1133"/>
      <c r="P29" s="1133"/>
      <c r="Q29" s="1133"/>
    </row>
    <row r="30" spans="1:17">
      <c r="A30" s="246"/>
      <c r="B30" s="266" t="str">
        <f>Lang.!B178</f>
        <v>Increase (+) / decrease (-) in liabilities to affiliated companies</v>
      </c>
      <c r="C30" s="246"/>
      <c r="D30" s="256"/>
      <c r="E30" s="1132">
        <f>Pas.!F26-Pas.!E26</f>
        <v>-899709.03212770261</v>
      </c>
      <c r="F30" s="1132">
        <f>Pas.!G26-Pas.!F26</f>
        <v>0</v>
      </c>
      <c r="G30" s="1132">
        <f>Pas.!H26-Pas.!G26</f>
        <v>272205.81578737218</v>
      </c>
      <c r="H30" s="1735">
        <f>Pas.!H26-Pas.!G26</f>
        <v>272205.81578737218</v>
      </c>
      <c r="I30" s="1132">
        <f>Pas.!I26-Pas.!H26</f>
        <v>-272205.81578737218</v>
      </c>
      <c r="J30" s="1132">
        <f>Pas.!J26-Pas.!I26</f>
        <v>0</v>
      </c>
      <c r="K30" s="1132">
        <f>Pas.!K26-Pas.!J26</f>
        <v>0</v>
      </c>
      <c r="L30" s="1132">
        <f>Pas.!L26-Pas.!K26</f>
        <v>0</v>
      </c>
      <c r="M30" s="1132" t="e">
        <f>Pas.!M26-Pas.!L26</f>
        <v>#VALUE!</v>
      </c>
      <c r="N30" s="1132" t="e">
        <f>Pas.!N26-Pas.!M26</f>
        <v>#VALUE!</v>
      </c>
      <c r="O30" s="1132" t="str">
        <f>IFERROR(+Pas.!O26-Pas.!N26, " ")</f>
        <v xml:space="preserve"> </v>
      </c>
      <c r="P30" s="1132" t="str">
        <f>IFERROR(+Pas.!P26-Pas.!O26, " ")</f>
        <v xml:space="preserve"> </v>
      </c>
      <c r="Q30" s="1132" t="str">
        <f>IFERROR(+Pas.!Q26-Pas.!P26, " ")</f>
        <v xml:space="preserve"> </v>
      </c>
    </row>
    <row r="31" spans="1:17">
      <c r="A31" s="246"/>
      <c r="B31" s="266" t="str">
        <f>Lang.!B179</f>
        <v>Increase (+) / decrease (-) in liabilities to credit institutions</v>
      </c>
      <c r="C31" s="246"/>
      <c r="D31" s="256"/>
      <c r="E31" s="1132">
        <f>Pas.!F23-Pas.!E23</f>
        <v>-2362632.3868686724</v>
      </c>
      <c r="F31" s="1132">
        <f>Pas.!F23-Pas.!E23</f>
        <v>-2362632.3868686724</v>
      </c>
      <c r="G31" s="1132">
        <f>Pas.!H23-Pas.!G23</f>
        <v>2167740.3284057509</v>
      </c>
      <c r="H31" s="1735">
        <f>Pas.!H23-Pas.!G23</f>
        <v>2167740.3284057509</v>
      </c>
      <c r="I31" s="1132">
        <f>Pas.!I23-Pas.!H23</f>
        <v>-10776564.614694452</v>
      </c>
      <c r="J31" s="1132">
        <f>Pas.!J23-Pas.!I23</f>
        <v>0</v>
      </c>
      <c r="K31" s="1132">
        <f>Pas.!K23-Pas.!J23</f>
        <v>0</v>
      </c>
      <c r="L31" s="1132">
        <f>Pas.!L23-Pas.!K23</f>
        <v>0</v>
      </c>
      <c r="M31" s="1132" t="e">
        <f>Pas.!M23-Pas.!L23</f>
        <v>#VALUE!</v>
      </c>
      <c r="N31" s="1132" t="e">
        <f>Pas.!N23-Pas.!M23</f>
        <v>#VALUE!</v>
      </c>
      <c r="O31" s="1132" t="str">
        <f>IFERROR(Pas.!O23-Pas.!N23, " ")</f>
        <v xml:space="preserve"> </v>
      </c>
      <c r="P31" s="1132" t="str">
        <f>IFERROR(Pas.!P23-Pas.!O23, " ")</f>
        <v xml:space="preserve"> </v>
      </c>
      <c r="Q31" s="1132" t="str">
        <f>IFERROR(Pas.!Q23-Pas.!P23, " ")</f>
        <v xml:space="preserve"> </v>
      </c>
    </row>
    <row r="32" spans="1:17">
      <c r="B32" s="266" t="str">
        <f>Lang.!B180</f>
        <v>Increase (+) / decrease (-) in capital reserves</v>
      </c>
      <c r="C32" s="246"/>
      <c r="D32" s="256"/>
      <c r="E32" s="1132">
        <f>Pas.!F10-Pas.!E10</f>
        <v>-207.22257478542451</v>
      </c>
      <c r="F32" s="1132">
        <f>Pas.!F10-Pas.!E10</f>
        <v>-207.22257478542451</v>
      </c>
      <c r="G32" s="1132">
        <f>Pas.!H10-Pas.!G10</f>
        <v>0</v>
      </c>
      <c r="H32" s="1735">
        <f>Pas.!H10-Pas.!G10</f>
        <v>0</v>
      </c>
      <c r="I32" s="1132">
        <f>Pas.!I10-Pas.!H10</f>
        <v>-39451.950140731802</v>
      </c>
      <c r="J32" s="1132">
        <f>Pas.!J10-Pas.!I10</f>
        <v>0</v>
      </c>
      <c r="K32" s="1132">
        <f>Pas.!K10-Pas.!J10</f>
        <v>0</v>
      </c>
      <c r="L32" s="1132">
        <f>Pas.!L10-Pas.!K10</f>
        <v>0</v>
      </c>
      <c r="M32" s="1132">
        <f>Pas.!M10-Pas.!L10</f>
        <v>0</v>
      </c>
      <c r="N32" s="1132">
        <f>Pas.!N10-Pas.!M10</f>
        <v>0</v>
      </c>
      <c r="O32" s="1132">
        <f>IFERROR(Pas.!O10-Pas.!N10,"")</f>
        <v>0</v>
      </c>
      <c r="P32" s="1132">
        <f>IFERROR(Pas.!P10-Pas.!O10,"")</f>
        <v>0</v>
      </c>
      <c r="Q32" s="1132">
        <f>IFERROR(Pas.!Q10-Pas.!P10,"")</f>
        <v>0</v>
      </c>
    </row>
    <row r="33" spans="2:17">
      <c r="B33" s="266" t="str">
        <f>Lang.!B181</f>
        <v>Increase (+) / decrease (-) in common stock</v>
      </c>
      <c r="C33" s="246"/>
      <c r="D33" s="256"/>
      <c r="E33" s="1132">
        <f>Pas.!F9-Pas.!E9</f>
        <v>-10.55997303145341</v>
      </c>
      <c r="F33" s="1132">
        <f>Pas.!F9-Pas.!E9</f>
        <v>-10.55997303145341</v>
      </c>
      <c r="G33" s="1132">
        <f>Pas.!H9-Pas.!G9</f>
        <v>0</v>
      </c>
      <c r="H33" s="1735">
        <f>Pas.!H9-Pas.!G9</f>
        <v>0</v>
      </c>
      <c r="I33" s="1132">
        <f>Pas.!I9-Pas.!H9</f>
        <v>-2010.454362685967</v>
      </c>
      <c r="J33" s="1132">
        <f>Pas.!J9-Pas.!I9</f>
        <v>0</v>
      </c>
      <c r="K33" s="1132">
        <f>Pas.!K9-Pas.!J9</f>
        <v>0</v>
      </c>
      <c r="L33" s="1132">
        <f>Pas.!L9-Pas.!K9</f>
        <v>0</v>
      </c>
      <c r="M33" s="1132">
        <f>Pas.!M9-Pas.!L9</f>
        <v>0</v>
      </c>
      <c r="N33" s="1132">
        <f>Pas.!N9-Pas.!M9</f>
        <v>0</v>
      </c>
      <c r="O33" s="1132">
        <f>IFERROR(Pas.!O9-Pas.!N9,"")</f>
        <v>0</v>
      </c>
      <c r="P33" s="1132">
        <f>IFERROR(Pas.!P9-Pas.!O9,"")</f>
        <v>0</v>
      </c>
      <c r="Q33" s="1132">
        <f>IFERROR(Pas.!Q9-Pas.!P9,"")</f>
        <v>0</v>
      </c>
    </row>
    <row r="34" spans="2:17">
      <c r="B34" s="266" t="str">
        <f>Lang.!B182</f>
        <v>Increase (+) / decrease (-) in bonds</v>
      </c>
      <c r="C34" s="246"/>
      <c r="D34" s="256"/>
      <c r="E34" s="1132">
        <f>Pas.!E22-Pas.!D22</f>
        <v>0</v>
      </c>
      <c r="F34" s="1132">
        <f>Pas.!F22-Pas.!E22</f>
        <v>0</v>
      </c>
      <c r="G34" s="1132">
        <f>Pas.!G22-Pas.!F22</f>
        <v>0</v>
      </c>
      <c r="H34" s="1735">
        <f>Pas.!H22-Pas.!G22</f>
        <v>0</v>
      </c>
      <c r="I34" s="1132">
        <f>Pas.!I22-Pas.!H22</f>
        <v>0</v>
      </c>
      <c r="J34" s="1132">
        <f>Pas.!J22-Pas.!I22</f>
        <v>0</v>
      </c>
      <c r="K34" s="1132">
        <f>Pas.!K22-Pas.!J22</f>
        <v>0</v>
      </c>
      <c r="L34" s="1132">
        <f>Pas.!L22-Pas.!K22</f>
        <v>0</v>
      </c>
      <c r="M34" s="1132" t="e">
        <f>Pas.!M22-Pas.!L22</f>
        <v>#VALUE!</v>
      </c>
      <c r="N34" s="1132" t="e">
        <f>Pas.!N22-Pas.!M22</f>
        <v>#VALUE!</v>
      </c>
      <c r="O34" s="1132" t="str">
        <f>IFERROR(Pas.!O22-Pas.!N22, " ")</f>
        <v xml:space="preserve"> </v>
      </c>
      <c r="P34" s="1132" t="str">
        <f>IFERROR(Pas.!P22-Pas.!O22, " ")</f>
        <v xml:space="preserve"> </v>
      </c>
      <c r="Q34" s="1132" t="str">
        <f>IFERROR(Pas.!Q22-Pas.!P22, " ")</f>
        <v xml:space="preserve"> </v>
      </c>
    </row>
    <row r="35" spans="2:17">
      <c r="B35" s="873" t="str">
        <f>Lang.!B280</f>
        <v>Dividend paid to the shareholder</v>
      </c>
      <c r="C35" s="246"/>
      <c r="D35" s="256"/>
      <c r="E35" s="1132">
        <f>Pas.!F11-Pas.!E11-Pas.!E12</f>
        <v>-347481.07309634122</v>
      </c>
      <c r="F35" s="1132">
        <f>Pas.!F11-Pas.!E11-Pas.!E12</f>
        <v>-347481.07309634122</v>
      </c>
      <c r="G35" s="1132">
        <f>Pas.!H11-Pas.!G11-Pas.!G12</f>
        <v>0</v>
      </c>
      <c r="H35" s="1735">
        <f>Pas.!H11-Pas.!G11-Pas.!G12</f>
        <v>0</v>
      </c>
      <c r="I35" s="1132">
        <f>Pas.!I11-Pas.!H11-Pas.!H12</f>
        <v>-4053969.9408595022</v>
      </c>
      <c r="J35" s="1132">
        <f>Pas.!J11-Pas.!I11-Pas.!I12</f>
        <v>0</v>
      </c>
      <c r="K35" s="1132">
        <f>Pas.!K11-Pas.!J11-Pas.!J12</f>
        <v>0</v>
      </c>
      <c r="L35" s="1132">
        <f>Pas.!L11-Pas.!K11-Pas.!K12</f>
        <v>0</v>
      </c>
      <c r="M35" s="1132">
        <f>Pas.!M11-Pas.!L11-Pas.!L12</f>
        <v>0</v>
      </c>
      <c r="N35" s="1132" t="e">
        <f>Pas.!N11-Pas.!M11-Pas.!M12</f>
        <v>#VALUE!</v>
      </c>
      <c r="O35" s="1132" t="str">
        <f>IFERROR(Pas.!O11-Pas.!N11-Pas.!N12,"")</f>
        <v/>
      </c>
      <c r="P35" s="1132" t="str">
        <f>IFERROR(Pas.!P11-Pas.!O11-Pas.!O12,"")</f>
        <v/>
      </c>
      <c r="Q35" s="1132" t="str">
        <f>IFERROR(Pas.!Q11-Pas.!P11-Pas.!P12,"")</f>
        <v/>
      </c>
    </row>
    <row r="36" spans="2:17">
      <c r="B36" s="259" t="str">
        <f>Lang.!B183</f>
        <v>Assets</v>
      </c>
      <c r="C36" s="246"/>
      <c r="D36" s="247"/>
      <c r="E36" s="1133"/>
      <c r="F36" s="1133"/>
      <c r="G36" s="1133"/>
      <c r="H36" s="1736"/>
      <c r="I36" s="1133"/>
      <c r="J36" s="1133"/>
      <c r="K36" s="1133"/>
      <c r="L36" s="1133"/>
      <c r="M36" s="1133"/>
      <c r="N36" s="1133"/>
      <c r="O36" s="1133"/>
      <c r="P36" s="1133"/>
      <c r="Q36" s="1133"/>
    </row>
    <row r="37" spans="2:17">
      <c r="B37" s="266" t="str">
        <f>Lang.!B184</f>
        <v>Increase (-) / decrease (+) in receivables from affiliated companies</v>
      </c>
      <c r="C37" s="246"/>
      <c r="D37" s="256"/>
      <c r="E37" s="1132">
        <f>+Akt.!D36-Akt.!E36</f>
        <v>-508999.7979389776</v>
      </c>
      <c r="F37" s="1132">
        <f>+Akt.!E36-Akt.!F36</f>
        <v>-3468135.4784429325</v>
      </c>
      <c r="G37" s="1132">
        <f>+Akt.!F36-Akt.!G36</f>
        <v>2597886.5831772457</v>
      </c>
      <c r="H37" s="1735">
        <f>+Akt.!G36-Akt.!H36</f>
        <v>-473361.08089062525</v>
      </c>
      <c r="I37" s="1132">
        <f>+Akt.!H36-Akt.!I36</f>
        <v>1852609.7740952894</v>
      </c>
      <c r="J37" s="1132">
        <f>+Akt.!I36-Akt.!J36</f>
        <v>0</v>
      </c>
      <c r="K37" s="1132">
        <f>+Akt.!J36-Akt.!K36</f>
        <v>0</v>
      </c>
      <c r="L37" s="1132">
        <f>+Akt.!K36-Akt.!L36</f>
        <v>0</v>
      </c>
      <c r="M37" s="1132" t="e">
        <f>+Akt.!L36-Akt.!M36</f>
        <v>#VALUE!</v>
      </c>
      <c r="N37" s="1132" t="e">
        <f>+Akt.!M36-Akt.!N36</f>
        <v>#VALUE!</v>
      </c>
      <c r="O37" s="1132" t="str">
        <f>IFERROR(+Akt.!N36-Akt.!O36, " ")</f>
        <v xml:space="preserve"> </v>
      </c>
      <c r="P37" s="1132" t="str">
        <f>IFERROR(+Akt.!O36-Akt.!P36, " ")</f>
        <v xml:space="preserve"> </v>
      </c>
      <c r="Q37" s="1132" t="str">
        <f>IFERROR(+Akt.!P36-Akt.!Q36, " ")</f>
        <v xml:space="preserve"> </v>
      </c>
    </row>
    <row r="38" spans="2:17">
      <c r="B38" s="266" t="str">
        <f>Lang.!B185</f>
        <v>Increase (-) / decrease (+) in securities</v>
      </c>
      <c r="C38" s="246"/>
      <c r="D38" s="256"/>
      <c r="E38" s="1132">
        <f>+Akt.!D39-Akt.!E39</f>
        <v>0</v>
      </c>
      <c r="F38" s="1132">
        <f>+Akt.!E39-Akt.!F39</f>
        <v>0</v>
      </c>
      <c r="G38" s="1132">
        <f>+Akt.!F39-Akt.!G39</f>
        <v>0</v>
      </c>
      <c r="H38" s="1735">
        <f>+Akt.!G39-Akt.!H39</f>
        <v>0</v>
      </c>
      <c r="I38" s="1132">
        <f>+Akt.!H39-Akt.!I39</f>
        <v>0</v>
      </c>
      <c r="J38" s="1132">
        <f>+Akt.!I39-Akt.!J39</f>
        <v>0</v>
      </c>
      <c r="K38" s="1132">
        <f>+Akt.!J39-Akt.!K39</f>
        <v>0</v>
      </c>
      <c r="L38" s="1132">
        <f>+Akt.!K39-Akt.!L39</f>
        <v>0</v>
      </c>
      <c r="M38" s="1132" t="e">
        <f>+Akt.!L39-Akt.!M39</f>
        <v>#VALUE!</v>
      </c>
      <c r="N38" s="1132" t="e">
        <f>+Akt.!M39-Akt.!N39</f>
        <v>#VALUE!</v>
      </c>
      <c r="O38" s="1132" t="str">
        <f>IFERROR(+Akt.!N39-Akt.!O39, " ")</f>
        <v xml:space="preserve"> </v>
      </c>
      <c r="P38" s="1132" t="str">
        <f>IFERROR(+Akt.!O39-Akt.!P39, " ")</f>
        <v xml:space="preserve"> </v>
      </c>
      <c r="Q38" s="1132" t="str">
        <f>IFERROR(+Akt.!P39-Akt.!Q39, " ")</f>
        <v xml:space="preserve"> </v>
      </c>
    </row>
    <row r="39" spans="2:17" s="243" customFormat="1">
      <c r="B39" s="262" t="str">
        <f>Lang.!B186</f>
        <v>Cash Flow III from financing activities</v>
      </c>
      <c r="C39" s="248"/>
      <c r="D39" s="257"/>
      <c r="E39" s="1134">
        <f t="shared" ref="E39" si="8">SUM(E29:E38)</f>
        <v>-4119040.0725795105</v>
      </c>
      <c r="F39" s="1134">
        <f>SUM(F29:F38)</f>
        <v>-6178466.720955763</v>
      </c>
      <c r="G39" s="1134">
        <f t="shared" ref="G39:H39" si="9">SUM(G29:G38)</f>
        <v>5037832.7273703683</v>
      </c>
      <c r="H39" s="1737">
        <f t="shared" si="9"/>
        <v>1966585.0633024978</v>
      </c>
      <c r="I39" s="1134">
        <f>IF(I7 = " ", " ", SUM(I29:I38))</f>
        <v>-13291593.001749456</v>
      </c>
      <c r="J39" s="1134">
        <f t="shared" ref="J39:Q39" si="10">IF(J7 = " ", " ", SUM(J29:J38))</f>
        <v>0</v>
      </c>
      <c r="K39" s="1134">
        <f t="shared" si="10"/>
        <v>0</v>
      </c>
      <c r="L39" s="1134">
        <f t="shared" si="10"/>
        <v>0</v>
      </c>
      <c r="M39" s="1134" t="e">
        <f t="shared" si="10"/>
        <v>#VALUE!</v>
      </c>
      <c r="N39" s="1134" t="e">
        <f t="shared" si="10"/>
        <v>#VALUE!</v>
      </c>
      <c r="O39" s="1134">
        <f t="shared" si="10"/>
        <v>0</v>
      </c>
      <c r="P39" s="1134">
        <f t="shared" si="10"/>
        <v>0</v>
      </c>
      <c r="Q39" s="1134">
        <f t="shared" si="10"/>
        <v>0</v>
      </c>
    </row>
    <row r="40" spans="2:17">
      <c r="B40" s="267" t="str">
        <f>Lang.!B187</f>
        <v/>
      </c>
      <c r="C40" s="251"/>
      <c r="D40" s="237"/>
      <c r="E40" s="1131"/>
      <c r="F40" s="1131"/>
      <c r="G40" s="1131"/>
      <c r="H40" s="1734"/>
      <c r="I40" s="1131"/>
      <c r="J40" s="1131"/>
      <c r="K40" s="1131"/>
      <c r="L40" s="1131"/>
      <c r="M40" s="1131"/>
      <c r="N40" s="1131"/>
      <c r="O40" s="1131"/>
      <c r="P40" s="1131"/>
      <c r="Q40" s="1131"/>
    </row>
    <row r="41" spans="2:17" s="243" customFormat="1" ht="21" customHeight="1" thickBot="1">
      <c r="B41" s="268" t="str">
        <f>Lang.!B188</f>
        <v>Total Cash Flow (levered) (Change in liquid funds/ Cash balance)</v>
      </c>
      <c r="C41" s="252"/>
      <c r="D41" s="269"/>
      <c r="E41" s="1136">
        <f t="shared" ref="E41" si="11">E39+E27+E22</f>
        <v>-19392980.44617917</v>
      </c>
      <c r="F41" s="1136">
        <f>F39+F27+F22</f>
        <v>-5529782.8325300096</v>
      </c>
      <c r="G41" s="1136" t="e">
        <f t="shared" ref="G41:H41" si="12">G39+G27+G22</f>
        <v>#VALUE!</v>
      </c>
      <c r="H41" s="1739" t="e">
        <f t="shared" si="12"/>
        <v>#VALUE!</v>
      </c>
      <c r="I41" s="1136" t="e">
        <f>IF(I7 = " ", " ", I39+I27+I22)</f>
        <v>#VALUE!</v>
      </c>
      <c r="J41" s="1136">
        <f t="shared" ref="J41:Q41" si="13">IF(J7 = " ", " ", J39+J27+J22)</f>
        <v>0</v>
      </c>
      <c r="K41" s="1136">
        <f t="shared" si="13"/>
        <v>0</v>
      </c>
      <c r="L41" s="1136">
        <f t="shared" si="13"/>
        <v>0</v>
      </c>
      <c r="M41" s="1136" t="e">
        <f t="shared" si="13"/>
        <v>#VALUE!</v>
      </c>
      <c r="N41" s="1136" t="e">
        <f t="shared" si="13"/>
        <v>#VALUE!</v>
      </c>
      <c r="O41" s="1136">
        <f t="shared" si="13"/>
        <v>0</v>
      </c>
      <c r="P41" s="1136">
        <f t="shared" si="13"/>
        <v>0</v>
      </c>
      <c r="Q41" s="1136">
        <f t="shared" si="13"/>
        <v>0</v>
      </c>
    </row>
    <row r="42" spans="2:17" ht="13.5" thickTop="1">
      <c r="D42" s="237"/>
      <c r="E42" s="1131"/>
      <c r="F42" s="1131"/>
      <c r="G42" s="1131"/>
      <c r="H42" s="1131"/>
      <c r="I42" s="1131"/>
      <c r="J42" s="1131"/>
      <c r="K42" s="1131"/>
      <c r="L42" s="1131"/>
      <c r="M42" s="1137"/>
      <c r="N42" s="1137"/>
      <c r="O42" s="1137"/>
      <c r="P42" s="1137"/>
      <c r="Q42" s="1137"/>
    </row>
    <row r="43" spans="2:17">
      <c r="D43" s="237"/>
      <c r="E43" s="1131"/>
      <c r="F43" s="1131"/>
      <c r="G43" s="1131"/>
      <c r="H43" s="1137"/>
      <c r="I43" s="1137"/>
      <c r="J43" s="1137"/>
      <c r="K43" s="1137"/>
      <c r="L43" s="1137"/>
      <c r="M43" s="1137"/>
      <c r="N43" s="1137"/>
      <c r="O43" s="1137"/>
      <c r="P43" s="1137"/>
      <c r="Q43" s="1137"/>
    </row>
    <row r="44" spans="2:17">
      <c r="B44" s="874" t="s">
        <v>186</v>
      </c>
      <c r="D44" s="866">
        <f>IFERROR(IF(OR(D41="",Akt.!C41=0),0,Akt.!D41-Akt.!C41-CF!D41),0)</f>
        <v>0</v>
      </c>
      <c r="E44" s="1120">
        <f>IFERROR(IF(OR(E41="",Akt.!D41=0),0,Akt.!E41-Akt.!D41-CF!E41),0)</f>
        <v>0</v>
      </c>
      <c r="F44" s="1120">
        <f>IFERROR(IF(OR(F41="",Akt.!E41=0),0,Akt.!F41-Akt.!E41-CF!F41),0)</f>
        <v>3307728.5070736716</v>
      </c>
      <c r="G44" s="1120">
        <f>IFERROR(IF(OR(G41="",Akt.!F41=0),0,Akt.!G41-Akt.!F41-CF!G41),0)</f>
        <v>0</v>
      </c>
      <c r="H44" s="1120">
        <f>IFERROR(IF(OR(H41="",Akt.!G41=0),0,Akt.!H41-Akt.!G41-CF!H41),0)</f>
        <v>0</v>
      </c>
      <c r="I44" s="1120">
        <f>IFERROR(IF(OR(I41="",Akt.!H41=0),0,Akt.!I41-Akt.!H41-CF!I41),0)</f>
        <v>0</v>
      </c>
      <c r="J44" s="1120">
        <f>IFERROR(IF(OR(J41="",Akt.!I41=0),0,Akt.!J41-Akt.!I41-CF!J41),0)</f>
        <v>0</v>
      </c>
      <c r="K44" s="1120">
        <f>IFERROR(IF(OR(K41="",Akt.!J41=0),0,Akt.!K41-Akt.!J41-CF!K41),0)</f>
        <v>0</v>
      </c>
      <c r="L44" s="1120">
        <f>IFERROR(IF(OR(L41="",Akt.!K41=0),0,Akt.!L41-Akt.!K41-CF!L41),0)</f>
        <v>0</v>
      </c>
      <c r="M44" s="1120">
        <f>IFERROR(IF(OR(M41="",Akt.!L41=0),0,Akt.!M41-Akt.!L41-CF!M41),0)</f>
        <v>0</v>
      </c>
      <c r="N44" s="1120">
        <f>IFERROR(IF(OR(N41="",Akt.!M41=0),0,Akt.!N41-Akt.!M41-CF!N41),0)</f>
        <v>0</v>
      </c>
      <c r="O44" s="1120">
        <f>IFERROR(IF(OR(O41="",Akt.!N41=0),0,Akt.!O41-Akt.!N41-CF!O41),0)</f>
        <v>0</v>
      </c>
      <c r="P44" s="1120">
        <f>IFERROR(IF(OR(P41="",Akt.!O41=0),0,Akt.!P41-Akt.!O41-CF!P41),0)</f>
        <v>0</v>
      </c>
      <c r="Q44" s="1120">
        <f>IFERROR(IF(OR(Q41="",Akt.!P41=0),0,Akt.!Q41-Akt.!P41-CF!Q41),0)</f>
        <v>0</v>
      </c>
    </row>
  </sheetData>
  <sheetProtection formatCells="0" formatColumns="0" formatRows="0" insertRows="0" insertHyperlinks="0"/>
  <phoneticPr fontId="6" type="noConversion"/>
  <conditionalFormatting sqref="D44:Q44">
    <cfRule type="expression" dxfId="18" priority="39">
      <formula>AND(D44&lt; 0.01, D44&gt; -0.01)</formula>
    </cfRule>
    <cfRule type="expression" dxfId="17" priority="40">
      <formula>OR(D44 &gt;0.01, D44 &lt; -0.01)</formula>
    </cfRule>
    <cfRule type="expression" priority="41">
      <formula>$E$80=TRUE</formula>
    </cfRule>
    <cfRule type="colorScale" priority="42">
      <colorScale>
        <cfvo type="min"/>
        <cfvo type="percentile" val="50"/>
        <cfvo type="max"/>
        <color rgb="FF63BE7B"/>
        <color rgb="FFFFEB84"/>
        <color rgb="FFF8696B"/>
      </colorScale>
    </cfRule>
  </conditionalFormatting>
  <printOptions horizontalCentered="1"/>
  <pageMargins left="0.23622047244094491" right="0.23622047244094491" top="0.74803149606299213" bottom="0.74803149606299213" header="0.31496062992125984" footer="0.31496062992125984"/>
  <pageSetup paperSize="9" scale="70" orientation="landscape" cellComments="asDisplayed" r:id="rId1"/>
  <headerFooter alignWithMargins="0"/>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E24F0-553F-46D8-9BD1-5962897A93E3}">
  <sheetPr>
    <tabColor rgb="FF92D050"/>
  </sheetPr>
  <dimension ref="B1:BO66"/>
  <sheetViews>
    <sheetView workbookViewId="0"/>
  </sheetViews>
  <sheetFormatPr defaultColWidth="8.42578125" defaultRowHeight="15" customHeight="1"/>
  <cols>
    <col min="1" max="1" width="5.7109375" style="1772" customWidth="1"/>
    <col min="2" max="2" width="27.42578125" style="1772" customWidth="1"/>
    <col min="3" max="3" width="14.42578125" style="1772" customWidth="1"/>
    <col min="4" max="27" width="14.42578125" style="1771" customWidth="1"/>
    <col min="28" max="50" width="14.42578125" style="1772" customWidth="1"/>
    <col min="51" max="51" width="14.140625" style="1772" bestFit="1" customWidth="1"/>
    <col min="52" max="68" width="14.42578125" style="1772" customWidth="1"/>
    <col min="69" max="16384" width="8.42578125" style="1772"/>
  </cols>
  <sheetData>
    <row r="1" spans="2:67" ht="15" customHeight="1">
      <c r="B1" s="1770"/>
      <c r="C1" s="1770"/>
      <c r="AB1" s="1770"/>
      <c r="AC1" s="1770"/>
      <c r="AD1" s="1770"/>
      <c r="AE1" s="1770"/>
      <c r="AF1" s="1770"/>
      <c r="AG1" s="1770"/>
      <c r="AH1" s="1770"/>
      <c r="AI1" s="1770"/>
      <c r="AJ1" s="1770"/>
      <c r="AK1" s="1770"/>
      <c r="AL1" s="1770"/>
      <c r="AM1" s="1770"/>
      <c r="AN1" s="1770"/>
      <c r="AO1" s="1770"/>
      <c r="AP1" s="1770"/>
      <c r="AQ1" s="1770"/>
      <c r="AR1" s="1770"/>
      <c r="AS1" s="1770"/>
      <c r="AT1" s="1770"/>
      <c r="AU1" s="1770"/>
      <c r="AV1" s="1770"/>
      <c r="AW1" s="1770"/>
      <c r="AX1" s="1770"/>
      <c r="AY1" s="1770"/>
      <c r="AZ1" s="1770"/>
      <c r="BA1" s="1770"/>
      <c r="BB1" s="1770"/>
      <c r="BC1" s="1770"/>
      <c r="BD1" s="1770"/>
      <c r="BE1" s="1770"/>
      <c r="BF1" s="1770"/>
      <c r="BG1" s="1770"/>
      <c r="BH1" s="1770"/>
      <c r="BI1" s="1770"/>
      <c r="BJ1" s="1770"/>
      <c r="BK1" s="1770"/>
      <c r="BL1" s="1770"/>
      <c r="BM1" s="1770"/>
      <c r="BN1" s="1770"/>
      <c r="BO1" s="1770"/>
    </row>
    <row r="2" spans="2:67" ht="15" customHeight="1">
      <c r="B2" s="1773" t="s">
        <v>189</v>
      </c>
      <c r="C2" s="1776" t="s">
        <v>190</v>
      </c>
      <c r="D2" s="1773" t="s">
        <v>191</v>
      </c>
      <c r="E2" s="1773" t="s">
        <v>192</v>
      </c>
      <c r="F2" s="1773" t="s">
        <v>193</v>
      </c>
      <c r="G2" s="1773" t="s">
        <v>194</v>
      </c>
      <c r="H2" s="1773" t="s">
        <v>195</v>
      </c>
      <c r="I2" s="1773" t="s">
        <v>196</v>
      </c>
      <c r="J2" s="1773" t="s">
        <v>197</v>
      </c>
      <c r="K2" s="1773" t="s">
        <v>198</v>
      </c>
      <c r="L2" s="1773" t="s">
        <v>199</v>
      </c>
      <c r="M2" s="1773" t="s">
        <v>200</v>
      </c>
      <c r="N2" s="1773" t="s">
        <v>201</v>
      </c>
      <c r="O2" s="1773" t="s">
        <v>202</v>
      </c>
      <c r="P2" s="1774" t="s">
        <v>191</v>
      </c>
      <c r="Q2" s="1774" t="s">
        <v>192</v>
      </c>
      <c r="R2" s="1774" t="s">
        <v>193</v>
      </c>
      <c r="S2" s="1774" t="s">
        <v>194</v>
      </c>
      <c r="T2" s="1774" t="s">
        <v>195</v>
      </c>
      <c r="U2" s="1774" t="s">
        <v>196</v>
      </c>
      <c r="V2" s="1774" t="s">
        <v>197</v>
      </c>
      <c r="W2" s="1774" t="s">
        <v>198</v>
      </c>
      <c r="X2" s="1774" t="s">
        <v>199</v>
      </c>
      <c r="Y2" s="1774" t="s">
        <v>200</v>
      </c>
      <c r="Z2" s="1774" t="s">
        <v>201</v>
      </c>
      <c r="AA2" s="1774" t="s">
        <v>202</v>
      </c>
      <c r="AB2" s="1775"/>
      <c r="AC2" s="1776" t="s">
        <v>203</v>
      </c>
      <c r="AD2" s="1777">
        <v>45292</v>
      </c>
      <c r="AE2" s="1777">
        <v>45323</v>
      </c>
      <c r="AF2" s="1777">
        <v>45352</v>
      </c>
      <c r="AG2" s="1777">
        <v>45383</v>
      </c>
      <c r="AH2" s="1777">
        <v>45413</v>
      </c>
      <c r="AI2" s="1777">
        <v>45444</v>
      </c>
      <c r="AJ2" s="1777">
        <v>45474</v>
      </c>
      <c r="AK2" s="1777">
        <v>45505</v>
      </c>
      <c r="AL2" s="1777">
        <v>45536</v>
      </c>
      <c r="AM2" s="1777">
        <v>45566</v>
      </c>
      <c r="AN2" s="1777">
        <v>45597</v>
      </c>
      <c r="AO2" s="1777">
        <v>45627</v>
      </c>
      <c r="AP2" s="1778">
        <v>45658</v>
      </c>
      <c r="AQ2" s="1778">
        <v>45689</v>
      </c>
      <c r="AR2" s="1778">
        <v>45717</v>
      </c>
      <c r="AS2" s="1778">
        <v>45748</v>
      </c>
      <c r="AT2" s="1778">
        <v>45778</v>
      </c>
      <c r="AU2" s="1778">
        <v>45809</v>
      </c>
      <c r="AV2" s="1778">
        <v>45839</v>
      </c>
      <c r="AW2" s="1778">
        <v>45870</v>
      </c>
      <c r="AX2" s="1778">
        <v>45901</v>
      </c>
      <c r="AY2" s="1778">
        <v>45931</v>
      </c>
      <c r="AZ2" s="1778">
        <v>45962</v>
      </c>
      <c r="BA2" s="1778">
        <v>45992</v>
      </c>
      <c r="BB2" s="1770"/>
      <c r="BC2" s="1776" t="s">
        <v>204</v>
      </c>
      <c r="BD2" s="1778">
        <f t="shared" ref="BD2:BO2" si="0">AP2</f>
        <v>45658</v>
      </c>
      <c r="BE2" s="1778">
        <f t="shared" si="0"/>
        <v>45689</v>
      </c>
      <c r="BF2" s="1778">
        <f t="shared" si="0"/>
        <v>45717</v>
      </c>
      <c r="BG2" s="1778">
        <f t="shared" si="0"/>
        <v>45748</v>
      </c>
      <c r="BH2" s="1778">
        <f t="shared" si="0"/>
        <v>45778</v>
      </c>
      <c r="BI2" s="1778">
        <f t="shared" si="0"/>
        <v>45809</v>
      </c>
      <c r="BJ2" s="1778">
        <f t="shared" si="0"/>
        <v>45839</v>
      </c>
      <c r="BK2" s="1778">
        <f t="shared" si="0"/>
        <v>45870</v>
      </c>
      <c r="BL2" s="1778">
        <f t="shared" si="0"/>
        <v>45901</v>
      </c>
      <c r="BM2" s="1778">
        <f t="shared" si="0"/>
        <v>45931</v>
      </c>
      <c r="BN2" s="1778">
        <f t="shared" si="0"/>
        <v>45962</v>
      </c>
      <c r="BO2" s="1778">
        <f t="shared" si="0"/>
        <v>45992</v>
      </c>
    </row>
    <row r="3" spans="2:67" ht="15" customHeight="1">
      <c r="B3" s="1779" t="s">
        <v>205</v>
      </c>
      <c r="C3" s="1783"/>
      <c r="D3" s="1807"/>
      <c r="E3" s="1807"/>
      <c r="F3" s="1807"/>
      <c r="G3" s="1807"/>
      <c r="H3" s="1807"/>
      <c r="I3" s="1807"/>
      <c r="J3" s="1807"/>
      <c r="K3" s="1807"/>
      <c r="L3" s="1807"/>
      <c r="M3" s="1807"/>
      <c r="N3" s="1807"/>
      <c r="O3" s="1807"/>
      <c r="P3" s="1807"/>
      <c r="Q3" s="1807"/>
      <c r="R3" s="1807"/>
      <c r="S3" s="1807"/>
      <c r="T3" s="1807"/>
      <c r="U3" s="1807"/>
      <c r="V3" s="1807"/>
      <c r="W3" s="1807"/>
      <c r="X3" s="1807"/>
      <c r="Y3" s="1807"/>
      <c r="Z3" s="1807"/>
      <c r="AA3" s="1807"/>
      <c r="AB3" s="1782"/>
      <c r="AC3" s="1783"/>
      <c r="AD3" s="1784">
        <f>SUM($D3:D3)</f>
        <v>0</v>
      </c>
      <c r="AE3" s="1784">
        <f>SUM($D3:E3)</f>
        <v>0</v>
      </c>
      <c r="AF3" s="1784">
        <f>SUM($D3:F3)</f>
        <v>0</v>
      </c>
      <c r="AG3" s="1784">
        <f>SUM($D3:G3)</f>
        <v>0</v>
      </c>
      <c r="AH3" s="1784">
        <f>SUM($D3:H3)</f>
        <v>0</v>
      </c>
      <c r="AI3" s="1784">
        <f>SUM($D3:I3)</f>
        <v>0</v>
      </c>
      <c r="AJ3" s="1784">
        <f>SUM($D3:J3)</f>
        <v>0</v>
      </c>
      <c r="AK3" s="1784">
        <f>SUM($D3:K3)</f>
        <v>0</v>
      </c>
      <c r="AL3" s="1784">
        <f>SUM($D3:L3)</f>
        <v>0</v>
      </c>
      <c r="AM3" s="1784">
        <f>SUM($D3:M3)</f>
        <v>0</v>
      </c>
      <c r="AN3" s="1784">
        <f>SUM($D3:N3)</f>
        <v>0</v>
      </c>
      <c r="AO3" s="1809">
        <f>SUM($D3:O3)</f>
        <v>0</v>
      </c>
      <c r="AP3" s="1784">
        <f>SUM($P3:P3)</f>
        <v>0</v>
      </c>
      <c r="AQ3" s="1784">
        <f>SUM($P3:Q3)</f>
        <v>0</v>
      </c>
      <c r="AR3" s="1784">
        <f>SUM($P3:R3)</f>
        <v>0</v>
      </c>
      <c r="AS3" s="1784">
        <f>SUM($P3:S3)</f>
        <v>0</v>
      </c>
      <c r="AT3" s="1784">
        <f>SUM($P3:T3)</f>
        <v>0</v>
      </c>
      <c r="AU3" s="1784">
        <f>SUM($P3:U3)</f>
        <v>0</v>
      </c>
      <c r="AV3" s="1784">
        <f>SUM($P3:V3)</f>
        <v>0</v>
      </c>
      <c r="AW3" s="1784">
        <f>SUM($P3:W3)</f>
        <v>0</v>
      </c>
      <c r="AX3" s="1784">
        <f>SUM($P3:X3)</f>
        <v>0</v>
      </c>
      <c r="AY3" s="1784">
        <f>SUM($P3:Y3)</f>
        <v>0</v>
      </c>
      <c r="AZ3" s="1784">
        <f>SUM($P3:Z3)</f>
        <v>0</v>
      </c>
      <c r="BA3" s="1809">
        <f>SUM($P3:AA3)</f>
        <v>0</v>
      </c>
      <c r="BB3" s="1782"/>
      <c r="BC3" s="1783"/>
      <c r="BD3" s="1784">
        <f t="shared" ref="BD3:BO24" si="1">SUM(E3:P3)</f>
        <v>0</v>
      </c>
      <c r="BE3" s="1784">
        <f t="shared" si="1"/>
        <v>0</v>
      </c>
      <c r="BF3" s="1784">
        <f t="shared" si="1"/>
        <v>0</v>
      </c>
      <c r="BG3" s="1784">
        <f t="shared" si="1"/>
        <v>0</v>
      </c>
      <c r="BH3" s="1784">
        <f t="shared" si="1"/>
        <v>0</v>
      </c>
      <c r="BI3" s="1784">
        <f t="shared" si="1"/>
        <v>0</v>
      </c>
      <c r="BJ3" s="1784">
        <f t="shared" si="1"/>
        <v>0</v>
      </c>
      <c r="BK3" s="1784">
        <f t="shared" si="1"/>
        <v>0</v>
      </c>
      <c r="BL3" s="1784">
        <f t="shared" si="1"/>
        <v>0</v>
      </c>
      <c r="BM3" s="1784">
        <f t="shared" si="1"/>
        <v>0</v>
      </c>
      <c r="BN3" s="1784">
        <f t="shared" si="1"/>
        <v>0</v>
      </c>
      <c r="BO3" s="1784">
        <f t="shared" si="1"/>
        <v>0</v>
      </c>
    </row>
    <row r="4" spans="2:67" ht="15" customHeight="1">
      <c r="B4" s="1779" t="s">
        <v>206</v>
      </c>
      <c r="C4" s="1783"/>
      <c r="D4" s="1807"/>
      <c r="E4" s="1807"/>
      <c r="F4" s="1807"/>
      <c r="G4" s="1807"/>
      <c r="H4" s="1807"/>
      <c r="I4" s="1807"/>
      <c r="J4" s="1807"/>
      <c r="K4" s="1807"/>
      <c r="L4" s="1807"/>
      <c r="M4" s="1807"/>
      <c r="N4" s="1807"/>
      <c r="O4" s="1807"/>
      <c r="P4" s="1807"/>
      <c r="Q4" s="1807"/>
      <c r="R4" s="1807"/>
      <c r="S4" s="1807"/>
      <c r="T4" s="1807"/>
      <c r="U4" s="1807"/>
      <c r="V4" s="1807"/>
      <c r="W4" s="1807"/>
      <c r="X4" s="1807"/>
      <c r="Y4" s="1807"/>
      <c r="Z4" s="1807"/>
      <c r="AA4" s="1807"/>
      <c r="AB4" s="1782"/>
      <c r="AC4" s="1783"/>
      <c r="AD4" s="1782">
        <f>SUM($D4:D4)</f>
        <v>0</v>
      </c>
      <c r="AE4" s="1782">
        <f>SUM($D4:E4)</f>
        <v>0</v>
      </c>
      <c r="AF4" s="1782">
        <f>SUM($D4:F4)</f>
        <v>0</v>
      </c>
      <c r="AG4" s="1782">
        <f>SUM($D4:G4)</f>
        <v>0</v>
      </c>
      <c r="AH4" s="1782">
        <f>SUM($D4:H4)</f>
        <v>0</v>
      </c>
      <c r="AI4" s="1782">
        <f>SUM($D4:I4)</f>
        <v>0</v>
      </c>
      <c r="AJ4" s="1782">
        <f>SUM($D4:J4)</f>
        <v>0</v>
      </c>
      <c r="AK4" s="1782">
        <f>SUM($D4:K4)</f>
        <v>0</v>
      </c>
      <c r="AL4" s="1782">
        <f>SUM($D4:L4)</f>
        <v>0</v>
      </c>
      <c r="AM4" s="1782">
        <f>SUM($D4:M4)</f>
        <v>0</v>
      </c>
      <c r="AN4" s="1782">
        <f>SUM($D4:N4)</f>
        <v>0</v>
      </c>
      <c r="AO4" s="1810">
        <f>SUM($D4:O4)</f>
        <v>0</v>
      </c>
      <c r="AP4" s="1782">
        <f>SUM($P4:P4)</f>
        <v>0</v>
      </c>
      <c r="AQ4" s="1782">
        <f>SUM($P4:Q4)</f>
        <v>0</v>
      </c>
      <c r="AR4" s="1782">
        <f>SUM($P4:R4)</f>
        <v>0</v>
      </c>
      <c r="AS4" s="1782">
        <f>SUM($P4:S4)</f>
        <v>0</v>
      </c>
      <c r="AT4" s="1782">
        <f>SUM($P4:T4)</f>
        <v>0</v>
      </c>
      <c r="AU4" s="1782">
        <f>SUM($P4:U4)</f>
        <v>0</v>
      </c>
      <c r="AV4" s="1782">
        <f>SUM($P4:V4)</f>
        <v>0</v>
      </c>
      <c r="AW4" s="1782">
        <f>SUM($P4:W4)</f>
        <v>0</v>
      </c>
      <c r="AX4" s="1782">
        <f>SUM($P4:X4)</f>
        <v>0</v>
      </c>
      <c r="AY4" s="1782">
        <f>SUM($P4:Y4)</f>
        <v>0</v>
      </c>
      <c r="AZ4" s="1782">
        <f>SUM($P4:Z4)</f>
        <v>0</v>
      </c>
      <c r="BA4" s="1810">
        <f>SUM($P4:AA4)</f>
        <v>0</v>
      </c>
      <c r="BB4" s="1782"/>
      <c r="BC4" s="1783"/>
      <c r="BD4" s="1782">
        <f t="shared" si="1"/>
        <v>0</v>
      </c>
      <c r="BE4" s="1782">
        <f t="shared" si="1"/>
        <v>0</v>
      </c>
      <c r="BF4" s="1782">
        <f t="shared" si="1"/>
        <v>0</v>
      </c>
      <c r="BG4" s="1782">
        <f t="shared" si="1"/>
        <v>0</v>
      </c>
      <c r="BH4" s="1782">
        <f t="shared" si="1"/>
        <v>0</v>
      </c>
      <c r="BI4" s="1782">
        <f t="shared" si="1"/>
        <v>0</v>
      </c>
      <c r="BJ4" s="1782">
        <f t="shared" si="1"/>
        <v>0</v>
      </c>
      <c r="BK4" s="1782">
        <f t="shared" si="1"/>
        <v>0</v>
      </c>
      <c r="BL4" s="1782">
        <f t="shared" si="1"/>
        <v>0</v>
      </c>
      <c r="BM4" s="1782">
        <f t="shared" si="1"/>
        <v>0</v>
      </c>
      <c r="BN4" s="1782">
        <f t="shared" si="1"/>
        <v>0</v>
      </c>
      <c r="BO4" s="1782">
        <f t="shared" si="1"/>
        <v>0</v>
      </c>
    </row>
    <row r="5" spans="2:67" ht="15" customHeight="1">
      <c r="B5" s="1779" t="s">
        <v>207</v>
      </c>
      <c r="C5" s="1783"/>
      <c r="D5" s="1807"/>
      <c r="E5" s="1807"/>
      <c r="F5" s="1807"/>
      <c r="G5" s="1807"/>
      <c r="H5" s="1807"/>
      <c r="I5" s="1807"/>
      <c r="J5" s="1807"/>
      <c r="K5" s="1807"/>
      <c r="L5" s="1807"/>
      <c r="M5" s="1807"/>
      <c r="N5" s="1807"/>
      <c r="O5" s="1807"/>
      <c r="P5" s="1807"/>
      <c r="Q5" s="1807"/>
      <c r="R5" s="1807"/>
      <c r="S5" s="1807"/>
      <c r="T5" s="1807"/>
      <c r="U5" s="1807"/>
      <c r="V5" s="1807"/>
      <c r="W5" s="1807"/>
      <c r="X5" s="1807"/>
      <c r="Y5" s="1807"/>
      <c r="Z5" s="1807"/>
      <c r="AA5" s="1807"/>
      <c r="AB5" s="1782"/>
      <c r="AC5" s="1783"/>
      <c r="AD5" s="1784">
        <f>SUM($D5:D5)</f>
        <v>0</v>
      </c>
      <c r="AE5" s="1784">
        <f>SUM($D5:E5)</f>
        <v>0</v>
      </c>
      <c r="AF5" s="1784">
        <f>SUM($D5:F5)</f>
        <v>0</v>
      </c>
      <c r="AG5" s="1784">
        <f>SUM($D5:G5)</f>
        <v>0</v>
      </c>
      <c r="AH5" s="1784">
        <f>SUM($D5:H5)</f>
        <v>0</v>
      </c>
      <c r="AI5" s="1784">
        <f>SUM($D5:I5)</f>
        <v>0</v>
      </c>
      <c r="AJ5" s="1784">
        <f>SUM($D5:J5)</f>
        <v>0</v>
      </c>
      <c r="AK5" s="1784">
        <f>SUM($D5:K5)</f>
        <v>0</v>
      </c>
      <c r="AL5" s="1784">
        <f>SUM($D5:L5)</f>
        <v>0</v>
      </c>
      <c r="AM5" s="1784">
        <f>SUM($D5:M5)</f>
        <v>0</v>
      </c>
      <c r="AN5" s="1784">
        <f>SUM($D5:N5)</f>
        <v>0</v>
      </c>
      <c r="AO5" s="1809">
        <f>SUM($D5:O5)</f>
        <v>0</v>
      </c>
      <c r="AP5" s="1784">
        <f>SUM($P5:P5)</f>
        <v>0</v>
      </c>
      <c r="AQ5" s="1784">
        <f>SUM($P5:Q5)</f>
        <v>0</v>
      </c>
      <c r="AR5" s="1784">
        <f>SUM($P5:R5)</f>
        <v>0</v>
      </c>
      <c r="AS5" s="1784">
        <f>SUM($P5:S5)</f>
        <v>0</v>
      </c>
      <c r="AT5" s="1784">
        <f>SUM($P5:T5)</f>
        <v>0</v>
      </c>
      <c r="AU5" s="1784">
        <f>SUM($P5:U5)</f>
        <v>0</v>
      </c>
      <c r="AV5" s="1784">
        <f>SUM($P5:V5)</f>
        <v>0</v>
      </c>
      <c r="AW5" s="1784">
        <f>SUM($P5:W5)</f>
        <v>0</v>
      </c>
      <c r="AX5" s="1784">
        <f>SUM($P5:X5)</f>
        <v>0</v>
      </c>
      <c r="AY5" s="1784">
        <f>SUM($P5:Y5)</f>
        <v>0</v>
      </c>
      <c r="AZ5" s="1784">
        <f>SUM($P5:Z5)</f>
        <v>0</v>
      </c>
      <c r="BA5" s="1809">
        <f>SUM($P5:AA5)</f>
        <v>0</v>
      </c>
      <c r="BB5" s="1782"/>
      <c r="BC5" s="1783"/>
      <c r="BD5" s="1784">
        <f t="shared" si="1"/>
        <v>0</v>
      </c>
      <c r="BE5" s="1784">
        <f t="shared" si="1"/>
        <v>0</v>
      </c>
      <c r="BF5" s="1784">
        <f t="shared" si="1"/>
        <v>0</v>
      </c>
      <c r="BG5" s="1784">
        <f t="shared" si="1"/>
        <v>0</v>
      </c>
      <c r="BH5" s="1784">
        <f t="shared" si="1"/>
        <v>0</v>
      </c>
      <c r="BI5" s="1784">
        <f t="shared" si="1"/>
        <v>0</v>
      </c>
      <c r="BJ5" s="1784">
        <f t="shared" si="1"/>
        <v>0</v>
      </c>
      <c r="BK5" s="1784">
        <f t="shared" si="1"/>
        <v>0</v>
      </c>
      <c r="BL5" s="1784">
        <f t="shared" si="1"/>
        <v>0</v>
      </c>
      <c r="BM5" s="1784">
        <f t="shared" si="1"/>
        <v>0</v>
      </c>
      <c r="BN5" s="1784">
        <f t="shared" si="1"/>
        <v>0</v>
      </c>
      <c r="BO5" s="1784">
        <f t="shared" si="1"/>
        <v>0</v>
      </c>
    </row>
    <row r="6" spans="2:67" ht="15" customHeight="1">
      <c r="B6" s="1785" t="s">
        <v>208</v>
      </c>
      <c r="C6" s="1787"/>
      <c r="D6" s="1781">
        <f t="shared" ref="D6:O6" si="2">SUM(D3:D5)</f>
        <v>0</v>
      </c>
      <c r="E6" s="1781">
        <f t="shared" si="2"/>
        <v>0</v>
      </c>
      <c r="F6" s="1781">
        <f t="shared" si="2"/>
        <v>0</v>
      </c>
      <c r="G6" s="1781">
        <f t="shared" si="2"/>
        <v>0</v>
      </c>
      <c r="H6" s="1781">
        <f t="shared" si="2"/>
        <v>0</v>
      </c>
      <c r="I6" s="1781">
        <f t="shared" si="2"/>
        <v>0</v>
      </c>
      <c r="J6" s="1781">
        <f t="shared" si="2"/>
        <v>0</v>
      </c>
      <c r="K6" s="1781">
        <f t="shared" si="2"/>
        <v>0</v>
      </c>
      <c r="L6" s="1781">
        <f t="shared" si="2"/>
        <v>0</v>
      </c>
      <c r="M6" s="1781">
        <f t="shared" si="2"/>
        <v>0</v>
      </c>
      <c r="N6" s="1781">
        <f t="shared" si="2"/>
        <v>0</v>
      </c>
      <c r="O6" s="1781">
        <f t="shared" si="2"/>
        <v>0</v>
      </c>
      <c r="P6" s="1781">
        <f t="shared" ref="P6:AA6" si="3">SUM(P3:P5)</f>
        <v>0</v>
      </c>
      <c r="Q6" s="1781">
        <f t="shared" si="3"/>
        <v>0</v>
      </c>
      <c r="R6" s="1781">
        <f t="shared" si="3"/>
        <v>0</v>
      </c>
      <c r="S6" s="1781">
        <f t="shared" si="3"/>
        <v>0</v>
      </c>
      <c r="T6" s="1781">
        <f t="shared" si="3"/>
        <v>0</v>
      </c>
      <c r="U6" s="1781">
        <f t="shared" si="3"/>
        <v>0</v>
      </c>
      <c r="V6" s="1781">
        <f t="shared" si="3"/>
        <v>0</v>
      </c>
      <c r="W6" s="1781">
        <f t="shared" si="3"/>
        <v>0</v>
      </c>
      <c r="X6" s="1781">
        <f t="shared" si="3"/>
        <v>0</v>
      </c>
      <c r="Y6" s="1781">
        <f t="shared" si="3"/>
        <v>0</v>
      </c>
      <c r="Z6" s="1781">
        <f t="shared" si="3"/>
        <v>0</v>
      </c>
      <c r="AA6" s="1781">
        <f t="shared" si="3"/>
        <v>0</v>
      </c>
      <c r="AB6" s="1786"/>
      <c r="AC6" s="1787"/>
      <c r="AD6" s="1788">
        <f>SUM($D6:D6)</f>
        <v>0</v>
      </c>
      <c r="AE6" s="1788">
        <f>SUM($D6:E6)</f>
        <v>0</v>
      </c>
      <c r="AF6" s="1788">
        <f>SUM($D6:F6)</f>
        <v>0</v>
      </c>
      <c r="AG6" s="1788">
        <f>SUM($D6:G6)</f>
        <v>0</v>
      </c>
      <c r="AH6" s="1788">
        <f>SUM($D6:H6)</f>
        <v>0</v>
      </c>
      <c r="AI6" s="1788">
        <f>SUM($D6:I6)</f>
        <v>0</v>
      </c>
      <c r="AJ6" s="1788">
        <f>SUM($D6:J6)</f>
        <v>0</v>
      </c>
      <c r="AK6" s="1788">
        <f>SUM($D6:K6)</f>
        <v>0</v>
      </c>
      <c r="AL6" s="1788">
        <f>SUM($D6:L6)</f>
        <v>0</v>
      </c>
      <c r="AM6" s="1788">
        <f>SUM($D6:M6)</f>
        <v>0</v>
      </c>
      <c r="AN6" s="1788">
        <f>SUM($D6:N6)</f>
        <v>0</v>
      </c>
      <c r="AO6" s="1811">
        <f>SUM($D6:O6)</f>
        <v>0</v>
      </c>
      <c r="AP6" s="1788">
        <f>SUM($P6:P6)</f>
        <v>0</v>
      </c>
      <c r="AQ6" s="1788">
        <f>SUM($P6:Q6)</f>
        <v>0</v>
      </c>
      <c r="AR6" s="1788">
        <f>SUM($P6:R6)</f>
        <v>0</v>
      </c>
      <c r="AS6" s="1788">
        <f>SUM($P6:S6)</f>
        <v>0</v>
      </c>
      <c r="AT6" s="1788">
        <f>SUM($P6:T6)</f>
        <v>0</v>
      </c>
      <c r="AU6" s="1788">
        <f>SUM($P6:U6)</f>
        <v>0</v>
      </c>
      <c r="AV6" s="1788">
        <f>SUM($P6:V6)</f>
        <v>0</v>
      </c>
      <c r="AW6" s="1788">
        <f>SUM($P6:W6)</f>
        <v>0</v>
      </c>
      <c r="AX6" s="1788">
        <f>SUM($P6:X6)</f>
        <v>0</v>
      </c>
      <c r="AY6" s="1788">
        <f>SUM($P6:Y6)</f>
        <v>0</v>
      </c>
      <c r="AZ6" s="1788">
        <f>SUM($P6:Z6)</f>
        <v>0</v>
      </c>
      <c r="BA6" s="1811">
        <f>SUM($P6:AA6)</f>
        <v>0</v>
      </c>
      <c r="BB6" s="1786"/>
      <c r="BC6" s="1787"/>
      <c r="BD6" s="1788">
        <f t="shared" si="1"/>
        <v>0</v>
      </c>
      <c r="BE6" s="1788">
        <f t="shared" si="1"/>
        <v>0</v>
      </c>
      <c r="BF6" s="1788">
        <f t="shared" si="1"/>
        <v>0</v>
      </c>
      <c r="BG6" s="1788">
        <f t="shared" si="1"/>
        <v>0</v>
      </c>
      <c r="BH6" s="1788">
        <f t="shared" si="1"/>
        <v>0</v>
      </c>
      <c r="BI6" s="1788">
        <f t="shared" si="1"/>
        <v>0</v>
      </c>
      <c r="BJ6" s="1788">
        <f t="shared" si="1"/>
        <v>0</v>
      </c>
      <c r="BK6" s="1788">
        <f t="shared" si="1"/>
        <v>0</v>
      </c>
      <c r="BL6" s="1788">
        <f t="shared" si="1"/>
        <v>0</v>
      </c>
      <c r="BM6" s="1788">
        <f t="shared" si="1"/>
        <v>0</v>
      </c>
      <c r="BN6" s="1788">
        <f t="shared" si="1"/>
        <v>0</v>
      </c>
      <c r="BO6" s="1788">
        <f t="shared" si="1"/>
        <v>0</v>
      </c>
    </row>
    <row r="7" spans="2:67" ht="15" customHeight="1">
      <c r="B7" s="1779" t="s">
        <v>209</v>
      </c>
      <c r="C7" s="1783"/>
      <c r="D7" s="1808"/>
      <c r="E7" s="1808"/>
      <c r="F7" s="1808"/>
      <c r="G7" s="1808"/>
      <c r="H7" s="1808"/>
      <c r="I7" s="1808"/>
      <c r="J7" s="1808"/>
      <c r="K7" s="1808"/>
      <c r="L7" s="1808"/>
      <c r="M7" s="1808"/>
      <c r="N7" s="1808"/>
      <c r="O7" s="1808"/>
      <c r="P7" s="1808"/>
      <c r="Q7" s="1808"/>
      <c r="R7" s="1808"/>
      <c r="S7" s="1808"/>
      <c r="T7" s="1808"/>
      <c r="U7" s="1808"/>
      <c r="V7" s="1808"/>
      <c r="W7" s="1808"/>
      <c r="X7" s="1808"/>
      <c r="Y7" s="1808"/>
      <c r="Z7" s="1808"/>
      <c r="AA7" s="1808"/>
      <c r="AB7" s="1782"/>
      <c r="AC7" s="1783"/>
      <c r="AD7" s="1782">
        <f>SUM($D7:D7)</f>
        <v>0</v>
      </c>
      <c r="AE7" s="1782">
        <f>SUM($D7:E7)</f>
        <v>0</v>
      </c>
      <c r="AF7" s="1782">
        <f>SUM($D7:F7)</f>
        <v>0</v>
      </c>
      <c r="AG7" s="1782">
        <f>SUM($D7:G7)</f>
        <v>0</v>
      </c>
      <c r="AH7" s="1782">
        <f>SUM($D7:H7)</f>
        <v>0</v>
      </c>
      <c r="AI7" s="1782">
        <f>SUM($D7:I7)</f>
        <v>0</v>
      </c>
      <c r="AJ7" s="1782">
        <f>SUM($D7:J7)</f>
        <v>0</v>
      </c>
      <c r="AK7" s="1782">
        <f>SUM($D7:K7)</f>
        <v>0</v>
      </c>
      <c r="AL7" s="1782">
        <f>SUM($D7:L7)</f>
        <v>0</v>
      </c>
      <c r="AM7" s="1782">
        <f>SUM($D7:M7)</f>
        <v>0</v>
      </c>
      <c r="AN7" s="1782">
        <f>SUM($D7:N7)</f>
        <v>0</v>
      </c>
      <c r="AO7" s="1810">
        <f>SUM($D7:O7)</f>
        <v>0</v>
      </c>
      <c r="AP7" s="1782">
        <f>SUM($P7:P7)</f>
        <v>0</v>
      </c>
      <c r="AQ7" s="1782">
        <f>SUM($P7:Q7)</f>
        <v>0</v>
      </c>
      <c r="AR7" s="1782">
        <f>SUM($P7:R7)</f>
        <v>0</v>
      </c>
      <c r="AS7" s="1782">
        <f>SUM($P7:S7)</f>
        <v>0</v>
      </c>
      <c r="AT7" s="1782">
        <f>SUM($P7:T7)</f>
        <v>0</v>
      </c>
      <c r="AU7" s="1782">
        <f>SUM($P7:U7)</f>
        <v>0</v>
      </c>
      <c r="AV7" s="1782">
        <f>SUM($P7:V7)</f>
        <v>0</v>
      </c>
      <c r="AW7" s="1782">
        <f>SUM($P7:W7)</f>
        <v>0</v>
      </c>
      <c r="AX7" s="1782">
        <f>SUM($P7:X7)</f>
        <v>0</v>
      </c>
      <c r="AY7" s="1782">
        <f>SUM($P7:Y7)</f>
        <v>0</v>
      </c>
      <c r="AZ7" s="1782">
        <f>SUM($P7:Z7)</f>
        <v>0</v>
      </c>
      <c r="BA7" s="1810">
        <f>SUM($P7:AA7)</f>
        <v>0</v>
      </c>
      <c r="BB7" s="1782"/>
      <c r="BC7" s="1783"/>
      <c r="BD7" s="1782">
        <f t="shared" si="1"/>
        <v>0</v>
      </c>
      <c r="BE7" s="1782">
        <f t="shared" si="1"/>
        <v>0</v>
      </c>
      <c r="BF7" s="1782">
        <f t="shared" si="1"/>
        <v>0</v>
      </c>
      <c r="BG7" s="1782">
        <f t="shared" si="1"/>
        <v>0</v>
      </c>
      <c r="BH7" s="1782">
        <f>SUM(I7:T7)</f>
        <v>0</v>
      </c>
      <c r="BI7" s="1782">
        <f t="shared" si="1"/>
        <v>0</v>
      </c>
      <c r="BJ7" s="1782">
        <f t="shared" si="1"/>
        <v>0</v>
      </c>
      <c r="BK7" s="1782">
        <f t="shared" si="1"/>
        <v>0</v>
      </c>
      <c r="BL7" s="1782">
        <f t="shared" si="1"/>
        <v>0</v>
      </c>
      <c r="BM7" s="1782">
        <f t="shared" si="1"/>
        <v>0</v>
      </c>
      <c r="BN7" s="1782">
        <f t="shared" si="1"/>
        <v>0</v>
      </c>
      <c r="BO7" s="1782">
        <f t="shared" si="1"/>
        <v>0</v>
      </c>
    </row>
    <row r="8" spans="2:67" s="1794" customFormat="1" ht="15" customHeight="1">
      <c r="B8" s="1789"/>
      <c r="C8" s="1792"/>
      <c r="D8" s="1790" t="e">
        <f t="shared" ref="D8:O8" si="4">D7/D6</f>
        <v>#DIV/0!</v>
      </c>
      <c r="E8" s="1790" t="e">
        <f t="shared" si="4"/>
        <v>#DIV/0!</v>
      </c>
      <c r="F8" s="1790" t="e">
        <f t="shared" si="4"/>
        <v>#DIV/0!</v>
      </c>
      <c r="G8" s="1790" t="e">
        <f t="shared" si="4"/>
        <v>#DIV/0!</v>
      </c>
      <c r="H8" s="1790" t="e">
        <f t="shared" si="4"/>
        <v>#DIV/0!</v>
      </c>
      <c r="I8" s="1790" t="e">
        <f t="shared" si="4"/>
        <v>#DIV/0!</v>
      </c>
      <c r="J8" s="1790" t="e">
        <f t="shared" si="4"/>
        <v>#DIV/0!</v>
      </c>
      <c r="K8" s="1790" t="e">
        <f t="shared" si="4"/>
        <v>#DIV/0!</v>
      </c>
      <c r="L8" s="1790" t="e">
        <f t="shared" si="4"/>
        <v>#DIV/0!</v>
      </c>
      <c r="M8" s="1790" t="e">
        <f t="shared" si="4"/>
        <v>#DIV/0!</v>
      </c>
      <c r="N8" s="1790" t="e">
        <f t="shared" si="4"/>
        <v>#DIV/0!</v>
      </c>
      <c r="O8" s="1790" t="e">
        <f t="shared" si="4"/>
        <v>#DIV/0!</v>
      </c>
      <c r="P8" s="1790" t="e">
        <f t="shared" ref="P8:AA8" si="5">P7/P6</f>
        <v>#DIV/0!</v>
      </c>
      <c r="Q8" s="1790" t="e">
        <f t="shared" si="5"/>
        <v>#DIV/0!</v>
      </c>
      <c r="R8" s="1790" t="e">
        <f t="shared" si="5"/>
        <v>#DIV/0!</v>
      </c>
      <c r="S8" s="1790" t="e">
        <f t="shared" si="5"/>
        <v>#DIV/0!</v>
      </c>
      <c r="T8" s="1790" t="e">
        <f t="shared" si="5"/>
        <v>#DIV/0!</v>
      </c>
      <c r="U8" s="1790" t="e">
        <f t="shared" si="5"/>
        <v>#DIV/0!</v>
      </c>
      <c r="V8" s="1790" t="e">
        <f t="shared" si="5"/>
        <v>#DIV/0!</v>
      </c>
      <c r="W8" s="1790" t="e">
        <f t="shared" si="5"/>
        <v>#DIV/0!</v>
      </c>
      <c r="X8" s="1790" t="e">
        <f t="shared" si="5"/>
        <v>#DIV/0!</v>
      </c>
      <c r="Y8" s="1790" t="e">
        <f t="shared" si="5"/>
        <v>#DIV/0!</v>
      </c>
      <c r="Z8" s="1790" t="e">
        <f t="shared" si="5"/>
        <v>#DIV/0!</v>
      </c>
      <c r="AA8" s="1790" t="e">
        <f t="shared" si="5"/>
        <v>#DIV/0!</v>
      </c>
      <c r="AB8" s="1791"/>
      <c r="AC8" s="1792"/>
      <c r="AD8" s="1790" t="e">
        <f t="shared" ref="AD8:BA8" si="6">AD7/AD6</f>
        <v>#DIV/0!</v>
      </c>
      <c r="AE8" s="1790" t="e">
        <f t="shared" si="6"/>
        <v>#DIV/0!</v>
      </c>
      <c r="AF8" s="1790" t="e">
        <f t="shared" si="6"/>
        <v>#DIV/0!</v>
      </c>
      <c r="AG8" s="1790" t="e">
        <f t="shared" si="6"/>
        <v>#DIV/0!</v>
      </c>
      <c r="AH8" s="1790" t="e">
        <f t="shared" si="6"/>
        <v>#DIV/0!</v>
      </c>
      <c r="AI8" s="1790" t="e">
        <f t="shared" si="6"/>
        <v>#DIV/0!</v>
      </c>
      <c r="AJ8" s="1790" t="e">
        <f t="shared" si="6"/>
        <v>#DIV/0!</v>
      </c>
      <c r="AK8" s="1790" t="e">
        <f t="shared" si="6"/>
        <v>#DIV/0!</v>
      </c>
      <c r="AL8" s="1790" t="e">
        <f t="shared" si="6"/>
        <v>#DIV/0!</v>
      </c>
      <c r="AM8" s="1790" t="e">
        <f t="shared" si="6"/>
        <v>#DIV/0!</v>
      </c>
      <c r="AN8" s="1790" t="e">
        <f t="shared" si="6"/>
        <v>#DIV/0!</v>
      </c>
      <c r="AO8" s="1812" t="e">
        <f t="shared" si="6"/>
        <v>#DIV/0!</v>
      </c>
      <c r="AP8" s="1790" t="e">
        <f t="shared" si="6"/>
        <v>#DIV/0!</v>
      </c>
      <c r="AQ8" s="1790" t="e">
        <f t="shared" si="6"/>
        <v>#DIV/0!</v>
      </c>
      <c r="AR8" s="1790" t="e">
        <f t="shared" si="6"/>
        <v>#DIV/0!</v>
      </c>
      <c r="AS8" s="1790" t="e">
        <f t="shared" si="6"/>
        <v>#DIV/0!</v>
      </c>
      <c r="AT8" s="1790" t="e">
        <f t="shared" si="6"/>
        <v>#DIV/0!</v>
      </c>
      <c r="AU8" s="1793" t="e">
        <f t="shared" si="6"/>
        <v>#DIV/0!</v>
      </c>
      <c r="AV8" s="1793" t="e">
        <f t="shared" si="6"/>
        <v>#DIV/0!</v>
      </c>
      <c r="AW8" s="1793" t="e">
        <f t="shared" si="6"/>
        <v>#DIV/0!</v>
      </c>
      <c r="AX8" s="1793" t="e">
        <f t="shared" si="6"/>
        <v>#DIV/0!</v>
      </c>
      <c r="AY8" s="1793" t="e">
        <f t="shared" si="6"/>
        <v>#DIV/0!</v>
      </c>
      <c r="AZ8" s="1793" t="e">
        <f t="shared" si="6"/>
        <v>#DIV/0!</v>
      </c>
      <c r="BA8" s="1812" t="e">
        <f t="shared" si="6"/>
        <v>#DIV/0!</v>
      </c>
      <c r="BB8" s="1791"/>
      <c r="BC8" s="1792"/>
      <c r="BD8" s="1790" t="e">
        <f t="shared" si="1"/>
        <v>#DIV/0!</v>
      </c>
      <c r="BE8" s="1790" t="e">
        <f t="shared" si="1"/>
        <v>#DIV/0!</v>
      </c>
      <c r="BF8" s="1790" t="e">
        <f t="shared" si="1"/>
        <v>#DIV/0!</v>
      </c>
      <c r="BG8" s="1790" t="e">
        <f t="shared" si="1"/>
        <v>#DIV/0!</v>
      </c>
      <c r="BH8" s="1790" t="e">
        <f t="shared" si="1"/>
        <v>#DIV/0!</v>
      </c>
      <c r="BI8" s="1790" t="e">
        <f t="shared" si="1"/>
        <v>#DIV/0!</v>
      </c>
      <c r="BJ8" s="1790" t="e">
        <f t="shared" si="1"/>
        <v>#DIV/0!</v>
      </c>
      <c r="BK8" s="1790" t="e">
        <f t="shared" si="1"/>
        <v>#DIV/0!</v>
      </c>
      <c r="BL8" s="1790" t="e">
        <f t="shared" si="1"/>
        <v>#DIV/0!</v>
      </c>
      <c r="BM8" s="1790" t="e">
        <f t="shared" si="1"/>
        <v>#DIV/0!</v>
      </c>
      <c r="BN8" s="1790" t="e">
        <f t="shared" si="1"/>
        <v>#DIV/0!</v>
      </c>
      <c r="BO8" s="1790" t="e">
        <f t="shared" si="1"/>
        <v>#DIV/0!</v>
      </c>
    </row>
    <row r="9" spans="2:67" ht="15" customHeight="1">
      <c r="B9" s="1779" t="s">
        <v>210</v>
      </c>
      <c r="C9" s="1783"/>
      <c r="D9" s="1795">
        <f t="shared" ref="D9:I9" si="7">D6+D7</f>
        <v>0</v>
      </c>
      <c r="E9" s="1795">
        <f t="shared" si="7"/>
        <v>0</v>
      </c>
      <c r="F9" s="1795">
        <f t="shared" si="7"/>
        <v>0</v>
      </c>
      <c r="G9" s="1795">
        <f t="shared" si="7"/>
        <v>0</v>
      </c>
      <c r="H9" s="1795">
        <f t="shared" si="7"/>
        <v>0</v>
      </c>
      <c r="I9" s="1795">
        <f t="shared" si="7"/>
        <v>0</v>
      </c>
      <c r="J9" s="1795">
        <f>J6+J7</f>
        <v>0</v>
      </c>
      <c r="K9" s="1795">
        <f t="shared" ref="K9:O9" si="8">K6+K7</f>
        <v>0</v>
      </c>
      <c r="L9" s="1795">
        <f t="shared" si="8"/>
        <v>0</v>
      </c>
      <c r="M9" s="1795">
        <f t="shared" si="8"/>
        <v>0</v>
      </c>
      <c r="N9" s="1795">
        <f t="shared" si="8"/>
        <v>0</v>
      </c>
      <c r="O9" s="1795">
        <f t="shared" si="8"/>
        <v>0</v>
      </c>
      <c r="P9" s="1795">
        <f t="shared" ref="P9:AA9" si="9">P6+P7</f>
        <v>0</v>
      </c>
      <c r="Q9" s="1795">
        <f t="shared" si="9"/>
        <v>0</v>
      </c>
      <c r="R9" s="1795">
        <f t="shared" si="9"/>
        <v>0</v>
      </c>
      <c r="S9" s="1795">
        <f t="shared" si="9"/>
        <v>0</v>
      </c>
      <c r="T9" s="1795">
        <f t="shared" si="9"/>
        <v>0</v>
      </c>
      <c r="U9" s="1795">
        <f t="shared" si="9"/>
        <v>0</v>
      </c>
      <c r="V9" s="1795">
        <f t="shared" si="9"/>
        <v>0</v>
      </c>
      <c r="W9" s="1795">
        <f t="shared" si="9"/>
        <v>0</v>
      </c>
      <c r="X9" s="1795">
        <f t="shared" si="9"/>
        <v>0</v>
      </c>
      <c r="Y9" s="1795">
        <f t="shared" si="9"/>
        <v>0</v>
      </c>
      <c r="Z9" s="1795">
        <f t="shared" si="9"/>
        <v>0</v>
      </c>
      <c r="AA9" s="1795">
        <f t="shared" si="9"/>
        <v>0</v>
      </c>
      <c r="AB9" s="1782"/>
      <c r="AC9" s="1783"/>
      <c r="AD9" s="1784">
        <f>SUM($D9:D9)</f>
        <v>0</v>
      </c>
      <c r="AE9" s="1784">
        <f>SUM($D9:E9)</f>
        <v>0</v>
      </c>
      <c r="AF9" s="1784">
        <f>SUM($D9:F9)</f>
        <v>0</v>
      </c>
      <c r="AG9" s="1784">
        <f>SUM($D9:G9)</f>
        <v>0</v>
      </c>
      <c r="AH9" s="1784">
        <f>SUM($D9:H9)</f>
        <v>0</v>
      </c>
      <c r="AI9" s="1784">
        <f>SUM($D9:I9)</f>
        <v>0</v>
      </c>
      <c r="AJ9" s="1784">
        <f>SUM($D9:J9)</f>
        <v>0</v>
      </c>
      <c r="AK9" s="1784">
        <f>SUM($D9:K9)</f>
        <v>0</v>
      </c>
      <c r="AL9" s="1784">
        <f>SUM($D9:L9)</f>
        <v>0</v>
      </c>
      <c r="AM9" s="1784">
        <f>SUM($D9:M9)</f>
        <v>0</v>
      </c>
      <c r="AN9" s="1784">
        <f>SUM($D9:N9)</f>
        <v>0</v>
      </c>
      <c r="AO9" s="1809">
        <f>SUM($D9:O9)</f>
        <v>0</v>
      </c>
      <c r="AP9" s="1784">
        <f>SUM($P9:P9)</f>
        <v>0</v>
      </c>
      <c r="AQ9" s="1784">
        <f>SUM($P9:Q9)</f>
        <v>0</v>
      </c>
      <c r="AR9" s="1784">
        <f>SUM($P9:R9)</f>
        <v>0</v>
      </c>
      <c r="AS9" s="1784">
        <f>SUM($P9:S9)</f>
        <v>0</v>
      </c>
      <c r="AT9" s="1784">
        <f>SUM($P9:T9)</f>
        <v>0</v>
      </c>
      <c r="AU9" s="1784">
        <f>SUM($P9:U9)</f>
        <v>0</v>
      </c>
      <c r="AV9" s="1784">
        <f>SUM($P9:V9)</f>
        <v>0</v>
      </c>
      <c r="AW9" s="1784">
        <f>SUM($P9:W9)</f>
        <v>0</v>
      </c>
      <c r="AX9" s="1784">
        <f>SUM($P9:X9)</f>
        <v>0</v>
      </c>
      <c r="AY9" s="1784">
        <f>SUM($P9:Y9)</f>
        <v>0</v>
      </c>
      <c r="AZ9" s="1784">
        <f>SUM($P9:Z9)</f>
        <v>0</v>
      </c>
      <c r="BA9" s="1809">
        <f>SUM($P9:AA9)</f>
        <v>0</v>
      </c>
      <c r="BB9" s="1782"/>
      <c r="BC9" s="1783"/>
      <c r="BD9" s="1784">
        <f t="shared" si="1"/>
        <v>0</v>
      </c>
      <c r="BE9" s="1784">
        <f t="shared" si="1"/>
        <v>0</v>
      </c>
      <c r="BF9" s="1784">
        <f t="shared" si="1"/>
        <v>0</v>
      </c>
      <c r="BG9" s="1784">
        <f t="shared" si="1"/>
        <v>0</v>
      </c>
      <c r="BH9" s="1784">
        <f t="shared" si="1"/>
        <v>0</v>
      </c>
      <c r="BI9" s="1784">
        <f t="shared" si="1"/>
        <v>0</v>
      </c>
      <c r="BJ9" s="1784">
        <f t="shared" si="1"/>
        <v>0</v>
      </c>
      <c r="BK9" s="1784">
        <f t="shared" si="1"/>
        <v>0</v>
      </c>
      <c r="BL9" s="1784">
        <f t="shared" si="1"/>
        <v>0</v>
      </c>
      <c r="BM9" s="1784">
        <f t="shared" si="1"/>
        <v>0</v>
      </c>
      <c r="BN9" s="1784">
        <f t="shared" si="1"/>
        <v>0</v>
      </c>
      <c r="BO9" s="1784">
        <f t="shared" si="1"/>
        <v>0</v>
      </c>
    </row>
    <row r="10" spans="2:67" ht="15" customHeight="1">
      <c r="B10" s="1779" t="s">
        <v>211</v>
      </c>
      <c r="C10" s="1783"/>
      <c r="D10" s="1807"/>
      <c r="E10" s="1807"/>
      <c r="F10" s="1807"/>
      <c r="G10" s="1807"/>
      <c r="H10" s="1807"/>
      <c r="I10" s="1807"/>
      <c r="J10" s="1807"/>
      <c r="K10" s="1807"/>
      <c r="L10" s="1807"/>
      <c r="M10" s="1807"/>
      <c r="N10" s="1807"/>
      <c r="O10" s="1807"/>
      <c r="P10" s="1807"/>
      <c r="Q10" s="1807"/>
      <c r="R10" s="1807"/>
      <c r="S10" s="1807"/>
      <c r="T10" s="1807"/>
      <c r="U10" s="1807"/>
      <c r="V10" s="1807"/>
      <c r="W10" s="1807"/>
      <c r="X10" s="1807"/>
      <c r="Y10" s="1807"/>
      <c r="Z10" s="1807"/>
      <c r="AA10" s="1807"/>
      <c r="AB10" s="1782"/>
      <c r="AC10" s="1783"/>
      <c r="AD10" s="1784">
        <f>SUM($D10:D10)</f>
        <v>0</v>
      </c>
      <c r="AE10" s="1784">
        <f>SUM($D10:E10)</f>
        <v>0</v>
      </c>
      <c r="AF10" s="1784">
        <f>SUM($D10:F10)</f>
        <v>0</v>
      </c>
      <c r="AG10" s="1784">
        <f>SUM($D10:G10)</f>
        <v>0</v>
      </c>
      <c r="AH10" s="1784">
        <f>SUM($D10:H10)</f>
        <v>0</v>
      </c>
      <c r="AI10" s="1784">
        <f>SUM($D10:I10)</f>
        <v>0</v>
      </c>
      <c r="AJ10" s="1784">
        <f>SUM($D10:J10)</f>
        <v>0</v>
      </c>
      <c r="AK10" s="1784">
        <f>SUM($D10:K10)</f>
        <v>0</v>
      </c>
      <c r="AL10" s="1784">
        <f>SUM($D10:L10)</f>
        <v>0</v>
      </c>
      <c r="AM10" s="1784">
        <f>SUM($D10:M10)</f>
        <v>0</v>
      </c>
      <c r="AN10" s="1784">
        <f>SUM($D10:N10)</f>
        <v>0</v>
      </c>
      <c r="AO10" s="1809">
        <f>SUM($D10:O10)</f>
        <v>0</v>
      </c>
      <c r="AP10" s="1784">
        <f>SUM($P10:P10)</f>
        <v>0</v>
      </c>
      <c r="AQ10" s="1784">
        <f>SUM($P10:Q10)</f>
        <v>0</v>
      </c>
      <c r="AR10" s="1784">
        <f>SUM($P10:R10)</f>
        <v>0</v>
      </c>
      <c r="AS10" s="1784">
        <f>SUM($P10:S10)</f>
        <v>0</v>
      </c>
      <c r="AT10" s="1784">
        <f>SUM($P10:T10)</f>
        <v>0</v>
      </c>
      <c r="AU10" s="1784">
        <f>SUM($P10:U10)</f>
        <v>0</v>
      </c>
      <c r="AV10" s="1784">
        <f>SUM($P10:V10)</f>
        <v>0</v>
      </c>
      <c r="AW10" s="1784">
        <f>SUM($P10:W10)</f>
        <v>0</v>
      </c>
      <c r="AX10" s="1784">
        <f>SUM($P10:X10)</f>
        <v>0</v>
      </c>
      <c r="AY10" s="1784">
        <f>SUM($P10:Y10)</f>
        <v>0</v>
      </c>
      <c r="AZ10" s="1784">
        <f>SUM($P10:Z10)</f>
        <v>0</v>
      </c>
      <c r="BA10" s="1809">
        <f>SUM($P10:AA10)</f>
        <v>0</v>
      </c>
      <c r="BB10" s="1782"/>
      <c r="BC10" s="1783"/>
      <c r="BD10" s="1784">
        <f t="shared" si="1"/>
        <v>0</v>
      </c>
      <c r="BE10" s="1784">
        <f t="shared" si="1"/>
        <v>0</v>
      </c>
      <c r="BF10" s="1784">
        <f t="shared" si="1"/>
        <v>0</v>
      </c>
      <c r="BG10" s="1784">
        <f t="shared" si="1"/>
        <v>0</v>
      </c>
      <c r="BH10" s="1784">
        <f t="shared" si="1"/>
        <v>0</v>
      </c>
      <c r="BI10" s="1784">
        <f t="shared" si="1"/>
        <v>0</v>
      </c>
      <c r="BJ10" s="1784">
        <f t="shared" si="1"/>
        <v>0</v>
      </c>
      <c r="BK10" s="1784">
        <f t="shared" si="1"/>
        <v>0</v>
      </c>
      <c r="BL10" s="1784">
        <f t="shared" si="1"/>
        <v>0</v>
      </c>
      <c r="BM10" s="1784">
        <f t="shared" si="1"/>
        <v>0</v>
      </c>
      <c r="BN10" s="1784">
        <f t="shared" si="1"/>
        <v>0</v>
      </c>
      <c r="BO10" s="1784">
        <f t="shared" si="1"/>
        <v>0</v>
      </c>
    </row>
    <row r="11" spans="2:67" ht="15" customHeight="1">
      <c r="B11" s="1785" t="s">
        <v>212</v>
      </c>
      <c r="C11" s="1787"/>
      <c r="D11" s="1781">
        <f t="shared" ref="D11:O11" si="10">D9+D10</f>
        <v>0</v>
      </c>
      <c r="E11" s="1781">
        <f t="shared" si="10"/>
        <v>0</v>
      </c>
      <c r="F11" s="1781">
        <f t="shared" si="10"/>
        <v>0</v>
      </c>
      <c r="G11" s="1781">
        <f t="shared" si="10"/>
        <v>0</v>
      </c>
      <c r="H11" s="1781">
        <f t="shared" si="10"/>
        <v>0</v>
      </c>
      <c r="I11" s="1781">
        <f t="shared" si="10"/>
        <v>0</v>
      </c>
      <c r="J11" s="1781">
        <f t="shared" si="10"/>
        <v>0</v>
      </c>
      <c r="K11" s="1781">
        <f t="shared" si="10"/>
        <v>0</v>
      </c>
      <c r="L11" s="1781">
        <f t="shared" si="10"/>
        <v>0</v>
      </c>
      <c r="M11" s="1781">
        <f t="shared" si="10"/>
        <v>0</v>
      </c>
      <c r="N11" s="1781">
        <f t="shared" si="10"/>
        <v>0</v>
      </c>
      <c r="O11" s="1781">
        <f t="shared" si="10"/>
        <v>0</v>
      </c>
      <c r="P11" s="1781">
        <f t="shared" ref="P11:AA11" si="11">P9+P10</f>
        <v>0</v>
      </c>
      <c r="Q11" s="1781">
        <f t="shared" si="11"/>
        <v>0</v>
      </c>
      <c r="R11" s="1781">
        <f t="shared" si="11"/>
        <v>0</v>
      </c>
      <c r="S11" s="1781">
        <f t="shared" si="11"/>
        <v>0</v>
      </c>
      <c r="T11" s="1781">
        <f t="shared" si="11"/>
        <v>0</v>
      </c>
      <c r="U11" s="1781">
        <f t="shared" si="11"/>
        <v>0</v>
      </c>
      <c r="V11" s="1781">
        <f t="shared" si="11"/>
        <v>0</v>
      </c>
      <c r="W11" s="1781">
        <f t="shared" si="11"/>
        <v>0</v>
      </c>
      <c r="X11" s="1781">
        <f t="shared" si="11"/>
        <v>0</v>
      </c>
      <c r="Y11" s="1781">
        <f t="shared" si="11"/>
        <v>0</v>
      </c>
      <c r="Z11" s="1781">
        <f t="shared" si="11"/>
        <v>0</v>
      </c>
      <c r="AA11" s="1781">
        <f t="shared" si="11"/>
        <v>0</v>
      </c>
      <c r="AB11" s="1786"/>
      <c r="AC11" s="1787"/>
      <c r="AD11" s="1788">
        <f>SUM($D11:D11)</f>
        <v>0</v>
      </c>
      <c r="AE11" s="1788">
        <f>SUM($D11:E11)</f>
        <v>0</v>
      </c>
      <c r="AF11" s="1788">
        <f>SUM($D11:F11)</f>
        <v>0</v>
      </c>
      <c r="AG11" s="1788">
        <f>SUM($D11:G11)</f>
        <v>0</v>
      </c>
      <c r="AH11" s="1788">
        <f>SUM($D11:H11)</f>
        <v>0</v>
      </c>
      <c r="AI11" s="1788">
        <f>SUM($D11:I11)</f>
        <v>0</v>
      </c>
      <c r="AJ11" s="1788">
        <f>SUM($D11:J11)</f>
        <v>0</v>
      </c>
      <c r="AK11" s="1788">
        <f>SUM($D11:K11)</f>
        <v>0</v>
      </c>
      <c r="AL11" s="1788">
        <f>SUM($D11:L11)</f>
        <v>0</v>
      </c>
      <c r="AM11" s="1788">
        <f>SUM($D11:M11)</f>
        <v>0</v>
      </c>
      <c r="AN11" s="1788">
        <f>SUM($D11:N11)</f>
        <v>0</v>
      </c>
      <c r="AO11" s="1811">
        <f>SUM($D11:O11)</f>
        <v>0</v>
      </c>
      <c r="AP11" s="1788">
        <f>SUM($P11:P11)</f>
        <v>0</v>
      </c>
      <c r="AQ11" s="1788">
        <f>SUM($P11:Q11)</f>
        <v>0</v>
      </c>
      <c r="AR11" s="1788">
        <f>SUM($P11:R11)</f>
        <v>0</v>
      </c>
      <c r="AS11" s="1788">
        <f>SUM($P11:S11)</f>
        <v>0</v>
      </c>
      <c r="AT11" s="1788">
        <f>SUM($P11:T11)</f>
        <v>0</v>
      </c>
      <c r="AU11" s="1788">
        <f>SUM($P11:U11)</f>
        <v>0</v>
      </c>
      <c r="AV11" s="1788">
        <f>SUM($P11:V11)</f>
        <v>0</v>
      </c>
      <c r="AW11" s="1788">
        <f>SUM($P11:W11)</f>
        <v>0</v>
      </c>
      <c r="AX11" s="1788">
        <f>SUM($P11:X11)</f>
        <v>0</v>
      </c>
      <c r="AY11" s="1788">
        <f>SUM($P11:Y11)</f>
        <v>0</v>
      </c>
      <c r="AZ11" s="1788">
        <f>SUM($P11:Z11)</f>
        <v>0</v>
      </c>
      <c r="BA11" s="1811">
        <f>SUM($P11:AA11)</f>
        <v>0</v>
      </c>
      <c r="BB11" s="1786"/>
      <c r="BC11" s="1787"/>
      <c r="BD11" s="1788">
        <f t="shared" si="1"/>
        <v>0</v>
      </c>
      <c r="BE11" s="1788">
        <f t="shared" si="1"/>
        <v>0</v>
      </c>
      <c r="BF11" s="1788">
        <f t="shared" si="1"/>
        <v>0</v>
      </c>
      <c r="BG11" s="1788">
        <f t="shared" si="1"/>
        <v>0</v>
      </c>
      <c r="BH11" s="1788">
        <f t="shared" si="1"/>
        <v>0</v>
      </c>
      <c r="BI11" s="1788">
        <f t="shared" si="1"/>
        <v>0</v>
      </c>
      <c r="BJ11" s="1788">
        <f t="shared" si="1"/>
        <v>0</v>
      </c>
      <c r="BK11" s="1788">
        <f t="shared" si="1"/>
        <v>0</v>
      </c>
      <c r="BL11" s="1788">
        <f t="shared" si="1"/>
        <v>0</v>
      </c>
      <c r="BM11" s="1788">
        <f t="shared" si="1"/>
        <v>0</v>
      </c>
      <c r="BN11" s="1788">
        <f t="shared" si="1"/>
        <v>0</v>
      </c>
      <c r="BO11" s="1788">
        <f t="shared" si="1"/>
        <v>0</v>
      </c>
    </row>
    <row r="12" spans="2:67" s="1794" customFormat="1" ht="15" customHeight="1">
      <c r="B12" s="1796" t="s">
        <v>213</v>
      </c>
      <c r="C12" s="1798"/>
      <c r="D12" s="1790" t="e">
        <f t="shared" ref="D12:O12" si="12">D11/D6</f>
        <v>#DIV/0!</v>
      </c>
      <c r="E12" s="1790" t="e">
        <f t="shared" si="12"/>
        <v>#DIV/0!</v>
      </c>
      <c r="F12" s="1790" t="e">
        <f t="shared" si="12"/>
        <v>#DIV/0!</v>
      </c>
      <c r="G12" s="1790" t="e">
        <f t="shared" si="12"/>
        <v>#DIV/0!</v>
      </c>
      <c r="H12" s="1790" t="e">
        <f t="shared" si="12"/>
        <v>#DIV/0!</v>
      </c>
      <c r="I12" s="1790" t="e">
        <f t="shared" si="12"/>
        <v>#DIV/0!</v>
      </c>
      <c r="J12" s="1790" t="e">
        <f t="shared" si="12"/>
        <v>#DIV/0!</v>
      </c>
      <c r="K12" s="1790" t="e">
        <f t="shared" si="12"/>
        <v>#DIV/0!</v>
      </c>
      <c r="L12" s="1790" t="e">
        <f t="shared" si="12"/>
        <v>#DIV/0!</v>
      </c>
      <c r="M12" s="1790" t="e">
        <f t="shared" si="12"/>
        <v>#DIV/0!</v>
      </c>
      <c r="N12" s="1790" t="e">
        <f t="shared" si="12"/>
        <v>#DIV/0!</v>
      </c>
      <c r="O12" s="1790" t="e">
        <f t="shared" si="12"/>
        <v>#DIV/0!</v>
      </c>
      <c r="P12" s="1790" t="e">
        <f t="shared" ref="P12:AA12" si="13">P11/P6</f>
        <v>#DIV/0!</v>
      </c>
      <c r="Q12" s="1790" t="e">
        <f t="shared" si="13"/>
        <v>#DIV/0!</v>
      </c>
      <c r="R12" s="1790" t="e">
        <f t="shared" si="13"/>
        <v>#DIV/0!</v>
      </c>
      <c r="S12" s="1790" t="e">
        <f t="shared" si="13"/>
        <v>#DIV/0!</v>
      </c>
      <c r="T12" s="1790" t="e">
        <f t="shared" si="13"/>
        <v>#DIV/0!</v>
      </c>
      <c r="U12" s="1790" t="e">
        <f t="shared" si="13"/>
        <v>#DIV/0!</v>
      </c>
      <c r="V12" s="1790" t="e">
        <f t="shared" si="13"/>
        <v>#DIV/0!</v>
      </c>
      <c r="W12" s="1790" t="e">
        <f t="shared" si="13"/>
        <v>#DIV/0!</v>
      </c>
      <c r="X12" s="1790" t="e">
        <f t="shared" si="13"/>
        <v>#DIV/0!</v>
      </c>
      <c r="Y12" s="1790" t="e">
        <f t="shared" si="13"/>
        <v>#DIV/0!</v>
      </c>
      <c r="Z12" s="1790" t="e">
        <f t="shared" si="13"/>
        <v>#DIV/0!</v>
      </c>
      <c r="AA12" s="1790" t="e">
        <f t="shared" si="13"/>
        <v>#DIV/0!</v>
      </c>
      <c r="AB12" s="1797"/>
      <c r="AC12" s="1798"/>
      <c r="AD12" s="1790" t="e">
        <f>SUM($D12:D12)</f>
        <v>#DIV/0!</v>
      </c>
      <c r="AE12" s="1790" t="e">
        <f>AE11/AE6</f>
        <v>#DIV/0!</v>
      </c>
      <c r="AF12" s="1790" t="e">
        <f t="shared" ref="AF12:BA12" si="14">AF11/AF6</f>
        <v>#DIV/0!</v>
      </c>
      <c r="AG12" s="1790" t="e">
        <f t="shared" si="14"/>
        <v>#DIV/0!</v>
      </c>
      <c r="AH12" s="1790" t="e">
        <f t="shared" si="14"/>
        <v>#DIV/0!</v>
      </c>
      <c r="AI12" s="1790" t="e">
        <f t="shared" si="14"/>
        <v>#DIV/0!</v>
      </c>
      <c r="AJ12" s="1790" t="e">
        <f t="shared" si="14"/>
        <v>#DIV/0!</v>
      </c>
      <c r="AK12" s="1790" t="e">
        <f t="shared" si="14"/>
        <v>#DIV/0!</v>
      </c>
      <c r="AL12" s="1790" t="e">
        <f t="shared" si="14"/>
        <v>#DIV/0!</v>
      </c>
      <c r="AM12" s="1790" t="e">
        <f t="shared" si="14"/>
        <v>#DIV/0!</v>
      </c>
      <c r="AN12" s="1790" t="e">
        <f t="shared" si="14"/>
        <v>#DIV/0!</v>
      </c>
      <c r="AO12" s="1812" t="e">
        <f t="shared" si="14"/>
        <v>#DIV/0!</v>
      </c>
      <c r="AP12" s="1790" t="e">
        <f t="shared" si="14"/>
        <v>#DIV/0!</v>
      </c>
      <c r="AQ12" s="1790" t="e">
        <f t="shared" si="14"/>
        <v>#DIV/0!</v>
      </c>
      <c r="AR12" s="1790" t="e">
        <f t="shared" si="14"/>
        <v>#DIV/0!</v>
      </c>
      <c r="AS12" s="1790" t="e">
        <f t="shared" si="14"/>
        <v>#DIV/0!</v>
      </c>
      <c r="AT12" s="1790" t="e">
        <f t="shared" si="14"/>
        <v>#DIV/0!</v>
      </c>
      <c r="AU12" s="1793" t="e">
        <f t="shared" si="14"/>
        <v>#DIV/0!</v>
      </c>
      <c r="AV12" s="1793" t="e">
        <f t="shared" si="14"/>
        <v>#DIV/0!</v>
      </c>
      <c r="AW12" s="1793" t="e">
        <f t="shared" si="14"/>
        <v>#DIV/0!</v>
      </c>
      <c r="AX12" s="1793" t="e">
        <f t="shared" si="14"/>
        <v>#DIV/0!</v>
      </c>
      <c r="AY12" s="1793" t="e">
        <f t="shared" si="14"/>
        <v>#DIV/0!</v>
      </c>
      <c r="AZ12" s="1793" t="e">
        <f t="shared" si="14"/>
        <v>#DIV/0!</v>
      </c>
      <c r="BA12" s="1812" t="e">
        <f t="shared" si="14"/>
        <v>#DIV/0!</v>
      </c>
      <c r="BB12" s="1797"/>
      <c r="BC12" s="1798"/>
      <c r="BD12" s="1790" t="e">
        <f t="shared" si="1"/>
        <v>#DIV/0!</v>
      </c>
      <c r="BE12" s="1790" t="e">
        <f t="shared" si="1"/>
        <v>#DIV/0!</v>
      </c>
      <c r="BF12" s="1790" t="e">
        <f t="shared" si="1"/>
        <v>#DIV/0!</v>
      </c>
      <c r="BG12" s="1790" t="e">
        <f t="shared" si="1"/>
        <v>#DIV/0!</v>
      </c>
      <c r="BH12" s="1790" t="e">
        <f t="shared" si="1"/>
        <v>#DIV/0!</v>
      </c>
      <c r="BI12" s="1790" t="e">
        <f t="shared" si="1"/>
        <v>#DIV/0!</v>
      </c>
      <c r="BJ12" s="1790" t="e">
        <f t="shared" si="1"/>
        <v>#DIV/0!</v>
      </c>
      <c r="BK12" s="1790" t="e">
        <f t="shared" si="1"/>
        <v>#DIV/0!</v>
      </c>
      <c r="BL12" s="1790" t="e">
        <f t="shared" si="1"/>
        <v>#DIV/0!</v>
      </c>
      <c r="BM12" s="1790" t="e">
        <f t="shared" si="1"/>
        <v>#DIV/0!</v>
      </c>
      <c r="BN12" s="1790" t="e">
        <f t="shared" si="1"/>
        <v>#DIV/0!</v>
      </c>
      <c r="BO12" s="1790" t="e">
        <f t="shared" si="1"/>
        <v>#DIV/0!</v>
      </c>
    </row>
    <row r="13" spans="2:67" ht="15" customHeight="1">
      <c r="B13" s="1779" t="s">
        <v>214</v>
      </c>
      <c r="C13" s="1783"/>
      <c r="D13" s="1808"/>
      <c r="E13" s="1808"/>
      <c r="F13" s="1808"/>
      <c r="G13" s="1808"/>
      <c r="H13" s="1808"/>
      <c r="I13" s="1808"/>
      <c r="J13" s="1808"/>
      <c r="K13" s="1808"/>
      <c r="L13" s="1808"/>
      <c r="M13" s="1808"/>
      <c r="N13" s="1808"/>
      <c r="O13" s="1808"/>
      <c r="P13" s="1808"/>
      <c r="Q13" s="1808"/>
      <c r="R13" s="1808"/>
      <c r="S13" s="1808"/>
      <c r="T13" s="1808"/>
      <c r="U13" s="1808"/>
      <c r="V13" s="1808"/>
      <c r="W13" s="1808"/>
      <c r="X13" s="1808"/>
      <c r="Y13" s="1808"/>
      <c r="Z13" s="1808"/>
      <c r="AA13" s="1808"/>
      <c r="AB13" s="1782"/>
      <c r="AC13" s="1783"/>
      <c r="AD13" s="1782">
        <f>SUM($D13:D13)</f>
        <v>0</v>
      </c>
      <c r="AE13" s="1782">
        <f>SUM($D13:E13)</f>
        <v>0</v>
      </c>
      <c r="AF13" s="1782">
        <f>SUM($D13:F13)</f>
        <v>0</v>
      </c>
      <c r="AG13" s="1782">
        <f>SUM($D13:G13)</f>
        <v>0</v>
      </c>
      <c r="AH13" s="1782">
        <f>SUM($D13:H13)</f>
        <v>0</v>
      </c>
      <c r="AI13" s="1782">
        <f>SUM($D13:I13)</f>
        <v>0</v>
      </c>
      <c r="AJ13" s="1782">
        <f>SUM($D13:J13)</f>
        <v>0</v>
      </c>
      <c r="AK13" s="1782">
        <f>SUM($D13:K13)</f>
        <v>0</v>
      </c>
      <c r="AL13" s="1782">
        <f>SUM($D13:L13)</f>
        <v>0</v>
      </c>
      <c r="AM13" s="1782">
        <f>SUM($D13:M13)</f>
        <v>0</v>
      </c>
      <c r="AN13" s="1782">
        <f>SUM($D13:N13)</f>
        <v>0</v>
      </c>
      <c r="AO13" s="1810">
        <f>SUM($D13:O13)</f>
        <v>0</v>
      </c>
      <c r="AP13" s="1782">
        <f>SUM($P13:P13)</f>
        <v>0</v>
      </c>
      <c r="AQ13" s="1782">
        <f>SUM($P13:Q13)</f>
        <v>0</v>
      </c>
      <c r="AR13" s="1782">
        <f>SUM($P13:R13)</f>
        <v>0</v>
      </c>
      <c r="AS13" s="1782">
        <f>SUM($P13:S13)</f>
        <v>0</v>
      </c>
      <c r="AT13" s="1782">
        <f>SUM($P13:T13)</f>
        <v>0</v>
      </c>
      <c r="AU13" s="1782">
        <f>SUM($P13:U13)</f>
        <v>0</v>
      </c>
      <c r="AV13" s="1782">
        <f>SUM($P13:V13)</f>
        <v>0</v>
      </c>
      <c r="AW13" s="1782">
        <f>SUM($P13:W13)</f>
        <v>0</v>
      </c>
      <c r="AX13" s="1782">
        <f>SUM($P13:X13)</f>
        <v>0</v>
      </c>
      <c r="AY13" s="1782">
        <f>SUM($P13:Y13)</f>
        <v>0</v>
      </c>
      <c r="AZ13" s="1782">
        <f>SUM($P13:Z13)</f>
        <v>0</v>
      </c>
      <c r="BA13" s="1810">
        <f>SUM($P13:AA13)</f>
        <v>0</v>
      </c>
      <c r="BB13" s="1782"/>
      <c r="BC13" s="1783"/>
      <c r="BD13" s="1782">
        <f t="shared" si="1"/>
        <v>0</v>
      </c>
      <c r="BE13" s="1782">
        <f t="shared" si="1"/>
        <v>0</v>
      </c>
      <c r="BF13" s="1782">
        <f t="shared" si="1"/>
        <v>0</v>
      </c>
      <c r="BG13" s="1782">
        <f t="shared" si="1"/>
        <v>0</v>
      </c>
      <c r="BH13" s="1782">
        <f t="shared" si="1"/>
        <v>0</v>
      </c>
      <c r="BI13" s="1782">
        <f t="shared" si="1"/>
        <v>0</v>
      </c>
      <c r="BJ13" s="1782">
        <f t="shared" si="1"/>
        <v>0</v>
      </c>
      <c r="BK13" s="1782">
        <f t="shared" si="1"/>
        <v>0</v>
      </c>
      <c r="BL13" s="1782">
        <f t="shared" si="1"/>
        <v>0</v>
      </c>
      <c r="BM13" s="1782">
        <f t="shared" si="1"/>
        <v>0</v>
      </c>
      <c r="BN13" s="1782">
        <f t="shared" si="1"/>
        <v>0</v>
      </c>
      <c r="BO13" s="1782">
        <f t="shared" si="1"/>
        <v>0</v>
      </c>
    </row>
    <row r="14" spans="2:67" ht="15" customHeight="1">
      <c r="B14" s="1779" t="s">
        <v>215</v>
      </c>
      <c r="C14" s="1783"/>
      <c r="D14" s="1808"/>
      <c r="E14" s="1808"/>
      <c r="F14" s="1808"/>
      <c r="G14" s="1808"/>
      <c r="H14" s="1808"/>
      <c r="I14" s="1808"/>
      <c r="J14" s="1808"/>
      <c r="K14" s="1808"/>
      <c r="L14" s="1808"/>
      <c r="M14" s="1808"/>
      <c r="N14" s="1808"/>
      <c r="O14" s="1808"/>
      <c r="P14" s="1808"/>
      <c r="Q14" s="1808"/>
      <c r="R14" s="1808"/>
      <c r="S14" s="1808"/>
      <c r="T14" s="1808"/>
      <c r="U14" s="1808"/>
      <c r="V14" s="1808"/>
      <c r="W14" s="1808"/>
      <c r="X14" s="1808"/>
      <c r="Y14" s="1808"/>
      <c r="Z14" s="1808"/>
      <c r="AA14" s="1808"/>
      <c r="AB14" s="1782"/>
      <c r="AC14" s="1783"/>
      <c r="AD14" s="1782">
        <f>SUM($D14:D14)</f>
        <v>0</v>
      </c>
      <c r="AE14" s="1782">
        <f>SUM($D14:E14)</f>
        <v>0</v>
      </c>
      <c r="AF14" s="1782">
        <f>SUM($D14:F14)</f>
        <v>0</v>
      </c>
      <c r="AG14" s="1782">
        <f>SUM($D14:G14)</f>
        <v>0</v>
      </c>
      <c r="AH14" s="1782">
        <f>SUM($D14:H14)</f>
        <v>0</v>
      </c>
      <c r="AI14" s="1782">
        <f>SUM($D14:I14)</f>
        <v>0</v>
      </c>
      <c r="AJ14" s="1782">
        <f>SUM($D14:J14)</f>
        <v>0</v>
      </c>
      <c r="AK14" s="1782">
        <f>SUM($D14:K14)</f>
        <v>0</v>
      </c>
      <c r="AL14" s="1782">
        <f>SUM($D14:L14)</f>
        <v>0</v>
      </c>
      <c r="AM14" s="1782">
        <f>SUM($D14:M14)</f>
        <v>0</v>
      </c>
      <c r="AN14" s="1782">
        <f>SUM($D14:N14)</f>
        <v>0</v>
      </c>
      <c r="AO14" s="1810">
        <f>SUM($D14:O14)</f>
        <v>0</v>
      </c>
      <c r="AP14" s="1782">
        <f>SUM($P14:P14)</f>
        <v>0</v>
      </c>
      <c r="AQ14" s="1782">
        <f>SUM($P14:Q14)</f>
        <v>0</v>
      </c>
      <c r="AR14" s="1782">
        <f>SUM($P14:R14)</f>
        <v>0</v>
      </c>
      <c r="AS14" s="1782">
        <f>SUM($P14:S14)</f>
        <v>0</v>
      </c>
      <c r="AT14" s="1782">
        <f>SUM($P14:T14)</f>
        <v>0</v>
      </c>
      <c r="AU14" s="1782">
        <f>SUM($P14:U14)</f>
        <v>0</v>
      </c>
      <c r="AV14" s="1782">
        <f>SUM($P14:V14)</f>
        <v>0</v>
      </c>
      <c r="AW14" s="1782">
        <f>SUM($P14:W14)</f>
        <v>0</v>
      </c>
      <c r="AX14" s="1782">
        <f>SUM($P14:X14)</f>
        <v>0</v>
      </c>
      <c r="AY14" s="1782">
        <f>SUM($P14:Y14)</f>
        <v>0</v>
      </c>
      <c r="AZ14" s="1782">
        <f>SUM($P14:Z14)</f>
        <v>0</v>
      </c>
      <c r="BA14" s="1810">
        <f>SUM($P14:AA14)</f>
        <v>0</v>
      </c>
      <c r="BB14" s="1782"/>
      <c r="BC14" s="1783"/>
      <c r="BD14" s="1782">
        <f t="shared" si="1"/>
        <v>0</v>
      </c>
      <c r="BE14" s="1782">
        <f t="shared" si="1"/>
        <v>0</v>
      </c>
      <c r="BF14" s="1782">
        <f t="shared" si="1"/>
        <v>0</v>
      </c>
      <c r="BG14" s="1782">
        <f t="shared" si="1"/>
        <v>0</v>
      </c>
      <c r="BH14" s="1782">
        <f t="shared" si="1"/>
        <v>0</v>
      </c>
      <c r="BI14" s="1782">
        <f t="shared" si="1"/>
        <v>0</v>
      </c>
      <c r="BJ14" s="1782">
        <f t="shared" si="1"/>
        <v>0</v>
      </c>
      <c r="BK14" s="1782">
        <f t="shared" si="1"/>
        <v>0</v>
      </c>
      <c r="BL14" s="1782">
        <f t="shared" si="1"/>
        <v>0</v>
      </c>
      <c r="BM14" s="1782">
        <f t="shared" si="1"/>
        <v>0</v>
      </c>
      <c r="BN14" s="1782">
        <f t="shared" si="1"/>
        <v>0</v>
      </c>
      <c r="BO14" s="1782">
        <f t="shared" si="1"/>
        <v>0</v>
      </c>
    </row>
    <row r="15" spans="2:67" ht="15" customHeight="1">
      <c r="B15" s="1779" t="s">
        <v>216</v>
      </c>
      <c r="C15" s="1783"/>
      <c r="D15" s="1808"/>
      <c r="E15" s="1808"/>
      <c r="F15" s="1808"/>
      <c r="G15" s="1808"/>
      <c r="H15" s="1808"/>
      <c r="I15" s="1808"/>
      <c r="J15" s="1808"/>
      <c r="K15" s="1808"/>
      <c r="L15" s="1808"/>
      <c r="M15" s="1808"/>
      <c r="N15" s="1808"/>
      <c r="O15" s="1808"/>
      <c r="P15" s="1808"/>
      <c r="Q15" s="1808"/>
      <c r="R15" s="1808"/>
      <c r="S15" s="1808"/>
      <c r="T15" s="1808"/>
      <c r="U15" s="1808"/>
      <c r="V15" s="1808"/>
      <c r="W15" s="1808"/>
      <c r="X15" s="1808"/>
      <c r="Y15" s="1808"/>
      <c r="Z15" s="1808"/>
      <c r="AA15" s="1808"/>
      <c r="AB15" s="1782"/>
      <c r="AC15" s="1783"/>
      <c r="AD15" s="1782">
        <f>SUM($D15:D15)</f>
        <v>0</v>
      </c>
      <c r="AE15" s="1782">
        <f>SUM($D15:E15)</f>
        <v>0</v>
      </c>
      <c r="AF15" s="1782">
        <f>SUM($D15:F15)</f>
        <v>0</v>
      </c>
      <c r="AG15" s="1782">
        <f>SUM($D15:G15)</f>
        <v>0</v>
      </c>
      <c r="AH15" s="1782">
        <f>SUM($D15:H15)</f>
        <v>0</v>
      </c>
      <c r="AI15" s="1782">
        <f>SUM($D15:I15)</f>
        <v>0</v>
      </c>
      <c r="AJ15" s="1782">
        <f>SUM($D15:J15)</f>
        <v>0</v>
      </c>
      <c r="AK15" s="1782">
        <f>SUM($D15:K15)</f>
        <v>0</v>
      </c>
      <c r="AL15" s="1782">
        <f>SUM($D15:L15)</f>
        <v>0</v>
      </c>
      <c r="AM15" s="1782">
        <f>SUM($D15:M15)</f>
        <v>0</v>
      </c>
      <c r="AN15" s="1782">
        <f>SUM($D15:N15)</f>
        <v>0</v>
      </c>
      <c r="AO15" s="1810">
        <f>SUM($D15:O15)</f>
        <v>0</v>
      </c>
      <c r="AP15" s="1782">
        <f>SUM($P15:P15)</f>
        <v>0</v>
      </c>
      <c r="AQ15" s="1782">
        <f>SUM($P15:Q15)</f>
        <v>0</v>
      </c>
      <c r="AR15" s="1782">
        <f>SUM($P15:R15)</f>
        <v>0</v>
      </c>
      <c r="AS15" s="1782">
        <f>SUM($P15:S15)</f>
        <v>0</v>
      </c>
      <c r="AT15" s="1782">
        <f>SUM($P15:T15)</f>
        <v>0</v>
      </c>
      <c r="AU15" s="1782">
        <f>SUM($P15:U15)</f>
        <v>0</v>
      </c>
      <c r="AV15" s="1782">
        <f>SUM($P15:V15)</f>
        <v>0</v>
      </c>
      <c r="AW15" s="1782">
        <f>SUM($P15:W15)</f>
        <v>0</v>
      </c>
      <c r="AX15" s="1782">
        <f>SUM($P15:X15)</f>
        <v>0</v>
      </c>
      <c r="AY15" s="1782">
        <f>SUM($P15:Y15)</f>
        <v>0</v>
      </c>
      <c r="AZ15" s="1782">
        <f>SUM($P15:Z15)</f>
        <v>0</v>
      </c>
      <c r="BA15" s="1810">
        <f>SUM($P15:AA15)</f>
        <v>0</v>
      </c>
      <c r="BB15" s="1782"/>
      <c r="BC15" s="1783"/>
      <c r="BD15" s="1782">
        <f t="shared" si="1"/>
        <v>0</v>
      </c>
      <c r="BE15" s="1782">
        <f t="shared" si="1"/>
        <v>0</v>
      </c>
      <c r="BF15" s="1782">
        <f t="shared" si="1"/>
        <v>0</v>
      </c>
      <c r="BG15" s="1782">
        <f t="shared" si="1"/>
        <v>0</v>
      </c>
      <c r="BH15" s="1782">
        <f t="shared" si="1"/>
        <v>0</v>
      </c>
      <c r="BI15" s="1782">
        <f t="shared" si="1"/>
        <v>0</v>
      </c>
      <c r="BJ15" s="1782">
        <f t="shared" si="1"/>
        <v>0</v>
      </c>
      <c r="BK15" s="1782">
        <f t="shared" si="1"/>
        <v>0</v>
      </c>
      <c r="BL15" s="1782">
        <f t="shared" si="1"/>
        <v>0</v>
      </c>
      <c r="BM15" s="1782">
        <f t="shared" si="1"/>
        <v>0</v>
      </c>
      <c r="BN15" s="1782">
        <f t="shared" si="1"/>
        <v>0</v>
      </c>
      <c r="BO15" s="1782">
        <f t="shared" si="1"/>
        <v>0</v>
      </c>
    </row>
    <row r="16" spans="2:67" ht="15" customHeight="1">
      <c r="B16" s="1779" t="s">
        <v>217</v>
      </c>
      <c r="C16" s="1783"/>
      <c r="D16" s="1808"/>
      <c r="E16" s="1808"/>
      <c r="F16" s="1808"/>
      <c r="G16" s="1808"/>
      <c r="H16" s="1808"/>
      <c r="I16" s="1808"/>
      <c r="J16" s="1808"/>
      <c r="K16" s="1808"/>
      <c r="L16" s="1808"/>
      <c r="M16" s="1808"/>
      <c r="N16" s="1808"/>
      <c r="O16" s="1808"/>
      <c r="P16" s="1808"/>
      <c r="Q16" s="1808"/>
      <c r="R16" s="1808"/>
      <c r="S16" s="1808"/>
      <c r="T16" s="1808"/>
      <c r="U16" s="1808"/>
      <c r="V16" s="1808"/>
      <c r="W16" s="1808"/>
      <c r="X16" s="1808"/>
      <c r="Y16" s="1808"/>
      <c r="Z16" s="1808"/>
      <c r="AA16" s="1808"/>
      <c r="AB16" s="1782"/>
      <c r="AC16" s="1783"/>
      <c r="AD16" s="1782">
        <f>SUM($D16:D16)</f>
        <v>0</v>
      </c>
      <c r="AE16" s="1782">
        <f>SUM($D16:E16)</f>
        <v>0</v>
      </c>
      <c r="AF16" s="1782">
        <f>SUM($D16:F16)</f>
        <v>0</v>
      </c>
      <c r="AG16" s="1782">
        <f>SUM($D16:G16)</f>
        <v>0</v>
      </c>
      <c r="AH16" s="1782">
        <f>SUM($D16:H16)</f>
        <v>0</v>
      </c>
      <c r="AI16" s="1782">
        <f>SUM($D16:I16)</f>
        <v>0</v>
      </c>
      <c r="AJ16" s="1782">
        <f>SUM($D16:J16)</f>
        <v>0</v>
      </c>
      <c r="AK16" s="1782">
        <f>SUM($D16:K16)</f>
        <v>0</v>
      </c>
      <c r="AL16" s="1782">
        <f>SUM($D16:L16)</f>
        <v>0</v>
      </c>
      <c r="AM16" s="1782">
        <f>SUM($D16:M16)</f>
        <v>0</v>
      </c>
      <c r="AN16" s="1782">
        <f>SUM($D16:N16)</f>
        <v>0</v>
      </c>
      <c r="AO16" s="1810">
        <f>SUM($D16:O16)</f>
        <v>0</v>
      </c>
      <c r="AP16" s="1782">
        <f>SUM($P16:P16)</f>
        <v>0</v>
      </c>
      <c r="AQ16" s="1782">
        <f>SUM($P16:Q16)</f>
        <v>0</v>
      </c>
      <c r="AR16" s="1782">
        <f>SUM($P16:R16)</f>
        <v>0</v>
      </c>
      <c r="AS16" s="1782">
        <f>SUM($P16:S16)</f>
        <v>0</v>
      </c>
      <c r="AT16" s="1782">
        <f>SUM($P16:T16)</f>
        <v>0</v>
      </c>
      <c r="AU16" s="1782">
        <f>SUM($P16:U16)</f>
        <v>0</v>
      </c>
      <c r="AV16" s="1782">
        <f>SUM($P16:V16)</f>
        <v>0</v>
      </c>
      <c r="AW16" s="1782">
        <f>SUM($P16:W16)</f>
        <v>0</v>
      </c>
      <c r="AX16" s="1782">
        <f>SUM($P16:X16)</f>
        <v>0</v>
      </c>
      <c r="AY16" s="1782">
        <f>SUM($P16:Y16)</f>
        <v>0</v>
      </c>
      <c r="AZ16" s="1782">
        <f>SUM($P16:Z16)</f>
        <v>0</v>
      </c>
      <c r="BA16" s="1810">
        <f>SUM($P16:AA16)</f>
        <v>0</v>
      </c>
      <c r="BB16" s="1782"/>
      <c r="BC16" s="1783"/>
      <c r="BD16" s="1782">
        <f t="shared" si="1"/>
        <v>0</v>
      </c>
      <c r="BE16" s="1782">
        <f t="shared" si="1"/>
        <v>0</v>
      </c>
      <c r="BF16" s="1782">
        <f t="shared" si="1"/>
        <v>0</v>
      </c>
      <c r="BG16" s="1782">
        <f t="shared" si="1"/>
        <v>0</v>
      </c>
      <c r="BH16" s="1782">
        <f t="shared" si="1"/>
        <v>0</v>
      </c>
      <c r="BI16" s="1782">
        <f t="shared" si="1"/>
        <v>0</v>
      </c>
      <c r="BJ16" s="1782">
        <f t="shared" si="1"/>
        <v>0</v>
      </c>
      <c r="BK16" s="1782">
        <f t="shared" si="1"/>
        <v>0</v>
      </c>
      <c r="BL16" s="1782">
        <f t="shared" si="1"/>
        <v>0</v>
      </c>
      <c r="BM16" s="1782">
        <f t="shared" si="1"/>
        <v>0</v>
      </c>
      <c r="BN16" s="1782">
        <f t="shared" si="1"/>
        <v>0</v>
      </c>
      <c r="BO16" s="1782">
        <f t="shared" si="1"/>
        <v>0</v>
      </c>
    </row>
    <row r="17" spans="2:67" ht="15" customHeight="1">
      <c r="B17" s="1779" t="s">
        <v>218</v>
      </c>
      <c r="C17" s="1783"/>
      <c r="D17" s="1808"/>
      <c r="E17" s="1808"/>
      <c r="F17" s="1808"/>
      <c r="G17" s="1808"/>
      <c r="H17" s="1808"/>
      <c r="I17" s="1808"/>
      <c r="J17" s="1808"/>
      <c r="K17" s="1808"/>
      <c r="L17" s="1808"/>
      <c r="M17" s="1808"/>
      <c r="N17" s="1808"/>
      <c r="O17" s="1808"/>
      <c r="P17" s="1808"/>
      <c r="Q17" s="1808"/>
      <c r="R17" s="1808"/>
      <c r="S17" s="1808"/>
      <c r="T17" s="1808"/>
      <c r="U17" s="1808"/>
      <c r="V17" s="1808"/>
      <c r="W17" s="1808"/>
      <c r="X17" s="1808"/>
      <c r="Y17" s="1808"/>
      <c r="Z17" s="1808"/>
      <c r="AA17" s="1808"/>
      <c r="AB17" s="1782"/>
      <c r="AC17" s="1783"/>
      <c r="AD17" s="1782">
        <f>SUM($D17:D17)</f>
        <v>0</v>
      </c>
      <c r="AE17" s="1782">
        <f>SUM($D17:E17)</f>
        <v>0</v>
      </c>
      <c r="AF17" s="1782">
        <f>SUM($D17:F17)</f>
        <v>0</v>
      </c>
      <c r="AG17" s="1782">
        <f>SUM($D17:G17)</f>
        <v>0</v>
      </c>
      <c r="AH17" s="1782">
        <f>SUM($D17:H17)</f>
        <v>0</v>
      </c>
      <c r="AI17" s="1782">
        <f>SUM($D17:I17)</f>
        <v>0</v>
      </c>
      <c r="AJ17" s="1782">
        <f>SUM($D17:J17)</f>
        <v>0</v>
      </c>
      <c r="AK17" s="1782">
        <f>SUM($D17:K17)</f>
        <v>0</v>
      </c>
      <c r="AL17" s="1782">
        <f>SUM($D17:L17)</f>
        <v>0</v>
      </c>
      <c r="AM17" s="1782">
        <f>SUM($D17:M17)</f>
        <v>0</v>
      </c>
      <c r="AN17" s="1782">
        <f>SUM($D17:N17)</f>
        <v>0</v>
      </c>
      <c r="AO17" s="1810">
        <f>SUM($D17:O17)</f>
        <v>0</v>
      </c>
      <c r="AP17" s="1782">
        <f>SUM($P17:P17)</f>
        <v>0</v>
      </c>
      <c r="AQ17" s="1782">
        <f>SUM($P17:Q17)</f>
        <v>0</v>
      </c>
      <c r="AR17" s="1782">
        <f>SUM($P17:R17)</f>
        <v>0</v>
      </c>
      <c r="AS17" s="1782">
        <f>SUM($P17:S17)</f>
        <v>0</v>
      </c>
      <c r="AT17" s="1782">
        <f>SUM($P17:T17)</f>
        <v>0</v>
      </c>
      <c r="AU17" s="1782">
        <f>SUM($P17:U17)</f>
        <v>0</v>
      </c>
      <c r="AV17" s="1782">
        <f>SUM($P17:V17)</f>
        <v>0</v>
      </c>
      <c r="AW17" s="1782">
        <f>SUM($P17:W17)</f>
        <v>0</v>
      </c>
      <c r="AX17" s="1782">
        <f>SUM($P17:X17)</f>
        <v>0</v>
      </c>
      <c r="AY17" s="1782">
        <f>SUM($P17:Y17)</f>
        <v>0</v>
      </c>
      <c r="AZ17" s="1782">
        <f>SUM($P17:Z17)</f>
        <v>0</v>
      </c>
      <c r="BA17" s="1810">
        <f>SUM($P17:AA17)</f>
        <v>0</v>
      </c>
      <c r="BB17" s="1782"/>
      <c r="BC17" s="1783"/>
      <c r="BD17" s="1782">
        <f t="shared" si="1"/>
        <v>0</v>
      </c>
      <c r="BE17" s="1782">
        <f t="shared" si="1"/>
        <v>0</v>
      </c>
      <c r="BF17" s="1782">
        <f t="shared" si="1"/>
        <v>0</v>
      </c>
      <c r="BG17" s="1782">
        <f t="shared" si="1"/>
        <v>0</v>
      </c>
      <c r="BH17" s="1782">
        <f t="shared" si="1"/>
        <v>0</v>
      </c>
      <c r="BI17" s="1782">
        <f t="shared" si="1"/>
        <v>0</v>
      </c>
      <c r="BJ17" s="1782">
        <f t="shared" si="1"/>
        <v>0</v>
      </c>
      <c r="BK17" s="1782">
        <f t="shared" si="1"/>
        <v>0</v>
      </c>
      <c r="BL17" s="1782">
        <f t="shared" si="1"/>
        <v>0</v>
      </c>
      <c r="BM17" s="1782">
        <f t="shared" si="1"/>
        <v>0</v>
      </c>
      <c r="BN17" s="1782">
        <f t="shared" si="1"/>
        <v>0</v>
      </c>
      <c r="BO17" s="1782">
        <f t="shared" si="1"/>
        <v>0</v>
      </c>
    </row>
    <row r="18" spans="2:67" ht="15" customHeight="1">
      <c r="B18" s="1779" t="s">
        <v>219</v>
      </c>
      <c r="C18" s="1783"/>
      <c r="D18" s="1808"/>
      <c r="E18" s="1808"/>
      <c r="F18" s="1808"/>
      <c r="G18" s="1808"/>
      <c r="H18" s="1808"/>
      <c r="I18" s="1808"/>
      <c r="J18" s="1808"/>
      <c r="K18" s="1808"/>
      <c r="L18" s="1808"/>
      <c r="M18" s="1808"/>
      <c r="N18" s="1808"/>
      <c r="O18" s="1808"/>
      <c r="P18" s="1808"/>
      <c r="Q18" s="1808"/>
      <c r="R18" s="1808"/>
      <c r="S18" s="1808"/>
      <c r="T18" s="1808"/>
      <c r="U18" s="1808"/>
      <c r="V18" s="1808"/>
      <c r="W18" s="1808"/>
      <c r="X18" s="1808"/>
      <c r="Y18" s="1808"/>
      <c r="Z18" s="1808"/>
      <c r="AA18" s="1808"/>
      <c r="AB18" s="1782"/>
      <c r="AC18" s="1783"/>
      <c r="AD18" s="1782">
        <f>SUM($D18:D18)</f>
        <v>0</v>
      </c>
      <c r="AE18" s="1782">
        <f>SUM($D18:E18)</f>
        <v>0</v>
      </c>
      <c r="AF18" s="1782">
        <f>SUM($D18:F18)</f>
        <v>0</v>
      </c>
      <c r="AG18" s="1782">
        <f>SUM($D18:G18)</f>
        <v>0</v>
      </c>
      <c r="AH18" s="1782">
        <f>SUM($D18:H18)</f>
        <v>0</v>
      </c>
      <c r="AI18" s="1782">
        <f>SUM($D18:I18)</f>
        <v>0</v>
      </c>
      <c r="AJ18" s="1782">
        <f>SUM($D18:J18)</f>
        <v>0</v>
      </c>
      <c r="AK18" s="1782">
        <f>SUM($D18:K18)</f>
        <v>0</v>
      </c>
      <c r="AL18" s="1782">
        <f>SUM($D18:L18)</f>
        <v>0</v>
      </c>
      <c r="AM18" s="1782">
        <f>SUM($D18:M18)</f>
        <v>0</v>
      </c>
      <c r="AN18" s="1782">
        <f>SUM($D18:N18)</f>
        <v>0</v>
      </c>
      <c r="AO18" s="1810">
        <f>SUM($D18:O18)</f>
        <v>0</v>
      </c>
      <c r="AP18" s="1782">
        <f>SUM($P18:P18)</f>
        <v>0</v>
      </c>
      <c r="AQ18" s="1782">
        <f>SUM($P18:Q18)</f>
        <v>0</v>
      </c>
      <c r="AR18" s="1782">
        <f>SUM($P18:R18)</f>
        <v>0</v>
      </c>
      <c r="AS18" s="1782">
        <f>SUM($P18:S18)</f>
        <v>0</v>
      </c>
      <c r="AT18" s="1782">
        <f>SUM($P18:T18)</f>
        <v>0</v>
      </c>
      <c r="AU18" s="1782">
        <f>SUM($P18:U18)</f>
        <v>0</v>
      </c>
      <c r="AV18" s="1782">
        <f>SUM($P18:V18)</f>
        <v>0</v>
      </c>
      <c r="AW18" s="1782">
        <f>SUM($P18:W18)</f>
        <v>0</v>
      </c>
      <c r="AX18" s="1782">
        <f>SUM($P18:X18)</f>
        <v>0</v>
      </c>
      <c r="AY18" s="1782">
        <f>SUM($P18:Y18)</f>
        <v>0</v>
      </c>
      <c r="AZ18" s="1782">
        <f>SUM($P18:Z18)</f>
        <v>0</v>
      </c>
      <c r="BA18" s="1810">
        <f>SUM($P18:AA18)</f>
        <v>0</v>
      </c>
      <c r="BB18" s="1782"/>
      <c r="BC18" s="1783"/>
      <c r="BD18" s="1782">
        <f t="shared" si="1"/>
        <v>0</v>
      </c>
      <c r="BE18" s="1782">
        <f t="shared" si="1"/>
        <v>0</v>
      </c>
      <c r="BF18" s="1782">
        <f t="shared" si="1"/>
        <v>0</v>
      </c>
      <c r="BG18" s="1782">
        <f t="shared" si="1"/>
        <v>0</v>
      </c>
      <c r="BH18" s="1782">
        <f t="shared" si="1"/>
        <v>0</v>
      </c>
      <c r="BI18" s="1782">
        <f t="shared" si="1"/>
        <v>0</v>
      </c>
      <c r="BJ18" s="1782">
        <f t="shared" si="1"/>
        <v>0</v>
      </c>
      <c r="BK18" s="1782">
        <f t="shared" si="1"/>
        <v>0</v>
      </c>
      <c r="BL18" s="1782">
        <f t="shared" si="1"/>
        <v>0</v>
      </c>
      <c r="BM18" s="1782">
        <f t="shared" si="1"/>
        <v>0</v>
      </c>
      <c r="BN18" s="1782">
        <f t="shared" si="1"/>
        <v>0</v>
      </c>
      <c r="BO18" s="1782">
        <f t="shared" si="1"/>
        <v>0</v>
      </c>
    </row>
    <row r="19" spans="2:67" ht="15" customHeight="1">
      <c r="B19" s="1779" t="s">
        <v>220</v>
      </c>
      <c r="C19" s="1783"/>
      <c r="D19" s="1808"/>
      <c r="E19" s="1808"/>
      <c r="F19" s="1808"/>
      <c r="G19" s="1808"/>
      <c r="H19" s="1808"/>
      <c r="I19" s="1808"/>
      <c r="J19" s="1808"/>
      <c r="K19" s="1808"/>
      <c r="L19" s="1808"/>
      <c r="M19" s="1808"/>
      <c r="N19" s="1808"/>
      <c r="O19" s="1808"/>
      <c r="P19" s="1808"/>
      <c r="Q19" s="1808"/>
      <c r="R19" s="1808"/>
      <c r="S19" s="1808"/>
      <c r="T19" s="1808"/>
      <c r="U19" s="1808"/>
      <c r="V19" s="1808"/>
      <c r="W19" s="1808"/>
      <c r="X19" s="1808"/>
      <c r="Y19" s="1808"/>
      <c r="Z19" s="1808"/>
      <c r="AA19" s="1808"/>
      <c r="AB19" s="1782"/>
      <c r="AC19" s="1783"/>
      <c r="AD19" s="1782">
        <f>SUM($D19:D19)</f>
        <v>0</v>
      </c>
      <c r="AE19" s="1782">
        <f>SUM($D19:E19)</f>
        <v>0</v>
      </c>
      <c r="AF19" s="1782">
        <f>SUM($D19:F19)</f>
        <v>0</v>
      </c>
      <c r="AG19" s="1782">
        <f>SUM($D19:G19)</f>
        <v>0</v>
      </c>
      <c r="AH19" s="1782">
        <f>SUM($D19:H19)</f>
        <v>0</v>
      </c>
      <c r="AI19" s="1782">
        <f>SUM($D19:I19)</f>
        <v>0</v>
      </c>
      <c r="AJ19" s="1782">
        <f>SUM($D19:J19)</f>
        <v>0</v>
      </c>
      <c r="AK19" s="1782">
        <f>SUM($D19:K19)</f>
        <v>0</v>
      </c>
      <c r="AL19" s="1782">
        <f>SUM($D19:L19)</f>
        <v>0</v>
      </c>
      <c r="AM19" s="1782">
        <f>SUM($D19:M19)</f>
        <v>0</v>
      </c>
      <c r="AN19" s="1782">
        <f>SUM($D19:N19)</f>
        <v>0</v>
      </c>
      <c r="AO19" s="1810">
        <f>SUM($D19:O19)</f>
        <v>0</v>
      </c>
      <c r="AP19" s="1782">
        <f>SUM($P19:P19)</f>
        <v>0</v>
      </c>
      <c r="AQ19" s="1782">
        <f>SUM($P19:Q19)</f>
        <v>0</v>
      </c>
      <c r="AR19" s="1782">
        <f>SUM($P19:R19)</f>
        <v>0</v>
      </c>
      <c r="AS19" s="1782">
        <f>SUM($P19:S19)</f>
        <v>0</v>
      </c>
      <c r="AT19" s="1782">
        <f>SUM($P19:T19)</f>
        <v>0</v>
      </c>
      <c r="AU19" s="1782">
        <f>SUM($P19:U19)</f>
        <v>0</v>
      </c>
      <c r="AV19" s="1782">
        <f>SUM($P19:V19)</f>
        <v>0</v>
      </c>
      <c r="AW19" s="1782">
        <f>SUM($P19:W19)</f>
        <v>0</v>
      </c>
      <c r="AX19" s="1782">
        <f>SUM($P19:X19)</f>
        <v>0</v>
      </c>
      <c r="AY19" s="1782">
        <f>SUM($P19:Y19)</f>
        <v>0</v>
      </c>
      <c r="AZ19" s="1782">
        <f>SUM($P19:Z19)</f>
        <v>0</v>
      </c>
      <c r="BA19" s="1810">
        <f>SUM($P19:AA19)</f>
        <v>0</v>
      </c>
      <c r="BB19" s="1782"/>
      <c r="BC19" s="1783"/>
      <c r="BD19" s="1782">
        <f t="shared" si="1"/>
        <v>0</v>
      </c>
      <c r="BE19" s="1782">
        <f t="shared" si="1"/>
        <v>0</v>
      </c>
      <c r="BF19" s="1782">
        <f t="shared" si="1"/>
        <v>0</v>
      </c>
      <c r="BG19" s="1782">
        <f t="shared" si="1"/>
        <v>0</v>
      </c>
      <c r="BH19" s="1782">
        <f t="shared" si="1"/>
        <v>0</v>
      </c>
      <c r="BI19" s="1782">
        <f t="shared" si="1"/>
        <v>0</v>
      </c>
      <c r="BJ19" s="1782">
        <f t="shared" si="1"/>
        <v>0</v>
      </c>
      <c r="BK19" s="1782">
        <f t="shared" si="1"/>
        <v>0</v>
      </c>
      <c r="BL19" s="1782">
        <f t="shared" si="1"/>
        <v>0</v>
      </c>
      <c r="BM19" s="1782">
        <f t="shared" si="1"/>
        <v>0</v>
      </c>
      <c r="BN19" s="1782">
        <f t="shared" si="1"/>
        <v>0</v>
      </c>
      <c r="BO19" s="1782">
        <f t="shared" si="1"/>
        <v>0</v>
      </c>
    </row>
    <row r="20" spans="2:67" ht="15" customHeight="1">
      <c r="B20" s="1779" t="s">
        <v>221</v>
      </c>
      <c r="C20" s="1783"/>
      <c r="D20" s="1808"/>
      <c r="E20" s="1808"/>
      <c r="F20" s="1808"/>
      <c r="G20" s="1808"/>
      <c r="H20" s="1808"/>
      <c r="I20" s="1808"/>
      <c r="J20" s="1808"/>
      <c r="K20" s="1808"/>
      <c r="L20" s="1808"/>
      <c r="M20" s="1808"/>
      <c r="N20" s="1808"/>
      <c r="O20" s="1808"/>
      <c r="P20" s="1808"/>
      <c r="Q20" s="1808"/>
      <c r="R20" s="1808"/>
      <c r="S20" s="1808"/>
      <c r="T20" s="1808"/>
      <c r="U20" s="1808"/>
      <c r="V20" s="1808"/>
      <c r="W20" s="1808"/>
      <c r="X20" s="1808"/>
      <c r="Y20" s="1808"/>
      <c r="Z20" s="1808"/>
      <c r="AA20" s="1808"/>
      <c r="AB20" s="1782"/>
      <c r="AC20" s="1783"/>
      <c r="AD20" s="1782">
        <f>SUM($D20:D20)</f>
        <v>0</v>
      </c>
      <c r="AE20" s="1782">
        <f>SUM($D20:E20)</f>
        <v>0</v>
      </c>
      <c r="AF20" s="1782">
        <f>SUM($D20:F20)</f>
        <v>0</v>
      </c>
      <c r="AG20" s="1782">
        <f>SUM($D20:G20)</f>
        <v>0</v>
      </c>
      <c r="AH20" s="1782">
        <f>SUM($D20:H20)</f>
        <v>0</v>
      </c>
      <c r="AI20" s="1782">
        <f>SUM($D20:I20)</f>
        <v>0</v>
      </c>
      <c r="AJ20" s="1782">
        <f>SUM($D20:J20)</f>
        <v>0</v>
      </c>
      <c r="AK20" s="1782">
        <f>SUM($D20:K20)</f>
        <v>0</v>
      </c>
      <c r="AL20" s="1782">
        <f>SUM($D20:L20)</f>
        <v>0</v>
      </c>
      <c r="AM20" s="1782">
        <f>SUM($D20:M20)</f>
        <v>0</v>
      </c>
      <c r="AN20" s="1782">
        <f>SUM($D20:N20)</f>
        <v>0</v>
      </c>
      <c r="AO20" s="1810">
        <f>SUM($D20:O20)</f>
        <v>0</v>
      </c>
      <c r="AP20" s="1782">
        <f>SUM($P20:P20)</f>
        <v>0</v>
      </c>
      <c r="AQ20" s="1782">
        <f>SUM($P20:Q20)</f>
        <v>0</v>
      </c>
      <c r="AR20" s="1782">
        <f>SUM($P20:R20)</f>
        <v>0</v>
      </c>
      <c r="AS20" s="1782">
        <f>SUM($P20:S20)</f>
        <v>0</v>
      </c>
      <c r="AT20" s="1782">
        <f>SUM($P20:T20)</f>
        <v>0</v>
      </c>
      <c r="AU20" s="1782">
        <f>SUM($P20:U20)</f>
        <v>0</v>
      </c>
      <c r="AV20" s="1782">
        <f>SUM($P20:V20)</f>
        <v>0</v>
      </c>
      <c r="AW20" s="1782">
        <f>SUM($P20:W20)</f>
        <v>0</v>
      </c>
      <c r="AX20" s="1782">
        <f>SUM($P20:X20)</f>
        <v>0</v>
      </c>
      <c r="AY20" s="1782">
        <f>SUM($P20:Y20)</f>
        <v>0</v>
      </c>
      <c r="AZ20" s="1782">
        <f>SUM($P20:Z20)</f>
        <v>0</v>
      </c>
      <c r="BA20" s="1810">
        <f>SUM($P20:AA20)</f>
        <v>0</v>
      </c>
      <c r="BB20" s="1782"/>
      <c r="BC20" s="1783"/>
      <c r="BD20" s="1782">
        <f t="shared" si="1"/>
        <v>0</v>
      </c>
      <c r="BE20" s="1782">
        <f t="shared" si="1"/>
        <v>0</v>
      </c>
      <c r="BF20" s="1782">
        <f t="shared" si="1"/>
        <v>0</v>
      </c>
      <c r="BG20" s="1782">
        <f t="shared" si="1"/>
        <v>0</v>
      </c>
      <c r="BH20" s="1782">
        <f t="shared" si="1"/>
        <v>0</v>
      </c>
      <c r="BI20" s="1782">
        <f t="shared" si="1"/>
        <v>0</v>
      </c>
      <c r="BJ20" s="1782">
        <f t="shared" si="1"/>
        <v>0</v>
      </c>
      <c r="BK20" s="1782">
        <f t="shared" si="1"/>
        <v>0</v>
      </c>
      <c r="BL20" s="1782">
        <f t="shared" si="1"/>
        <v>0</v>
      </c>
      <c r="BM20" s="1782">
        <f t="shared" si="1"/>
        <v>0</v>
      </c>
      <c r="BN20" s="1782">
        <f t="shared" si="1"/>
        <v>0</v>
      </c>
      <c r="BO20" s="1782">
        <f t="shared" si="1"/>
        <v>0</v>
      </c>
    </row>
    <row r="21" spans="2:67" ht="15" customHeight="1">
      <c r="B21" s="1779" t="s">
        <v>222</v>
      </c>
      <c r="C21" s="1783"/>
      <c r="D21" s="1808"/>
      <c r="E21" s="1808"/>
      <c r="F21" s="1808"/>
      <c r="G21" s="1808"/>
      <c r="H21" s="1808"/>
      <c r="I21" s="1808"/>
      <c r="J21" s="1808"/>
      <c r="K21" s="1808"/>
      <c r="L21" s="1808"/>
      <c r="M21" s="1808"/>
      <c r="N21" s="1808"/>
      <c r="O21" s="1808"/>
      <c r="P21" s="1808"/>
      <c r="Q21" s="1808"/>
      <c r="R21" s="1808"/>
      <c r="S21" s="1808"/>
      <c r="T21" s="1808"/>
      <c r="U21" s="1808"/>
      <c r="V21" s="1808"/>
      <c r="W21" s="1808"/>
      <c r="X21" s="1808"/>
      <c r="Y21" s="1808"/>
      <c r="Z21" s="1808"/>
      <c r="AA21" s="1808"/>
      <c r="AB21" s="1782"/>
      <c r="AC21" s="1783"/>
      <c r="AD21" s="1782">
        <f>SUM($D21:D21)</f>
        <v>0</v>
      </c>
      <c r="AE21" s="1782">
        <f>SUM($D21:E21)</f>
        <v>0</v>
      </c>
      <c r="AF21" s="1782">
        <f>SUM($D21:F21)</f>
        <v>0</v>
      </c>
      <c r="AG21" s="1782">
        <f>SUM($D21:G21)</f>
        <v>0</v>
      </c>
      <c r="AH21" s="1782">
        <f>SUM($D21:H21)</f>
        <v>0</v>
      </c>
      <c r="AI21" s="1782">
        <f>SUM($D21:I21)</f>
        <v>0</v>
      </c>
      <c r="AJ21" s="1782">
        <f>SUM($D21:J21)</f>
        <v>0</v>
      </c>
      <c r="AK21" s="1782">
        <f>SUM($D21:K21)</f>
        <v>0</v>
      </c>
      <c r="AL21" s="1782">
        <f>SUM($D21:L21)</f>
        <v>0</v>
      </c>
      <c r="AM21" s="1782">
        <f>SUM($D21:M21)</f>
        <v>0</v>
      </c>
      <c r="AN21" s="1782">
        <f>SUM($D21:N21)</f>
        <v>0</v>
      </c>
      <c r="AO21" s="1810">
        <f>SUM($D21:O21)</f>
        <v>0</v>
      </c>
      <c r="AP21" s="1782">
        <f>SUM($P21:P21)</f>
        <v>0</v>
      </c>
      <c r="AQ21" s="1782">
        <f>SUM($P21:Q21)</f>
        <v>0</v>
      </c>
      <c r="AR21" s="1782">
        <f>SUM($P21:R21)</f>
        <v>0</v>
      </c>
      <c r="AS21" s="1782">
        <f>SUM($P21:S21)</f>
        <v>0</v>
      </c>
      <c r="AT21" s="1782">
        <f>SUM($P21:T21)</f>
        <v>0</v>
      </c>
      <c r="AU21" s="1782">
        <f>SUM($P21:U21)</f>
        <v>0</v>
      </c>
      <c r="AV21" s="1782">
        <f>SUM($P21:V21)</f>
        <v>0</v>
      </c>
      <c r="AW21" s="1782">
        <f>SUM($P21:W21)</f>
        <v>0</v>
      </c>
      <c r="AX21" s="1782">
        <f>SUM($P21:X21)</f>
        <v>0</v>
      </c>
      <c r="AY21" s="1782">
        <f>SUM($P21:Y21)</f>
        <v>0</v>
      </c>
      <c r="AZ21" s="1782">
        <f>SUM($P21:Z21)</f>
        <v>0</v>
      </c>
      <c r="BA21" s="1810">
        <f>SUM($P21:AA21)</f>
        <v>0</v>
      </c>
      <c r="BB21" s="1782"/>
      <c r="BC21" s="1783"/>
      <c r="BD21" s="1782">
        <f t="shared" si="1"/>
        <v>0</v>
      </c>
      <c r="BE21" s="1782">
        <f t="shared" si="1"/>
        <v>0</v>
      </c>
      <c r="BF21" s="1782">
        <f t="shared" si="1"/>
        <v>0</v>
      </c>
      <c r="BG21" s="1782">
        <f t="shared" si="1"/>
        <v>0</v>
      </c>
      <c r="BH21" s="1782">
        <f t="shared" si="1"/>
        <v>0</v>
      </c>
      <c r="BI21" s="1782">
        <f t="shared" si="1"/>
        <v>0</v>
      </c>
      <c r="BJ21" s="1782">
        <f t="shared" si="1"/>
        <v>0</v>
      </c>
      <c r="BK21" s="1782">
        <f t="shared" si="1"/>
        <v>0</v>
      </c>
      <c r="BL21" s="1782">
        <f t="shared" si="1"/>
        <v>0</v>
      </c>
      <c r="BM21" s="1782">
        <f t="shared" si="1"/>
        <v>0</v>
      </c>
      <c r="BN21" s="1782">
        <f t="shared" si="1"/>
        <v>0</v>
      </c>
      <c r="BO21" s="1782">
        <f t="shared" si="1"/>
        <v>0</v>
      </c>
    </row>
    <row r="22" spans="2:67" ht="15" customHeight="1">
      <c r="B22" s="1779" t="s">
        <v>223</v>
      </c>
      <c r="C22" s="1783"/>
      <c r="D22" s="1808"/>
      <c r="E22" s="1808"/>
      <c r="F22" s="1808"/>
      <c r="G22" s="1808"/>
      <c r="H22" s="1808"/>
      <c r="I22" s="1808"/>
      <c r="J22" s="1808"/>
      <c r="K22" s="1808"/>
      <c r="L22" s="1808"/>
      <c r="M22" s="1808"/>
      <c r="N22" s="1808"/>
      <c r="O22" s="1808"/>
      <c r="P22" s="1808"/>
      <c r="Q22" s="1808"/>
      <c r="R22" s="1808"/>
      <c r="S22" s="1808"/>
      <c r="T22" s="1808"/>
      <c r="U22" s="1808"/>
      <c r="V22" s="1808"/>
      <c r="W22" s="1808"/>
      <c r="X22" s="1808"/>
      <c r="Y22" s="1808"/>
      <c r="Z22" s="1808"/>
      <c r="AA22" s="1808"/>
      <c r="AB22" s="1782"/>
      <c r="AC22" s="1783"/>
      <c r="AD22" s="1782">
        <f>SUM($D22:D22)</f>
        <v>0</v>
      </c>
      <c r="AE22" s="1782">
        <f>SUM($D22:E22)</f>
        <v>0</v>
      </c>
      <c r="AF22" s="1782">
        <f>SUM($D22:F22)</f>
        <v>0</v>
      </c>
      <c r="AG22" s="1782">
        <f>SUM($D22:G22)</f>
        <v>0</v>
      </c>
      <c r="AH22" s="1782">
        <f>SUM($D22:H22)</f>
        <v>0</v>
      </c>
      <c r="AI22" s="1782">
        <f>SUM($D22:I22)</f>
        <v>0</v>
      </c>
      <c r="AJ22" s="1782">
        <f>SUM($D22:J22)</f>
        <v>0</v>
      </c>
      <c r="AK22" s="1782">
        <f>SUM($D22:K22)</f>
        <v>0</v>
      </c>
      <c r="AL22" s="1782">
        <f>SUM($D22:L22)</f>
        <v>0</v>
      </c>
      <c r="AM22" s="1782">
        <f>SUM($D22:M22)</f>
        <v>0</v>
      </c>
      <c r="AN22" s="1782">
        <f>SUM($D22:N22)</f>
        <v>0</v>
      </c>
      <c r="AO22" s="1810">
        <f>SUM($D22:O22)</f>
        <v>0</v>
      </c>
      <c r="AP22" s="1782">
        <f>SUM($P22:P22)</f>
        <v>0</v>
      </c>
      <c r="AQ22" s="1782">
        <f>SUM($P22:Q22)</f>
        <v>0</v>
      </c>
      <c r="AR22" s="1782">
        <f>SUM($P22:R22)</f>
        <v>0</v>
      </c>
      <c r="AS22" s="1782">
        <f>SUM($P22:S22)</f>
        <v>0</v>
      </c>
      <c r="AT22" s="1782">
        <f>SUM($P22:T22)</f>
        <v>0</v>
      </c>
      <c r="AU22" s="1782">
        <f>SUM($P22:U22)</f>
        <v>0</v>
      </c>
      <c r="AV22" s="1782">
        <f>SUM($P22:V22)</f>
        <v>0</v>
      </c>
      <c r="AW22" s="1782">
        <f>SUM($P22:W22)</f>
        <v>0</v>
      </c>
      <c r="AX22" s="1782">
        <f>SUM($P22:X22)</f>
        <v>0</v>
      </c>
      <c r="AY22" s="1782">
        <f>SUM($P22:Y22)</f>
        <v>0</v>
      </c>
      <c r="AZ22" s="1782">
        <f>SUM($P22:Z22)</f>
        <v>0</v>
      </c>
      <c r="BA22" s="1810">
        <f>SUM($P22:AA22)</f>
        <v>0</v>
      </c>
      <c r="BB22" s="1782"/>
      <c r="BC22" s="1783"/>
      <c r="BD22" s="1782">
        <f t="shared" si="1"/>
        <v>0</v>
      </c>
      <c r="BE22" s="1782">
        <f t="shared" si="1"/>
        <v>0</v>
      </c>
      <c r="BF22" s="1782">
        <f t="shared" si="1"/>
        <v>0</v>
      </c>
      <c r="BG22" s="1782">
        <f t="shared" si="1"/>
        <v>0</v>
      </c>
      <c r="BH22" s="1782">
        <f t="shared" si="1"/>
        <v>0</v>
      </c>
      <c r="BI22" s="1782">
        <f t="shared" si="1"/>
        <v>0</v>
      </c>
      <c r="BJ22" s="1782">
        <f t="shared" si="1"/>
        <v>0</v>
      </c>
      <c r="BK22" s="1782">
        <f t="shared" si="1"/>
        <v>0</v>
      </c>
      <c r="BL22" s="1782">
        <f t="shared" si="1"/>
        <v>0</v>
      </c>
      <c r="BM22" s="1782">
        <f t="shared" si="1"/>
        <v>0</v>
      </c>
      <c r="BN22" s="1782">
        <f t="shared" si="1"/>
        <v>0</v>
      </c>
      <c r="BO22" s="1782">
        <f t="shared" si="1"/>
        <v>0</v>
      </c>
    </row>
    <row r="23" spans="2:67" ht="15" customHeight="1">
      <c r="B23" s="1779" t="s">
        <v>224</v>
      </c>
      <c r="C23" s="1783"/>
      <c r="D23" s="1808"/>
      <c r="E23" s="1808"/>
      <c r="F23" s="1808"/>
      <c r="G23" s="1808"/>
      <c r="H23" s="1808"/>
      <c r="I23" s="1808"/>
      <c r="J23" s="1808"/>
      <c r="K23" s="1808"/>
      <c r="L23" s="1808"/>
      <c r="M23" s="1808"/>
      <c r="N23" s="1808"/>
      <c r="O23" s="1808"/>
      <c r="P23" s="1808"/>
      <c r="Q23" s="1808"/>
      <c r="R23" s="1808"/>
      <c r="S23" s="1808"/>
      <c r="T23" s="1808"/>
      <c r="U23" s="1808"/>
      <c r="V23" s="1808"/>
      <c r="W23" s="1808"/>
      <c r="X23" s="1808"/>
      <c r="Y23" s="1808"/>
      <c r="Z23" s="1808"/>
      <c r="AA23" s="1808"/>
      <c r="AB23" s="1782"/>
      <c r="AC23" s="1783"/>
      <c r="AD23" s="1782">
        <f>SUM($D23:D23)</f>
        <v>0</v>
      </c>
      <c r="AE23" s="1782">
        <f>SUM($D23:E23)</f>
        <v>0</v>
      </c>
      <c r="AF23" s="1782">
        <f>SUM($D23:F23)</f>
        <v>0</v>
      </c>
      <c r="AG23" s="1782">
        <f>SUM($D23:G23)</f>
        <v>0</v>
      </c>
      <c r="AH23" s="1782">
        <f>SUM($D23:H23)</f>
        <v>0</v>
      </c>
      <c r="AI23" s="1782">
        <f>SUM($D23:I23)</f>
        <v>0</v>
      </c>
      <c r="AJ23" s="1782">
        <f>SUM($D23:J23)</f>
        <v>0</v>
      </c>
      <c r="AK23" s="1782">
        <f>SUM($D23:K23)</f>
        <v>0</v>
      </c>
      <c r="AL23" s="1782">
        <f>SUM($D23:L23)</f>
        <v>0</v>
      </c>
      <c r="AM23" s="1782">
        <f>SUM($D23:M23)</f>
        <v>0</v>
      </c>
      <c r="AN23" s="1782">
        <f>SUM($D23:N23)</f>
        <v>0</v>
      </c>
      <c r="AO23" s="1810">
        <f>SUM($D23:O23)</f>
        <v>0</v>
      </c>
      <c r="AP23" s="1782">
        <f>SUM($P23:P23)</f>
        <v>0</v>
      </c>
      <c r="AQ23" s="1782">
        <f>SUM($P23:Q23)</f>
        <v>0</v>
      </c>
      <c r="AR23" s="1782">
        <f>SUM($P23:R23)</f>
        <v>0</v>
      </c>
      <c r="AS23" s="1782">
        <f>SUM($P23:S23)</f>
        <v>0</v>
      </c>
      <c r="AT23" s="1782">
        <f>SUM($P23:T23)</f>
        <v>0</v>
      </c>
      <c r="AU23" s="1782">
        <f>SUM($P23:U23)</f>
        <v>0</v>
      </c>
      <c r="AV23" s="1782">
        <f>SUM($P23:V23)</f>
        <v>0</v>
      </c>
      <c r="AW23" s="1782">
        <f>SUM($P23:W23)</f>
        <v>0</v>
      </c>
      <c r="AX23" s="1782">
        <f>SUM($P23:X23)</f>
        <v>0</v>
      </c>
      <c r="AY23" s="1782">
        <f>SUM($P23:Y23)</f>
        <v>0</v>
      </c>
      <c r="AZ23" s="1782">
        <f>SUM($P23:Z23)</f>
        <v>0</v>
      </c>
      <c r="BA23" s="1810">
        <f>SUM($P23:AA23)</f>
        <v>0</v>
      </c>
      <c r="BB23" s="1782"/>
      <c r="BC23" s="1783"/>
      <c r="BD23" s="1782">
        <f t="shared" si="1"/>
        <v>0</v>
      </c>
      <c r="BE23" s="1782">
        <f t="shared" si="1"/>
        <v>0</v>
      </c>
      <c r="BF23" s="1782">
        <f t="shared" si="1"/>
        <v>0</v>
      </c>
      <c r="BG23" s="1782">
        <f t="shared" si="1"/>
        <v>0</v>
      </c>
      <c r="BH23" s="1782">
        <f t="shared" si="1"/>
        <v>0</v>
      </c>
      <c r="BI23" s="1782">
        <f t="shared" si="1"/>
        <v>0</v>
      </c>
      <c r="BJ23" s="1782">
        <f t="shared" si="1"/>
        <v>0</v>
      </c>
      <c r="BK23" s="1782">
        <f t="shared" si="1"/>
        <v>0</v>
      </c>
      <c r="BL23" s="1782">
        <f t="shared" si="1"/>
        <v>0</v>
      </c>
      <c r="BM23" s="1782">
        <f t="shared" si="1"/>
        <v>0</v>
      </c>
      <c r="BN23" s="1782">
        <f t="shared" si="1"/>
        <v>0</v>
      </c>
      <c r="BO23" s="1782">
        <f t="shared" si="1"/>
        <v>0</v>
      </c>
    </row>
    <row r="24" spans="2:67" ht="15" customHeight="1">
      <c r="B24" s="1779" t="s">
        <v>225</v>
      </c>
      <c r="C24" s="1783"/>
      <c r="D24" s="1780">
        <f t="shared" ref="D24:F24" si="15">SUM(D13:D23)</f>
        <v>0</v>
      </c>
      <c r="E24" s="1780">
        <f t="shared" si="15"/>
        <v>0</v>
      </c>
      <c r="F24" s="1780">
        <f t="shared" si="15"/>
        <v>0</v>
      </c>
      <c r="G24" s="1780">
        <f>SUM(G13:G23)</f>
        <v>0</v>
      </c>
      <c r="H24" s="1780">
        <f t="shared" ref="H24:O24" si="16">SUM(H13:H23)</f>
        <v>0</v>
      </c>
      <c r="I24" s="1780">
        <f t="shared" si="16"/>
        <v>0</v>
      </c>
      <c r="J24" s="1780">
        <f t="shared" si="16"/>
        <v>0</v>
      </c>
      <c r="K24" s="1780">
        <f t="shared" si="16"/>
        <v>0</v>
      </c>
      <c r="L24" s="1780">
        <f t="shared" si="16"/>
        <v>0</v>
      </c>
      <c r="M24" s="1780">
        <f t="shared" si="16"/>
        <v>0</v>
      </c>
      <c r="N24" s="1780">
        <f t="shared" si="16"/>
        <v>0</v>
      </c>
      <c r="O24" s="1780">
        <f t="shared" si="16"/>
        <v>0</v>
      </c>
      <c r="P24" s="1780">
        <f t="shared" ref="P24:AA24" si="17">SUM(P13:P23)</f>
        <v>0</v>
      </c>
      <c r="Q24" s="1780">
        <f t="shared" si="17"/>
        <v>0</v>
      </c>
      <c r="R24" s="1780">
        <f t="shared" si="17"/>
        <v>0</v>
      </c>
      <c r="S24" s="1780">
        <f t="shared" si="17"/>
        <v>0</v>
      </c>
      <c r="T24" s="1780">
        <f t="shared" si="17"/>
        <v>0</v>
      </c>
      <c r="U24" s="1780">
        <f t="shared" si="17"/>
        <v>0</v>
      </c>
      <c r="V24" s="1780">
        <f t="shared" si="17"/>
        <v>0</v>
      </c>
      <c r="W24" s="1780">
        <f t="shared" si="17"/>
        <v>0</v>
      </c>
      <c r="X24" s="1780">
        <f t="shared" si="17"/>
        <v>0</v>
      </c>
      <c r="Y24" s="1780">
        <f t="shared" si="17"/>
        <v>0</v>
      </c>
      <c r="Z24" s="1780">
        <f t="shared" si="17"/>
        <v>0</v>
      </c>
      <c r="AA24" s="1780">
        <f t="shared" si="17"/>
        <v>0</v>
      </c>
      <c r="AB24" s="1782"/>
      <c r="AC24" s="1783"/>
      <c r="AD24" s="1799">
        <f>SUM($D24:D24)</f>
        <v>0</v>
      </c>
      <c r="AE24" s="1799">
        <f>SUM($D24:E24)</f>
        <v>0</v>
      </c>
      <c r="AF24" s="1799">
        <f>SUM($D24:F24)</f>
        <v>0</v>
      </c>
      <c r="AG24" s="1799">
        <f>SUM($D24:G24)</f>
        <v>0</v>
      </c>
      <c r="AH24" s="1799">
        <f>SUM($D24:H24)</f>
        <v>0</v>
      </c>
      <c r="AI24" s="1799">
        <f>SUM($D24:I24)</f>
        <v>0</v>
      </c>
      <c r="AJ24" s="1799">
        <f>SUM($D24:J24)</f>
        <v>0</v>
      </c>
      <c r="AK24" s="1799">
        <f>SUM($D24:K24)</f>
        <v>0</v>
      </c>
      <c r="AL24" s="1799">
        <f>SUM($D24:L24)</f>
        <v>0</v>
      </c>
      <c r="AM24" s="1799">
        <f>SUM($D24:M24)</f>
        <v>0</v>
      </c>
      <c r="AN24" s="1799">
        <f>SUM($D24:N24)</f>
        <v>0</v>
      </c>
      <c r="AO24" s="1813">
        <f>SUM($D24:O24)</f>
        <v>0</v>
      </c>
      <c r="AP24" s="1799">
        <f>SUM($P24:P24)</f>
        <v>0</v>
      </c>
      <c r="AQ24" s="1799">
        <f>SUM($P24:Q24)</f>
        <v>0</v>
      </c>
      <c r="AR24" s="1799">
        <f>SUM($P24:R24)</f>
        <v>0</v>
      </c>
      <c r="AS24" s="1799">
        <f>SUM($P24:S24)</f>
        <v>0</v>
      </c>
      <c r="AT24" s="1799">
        <f>SUM($P24:T24)</f>
        <v>0</v>
      </c>
      <c r="AU24" s="1799">
        <f>SUM($P24:U24)</f>
        <v>0</v>
      </c>
      <c r="AV24" s="1799">
        <f>SUM($P24:V24)</f>
        <v>0</v>
      </c>
      <c r="AW24" s="1799">
        <f>SUM($P24:W24)</f>
        <v>0</v>
      </c>
      <c r="AX24" s="1799">
        <f>SUM($P24:X24)</f>
        <v>0</v>
      </c>
      <c r="AY24" s="1799">
        <f>SUM($P24:Y24)</f>
        <v>0</v>
      </c>
      <c r="AZ24" s="1799">
        <f>SUM($P24:Z24)</f>
        <v>0</v>
      </c>
      <c r="BA24" s="1813">
        <f>SUM($P24:AA24)</f>
        <v>0</v>
      </c>
      <c r="BB24" s="1782"/>
      <c r="BC24" s="1783"/>
      <c r="BD24" s="1799">
        <f t="shared" si="1"/>
        <v>0</v>
      </c>
      <c r="BE24" s="1799">
        <f t="shared" si="1"/>
        <v>0</v>
      </c>
      <c r="BF24" s="1799">
        <f t="shared" si="1"/>
        <v>0</v>
      </c>
      <c r="BG24" s="1799">
        <f t="shared" si="1"/>
        <v>0</v>
      </c>
      <c r="BH24" s="1799">
        <f t="shared" ref="BG24:BO36" si="18">SUM(I24:T24)</f>
        <v>0</v>
      </c>
      <c r="BI24" s="1799">
        <f t="shared" si="18"/>
        <v>0</v>
      </c>
      <c r="BJ24" s="1799">
        <f t="shared" si="18"/>
        <v>0</v>
      </c>
      <c r="BK24" s="1799">
        <f t="shared" si="18"/>
        <v>0</v>
      </c>
      <c r="BL24" s="1799">
        <f t="shared" si="18"/>
        <v>0</v>
      </c>
      <c r="BM24" s="1799">
        <f t="shared" si="18"/>
        <v>0</v>
      </c>
      <c r="BN24" s="1799">
        <f t="shared" si="18"/>
        <v>0</v>
      </c>
      <c r="BO24" s="1799">
        <f t="shared" si="18"/>
        <v>0</v>
      </c>
    </row>
    <row r="25" spans="2:67" ht="15" customHeight="1">
      <c r="B25" s="1785" t="s">
        <v>226</v>
      </c>
      <c r="C25" s="1787"/>
      <c r="D25" s="1781">
        <f t="shared" ref="D25:O25" si="19">D11+D24</f>
        <v>0</v>
      </c>
      <c r="E25" s="1781">
        <f t="shared" si="19"/>
        <v>0</v>
      </c>
      <c r="F25" s="1781">
        <f t="shared" si="19"/>
        <v>0</v>
      </c>
      <c r="G25" s="1781">
        <f t="shared" si="19"/>
        <v>0</v>
      </c>
      <c r="H25" s="1781">
        <f t="shared" si="19"/>
        <v>0</v>
      </c>
      <c r="I25" s="1781">
        <f t="shared" si="19"/>
        <v>0</v>
      </c>
      <c r="J25" s="1781">
        <f t="shared" si="19"/>
        <v>0</v>
      </c>
      <c r="K25" s="1781">
        <f t="shared" si="19"/>
        <v>0</v>
      </c>
      <c r="L25" s="1781">
        <f t="shared" si="19"/>
        <v>0</v>
      </c>
      <c r="M25" s="1781">
        <f t="shared" si="19"/>
        <v>0</v>
      </c>
      <c r="N25" s="1781">
        <f t="shared" si="19"/>
        <v>0</v>
      </c>
      <c r="O25" s="1781">
        <f t="shared" si="19"/>
        <v>0</v>
      </c>
      <c r="P25" s="1781">
        <f t="shared" ref="P25:AA25" si="20">P11+P24</f>
        <v>0</v>
      </c>
      <c r="Q25" s="1781">
        <f t="shared" si="20"/>
        <v>0</v>
      </c>
      <c r="R25" s="1781">
        <f t="shared" si="20"/>
        <v>0</v>
      </c>
      <c r="S25" s="1781">
        <f t="shared" si="20"/>
        <v>0</v>
      </c>
      <c r="T25" s="1781">
        <f t="shared" si="20"/>
        <v>0</v>
      </c>
      <c r="U25" s="1781">
        <f t="shared" si="20"/>
        <v>0</v>
      </c>
      <c r="V25" s="1781">
        <f t="shared" si="20"/>
        <v>0</v>
      </c>
      <c r="W25" s="1781">
        <f t="shared" si="20"/>
        <v>0</v>
      </c>
      <c r="X25" s="1781">
        <f t="shared" si="20"/>
        <v>0</v>
      </c>
      <c r="Y25" s="1781">
        <f t="shared" si="20"/>
        <v>0</v>
      </c>
      <c r="Z25" s="1781">
        <f t="shared" si="20"/>
        <v>0</v>
      </c>
      <c r="AA25" s="1781">
        <f t="shared" si="20"/>
        <v>0</v>
      </c>
      <c r="AB25" s="1786"/>
      <c r="AC25" s="1787"/>
      <c r="AD25" s="1788">
        <f>SUM($D25:D25)</f>
        <v>0</v>
      </c>
      <c r="AE25" s="1788">
        <f>SUM($D25:E25)</f>
        <v>0</v>
      </c>
      <c r="AF25" s="1788">
        <f>SUM($D25:F25)</f>
        <v>0</v>
      </c>
      <c r="AG25" s="1788">
        <f>SUM($D25:G25)</f>
        <v>0</v>
      </c>
      <c r="AH25" s="1788">
        <f>SUM($D25:H25)</f>
        <v>0</v>
      </c>
      <c r="AI25" s="1788">
        <f>SUM($D25:I25)</f>
        <v>0</v>
      </c>
      <c r="AJ25" s="1788">
        <f>SUM($D25:J25)</f>
        <v>0</v>
      </c>
      <c r="AK25" s="1788">
        <f>SUM($D25:K25)</f>
        <v>0</v>
      </c>
      <c r="AL25" s="1788">
        <f>SUM($D25:L25)</f>
        <v>0</v>
      </c>
      <c r="AM25" s="1788">
        <f>SUM($D25:M25)</f>
        <v>0</v>
      </c>
      <c r="AN25" s="1788">
        <f>SUM($D25:N25)</f>
        <v>0</v>
      </c>
      <c r="AO25" s="1811">
        <f>SUM($D25:O25)</f>
        <v>0</v>
      </c>
      <c r="AP25" s="1788">
        <f>SUM($P25:P25)</f>
        <v>0</v>
      </c>
      <c r="AQ25" s="1788">
        <f>SUM($P25:Q25)</f>
        <v>0</v>
      </c>
      <c r="AR25" s="1788">
        <f>SUM($P25:R25)</f>
        <v>0</v>
      </c>
      <c r="AS25" s="1788">
        <f>SUM($P25:S25)</f>
        <v>0</v>
      </c>
      <c r="AT25" s="1788">
        <f>SUM($P25:T25)</f>
        <v>0</v>
      </c>
      <c r="AU25" s="1788">
        <f>SUM($P25:U25)</f>
        <v>0</v>
      </c>
      <c r="AV25" s="1788">
        <f>SUM($P25:V25)</f>
        <v>0</v>
      </c>
      <c r="AW25" s="1788">
        <f>SUM($P25:W25)</f>
        <v>0</v>
      </c>
      <c r="AX25" s="1788">
        <f>SUM($P25:X25)</f>
        <v>0</v>
      </c>
      <c r="AY25" s="1788">
        <f>SUM($P25:Y25)</f>
        <v>0</v>
      </c>
      <c r="AZ25" s="1788">
        <f>SUM($P25:Z25)</f>
        <v>0</v>
      </c>
      <c r="BA25" s="1811">
        <f>SUM($P25:AA25)</f>
        <v>0</v>
      </c>
      <c r="BB25" s="1786"/>
      <c r="BC25" s="1787"/>
      <c r="BD25" s="1788">
        <f t="shared" ref="BD25:BF36" si="21">SUM(E25:P25)</f>
        <v>0</v>
      </c>
      <c r="BE25" s="1788">
        <f t="shared" si="21"/>
        <v>0</v>
      </c>
      <c r="BF25" s="1788">
        <f t="shared" si="21"/>
        <v>0</v>
      </c>
      <c r="BG25" s="1788">
        <f t="shared" si="18"/>
        <v>0</v>
      </c>
      <c r="BH25" s="1788">
        <f t="shared" si="18"/>
        <v>0</v>
      </c>
      <c r="BI25" s="1788">
        <f t="shared" si="18"/>
        <v>0</v>
      </c>
      <c r="BJ25" s="1788">
        <f t="shared" si="18"/>
        <v>0</v>
      </c>
      <c r="BK25" s="1788">
        <f t="shared" si="18"/>
        <v>0</v>
      </c>
      <c r="BL25" s="1788">
        <f t="shared" si="18"/>
        <v>0</v>
      </c>
      <c r="BM25" s="1788">
        <f t="shared" si="18"/>
        <v>0</v>
      </c>
      <c r="BN25" s="1788">
        <f t="shared" si="18"/>
        <v>0</v>
      </c>
      <c r="BO25" s="1788">
        <f t="shared" si="18"/>
        <v>0</v>
      </c>
    </row>
    <row r="26" spans="2:67" s="1794" customFormat="1" ht="15" customHeight="1">
      <c r="B26" s="1796" t="s">
        <v>227</v>
      </c>
      <c r="C26" s="1798"/>
      <c r="D26" s="1790" t="e">
        <f t="shared" ref="D26:O26" si="22">D25/D6</f>
        <v>#DIV/0!</v>
      </c>
      <c r="E26" s="1790" t="e">
        <f t="shared" si="22"/>
        <v>#DIV/0!</v>
      </c>
      <c r="F26" s="1790" t="e">
        <f t="shared" si="22"/>
        <v>#DIV/0!</v>
      </c>
      <c r="G26" s="1790" t="e">
        <f t="shared" si="22"/>
        <v>#DIV/0!</v>
      </c>
      <c r="H26" s="1790" t="e">
        <f t="shared" si="22"/>
        <v>#DIV/0!</v>
      </c>
      <c r="I26" s="1790" t="e">
        <f t="shared" si="22"/>
        <v>#DIV/0!</v>
      </c>
      <c r="J26" s="1790" t="e">
        <f t="shared" si="22"/>
        <v>#DIV/0!</v>
      </c>
      <c r="K26" s="1790" t="e">
        <f t="shared" si="22"/>
        <v>#DIV/0!</v>
      </c>
      <c r="L26" s="1790" t="e">
        <f t="shared" si="22"/>
        <v>#DIV/0!</v>
      </c>
      <c r="M26" s="1790" t="e">
        <f t="shared" si="22"/>
        <v>#DIV/0!</v>
      </c>
      <c r="N26" s="1790" t="e">
        <f t="shared" si="22"/>
        <v>#DIV/0!</v>
      </c>
      <c r="O26" s="1790" t="e">
        <f t="shared" si="22"/>
        <v>#DIV/0!</v>
      </c>
      <c r="P26" s="1790" t="e">
        <f t="shared" ref="P26:AA26" si="23">P25/P6</f>
        <v>#DIV/0!</v>
      </c>
      <c r="Q26" s="1790" t="e">
        <f t="shared" si="23"/>
        <v>#DIV/0!</v>
      </c>
      <c r="R26" s="1790" t="e">
        <f t="shared" si="23"/>
        <v>#DIV/0!</v>
      </c>
      <c r="S26" s="1790" t="e">
        <f t="shared" si="23"/>
        <v>#DIV/0!</v>
      </c>
      <c r="T26" s="1790" t="e">
        <f t="shared" si="23"/>
        <v>#DIV/0!</v>
      </c>
      <c r="U26" s="1790" t="e">
        <f t="shared" si="23"/>
        <v>#DIV/0!</v>
      </c>
      <c r="V26" s="1790" t="e">
        <f t="shared" si="23"/>
        <v>#DIV/0!</v>
      </c>
      <c r="W26" s="1790" t="e">
        <f t="shared" si="23"/>
        <v>#DIV/0!</v>
      </c>
      <c r="X26" s="1790" t="e">
        <f t="shared" si="23"/>
        <v>#DIV/0!</v>
      </c>
      <c r="Y26" s="1790" t="e">
        <f t="shared" si="23"/>
        <v>#DIV/0!</v>
      </c>
      <c r="Z26" s="1790" t="e">
        <f t="shared" si="23"/>
        <v>#DIV/0!</v>
      </c>
      <c r="AA26" s="1790" t="e">
        <f t="shared" si="23"/>
        <v>#DIV/0!</v>
      </c>
      <c r="AB26" s="1797"/>
      <c r="AC26" s="1798"/>
      <c r="AD26" s="1790" t="e">
        <f>SUM(D26:$P26)</f>
        <v>#DIV/0!</v>
      </c>
      <c r="AE26" s="1790" t="e">
        <f>AE25/AE6</f>
        <v>#DIV/0!</v>
      </c>
      <c r="AF26" s="1790" t="e">
        <f t="shared" ref="AF26:BA26" si="24">AF25/AF6</f>
        <v>#DIV/0!</v>
      </c>
      <c r="AG26" s="1790" t="e">
        <f t="shared" si="24"/>
        <v>#DIV/0!</v>
      </c>
      <c r="AH26" s="1790" t="e">
        <f t="shared" si="24"/>
        <v>#DIV/0!</v>
      </c>
      <c r="AI26" s="1790" t="e">
        <f t="shared" si="24"/>
        <v>#DIV/0!</v>
      </c>
      <c r="AJ26" s="1790" t="e">
        <f t="shared" si="24"/>
        <v>#DIV/0!</v>
      </c>
      <c r="AK26" s="1790" t="e">
        <f t="shared" si="24"/>
        <v>#DIV/0!</v>
      </c>
      <c r="AL26" s="1790" t="e">
        <f t="shared" si="24"/>
        <v>#DIV/0!</v>
      </c>
      <c r="AM26" s="1790" t="e">
        <f t="shared" si="24"/>
        <v>#DIV/0!</v>
      </c>
      <c r="AN26" s="1790" t="e">
        <f t="shared" si="24"/>
        <v>#DIV/0!</v>
      </c>
      <c r="AO26" s="1812" t="e">
        <f t="shared" si="24"/>
        <v>#DIV/0!</v>
      </c>
      <c r="AP26" s="1790" t="e">
        <f t="shared" si="24"/>
        <v>#DIV/0!</v>
      </c>
      <c r="AQ26" s="1790" t="e">
        <f t="shared" si="24"/>
        <v>#DIV/0!</v>
      </c>
      <c r="AR26" s="1790" t="e">
        <f t="shared" si="24"/>
        <v>#DIV/0!</v>
      </c>
      <c r="AS26" s="1790" t="e">
        <f t="shared" si="24"/>
        <v>#DIV/0!</v>
      </c>
      <c r="AT26" s="1790" t="e">
        <f t="shared" si="24"/>
        <v>#DIV/0!</v>
      </c>
      <c r="AU26" s="1790" t="e">
        <f t="shared" si="24"/>
        <v>#DIV/0!</v>
      </c>
      <c r="AV26" s="1790" t="e">
        <f t="shared" si="24"/>
        <v>#DIV/0!</v>
      </c>
      <c r="AW26" s="1790" t="e">
        <f t="shared" si="24"/>
        <v>#DIV/0!</v>
      </c>
      <c r="AX26" s="1790" t="e">
        <f t="shared" si="24"/>
        <v>#DIV/0!</v>
      </c>
      <c r="AY26" s="1790" t="e">
        <f t="shared" si="24"/>
        <v>#DIV/0!</v>
      </c>
      <c r="AZ26" s="1790" t="e">
        <f t="shared" si="24"/>
        <v>#DIV/0!</v>
      </c>
      <c r="BA26" s="1812" t="e">
        <f t="shared" si="24"/>
        <v>#DIV/0!</v>
      </c>
      <c r="BB26" s="1797"/>
      <c r="BC26" s="1798"/>
      <c r="BD26" s="1790" t="e">
        <f t="shared" si="21"/>
        <v>#DIV/0!</v>
      </c>
      <c r="BE26" s="1790" t="e">
        <f t="shared" si="21"/>
        <v>#DIV/0!</v>
      </c>
      <c r="BF26" s="1790" t="e">
        <f t="shared" si="21"/>
        <v>#DIV/0!</v>
      </c>
      <c r="BG26" s="1790" t="e">
        <f t="shared" si="18"/>
        <v>#DIV/0!</v>
      </c>
      <c r="BH26" s="1790" t="e">
        <f t="shared" si="18"/>
        <v>#DIV/0!</v>
      </c>
      <c r="BI26" s="1790" t="e">
        <f t="shared" si="18"/>
        <v>#DIV/0!</v>
      </c>
      <c r="BJ26" s="1790" t="e">
        <f t="shared" si="18"/>
        <v>#DIV/0!</v>
      </c>
      <c r="BK26" s="1790" t="e">
        <f t="shared" si="18"/>
        <v>#DIV/0!</v>
      </c>
      <c r="BL26" s="1790" t="e">
        <f t="shared" si="18"/>
        <v>#DIV/0!</v>
      </c>
      <c r="BM26" s="1790" t="e">
        <f t="shared" si="18"/>
        <v>#DIV/0!</v>
      </c>
      <c r="BN26" s="1790" t="e">
        <f t="shared" si="18"/>
        <v>#DIV/0!</v>
      </c>
      <c r="BO26" s="1790" t="e">
        <f t="shared" si="18"/>
        <v>#DIV/0!</v>
      </c>
    </row>
    <row r="27" spans="2:67" ht="15" customHeight="1">
      <c r="B27" s="1779" t="s">
        <v>228</v>
      </c>
      <c r="C27" s="1783"/>
      <c r="D27" s="1808"/>
      <c r="E27" s="1808"/>
      <c r="F27" s="1808"/>
      <c r="G27" s="1808"/>
      <c r="H27" s="1808"/>
      <c r="I27" s="1808"/>
      <c r="J27" s="1808"/>
      <c r="K27" s="1808"/>
      <c r="L27" s="1808"/>
      <c r="M27" s="1808"/>
      <c r="N27" s="1808"/>
      <c r="O27" s="1808"/>
      <c r="P27" s="1808"/>
      <c r="Q27" s="1808"/>
      <c r="R27" s="1808"/>
      <c r="S27" s="1808"/>
      <c r="T27" s="1808"/>
      <c r="U27" s="1808"/>
      <c r="V27" s="1808"/>
      <c r="W27" s="1808"/>
      <c r="X27" s="1808"/>
      <c r="Y27" s="1808"/>
      <c r="Z27" s="1808"/>
      <c r="AA27" s="1808"/>
      <c r="AB27" s="1782"/>
      <c r="AC27" s="1783"/>
      <c r="AD27" s="1782">
        <f>SUM($D27:D27)</f>
        <v>0</v>
      </c>
      <c r="AE27" s="1782">
        <f>SUM($D27:E27)</f>
        <v>0</v>
      </c>
      <c r="AF27" s="1782">
        <f>SUM($D27:F27)</f>
        <v>0</v>
      </c>
      <c r="AG27" s="1782">
        <f>SUM($D27:G27)</f>
        <v>0</v>
      </c>
      <c r="AH27" s="1782">
        <f>SUM($D27:H27)</f>
        <v>0</v>
      </c>
      <c r="AI27" s="1782">
        <f>SUM($D27:I27)</f>
        <v>0</v>
      </c>
      <c r="AJ27" s="1782">
        <f>SUM($D27:J27)</f>
        <v>0</v>
      </c>
      <c r="AK27" s="1782">
        <f>SUM($D27:K27)</f>
        <v>0</v>
      </c>
      <c r="AL27" s="1782">
        <f>SUM($D27:L27)</f>
        <v>0</v>
      </c>
      <c r="AM27" s="1782">
        <f>SUM($D27:M27)</f>
        <v>0</v>
      </c>
      <c r="AN27" s="1782">
        <f>SUM($D27:N27)</f>
        <v>0</v>
      </c>
      <c r="AO27" s="1810">
        <f>SUM($D27:O27)</f>
        <v>0</v>
      </c>
      <c r="AP27" s="1782">
        <f>SUM($P27:P27)</f>
        <v>0</v>
      </c>
      <c r="AQ27" s="1782">
        <f>SUM($P27:Q27)</f>
        <v>0</v>
      </c>
      <c r="AR27" s="1782">
        <f>SUM($P27:R27)</f>
        <v>0</v>
      </c>
      <c r="AS27" s="1782">
        <f>SUM($P27:S27)</f>
        <v>0</v>
      </c>
      <c r="AT27" s="1782">
        <f>SUM($P27:T27)</f>
        <v>0</v>
      </c>
      <c r="AU27" s="1782">
        <f>SUM($P27:U27)</f>
        <v>0</v>
      </c>
      <c r="AV27" s="1782">
        <f>SUM($P27:V27)</f>
        <v>0</v>
      </c>
      <c r="AW27" s="1782">
        <f>SUM($P27:W27)</f>
        <v>0</v>
      </c>
      <c r="AX27" s="1782">
        <f>SUM($P27:X27)</f>
        <v>0</v>
      </c>
      <c r="AY27" s="1782">
        <f>SUM($P27:Y27)</f>
        <v>0</v>
      </c>
      <c r="AZ27" s="1782">
        <f>SUM($P27:Z27)</f>
        <v>0</v>
      </c>
      <c r="BA27" s="1810">
        <f>SUM($P27:AA27)</f>
        <v>0</v>
      </c>
      <c r="BB27" s="1782"/>
      <c r="BC27" s="1783"/>
      <c r="BD27" s="1782">
        <f t="shared" si="21"/>
        <v>0</v>
      </c>
      <c r="BE27" s="1782">
        <f t="shared" si="21"/>
        <v>0</v>
      </c>
      <c r="BF27" s="1782">
        <f t="shared" si="21"/>
        <v>0</v>
      </c>
      <c r="BG27" s="1782">
        <f t="shared" si="18"/>
        <v>0</v>
      </c>
      <c r="BH27" s="1782">
        <f t="shared" si="18"/>
        <v>0</v>
      </c>
      <c r="BI27" s="1782">
        <f t="shared" si="18"/>
        <v>0</v>
      </c>
      <c r="BJ27" s="1782">
        <f t="shared" si="18"/>
        <v>0</v>
      </c>
      <c r="BK27" s="1782">
        <f t="shared" si="18"/>
        <v>0</v>
      </c>
      <c r="BL27" s="1782">
        <f t="shared" si="18"/>
        <v>0</v>
      </c>
      <c r="BM27" s="1782">
        <f t="shared" si="18"/>
        <v>0</v>
      </c>
      <c r="BN27" s="1782">
        <f t="shared" si="18"/>
        <v>0</v>
      </c>
      <c r="BO27" s="1782">
        <f t="shared" si="18"/>
        <v>0</v>
      </c>
    </row>
    <row r="28" spans="2:67" ht="15" customHeight="1">
      <c r="B28" s="1779" t="s">
        <v>229</v>
      </c>
      <c r="C28" s="1783"/>
      <c r="D28" s="1808"/>
      <c r="E28" s="1808"/>
      <c r="F28" s="1808"/>
      <c r="G28" s="1808"/>
      <c r="H28" s="1808"/>
      <c r="I28" s="1808"/>
      <c r="J28" s="1808"/>
      <c r="K28" s="1808"/>
      <c r="L28" s="1808"/>
      <c r="M28" s="1808"/>
      <c r="N28" s="1808"/>
      <c r="O28" s="1808"/>
      <c r="P28" s="1808"/>
      <c r="Q28" s="1808"/>
      <c r="R28" s="1808"/>
      <c r="S28" s="1808"/>
      <c r="T28" s="1808"/>
      <c r="U28" s="1808"/>
      <c r="V28" s="1808"/>
      <c r="W28" s="1808"/>
      <c r="X28" s="1808"/>
      <c r="Y28" s="1808"/>
      <c r="Z28" s="1808"/>
      <c r="AA28" s="1808"/>
      <c r="AB28" s="1782"/>
      <c r="AC28" s="1783"/>
      <c r="AD28" s="1782">
        <f>SUM($D28:D28)</f>
        <v>0</v>
      </c>
      <c r="AE28" s="1782">
        <f>SUM($D28:E28)</f>
        <v>0</v>
      </c>
      <c r="AF28" s="1782">
        <f>SUM($D28:F28)</f>
        <v>0</v>
      </c>
      <c r="AG28" s="1782">
        <f>SUM($D28:G28)</f>
        <v>0</v>
      </c>
      <c r="AH28" s="1782">
        <f>SUM($D28:H28)</f>
        <v>0</v>
      </c>
      <c r="AI28" s="1782">
        <f>SUM($D28:I28)</f>
        <v>0</v>
      </c>
      <c r="AJ28" s="1782">
        <f>SUM($D28:J28)</f>
        <v>0</v>
      </c>
      <c r="AK28" s="1782">
        <f>SUM($D28:K28)</f>
        <v>0</v>
      </c>
      <c r="AL28" s="1782">
        <f>SUM($D28:L28)</f>
        <v>0</v>
      </c>
      <c r="AM28" s="1782">
        <f>SUM($D28:M28)</f>
        <v>0</v>
      </c>
      <c r="AN28" s="1782">
        <f>SUM($D28:N28)</f>
        <v>0</v>
      </c>
      <c r="AO28" s="1810">
        <f>SUM($D28:O28)</f>
        <v>0</v>
      </c>
      <c r="AP28" s="1782">
        <f>SUM($P28:P28)</f>
        <v>0</v>
      </c>
      <c r="AQ28" s="1782">
        <f>SUM($P28:Q28)</f>
        <v>0</v>
      </c>
      <c r="AR28" s="1782">
        <f>SUM($P28:R28)</f>
        <v>0</v>
      </c>
      <c r="AS28" s="1782">
        <f>SUM($P28:S28)</f>
        <v>0</v>
      </c>
      <c r="AT28" s="1782">
        <f>SUM($P28:T28)</f>
        <v>0</v>
      </c>
      <c r="AU28" s="1782">
        <f>SUM($P28:U28)</f>
        <v>0</v>
      </c>
      <c r="AV28" s="1782">
        <f>SUM($P28:V28)</f>
        <v>0</v>
      </c>
      <c r="AW28" s="1782">
        <f>SUM($P28:W28)</f>
        <v>0</v>
      </c>
      <c r="AX28" s="1782">
        <f>SUM($P28:X28)</f>
        <v>0</v>
      </c>
      <c r="AY28" s="1782">
        <f>SUM($P28:Y28)</f>
        <v>0</v>
      </c>
      <c r="AZ28" s="1782">
        <f>SUM($P28:Z28)</f>
        <v>0</v>
      </c>
      <c r="BA28" s="1810">
        <f>SUM($P28:AA28)</f>
        <v>0</v>
      </c>
      <c r="BB28" s="1782"/>
      <c r="BC28" s="1783"/>
      <c r="BD28" s="1782">
        <f t="shared" si="21"/>
        <v>0</v>
      </c>
      <c r="BE28" s="1782">
        <f t="shared" si="21"/>
        <v>0</v>
      </c>
      <c r="BF28" s="1782">
        <f t="shared" si="21"/>
        <v>0</v>
      </c>
      <c r="BG28" s="1782">
        <f t="shared" si="18"/>
        <v>0</v>
      </c>
      <c r="BH28" s="1782">
        <f t="shared" si="18"/>
        <v>0</v>
      </c>
      <c r="BI28" s="1782">
        <f t="shared" si="18"/>
        <v>0</v>
      </c>
      <c r="BJ28" s="1782">
        <f t="shared" si="18"/>
        <v>0</v>
      </c>
      <c r="BK28" s="1782">
        <f t="shared" si="18"/>
        <v>0</v>
      </c>
      <c r="BL28" s="1782">
        <f t="shared" si="18"/>
        <v>0</v>
      </c>
      <c r="BM28" s="1782">
        <f t="shared" si="18"/>
        <v>0</v>
      </c>
      <c r="BN28" s="1782">
        <f t="shared" si="18"/>
        <v>0</v>
      </c>
      <c r="BO28" s="1782">
        <f t="shared" si="18"/>
        <v>0</v>
      </c>
    </row>
    <row r="29" spans="2:67" ht="15" customHeight="1">
      <c r="B29" s="1785" t="s">
        <v>230</v>
      </c>
      <c r="C29" s="1787"/>
      <c r="D29" s="1781">
        <f t="shared" ref="D29:O29" si="25">D27+D28</f>
        <v>0</v>
      </c>
      <c r="E29" s="1781">
        <f t="shared" si="25"/>
        <v>0</v>
      </c>
      <c r="F29" s="1781">
        <f t="shared" si="25"/>
        <v>0</v>
      </c>
      <c r="G29" s="1781">
        <f t="shared" si="25"/>
        <v>0</v>
      </c>
      <c r="H29" s="1781">
        <f t="shared" si="25"/>
        <v>0</v>
      </c>
      <c r="I29" s="1781">
        <f t="shared" si="25"/>
        <v>0</v>
      </c>
      <c r="J29" s="1781">
        <f t="shared" si="25"/>
        <v>0</v>
      </c>
      <c r="K29" s="1781">
        <f t="shared" si="25"/>
        <v>0</v>
      </c>
      <c r="L29" s="1781">
        <f t="shared" si="25"/>
        <v>0</v>
      </c>
      <c r="M29" s="1781">
        <f t="shared" si="25"/>
        <v>0</v>
      </c>
      <c r="N29" s="1781">
        <f t="shared" si="25"/>
        <v>0</v>
      </c>
      <c r="O29" s="1781">
        <f t="shared" si="25"/>
        <v>0</v>
      </c>
      <c r="P29" s="1781">
        <f t="shared" ref="P29:AA29" si="26">P27+P28</f>
        <v>0</v>
      </c>
      <c r="Q29" s="1781">
        <f t="shared" si="26"/>
        <v>0</v>
      </c>
      <c r="R29" s="1781">
        <f t="shared" si="26"/>
        <v>0</v>
      </c>
      <c r="S29" s="1781">
        <f t="shared" si="26"/>
        <v>0</v>
      </c>
      <c r="T29" s="1781">
        <f t="shared" si="26"/>
        <v>0</v>
      </c>
      <c r="U29" s="1781">
        <f t="shared" si="26"/>
        <v>0</v>
      </c>
      <c r="V29" s="1781">
        <f t="shared" si="26"/>
        <v>0</v>
      </c>
      <c r="W29" s="1781">
        <f t="shared" si="26"/>
        <v>0</v>
      </c>
      <c r="X29" s="1781">
        <f t="shared" si="26"/>
        <v>0</v>
      </c>
      <c r="Y29" s="1781">
        <f t="shared" si="26"/>
        <v>0</v>
      </c>
      <c r="Z29" s="1781">
        <f t="shared" si="26"/>
        <v>0</v>
      </c>
      <c r="AA29" s="1781">
        <f t="shared" si="26"/>
        <v>0</v>
      </c>
      <c r="AB29" s="1786"/>
      <c r="AC29" s="1787"/>
      <c r="AD29" s="1788">
        <f>SUM($D29:D29)</f>
        <v>0</v>
      </c>
      <c r="AE29" s="1788">
        <f>SUM($D29:E29)</f>
        <v>0</v>
      </c>
      <c r="AF29" s="1788">
        <f>SUM($D29:F29)</f>
        <v>0</v>
      </c>
      <c r="AG29" s="1788">
        <f>SUM($D29:G29)</f>
        <v>0</v>
      </c>
      <c r="AH29" s="1788">
        <f>SUM($D29:H29)</f>
        <v>0</v>
      </c>
      <c r="AI29" s="1788">
        <f>SUM($D29:I29)</f>
        <v>0</v>
      </c>
      <c r="AJ29" s="1788">
        <f>SUM($D29:J29)</f>
        <v>0</v>
      </c>
      <c r="AK29" s="1788">
        <f>SUM($D29:K29)</f>
        <v>0</v>
      </c>
      <c r="AL29" s="1788">
        <f>SUM($D29:L29)</f>
        <v>0</v>
      </c>
      <c r="AM29" s="1788">
        <f>SUM($D29:M29)</f>
        <v>0</v>
      </c>
      <c r="AN29" s="1788">
        <f>SUM($D29:N29)</f>
        <v>0</v>
      </c>
      <c r="AO29" s="1811">
        <f>SUM($D29:O29)</f>
        <v>0</v>
      </c>
      <c r="AP29" s="1788">
        <f>SUM($P29:P29)</f>
        <v>0</v>
      </c>
      <c r="AQ29" s="1788">
        <f>SUM($P29:Q29)</f>
        <v>0</v>
      </c>
      <c r="AR29" s="1788">
        <f>SUM($P29:R29)</f>
        <v>0</v>
      </c>
      <c r="AS29" s="1788">
        <f>SUM($P29:S29)</f>
        <v>0</v>
      </c>
      <c r="AT29" s="1788">
        <f>SUM($P29:T29)</f>
        <v>0</v>
      </c>
      <c r="AU29" s="1788">
        <f>SUM($P29:U29)</f>
        <v>0</v>
      </c>
      <c r="AV29" s="1788">
        <f>SUM($P29:V29)</f>
        <v>0</v>
      </c>
      <c r="AW29" s="1788">
        <f>SUM($P29:W29)</f>
        <v>0</v>
      </c>
      <c r="AX29" s="1788">
        <f>SUM($P29:X29)</f>
        <v>0</v>
      </c>
      <c r="AY29" s="1788">
        <f>SUM($P29:Y29)</f>
        <v>0</v>
      </c>
      <c r="AZ29" s="1788">
        <f>SUM($P29:Z29)</f>
        <v>0</v>
      </c>
      <c r="BA29" s="1811">
        <f>SUM($P29:AA29)</f>
        <v>0</v>
      </c>
      <c r="BB29" s="1786"/>
      <c r="BC29" s="1787"/>
      <c r="BD29" s="1788">
        <f t="shared" si="21"/>
        <v>0</v>
      </c>
      <c r="BE29" s="1788">
        <f t="shared" si="21"/>
        <v>0</v>
      </c>
      <c r="BF29" s="1788">
        <f t="shared" si="21"/>
        <v>0</v>
      </c>
      <c r="BG29" s="1788">
        <f t="shared" si="18"/>
        <v>0</v>
      </c>
      <c r="BH29" s="1788">
        <f t="shared" si="18"/>
        <v>0</v>
      </c>
      <c r="BI29" s="1788">
        <f t="shared" si="18"/>
        <v>0</v>
      </c>
      <c r="BJ29" s="1788">
        <f t="shared" si="18"/>
        <v>0</v>
      </c>
      <c r="BK29" s="1788">
        <f t="shared" si="18"/>
        <v>0</v>
      </c>
      <c r="BL29" s="1788">
        <f t="shared" si="18"/>
        <v>0</v>
      </c>
      <c r="BM29" s="1788">
        <f t="shared" si="18"/>
        <v>0</v>
      </c>
      <c r="BN29" s="1788">
        <f t="shared" si="18"/>
        <v>0</v>
      </c>
      <c r="BO29" s="1788">
        <f t="shared" si="18"/>
        <v>0</v>
      </c>
    </row>
    <row r="30" spans="2:67" ht="15" customHeight="1">
      <c r="B30" s="1779" t="s">
        <v>231</v>
      </c>
      <c r="C30" s="1783"/>
      <c r="D30" s="1807"/>
      <c r="E30" s="1807"/>
      <c r="F30" s="1807"/>
      <c r="G30" s="1807"/>
      <c r="H30" s="1807"/>
      <c r="I30" s="1807"/>
      <c r="J30" s="1807"/>
      <c r="K30" s="1807"/>
      <c r="L30" s="1807"/>
      <c r="M30" s="1807"/>
      <c r="N30" s="1807"/>
      <c r="O30" s="1807"/>
      <c r="P30" s="1807"/>
      <c r="Q30" s="1807"/>
      <c r="R30" s="1807"/>
      <c r="S30" s="1807"/>
      <c r="T30" s="1807"/>
      <c r="U30" s="1807"/>
      <c r="V30" s="1807"/>
      <c r="W30" s="1807"/>
      <c r="X30" s="1807"/>
      <c r="Y30" s="1807"/>
      <c r="Z30" s="1807"/>
      <c r="AA30" s="1807"/>
      <c r="AB30" s="1782"/>
      <c r="AC30" s="1783"/>
      <c r="AD30" s="1784">
        <f>SUM($D30:D30)</f>
        <v>0</v>
      </c>
      <c r="AE30" s="1784">
        <f>SUM($D30:E30)</f>
        <v>0</v>
      </c>
      <c r="AF30" s="1784">
        <f>SUM($D30:F30)</f>
        <v>0</v>
      </c>
      <c r="AG30" s="1784">
        <f>SUM($D30:G30)</f>
        <v>0</v>
      </c>
      <c r="AH30" s="1784">
        <f>SUM($D30:H30)</f>
        <v>0</v>
      </c>
      <c r="AI30" s="1784">
        <f>SUM($D30:I30)</f>
        <v>0</v>
      </c>
      <c r="AJ30" s="1784">
        <f>SUM($D30:J30)</f>
        <v>0</v>
      </c>
      <c r="AK30" s="1784">
        <f>SUM($D30:K30)</f>
        <v>0</v>
      </c>
      <c r="AL30" s="1784">
        <f>SUM($D30:L30)</f>
        <v>0</v>
      </c>
      <c r="AM30" s="1784">
        <f>SUM($D30:M30)</f>
        <v>0</v>
      </c>
      <c r="AN30" s="1784">
        <f>SUM($D30:N30)</f>
        <v>0</v>
      </c>
      <c r="AO30" s="1809">
        <f>SUM($D30:O30)</f>
        <v>0</v>
      </c>
      <c r="AP30" s="1784">
        <f>SUM($P30:P30)</f>
        <v>0</v>
      </c>
      <c r="AQ30" s="1784">
        <f>SUM($P30:Q30)</f>
        <v>0</v>
      </c>
      <c r="AR30" s="1784">
        <f>SUM($P30:R30)</f>
        <v>0</v>
      </c>
      <c r="AS30" s="1784">
        <f>SUM($P30:S30)</f>
        <v>0</v>
      </c>
      <c r="AT30" s="1784">
        <f>SUM($P30:T30)</f>
        <v>0</v>
      </c>
      <c r="AU30" s="1784">
        <f>SUM($P30:U30)</f>
        <v>0</v>
      </c>
      <c r="AV30" s="1784">
        <f>SUM($P30:V30)</f>
        <v>0</v>
      </c>
      <c r="AW30" s="1784">
        <f>SUM($P30:W30)</f>
        <v>0</v>
      </c>
      <c r="AX30" s="1784">
        <f>SUM($P30:X30)</f>
        <v>0</v>
      </c>
      <c r="AY30" s="1784">
        <f>SUM($P30:Y30)</f>
        <v>0</v>
      </c>
      <c r="AZ30" s="1784">
        <f>SUM($P30:Z30)</f>
        <v>0</v>
      </c>
      <c r="BA30" s="1809">
        <f>SUM($P30:AA30)</f>
        <v>0</v>
      </c>
      <c r="BB30" s="1782"/>
      <c r="BC30" s="1783"/>
      <c r="BD30" s="1784">
        <f t="shared" si="21"/>
        <v>0</v>
      </c>
      <c r="BE30" s="1784">
        <f t="shared" si="21"/>
        <v>0</v>
      </c>
      <c r="BF30" s="1784">
        <f t="shared" si="21"/>
        <v>0</v>
      </c>
      <c r="BG30" s="1784">
        <f t="shared" si="18"/>
        <v>0</v>
      </c>
      <c r="BH30" s="1784">
        <f t="shared" si="18"/>
        <v>0</v>
      </c>
      <c r="BI30" s="1784">
        <f t="shared" si="18"/>
        <v>0</v>
      </c>
      <c r="BJ30" s="1784">
        <f t="shared" si="18"/>
        <v>0</v>
      </c>
      <c r="BK30" s="1784">
        <f t="shared" si="18"/>
        <v>0</v>
      </c>
      <c r="BL30" s="1784">
        <f t="shared" si="18"/>
        <v>0</v>
      </c>
      <c r="BM30" s="1784">
        <f t="shared" si="18"/>
        <v>0</v>
      </c>
      <c r="BN30" s="1784">
        <f t="shared" si="18"/>
        <v>0</v>
      </c>
      <c r="BO30" s="1784">
        <f t="shared" si="18"/>
        <v>0</v>
      </c>
    </row>
    <row r="31" spans="2:67" ht="15" customHeight="1">
      <c r="B31" s="1779" t="s">
        <v>232</v>
      </c>
      <c r="C31" s="1783"/>
      <c r="D31" s="1807"/>
      <c r="E31" s="1807"/>
      <c r="F31" s="1807"/>
      <c r="G31" s="1807"/>
      <c r="H31" s="1807"/>
      <c r="I31" s="1807"/>
      <c r="J31" s="1807"/>
      <c r="K31" s="1807"/>
      <c r="L31" s="1807"/>
      <c r="M31" s="1807"/>
      <c r="N31" s="1807"/>
      <c r="O31" s="1807"/>
      <c r="P31" s="1807"/>
      <c r="Q31" s="1807"/>
      <c r="R31" s="1807"/>
      <c r="S31" s="1807"/>
      <c r="T31" s="1807"/>
      <c r="U31" s="1807"/>
      <c r="V31" s="1807"/>
      <c r="W31" s="1807"/>
      <c r="X31" s="1807"/>
      <c r="Y31" s="1807"/>
      <c r="Z31" s="1807"/>
      <c r="AA31" s="1807"/>
      <c r="AB31" s="1782"/>
      <c r="AC31" s="1783"/>
      <c r="AD31" s="1784">
        <f>SUM($D31:D31)</f>
        <v>0</v>
      </c>
      <c r="AE31" s="1784">
        <f>SUM($D31:E31)</f>
        <v>0</v>
      </c>
      <c r="AF31" s="1784">
        <f>SUM($D31:F31)</f>
        <v>0</v>
      </c>
      <c r="AG31" s="1784">
        <f>SUM($D31:G31)</f>
        <v>0</v>
      </c>
      <c r="AH31" s="1784">
        <f>SUM($D31:H31)</f>
        <v>0</v>
      </c>
      <c r="AI31" s="1784">
        <f>SUM($D31:I31)</f>
        <v>0</v>
      </c>
      <c r="AJ31" s="1784">
        <f>SUM($D31:J31)</f>
        <v>0</v>
      </c>
      <c r="AK31" s="1784">
        <f>SUM($D31:K31)</f>
        <v>0</v>
      </c>
      <c r="AL31" s="1784">
        <f>SUM($D31:L31)</f>
        <v>0</v>
      </c>
      <c r="AM31" s="1784">
        <f>SUM($D31:M31)</f>
        <v>0</v>
      </c>
      <c r="AN31" s="1784">
        <f>SUM($D31:N31)</f>
        <v>0</v>
      </c>
      <c r="AO31" s="1809">
        <f>SUM($D31:O31)</f>
        <v>0</v>
      </c>
      <c r="AP31" s="1784">
        <f>SUM($P31:P31)</f>
        <v>0</v>
      </c>
      <c r="AQ31" s="1784">
        <f>SUM($P31:Q31)</f>
        <v>0</v>
      </c>
      <c r="AR31" s="1784">
        <f>SUM($P31:R31)</f>
        <v>0</v>
      </c>
      <c r="AS31" s="1784">
        <f>SUM($P31:S31)</f>
        <v>0</v>
      </c>
      <c r="AT31" s="1784">
        <f>SUM($P31:T31)</f>
        <v>0</v>
      </c>
      <c r="AU31" s="1784">
        <f>SUM($P31:U31)</f>
        <v>0</v>
      </c>
      <c r="AV31" s="1784">
        <f>SUM($P31:V31)</f>
        <v>0</v>
      </c>
      <c r="AW31" s="1784">
        <f>SUM($P31:W31)</f>
        <v>0</v>
      </c>
      <c r="AX31" s="1784">
        <f>SUM($P31:X31)</f>
        <v>0</v>
      </c>
      <c r="AY31" s="1784">
        <f>SUM($P31:Y31)</f>
        <v>0</v>
      </c>
      <c r="AZ31" s="1784">
        <f>SUM($P31:Z31)</f>
        <v>0</v>
      </c>
      <c r="BA31" s="1809">
        <f>SUM($P31:AA31)</f>
        <v>0</v>
      </c>
      <c r="BB31" s="1782"/>
      <c r="BC31" s="1783"/>
      <c r="BD31" s="1784">
        <f t="shared" si="21"/>
        <v>0</v>
      </c>
      <c r="BE31" s="1784">
        <f t="shared" si="21"/>
        <v>0</v>
      </c>
      <c r="BF31" s="1784">
        <f t="shared" si="21"/>
        <v>0</v>
      </c>
      <c r="BG31" s="1784">
        <f t="shared" si="18"/>
        <v>0</v>
      </c>
      <c r="BH31" s="1784">
        <f t="shared" si="18"/>
        <v>0</v>
      </c>
      <c r="BI31" s="1784">
        <f t="shared" si="18"/>
        <v>0</v>
      </c>
      <c r="BJ31" s="1784">
        <f t="shared" si="18"/>
        <v>0</v>
      </c>
      <c r="BK31" s="1784">
        <f t="shared" si="18"/>
        <v>0</v>
      </c>
      <c r="BL31" s="1784">
        <f t="shared" si="18"/>
        <v>0</v>
      </c>
      <c r="BM31" s="1784">
        <f t="shared" si="18"/>
        <v>0</v>
      </c>
      <c r="BN31" s="1784">
        <f t="shared" si="18"/>
        <v>0</v>
      </c>
      <c r="BO31" s="1784">
        <f t="shared" si="18"/>
        <v>0</v>
      </c>
    </row>
    <row r="32" spans="2:67" ht="15" customHeight="1">
      <c r="B32" s="1779" t="s">
        <v>233</v>
      </c>
      <c r="C32" s="1783"/>
      <c r="D32" s="1807"/>
      <c r="E32" s="1807"/>
      <c r="F32" s="1807"/>
      <c r="G32" s="1807"/>
      <c r="H32" s="1807"/>
      <c r="I32" s="1807"/>
      <c r="J32" s="1807"/>
      <c r="K32" s="1807"/>
      <c r="L32" s="1807"/>
      <c r="M32" s="1807"/>
      <c r="N32" s="1807"/>
      <c r="O32" s="1807"/>
      <c r="P32" s="1807"/>
      <c r="Q32" s="1807"/>
      <c r="R32" s="1807"/>
      <c r="S32" s="1807"/>
      <c r="T32" s="1807"/>
      <c r="U32" s="1807"/>
      <c r="V32" s="1807"/>
      <c r="W32" s="1807"/>
      <c r="X32" s="1807"/>
      <c r="Y32" s="1807"/>
      <c r="Z32" s="1807"/>
      <c r="AA32" s="1807"/>
      <c r="AB32" s="1782"/>
      <c r="AC32" s="1783"/>
      <c r="AD32" s="1784">
        <f>SUM($D32:D32)</f>
        <v>0</v>
      </c>
      <c r="AE32" s="1784">
        <f>SUM($D32:E32)</f>
        <v>0</v>
      </c>
      <c r="AF32" s="1784">
        <f>SUM($D32:F32)</f>
        <v>0</v>
      </c>
      <c r="AG32" s="1784">
        <f>SUM($D32:G32)</f>
        <v>0</v>
      </c>
      <c r="AH32" s="1784">
        <f>SUM($D32:H32)</f>
        <v>0</v>
      </c>
      <c r="AI32" s="1784">
        <f>SUM($D32:I32)</f>
        <v>0</v>
      </c>
      <c r="AJ32" s="1784">
        <f>SUM($D32:J32)</f>
        <v>0</v>
      </c>
      <c r="AK32" s="1784">
        <f>SUM($D32:K32)</f>
        <v>0</v>
      </c>
      <c r="AL32" s="1784">
        <f>SUM($D32:L32)</f>
        <v>0</v>
      </c>
      <c r="AM32" s="1784">
        <f>SUM($D32:M32)</f>
        <v>0</v>
      </c>
      <c r="AN32" s="1784">
        <f>SUM($D32:N32)</f>
        <v>0</v>
      </c>
      <c r="AO32" s="1809">
        <f>SUM($D32:O32)</f>
        <v>0</v>
      </c>
      <c r="AP32" s="1784">
        <f>SUM($P32:P32)</f>
        <v>0</v>
      </c>
      <c r="AQ32" s="1784">
        <f>SUM($P32:Q32)</f>
        <v>0</v>
      </c>
      <c r="AR32" s="1784">
        <f>SUM($P32:R32)</f>
        <v>0</v>
      </c>
      <c r="AS32" s="1784">
        <f>SUM($P32:S32)</f>
        <v>0</v>
      </c>
      <c r="AT32" s="1784">
        <f>SUM($P32:T32)</f>
        <v>0</v>
      </c>
      <c r="AU32" s="1784">
        <f>SUM($P32:U32)</f>
        <v>0</v>
      </c>
      <c r="AV32" s="1784">
        <f>SUM($P32:V32)</f>
        <v>0</v>
      </c>
      <c r="AW32" s="1784">
        <f>SUM($P32:W32)</f>
        <v>0</v>
      </c>
      <c r="AX32" s="1784">
        <f>SUM($P32:X32)</f>
        <v>0</v>
      </c>
      <c r="AY32" s="1784">
        <f>SUM($P32:Y32)</f>
        <v>0</v>
      </c>
      <c r="AZ32" s="1784">
        <f>SUM($P32:Z32)</f>
        <v>0</v>
      </c>
      <c r="BA32" s="1809">
        <f>SUM($P32:AA32)</f>
        <v>0</v>
      </c>
      <c r="BB32" s="1782"/>
      <c r="BC32" s="1783"/>
      <c r="BD32" s="1784">
        <f t="shared" si="21"/>
        <v>0</v>
      </c>
      <c r="BE32" s="1784">
        <f t="shared" si="21"/>
        <v>0</v>
      </c>
      <c r="BF32" s="1784">
        <f t="shared" si="21"/>
        <v>0</v>
      </c>
      <c r="BG32" s="1784">
        <f t="shared" si="18"/>
        <v>0</v>
      </c>
      <c r="BH32" s="1784">
        <f t="shared" si="18"/>
        <v>0</v>
      </c>
      <c r="BI32" s="1784">
        <f t="shared" si="18"/>
        <v>0</v>
      </c>
      <c r="BJ32" s="1784">
        <f t="shared" si="18"/>
        <v>0</v>
      </c>
      <c r="BK32" s="1784">
        <f t="shared" si="18"/>
        <v>0</v>
      </c>
      <c r="BL32" s="1784">
        <f t="shared" si="18"/>
        <v>0</v>
      </c>
      <c r="BM32" s="1784">
        <f t="shared" si="18"/>
        <v>0</v>
      </c>
      <c r="BN32" s="1784">
        <f t="shared" si="18"/>
        <v>0</v>
      </c>
      <c r="BO32" s="1784">
        <f t="shared" si="18"/>
        <v>0</v>
      </c>
    </row>
    <row r="33" spans="2:67" ht="15" customHeight="1">
      <c r="B33" s="1785" t="s">
        <v>234</v>
      </c>
      <c r="C33" s="1787"/>
      <c r="D33" s="1781">
        <f t="shared" ref="D33:O33" si="27">D30+D31+D32</f>
        <v>0</v>
      </c>
      <c r="E33" s="1781">
        <f t="shared" si="27"/>
        <v>0</v>
      </c>
      <c r="F33" s="1781">
        <f t="shared" si="27"/>
        <v>0</v>
      </c>
      <c r="G33" s="1781">
        <f t="shared" si="27"/>
        <v>0</v>
      </c>
      <c r="H33" s="1781">
        <f t="shared" si="27"/>
        <v>0</v>
      </c>
      <c r="I33" s="1781">
        <f t="shared" si="27"/>
        <v>0</v>
      </c>
      <c r="J33" s="1781">
        <f t="shared" si="27"/>
        <v>0</v>
      </c>
      <c r="K33" s="1781">
        <f t="shared" si="27"/>
        <v>0</v>
      </c>
      <c r="L33" s="1781">
        <f t="shared" si="27"/>
        <v>0</v>
      </c>
      <c r="M33" s="1781">
        <f t="shared" si="27"/>
        <v>0</v>
      </c>
      <c r="N33" s="1781">
        <f t="shared" si="27"/>
        <v>0</v>
      </c>
      <c r="O33" s="1781">
        <f t="shared" si="27"/>
        <v>0</v>
      </c>
      <c r="P33" s="1781">
        <f t="shared" ref="P33:AA33" si="28">P30+P31+P32</f>
        <v>0</v>
      </c>
      <c r="Q33" s="1781">
        <f t="shared" si="28"/>
        <v>0</v>
      </c>
      <c r="R33" s="1781">
        <f t="shared" si="28"/>
        <v>0</v>
      </c>
      <c r="S33" s="1781">
        <f t="shared" si="28"/>
        <v>0</v>
      </c>
      <c r="T33" s="1781">
        <f t="shared" si="28"/>
        <v>0</v>
      </c>
      <c r="U33" s="1781">
        <f t="shared" si="28"/>
        <v>0</v>
      </c>
      <c r="V33" s="1781">
        <f t="shared" si="28"/>
        <v>0</v>
      </c>
      <c r="W33" s="1781">
        <f t="shared" si="28"/>
        <v>0</v>
      </c>
      <c r="X33" s="1781">
        <f t="shared" si="28"/>
        <v>0</v>
      </c>
      <c r="Y33" s="1781">
        <f t="shared" si="28"/>
        <v>0</v>
      </c>
      <c r="Z33" s="1781">
        <f t="shared" si="28"/>
        <v>0</v>
      </c>
      <c r="AA33" s="1781">
        <f t="shared" si="28"/>
        <v>0</v>
      </c>
      <c r="AB33" s="1786"/>
      <c r="AC33" s="1787"/>
      <c r="AD33" s="1788">
        <f>SUM($D33:D33)</f>
        <v>0</v>
      </c>
      <c r="AE33" s="1788">
        <f>SUM($D33:E33)</f>
        <v>0</v>
      </c>
      <c r="AF33" s="1788">
        <f>SUM($D33:F33)</f>
        <v>0</v>
      </c>
      <c r="AG33" s="1788">
        <f>SUM($D33:G33)</f>
        <v>0</v>
      </c>
      <c r="AH33" s="1788">
        <f>SUM($D33:H33)</f>
        <v>0</v>
      </c>
      <c r="AI33" s="1788">
        <f>SUM($D33:I33)</f>
        <v>0</v>
      </c>
      <c r="AJ33" s="1788">
        <f>SUM($D33:J33)</f>
        <v>0</v>
      </c>
      <c r="AK33" s="1788">
        <f>SUM($D33:K33)</f>
        <v>0</v>
      </c>
      <c r="AL33" s="1788">
        <f>SUM($D33:L33)</f>
        <v>0</v>
      </c>
      <c r="AM33" s="1788">
        <f>SUM($D33:M33)</f>
        <v>0</v>
      </c>
      <c r="AN33" s="1788">
        <f>SUM($D33:N33)</f>
        <v>0</v>
      </c>
      <c r="AO33" s="1811">
        <f>SUM($D33:O33)</f>
        <v>0</v>
      </c>
      <c r="AP33" s="1788">
        <f>SUM($P33:P33)</f>
        <v>0</v>
      </c>
      <c r="AQ33" s="1788">
        <f>SUM($P33:Q33)</f>
        <v>0</v>
      </c>
      <c r="AR33" s="1788">
        <f>SUM($P33:R33)</f>
        <v>0</v>
      </c>
      <c r="AS33" s="1788">
        <f>SUM($P33:S33)</f>
        <v>0</v>
      </c>
      <c r="AT33" s="1788">
        <f>SUM($P33:T33)</f>
        <v>0</v>
      </c>
      <c r="AU33" s="1788">
        <f>SUM($P33:U33)</f>
        <v>0</v>
      </c>
      <c r="AV33" s="1788">
        <f>SUM($P33:V33)</f>
        <v>0</v>
      </c>
      <c r="AW33" s="1788">
        <f>SUM($P33:W33)</f>
        <v>0</v>
      </c>
      <c r="AX33" s="1788">
        <f>SUM($P33:X33)</f>
        <v>0</v>
      </c>
      <c r="AY33" s="1788">
        <f>SUM($P33:Y33)</f>
        <v>0</v>
      </c>
      <c r="AZ33" s="1788">
        <f>SUM($P33:Z33)</f>
        <v>0</v>
      </c>
      <c r="BA33" s="1811">
        <f>SUM($P33:AA33)</f>
        <v>0</v>
      </c>
      <c r="BB33" s="1786"/>
      <c r="BC33" s="1787"/>
      <c r="BD33" s="1788">
        <f t="shared" si="21"/>
        <v>0</v>
      </c>
      <c r="BE33" s="1788">
        <f t="shared" si="21"/>
        <v>0</v>
      </c>
      <c r="BF33" s="1788">
        <f t="shared" si="21"/>
        <v>0</v>
      </c>
      <c r="BG33" s="1788">
        <f t="shared" si="18"/>
        <v>0</v>
      </c>
      <c r="BH33" s="1788">
        <f t="shared" si="18"/>
        <v>0</v>
      </c>
      <c r="BI33" s="1788">
        <f t="shared" si="18"/>
        <v>0</v>
      </c>
      <c r="BJ33" s="1788">
        <f t="shared" si="18"/>
        <v>0</v>
      </c>
      <c r="BK33" s="1788">
        <f t="shared" si="18"/>
        <v>0</v>
      </c>
      <c r="BL33" s="1788">
        <f t="shared" si="18"/>
        <v>0</v>
      </c>
      <c r="BM33" s="1788">
        <f t="shared" si="18"/>
        <v>0</v>
      </c>
      <c r="BN33" s="1788">
        <f t="shared" si="18"/>
        <v>0</v>
      </c>
      <c r="BO33" s="1788">
        <f t="shared" si="18"/>
        <v>0</v>
      </c>
    </row>
    <row r="34" spans="2:67" ht="15" customHeight="1">
      <c r="B34" s="1785" t="s">
        <v>235</v>
      </c>
      <c r="C34" s="1787"/>
      <c r="D34" s="1781">
        <f t="shared" ref="D34:O34" si="29">D25+D29+D33</f>
        <v>0</v>
      </c>
      <c r="E34" s="1781">
        <f t="shared" si="29"/>
        <v>0</v>
      </c>
      <c r="F34" s="1781">
        <f t="shared" si="29"/>
        <v>0</v>
      </c>
      <c r="G34" s="1781">
        <f t="shared" si="29"/>
        <v>0</v>
      </c>
      <c r="H34" s="1781">
        <f t="shared" si="29"/>
        <v>0</v>
      </c>
      <c r="I34" s="1781">
        <f t="shared" si="29"/>
        <v>0</v>
      </c>
      <c r="J34" s="1781">
        <f t="shared" si="29"/>
        <v>0</v>
      </c>
      <c r="K34" s="1781">
        <f t="shared" si="29"/>
        <v>0</v>
      </c>
      <c r="L34" s="1781">
        <f t="shared" si="29"/>
        <v>0</v>
      </c>
      <c r="M34" s="1781">
        <f t="shared" si="29"/>
        <v>0</v>
      </c>
      <c r="N34" s="1781">
        <f t="shared" si="29"/>
        <v>0</v>
      </c>
      <c r="O34" s="1781">
        <f t="shared" si="29"/>
        <v>0</v>
      </c>
      <c r="P34" s="1781">
        <f t="shared" ref="P34:AA34" si="30">P25+P29+P33</f>
        <v>0</v>
      </c>
      <c r="Q34" s="1781">
        <f t="shared" si="30"/>
        <v>0</v>
      </c>
      <c r="R34" s="1781">
        <f t="shared" si="30"/>
        <v>0</v>
      </c>
      <c r="S34" s="1781">
        <f t="shared" si="30"/>
        <v>0</v>
      </c>
      <c r="T34" s="1781">
        <f t="shared" si="30"/>
        <v>0</v>
      </c>
      <c r="U34" s="1781">
        <f t="shared" si="30"/>
        <v>0</v>
      </c>
      <c r="V34" s="1781">
        <f t="shared" si="30"/>
        <v>0</v>
      </c>
      <c r="W34" s="1781">
        <f t="shared" si="30"/>
        <v>0</v>
      </c>
      <c r="X34" s="1781">
        <f t="shared" si="30"/>
        <v>0</v>
      </c>
      <c r="Y34" s="1781">
        <f t="shared" si="30"/>
        <v>0</v>
      </c>
      <c r="Z34" s="1781">
        <f t="shared" si="30"/>
        <v>0</v>
      </c>
      <c r="AA34" s="1781">
        <f t="shared" si="30"/>
        <v>0</v>
      </c>
      <c r="AB34" s="1786"/>
      <c r="AC34" s="1787"/>
      <c r="AD34" s="1788">
        <f>SUM($D34:D34)</f>
        <v>0</v>
      </c>
      <c r="AE34" s="1788">
        <f>SUM($D34:E34)</f>
        <v>0</v>
      </c>
      <c r="AF34" s="1788">
        <f>SUM($D34:F34)</f>
        <v>0</v>
      </c>
      <c r="AG34" s="1788">
        <f>SUM($D34:G34)</f>
        <v>0</v>
      </c>
      <c r="AH34" s="1788">
        <f>SUM($D34:H34)</f>
        <v>0</v>
      </c>
      <c r="AI34" s="1788">
        <f>SUM($D34:I34)</f>
        <v>0</v>
      </c>
      <c r="AJ34" s="1788">
        <f>SUM($D34:J34)</f>
        <v>0</v>
      </c>
      <c r="AK34" s="1788">
        <f>SUM($D34:K34)</f>
        <v>0</v>
      </c>
      <c r="AL34" s="1788">
        <f>SUM($D34:L34)</f>
        <v>0</v>
      </c>
      <c r="AM34" s="1788">
        <f>SUM($D34:M34)</f>
        <v>0</v>
      </c>
      <c r="AN34" s="1788">
        <f>SUM($D34:N34)</f>
        <v>0</v>
      </c>
      <c r="AO34" s="1811">
        <f>SUM($D34:O34)</f>
        <v>0</v>
      </c>
      <c r="AP34" s="1788">
        <f>SUM($P34:P34)</f>
        <v>0</v>
      </c>
      <c r="AQ34" s="1788">
        <f>SUM($P34:Q34)</f>
        <v>0</v>
      </c>
      <c r="AR34" s="1788">
        <f>SUM($P34:R34)</f>
        <v>0</v>
      </c>
      <c r="AS34" s="1788">
        <f>SUM($P34:S34)</f>
        <v>0</v>
      </c>
      <c r="AT34" s="1788">
        <f>SUM($P34:T34)</f>
        <v>0</v>
      </c>
      <c r="AU34" s="1788">
        <f>SUM($P34:U34)</f>
        <v>0</v>
      </c>
      <c r="AV34" s="1788">
        <f>SUM($P34:V34)</f>
        <v>0</v>
      </c>
      <c r="AW34" s="1788">
        <f>SUM($P34:W34)</f>
        <v>0</v>
      </c>
      <c r="AX34" s="1788">
        <f>SUM($P34:X34)</f>
        <v>0</v>
      </c>
      <c r="AY34" s="1788">
        <f>SUM($P34:Y34)</f>
        <v>0</v>
      </c>
      <c r="AZ34" s="1788">
        <f>SUM($P34:Z34)</f>
        <v>0</v>
      </c>
      <c r="BA34" s="1811">
        <f>SUM($P34:AA34)</f>
        <v>0</v>
      </c>
      <c r="BB34" s="1786"/>
      <c r="BC34" s="1787"/>
      <c r="BD34" s="1788">
        <f t="shared" si="21"/>
        <v>0</v>
      </c>
      <c r="BE34" s="1788">
        <f t="shared" si="21"/>
        <v>0</v>
      </c>
      <c r="BF34" s="1788">
        <f t="shared" si="21"/>
        <v>0</v>
      </c>
      <c r="BG34" s="1788">
        <f t="shared" si="18"/>
        <v>0</v>
      </c>
      <c r="BH34" s="1788">
        <f t="shared" si="18"/>
        <v>0</v>
      </c>
      <c r="BI34" s="1788">
        <f t="shared" si="18"/>
        <v>0</v>
      </c>
      <c r="BJ34" s="1788">
        <f t="shared" si="18"/>
        <v>0</v>
      </c>
      <c r="BK34" s="1788">
        <f t="shared" si="18"/>
        <v>0</v>
      </c>
      <c r="BL34" s="1788">
        <f t="shared" si="18"/>
        <v>0</v>
      </c>
      <c r="BM34" s="1788">
        <f t="shared" si="18"/>
        <v>0</v>
      </c>
      <c r="BN34" s="1788">
        <f t="shared" si="18"/>
        <v>0</v>
      </c>
      <c r="BO34" s="1788">
        <f t="shared" si="18"/>
        <v>0</v>
      </c>
    </row>
    <row r="35" spans="2:67" ht="15" customHeight="1">
      <c r="B35" s="1779" t="s">
        <v>236</v>
      </c>
      <c r="C35" s="1783"/>
      <c r="D35" s="1808"/>
      <c r="E35" s="1808"/>
      <c r="F35" s="1808"/>
      <c r="G35" s="1808"/>
      <c r="H35" s="1808"/>
      <c r="I35" s="1808"/>
      <c r="J35" s="1808"/>
      <c r="K35" s="1808"/>
      <c r="L35" s="1808"/>
      <c r="M35" s="1808"/>
      <c r="N35" s="1808"/>
      <c r="O35" s="1808"/>
      <c r="P35" s="1808"/>
      <c r="Q35" s="1808"/>
      <c r="R35" s="1808"/>
      <c r="S35" s="1808"/>
      <c r="T35" s="1808"/>
      <c r="U35" s="1808"/>
      <c r="V35" s="1808"/>
      <c r="W35" s="1808"/>
      <c r="X35" s="1808"/>
      <c r="Y35" s="1808"/>
      <c r="Z35" s="1808"/>
      <c r="AA35" s="1808"/>
      <c r="AB35" s="1782"/>
      <c r="AC35" s="1783"/>
      <c r="AD35" s="1782">
        <f>SUM($D35:D35)</f>
        <v>0</v>
      </c>
      <c r="AE35" s="1782">
        <f>SUM($D35:E35)</f>
        <v>0</v>
      </c>
      <c r="AF35" s="1782">
        <f>SUM($D35:F35)</f>
        <v>0</v>
      </c>
      <c r="AG35" s="1782">
        <f>SUM($D35:G35)</f>
        <v>0</v>
      </c>
      <c r="AH35" s="1782">
        <f>SUM($D35:H35)</f>
        <v>0</v>
      </c>
      <c r="AI35" s="1782">
        <f>SUM($D35:I35)</f>
        <v>0</v>
      </c>
      <c r="AJ35" s="1782">
        <f>SUM($D35:J35)</f>
        <v>0</v>
      </c>
      <c r="AK35" s="1782">
        <f>SUM($D35:K35)</f>
        <v>0</v>
      </c>
      <c r="AL35" s="1782">
        <f>SUM($D35:L35)</f>
        <v>0</v>
      </c>
      <c r="AM35" s="1782">
        <f>SUM($D35:M35)</f>
        <v>0</v>
      </c>
      <c r="AN35" s="1782">
        <f>SUM($D35:N35)</f>
        <v>0</v>
      </c>
      <c r="AO35" s="1810">
        <f>SUM($D35:O35)</f>
        <v>0</v>
      </c>
      <c r="AP35" s="1782">
        <f>SUM($P35:P35)</f>
        <v>0</v>
      </c>
      <c r="AQ35" s="1782">
        <f>SUM($P35:Q35)</f>
        <v>0</v>
      </c>
      <c r="AR35" s="1782">
        <f>SUM($P35:R35)</f>
        <v>0</v>
      </c>
      <c r="AS35" s="1782">
        <f>SUM($P35:S35)</f>
        <v>0</v>
      </c>
      <c r="AT35" s="1782">
        <f>SUM($P35:T35)</f>
        <v>0</v>
      </c>
      <c r="AU35" s="1782">
        <f>SUM($P35:U35)</f>
        <v>0</v>
      </c>
      <c r="AV35" s="1782">
        <f>SUM($P35:V35)</f>
        <v>0</v>
      </c>
      <c r="AW35" s="1782">
        <f>SUM($P35:W35)</f>
        <v>0</v>
      </c>
      <c r="AX35" s="1782">
        <f>SUM($P35:X35)</f>
        <v>0</v>
      </c>
      <c r="AY35" s="1782">
        <f>SUM($P35:Y35)</f>
        <v>0</v>
      </c>
      <c r="AZ35" s="1782">
        <f>SUM($P35:Z35)</f>
        <v>0</v>
      </c>
      <c r="BA35" s="1810">
        <f>SUM($P35:AA35)</f>
        <v>0</v>
      </c>
      <c r="BB35" s="1782"/>
      <c r="BC35" s="1783"/>
      <c r="BD35" s="1782">
        <f t="shared" si="21"/>
        <v>0</v>
      </c>
      <c r="BE35" s="1782">
        <f t="shared" si="21"/>
        <v>0</v>
      </c>
      <c r="BF35" s="1782">
        <f t="shared" si="21"/>
        <v>0</v>
      </c>
      <c r="BG35" s="1782">
        <f t="shared" si="18"/>
        <v>0</v>
      </c>
      <c r="BH35" s="1782">
        <f t="shared" si="18"/>
        <v>0</v>
      </c>
      <c r="BI35" s="1782">
        <f t="shared" si="18"/>
        <v>0</v>
      </c>
      <c r="BJ35" s="1782">
        <f t="shared" si="18"/>
        <v>0</v>
      </c>
      <c r="BK35" s="1782">
        <f t="shared" si="18"/>
        <v>0</v>
      </c>
      <c r="BL35" s="1782">
        <f t="shared" si="18"/>
        <v>0</v>
      </c>
      <c r="BM35" s="1782">
        <f t="shared" ref="BM35:BO36" si="31">SUM(N35:Y35)</f>
        <v>0</v>
      </c>
      <c r="BN35" s="1782">
        <f t="shared" si="31"/>
        <v>0</v>
      </c>
      <c r="BO35" s="1782">
        <f t="shared" si="31"/>
        <v>0</v>
      </c>
    </row>
    <row r="36" spans="2:67" ht="15" customHeight="1">
      <c r="B36" s="1785" t="s">
        <v>237</v>
      </c>
      <c r="C36" s="1787"/>
      <c r="D36" s="1781">
        <f t="shared" ref="D36:K36" si="32">D34+D35</f>
        <v>0</v>
      </c>
      <c r="E36" s="1781">
        <f t="shared" si="32"/>
        <v>0</v>
      </c>
      <c r="F36" s="1781">
        <f t="shared" si="32"/>
        <v>0</v>
      </c>
      <c r="G36" s="1781">
        <f t="shared" si="32"/>
        <v>0</v>
      </c>
      <c r="H36" s="1781">
        <f t="shared" si="32"/>
        <v>0</v>
      </c>
      <c r="I36" s="1781">
        <f t="shared" si="32"/>
        <v>0</v>
      </c>
      <c r="J36" s="1781">
        <f t="shared" si="32"/>
        <v>0</v>
      </c>
      <c r="K36" s="1781">
        <f t="shared" si="32"/>
        <v>0</v>
      </c>
      <c r="L36" s="1781">
        <f>L34+L35</f>
        <v>0</v>
      </c>
      <c r="M36" s="1781">
        <f t="shared" ref="M36:O36" si="33">M34+M35</f>
        <v>0</v>
      </c>
      <c r="N36" s="1781">
        <f t="shared" si="33"/>
        <v>0</v>
      </c>
      <c r="O36" s="1781">
        <f t="shared" si="33"/>
        <v>0</v>
      </c>
      <c r="P36" s="1781">
        <f t="shared" ref="P36:AA36" si="34">P34+P35</f>
        <v>0</v>
      </c>
      <c r="Q36" s="1781">
        <f t="shared" si="34"/>
        <v>0</v>
      </c>
      <c r="R36" s="1781">
        <f t="shared" si="34"/>
        <v>0</v>
      </c>
      <c r="S36" s="1781">
        <f t="shared" si="34"/>
        <v>0</v>
      </c>
      <c r="T36" s="1781">
        <f t="shared" si="34"/>
        <v>0</v>
      </c>
      <c r="U36" s="1781">
        <f t="shared" si="34"/>
        <v>0</v>
      </c>
      <c r="V36" s="1781">
        <f t="shared" si="34"/>
        <v>0</v>
      </c>
      <c r="W36" s="1781">
        <f t="shared" si="34"/>
        <v>0</v>
      </c>
      <c r="X36" s="1781">
        <f t="shared" si="34"/>
        <v>0</v>
      </c>
      <c r="Y36" s="1781">
        <f t="shared" si="34"/>
        <v>0</v>
      </c>
      <c r="Z36" s="1781">
        <f t="shared" si="34"/>
        <v>0</v>
      </c>
      <c r="AA36" s="1781">
        <f t="shared" si="34"/>
        <v>0</v>
      </c>
      <c r="AB36" s="1786"/>
      <c r="AC36" s="1787"/>
      <c r="AD36" s="1788">
        <f>SUM($D36:D36)</f>
        <v>0</v>
      </c>
      <c r="AE36" s="1788">
        <f>SUM($D36:E36)</f>
        <v>0</v>
      </c>
      <c r="AF36" s="1788">
        <f>SUM($D36:F36)</f>
        <v>0</v>
      </c>
      <c r="AG36" s="1788">
        <f>SUM($D36:G36)</f>
        <v>0</v>
      </c>
      <c r="AH36" s="1788">
        <f>SUM($D36:H36)</f>
        <v>0</v>
      </c>
      <c r="AI36" s="1788">
        <f>SUM($D36:I36)</f>
        <v>0</v>
      </c>
      <c r="AJ36" s="1788">
        <f>SUM($D36:J36)</f>
        <v>0</v>
      </c>
      <c r="AK36" s="1788">
        <f>SUM($D36:K36)</f>
        <v>0</v>
      </c>
      <c r="AL36" s="1788">
        <f>SUM($D36:L36)</f>
        <v>0</v>
      </c>
      <c r="AM36" s="1788">
        <f>SUM($D36:M36)</f>
        <v>0</v>
      </c>
      <c r="AN36" s="1788">
        <f>SUM($D36:N36)</f>
        <v>0</v>
      </c>
      <c r="AO36" s="1811">
        <f>SUM($D36:O36)</f>
        <v>0</v>
      </c>
      <c r="AP36" s="1788">
        <f>SUM($P36:P36)</f>
        <v>0</v>
      </c>
      <c r="AQ36" s="1788">
        <f>SUM($P36:Q36)</f>
        <v>0</v>
      </c>
      <c r="AR36" s="1788">
        <f>SUM($P36:R36)</f>
        <v>0</v>
      </c>
      <c r="AS36" s="1788">
        <f>SUM($P36:S36)</f>
        <v>0</v>
      </c>
      <c r="AT36" s="1788">
        <f>SUM($P36:T36)</f>
        <v>0</v>
      </c>
      <c r="AU36" s="1788">
        <f>SUM($P36:U36)</f>
        <v>0</v>
      </c>
      <c r="AV36" s="1788">
        <f>SUM($P36:V36)</f>
        <v>0</v>
      </c>
      <c r="AW36" s="1788">
        <f>SUM($P36:W36)</f>
        <v>0</v>
      </c>
      <c r="AX36" s="1788">
        <f>SUM($P36:X36)</f>
        <v>0</v>
      </c>
      <c r="AY36" s="1788">
        <f>SUM($P36:Y36)</f>
        <v>0</v>
      </c>
      <c r="AZ36" s="1788">
        <f>SUM($P36:Z36)</f>
        <v>0</v>
      </c>
      <c r="BA36" s="1811">
        <f>SUM($P36:AA36)</f>
        <v>0</v>
      </c>
      <c r="BB36" s="1786"/>
      <c r="BC36" s="1787"/>
      <c r="BD36" s="1788">
        <f t="shared" si="21"/>
        <v>0</v>
      </c>
      <c r="BE36" s="1788">
        <f t="shared" si="21"/>
        <v>0</v>
      </c>
      <c r="BF36" s="1788">
        <f t="shared" si="21"/>
        <v>0</v>
      </c>
      <c r="BG36" s="1788">
        <f t="shared" si="18"/>
        <v>0</v>
      </c>
      <c r="BH36" s="1788">
        <f t="shared" si="18"/>
        <v>0</v>
      </c>
      <c r="BI36" s="1788">
        <f t="shared" si="18"/>
        <v>0</v>
      </c>
      <c r="BJ36" s="1788">
        <f t="shared" si="18"/>
        <v>0</v>
      </c>
      <c r="BK36" s="1788">
        <f t="shared" si="18"/>
        <v>0</v>
      </c>
      <c r="BL36" s="1788">
        <f t="shared" si="18"/>
        <v>0</v>
      </c>
      <c r="BM36" s="1788">
        <f t="shared" si="31"/>
        <v>0</v>
      </c>
      <c r="BN36" s="1788">
        <f t="shared" si="31"/>
        <v>0</v>
      </c>
      <c r="BO36" s="1788">
        <f t="shared" si="31"/>
        <v>0</v>
      </c>
    </row>
    <row r="37" spans="2:67" ht="15" customHeight="1">
      <c r="B37" s="1770"/>
      <c r="C37" s="1800"/>
      <c r="AB37" s="1800"/>
      <c r="AC37" s="1800"/>
      <c r="AD37" s="1800"/>
      <c r="AE37" s="1800"/>
      <c r="AF37" s="1800"/>
      <c r="AG37" s="1800"/>
      <c r="AH37" s="1800"/>
      <c r="AI37" s="1800"/>
      <c r="AJ37" s="1800"/>
      <c r="AK37" s="1800"/>
      <c r="AL37" s="1800"/>
      <c r="AM37" s="1800"/>
      <c r="AN37" s="1800"/>
      <c r="AO37" s="1800"/>
      <c r="AP37" s="1770"/>
      <c r="AQ37" s="1770"/>
      <c r="AR37" s="1770"/>
      <c r="AS37" s="1770"/>
      <c r="AT37" s="1770"/>
      <c r="AU37" s="1770"/>
      <c r="AV37" s="1770"/>
      <c r="AW37" s="1770"/>
      <c r="AX37" s="1770"/>
      <c r="AY37" s="1770"/>
      <c r="AZ37" s="1770"/>
      <c r="BA37" s="1800"/>
      <c r="BB37" s="1770"/>
      <c r="BC37" s="1770"/>
      <c r="BD37" s="1770"/>
      <c r="BE37" s="1770"/>
      <c r="BF37" s="1770"/>
      <c r="BG37" s="1770"/>
      <c r="BH37" s="1770"/>
      <c r="BI37" s="1770"/>
      <c r="BJ37" s="1770"/>
      <c r="BK37" s="1770"/>
      <c r="BL37" s="1770"/>
      <c r="BM37" s="1770"/>
      <c r="BN37" s="1770"/>
      <c r="BO37" s="1770"/>
    </row>
    <row r="38" spans="2:67" ht="15" customHeight="1">
      <c r="B38" s="1770"/>
      <c r="C38" s="1770"/>
      <c r="AB38" s="1770"/>
      <c r="AC38" s="1770"/>
      <c r="AD38" s="1770"/>
      <c r="AE38" s="1770"/>
      <c r="AF38" s="1770"/>
      <c r="AG38" s="1770"/>
      <c r="AH38" s="1770"/>
      <c r="AI38" s="1770"/>
      <c r="AJ38" s="1770"/>
      <c r="AK38" s="1770"/>
      <c r="AL38" s="1770"/>
      <c r="AM38" s="1770"/>
      <c r="AN38" s="1770"/>
      <c r="AO38" s="1770"/>
      <c r="AP38" s="1770"/>
      <c r="AQ38" s="1770"/>
      <c r="AR38" s="1770"/>
      <c r="AS38" s="1770"/>
      <c r="AT38" s="1770"/>
      <c r="AU38" s="1770"/>
      <c r="AV38" s="1770"/>
      <c r="AW38" s="1770"/>
      <c r="AX38" s="1770"/>
      <c r="AY38" s="1770"/>
      <c r="AZ38" s="1770"/>
      <c r="BA38" s="1770"/>
      <c r="BB38" s="1770"/>
      <c r="BC38" s="1770"/>
      <c r="BD38" s="1770"/>
      <c r="BE38" s="1770"/>
      <c r="BF38" s="1770"/>
      <c r="BG38" s="1770"/>
      <c r="BH38" s="1770"/>
      <c r="BI38" s="1770"/>
      <c r="BJ38" s="1770"/>
      <c r="BK38" s="1770"/>
      <c r="BL38" s="1770"/>
      <c r="BM38" s="1770"/>
      <c r="BN38" s="1770"/>
      <c r="BO38" s="1770"/>
    </row>
    <row r="39" spans="2:67" ht="15" customHeight="1">
      <c r="B39" s="1770"/>
      <c r="C39" s="1770"/>
      <c r="AB39" s="1770"/>
      <c r="AC39" s="1770"/>
      <c r="AD39" s="1770"/>
      <c r="AE39" s="1770"/>
      <c r="AF39" s="1770"/>
      <c r="AG39" s="1770"/>
      <c r="AH39" s="1770"/>
      <c r="AI39" s="1770"/>
      <c r="AJ39" s="1770"/>
      <c r="AK39" s="1770"/>
      <c r="AL39" s="1770"/>
      <c r="AM39" s="1770"/>
      <c r="AN39" s="1770"/>
      <c r="AO39" s="1770"/>
      <c r="AP39" s="1770"/>
      <c r="AQ39" s="1770"/>
      <c r="AR39" s="1770"/>
      <c r="AS39" s="1770"/>
      <c r="AT39" s="1770"/>
      <c r="AU39" s="1770"/>
      <c r="AV39" s="1770"/>
      <c r="AW39" s="1770"/>
      <c r="AX39" s="1770"/>
      <c r="AY39" s="1770"/>
      <c r="AZ39" s="1770"/>
      <c r="BA39" s="1770"/>
      <c r="BB39" s="1770"/>
      <c r="BC39" s="1770"/>
      <c r="BD39" s="1770"/>
      <c r="BE39" s="1770"/>
      <c r="BF39" s="1770"/>
      <c r="BG39" s="1770"/>
      <c r="BH39" s="1770"/>
      <c r="BI39" s="1770"/>
      <c r="BJ39" s="1770"/>
      <c r="BK39" s="1770"/>
      <c r="BL39" s="1770"/>
      <c r="BM39" s="1770"/>
      <c r="BN39" s="1770"/>
      <c r="BO39" s="1770"/>
    </row>
    <row r="40" spans="2:67" ht="15" customHeight="1">
      <c r="B40" s="1770"/>
      <c r="C40" s="1770"/>
      <c r="AB40" s="1770"/>
      <c r="AC40" s="1770"/>
      <c r="AD40" s="1770"/>
      <c r="AE40" s="1770"/>
      <c r="AF40" s="1770"/>
      <c r="AG40" s="1770"/>
      <c r="AH40" s="1770"/>
      <c r="AI40" s="1770"/>
      <c r="AJ40" s="1770"/>
      <c r="AK40" s="1770"/>
      <c r="AL40" s="1770"/>
      <c r="AM40" s="1770"/>
      <c r="AN40" s="1770"/>
      <c r="AO40" s="1770"/>
      <c r="AP40" s="1770"/>
      <c r="AQ40" s="1770"/>
      <c r="AR40" s="1770"/>
      <c r="AS40" s="1770"/>
      <c r="AT40" s="1770"/>
      <c r="AU40" s="1770"/>
      <c r="AV40" s="1770"/>
      <c r="AW40" s="1770"/>
      <c r="AX40" s="1770"/>
      <c r="AY40" s="1770"/>
      <c r="AZ40" s="1770"/>
      <c r="BA40" s="1770"/>
      <c r="BB40" s="1770"/>
      <c r="BC40" s="1770"/>
      <c r="BD40" s="1770"/>
      <c r="BE40" s="1770"/>
      <c r="BF40" s="1770"/>
      <c r="BG40" s="1770"/>
      <c r="BH40" s="1770"/>
      <c r="BI40" s="1770"/>
      <c r="BJ40" s="1770"/>
      <c r="BK40" s="1770"/>
      <c r="BL40" s="1770"/>
      <c r="BM40" s="1770"/>
      <c r="BN40" s="1770"/>
      <c r="BO40" s="1770"/>
    </row>
    <row r="41" spans="2:67" ht="15" customHeight="1">
      <c r="B41" s="1770"/>
      <c r="C41" s="1770"/>
      <c r="AB41" s="1770"/>
      <c r="AC41" s="1770"/>
      <c r="AD41" s="1770"/>
      <c r="AE41" s="1770"/>
      <c r="AF41" s="1770"/>
      <c r="AG41" s="1770"/>
      <c r="AH41" s="1770"/>
      <c r="AI41" s="1770"/>
      <c r="AJ41" s="1770"/>
      <c r="AK41" s="1770"/>
      <c r="AL41" s="1770"/>
      <c r="AM41" s="1770"/>
      <c r="AN41" s="1770"/>
      <c r="AO41" s="1770"/>
      <c r="AP41" s="1770"/>
      <c r="AQ41" s="1770"/>
      <c r="AR41" s="1770"/>
      <c r="AS41" s="1770"/>
      <c r="AT41" s="1770"/>
      <c r="AU41" s="1770"/>
      <c r="AV41" s="1770"/>
      <c r="AW41" s="1770"/>
      <c r="AX41" s="1770"/>
      <c r="AY41" s="1770"/>
      <c r="AZ41" s="1770"/>
      <c r="BA41" s="1770"/>
      <c r="BB41" s="1770"/>
      <c r="BC41" s="1770"/>
      <c r="BD41" s="1770"/>
      <c r="BE41" s="1770"/>
      <c r="BF41" s="1770"/>
      <c r="BG41" s="1770"/>
      <c r="BH41" s="1770"/>
      <c r="BI41" s="1770"/>
      <c r="BJ41" s="1770"/>
      <c r="BK41" s="1770"/>
      <c r="BL41" s="1770"/>
      <c r="BM41" s="1770"/>
      <c r="BN41" s="1770"/>
      <c r="BO41" s="1770"/>
    </row>
    <row r="42" spans="2:67" ht="15" customHeight="1">
      <c r="B42" s="1770"/>
      <c r="C42" s="1770"/>
      <c r="AB42" s="1770"/>
      <c r="AC42" s="1770"/>
      <c r="AD42" s="1770"/>
      <c r="AE42" s="1770"/>
      <c r="AF42" s="1770"/>
      <c r="AG42" s="1770"/>
      <c r="AH42" s="1770"/>
      <c r="AI42" s="1770"/>
      <c r="AJ42" s="1770"/>
      <c r="AK42" s="1770"/>
      <c r="AL42" s="1770"/>
      <c r="AM42" s="1770"/>
      <c r="AN42" s="1770"/>
      <c r="AO42" s="1770"/>
      <c r="AP42" s="1770"/>
      <c r="AQ42" s="1770"/>
      <c r="AR42" s="1770"/>
      <c r="AS42" s="1770"/>
      <c r="AT42" s="1770"/>
      <c r="AU42" s="1770"/>
      <c r="AV42" s="1770"/>
      <c r="AW42" s="1770"/>
      <c r="AX42" s="1770"/>
      <c r="AY42" s="1770"/>
      <c r="AZ42" s="1770"/>
      <c r="BA42" s="1770"/>
      <c r="BB42" s="1770"/>
      <c r="BC42" s="1770"/>
      <c r="BD42" s="1770"/>
      <c r="BE42" s="1770"/>
      <c r="BF42" s="1770"/>
      <c r="BG42" s="1770"/>
      <c r="BH42" s="1770"/>
      <c r="BI42" s="1770"/>
      <c r="BJ42" s="1770"/>
      <c r="BK42" s="1770"/>
      <c r="BL42" s="1770"/>
      <c r="BM42" s="1770"/>
      <c r="BN42" s="1770"/>
      <c r="BO42" s="1770"/>
    </row>
    <row r="43" spans="2:67" ht="15" customHeight="1">
      <c r="B43" s="1770"/>
      <c r="C43" s="1770"/>
      <c r="AB43" s="1770"/>
      <c r="AC43" s="1770"/>
      <c r="AD43" s="1770"/>
      <c r="AE43" s="1770"/>
      <c r="AF43" s="1770"/>
      <c r="AG43" s="1770"/>
      <c r="AH43" s="1770"/>
      <c r="AI43" s="1770"/>
      <c r="AJ43" s="1770"/>
      <c r="AK43" s="1770"/>
      <c r="AL43" s="1770"/>
      <c r="AM43" s="1770"/>
      <c r="AN43" s="1770"/>
      <c r="AO43" s="1770"/>
      <c r="AP43" s="1770"/>
      <c r="AQ43" s="1770"/>
      <c r="AR43" s="1770"/>
      <c r="AS43" s="1770"/>
      <c r="AT43" s="1770"/>
      <c r="AU43" s="1770"/>
      <c r="AV43" s="1770"/>
      <c r="AW43" s="1770"/>
      <c r="AX43" s="1770"/>
      <c r="AY43" s="1770"/>
      <c r="AZ43" s="1770"/>
      <c r="BA43" s="1770"/>
      <c r="BB43" s="1770"/>
      <c r="BC43" s="1770"/>
      <c r="BD43" s="1770"/>
      <c r="BE43" s="1770"/>
      <c r="BF43" s="1770"/>
      <c r="BG43" s="1770"/>
      <c r="BH43" s="1770"/>
      <c r="BI43" s="1770"/>
      <c r="BJ43" s="1770"/>
      <c r="BK43" s="1770"/>
      <c r="BL43" s="1770"/>
      <c r="BM43" s="1770"/>
      <c r="BN43" s="1770"/>
      <c r="BO43" s="1770"/>
    </row>
    <row r="44" spans="2:67" ht="15" customHeight="1">
      <c r="B44" s="1770"/>
      <c r="C44" s="1770"/>
      <c r="AB44" s="1770"/>
      <c r="AC44" s="1770"/>
      <c r="AD44" s="1770"/>
      <c r="AE44" s="1770"/>
      <c r="AF44" s="1770"/>
      <c r="AG44" s="1770"/>
      <c r="AH44" s="1770"/>
      <c r="AI44" s="1770"/>
      <c r="AJ44" s="1770"/>
      <c r="AK44" s="1770"/>
      <c r="AL44" s="1770"/>
      <c r="AM44" s="1770"/>
      <c r="AN44" s="1770"/>
      <c r="AO44" s="1770"/>
      <c r="AP44" s="1770"/>
      <c r="AQ44" s="1770"/>
      <c r="AR44" s="1770"/>
      <c r="AS44" s="1770"/>
      <c r="AT44" s="1770"/>
      <c r="AU44" s="1770"/>
      <c r="AV44" s="1770"/>
      <c r="AW44" s="1770"/>
      <c r="AX44" s="1770"/>
      <c r="AY44" s="1770"/>
      <c r="AZ44" s="1770"/>
      <c r="BA44" s="1770"/>
      <c r="BB44" s="1770"/>
      <c r="BC44" s="1770"/>
      <c r="BD44" s="1770"/>
      <c r="BE44" s="1770"/>
      <c r="BF44" s="1770"/>
      <c r="BG44" s="1770"/>
      <c r="BH44" s="1770"/>
      <c r="BI44" s="1770"/>
      <c r="BJ44" s="1770"/>
      <c r="BK44" s="1770"/>
      <c r="BL44" s="1770"/>
      <c r="BM44" s="1770"/>
      <c r="BN44" s="1770"/>
      <c r="BO44" s="1770"/>
    </row>
    <row r="45" spans="2:67" ht="15" customHeight="1">
      <c r="B45" s="1770"/>
      <c r="C45" s="1770"/>
      <c r="AB45" s="1770"/>
      <c r="AC45" s="1770"/>
      <c r="AD45" s="1770"/>
      <c r="AE45" s="1770"/>
      <c r="AF45" s="1770"/>
      <c r="AG45" s="1770"/>
      <c r="AH45" s="1770"/>
      <c r="AI45" s="1770"/>
      <c r="AJ45" s="1770"/>
      <c r="AK45" s="1770"/>
      <c r="AL45" s="1770"/>
      <c r="AM45" s="1770"/>
      <c r="AN45" s="1770"/>
      <c r="AO45" s="1770"/>
      <c r="AP45" s="1770"/>
      <c r="AQ45" s="1770"/>
      <c r="AR45" s="1770"/>
      <c r="AS45" s="1770"/>
      <c r="AT45" s="1770"/>
      <c r="AU45" s="1770"/>
      <c r="AV45" s="1770"/>
      <c r="AW45" s="1770"/>
      <c r="AX45" s="1770"/>
      <c r="AY45" s="1770"/>
      <c r="AZ45" s="1770"/>
      <c r="BA45" s="1770"/>
      <c r="BB45" s="1770"/>
      <c r="BC45" s="1770"/>
      <c r="BD45" s="1770"/>
      <c r="BE45" s="1770"/>
      <c r="BF45" s="1770"/>
      <c r="BG45" s="1770"/>
      <c r="BH45" s="1770"/>
      <c r="BI45" s="1770"/>
      <c r="BJ45" s="1770"/>
      <c r="BK45" s="1770"/>
      <c r="BL45" s="1770"/>
      <c r="BM45" s="1770"/>
      <c r="BN45" s="1770"/>
      <c r="BO45" s="1770"/>
    </row>
    <row r="46" spans="2:67" ht="15" customHeight="1">
      <c r="B46" s="1770"/>
      <c r="C46" s="1770"/>
      <c r="AB46" s="1770"/>
      <c r="AC46" s="1770"/>
      <c r="AD46" s="1770"/>
      <c r="AE46" s="1770"/>
      <c r="AF46" s="1770"/>
      <c r="AG46" s="1770"/>
      <c r="AH46" s="1770"/>
      <c r="AI46" s="1770"/>
      <c r="AJ46" s="1770"/>
      <c r="AK46" s="1770"/>
      <c r="AL46" s="1770"/>
      <c r="AM46" s="1770"/>
      <c r="AN46" s="1770"/>
      <c r="AO46" s="1770"/>
      <c r="AP46" s="1770"/>
      <c r="AQ46" s="1770"/>
      <c r="AR46" s="1770"/>
      <c r="AS46" s="1770"/>
      <c r="AT46" s="1770"/>
      <c r="AU46" s="1770"/>
      <c r="AV46" s="1770"/>
      <c r="AW46" s="1770"/>
      <c r="AX46" s="1770"/>
      <c r="AY46" s="1770"/>
      <c r="AZ46" s="1770"/>
      <c r="BA46" s="1770"/>
      <c r="BB46" s="1770"/>
      <c r="BC46" s="1770"/>
      <c r="BD46" s="1770"/>
      <c r="BE46" s="1770"/>
      <c r="BF46" s="1770"/>
      <c r="BG46" s="1770"/>
      <c r="BH46" s="1770"/>
      <c r="BI46" s="1770"/>
      <c r="BJ46" s="1770"/>
      <c r="BK46" s="1770"/>
      <c r="BL46" s="1770"/>
      <c r="BM46" s="1770"/>
      <c r="BN46" s="1770"/>
      <c r="BO46" s="1770"/>
    </row>
    <row r="47" spans="2:67" ht="15" customHeight="1">
      <c r="B47" s="1770"/>
      <c r="C47" s="1770"/>
      <c r="AB47" s="1770"/>
      <c r="AC47" s="1770"/>
      <c r="AD47" s="1770"/>
      <c r="AE47" s="1770"/>
      <c r="AF47" s="1770"/>
      <c r="AG47" s="1770"/>
      <c r="AH47" s="1770"/>
      <c r="AI47" s="1770"/>
      <c r="AJ47" s="1770"/>
      <c r="AK47" s="1770"/>
      <c r="AL47" s="1770"/>
      <c r="AM47" s="1770"/>
      <c r="AN47" s="1770"/>
      <c r="AO47" s="1770"/>
      <c r="AP47" s="1770"/>
      <c r="AQ47" s="1770"/>
      <c r="AR47" s="1770"/>
      <c r="AS47" s="1770"/>
      <c r="AT47" s="1770"/>
      <c r="AU47" s="1770"/>
      <c r="AV47" s="1770"/>
      <c r="AW47" s="1770"/>
      <c r="AX47" s="1770"/>
      <c r="AY47" s="1770"/>
      <c r="AZ47" s="1770"/>
      <c r="BA47" s="1770"/>
      <c r="BB47" s="1770"/>
      <c r="BC47" s="1770"/>
      <c r="BD47" s="1770"/>
      <c r="BE47" s="1770"/>
      <c r="BF47" s="1770"/>
      <c r="BG47" s="1770"/>
      <c r="BH47" s="1770"/>
      <c r="BI47" s="1770"/>
      <c r="BJ47" s="1770"/>
      <c r="BK47" s="1770"/>
      <c r="BL47" s="1770"/>
      <c r="BM47" s="1770"/>
      <c r="BN47" s="1770"/>
      <c r="BO47" s="1770"/>
    </row>
    <row r="48" spans="2:67" ht="15" customHeight="1">
      <c r="B48" s="1770"/>
      <c r="C48" s="1770"/>
      <c r="AB48" s="1770"/>
      <c r="AC48" s="1770"/>
      <c r="AD48" s="1770"/>
      <c r="AE48" s="1770"/>
      <c r="AF48" s="1801"/>
      <c r="AG48" s="1802"/>
      <c r="AH48" s="1802"/>
      <c r="AI48" s="1802"/>
      <c r="AJ48" s="1802"/>
      <c r="AK48" s="1802"/>
      <c r="AL48" s="1802"/>
      <c r="AM48" s="1802"/>
      <c r="AN48" s="1770"/>
      <c r="AO48" s="1770"/>
      <c r="AP48" s="1770"/>
      <c r="AQ48" s="1770"/>
      <c r="AR48" s="1770"/>
      <c r="AS48" s="1770"/>
      <c r="AT48" s="1770"/>
      <c r="AU48" s="1770"/>
      <c r="AV48" s="1770"/>
      <c r="AW48" s="1770"/>
      <c r="AX48" s="1770"/>
      <c r="AY48" s="1770"/>
      <c r="AZ48" s="1770"/>
      <c r="BA48" s="1770"/>
      <c r="BB48" s="1770"/>
      <c r="BC48" s="1770"/>
      <c r="BD48" s="1770"/>
      <c r="BE48" s="1770"/>
      <c r="BF48" s="1770"/>
      <c r="BG48" s="1770"/>
      <c r="BH48" s="1770"/>
      <c r="BI48" s="1770"/>
      <c r="BJ48" s="1770"/>
      <c r="BK48" s="1770"/>
      <c r="BL48" s="1770"/>
      <c r="BM48" s="1770"/>
      <c r="BN48" s="1770"/>
      <c r="BO48" s="1770"/>
    </row>
    <row r="49" spans="2:67" ht="15" customHeight="1">
      <c r="B49" s="1770"/>
      <c r="C49" s="1770"/>
      <c r="AB49" s="1770"/>
      <c r="AC49" s="1770"/>
      <c r="AD49" s="1770"/>
      <c r="AE49" s="1770"/>
      <c r="AF49" s="1801"/>
      <c r="AG49" s="1802"/>
      <c r="AH49" s="1802"/>
      <c r="AI49" s="1802"/>
      <c r="AJ49" s="1802"/>
      <c r="AK49" s="1802"/>
      <c r="AL49" s="1803"/>
      <c r="AM49" s="1802"/>
      <c r="AN49" s="1770"/>
      <c r="AO49" s="1770"/>
      <c r="AP49" s="1770"/>
      <c r="AQ49" s="1770"/>
      <c r="AR49" s="1770"/>
      <c r="AS49" s="1770"/>
      <c r="AT49" s="1770"/>
      <c r="AU49" s="1770"/>
      <c r="AV49" s="1770"/>
      <c r="AW49" s="1770"/>
      <c r="AX49" s="1770"/>
      <c r="AY49" s="1770"/>
      <c r="AZ49" s="1770"/>
      <c r="BA49" s="1770"/>
      <c r="BB49" s="1770"/>
      <c r="BC49" s="1770"/>
      <c r="BD49" s="1770"/>
      <c r="BE49" s="1770"/>
      <c r="BF49" s="1770"/>
      <c r="BG49" s="1770"/>
      <c r="BH49" s="1770"/>
      <c r="BI49" s="1770"/>
      <c r="BJ49" s="1770"/>
      <c r="BK49" s="1770"/>
      <c r="BL49" s="1770"/>
      <c r="BM49" s="1770"/>
      <c r="BN49" s="1770"/>
      <c r="BO49" s="1770"/>
    </row>
    <row r="50" spans="2:67" ht="15" customHeight="1">
      <c r="B50" s="1770"/>
      <c r="C50" s="1770"/>
      <c r="AB50" s="1770"/>
      <c r="AC50" s="1770"/>
      <c r="AD50" s="1770"/>
      <c r="AE50" s="1770"/>
      <c r="AF50" s="1801"/>
      <c r="AG50" s="1802"/>
      <c r="AH50" s="1802"/>
      <c r="AI50" s="1802"/>
      <c r="AJ50" s="1802"/>
      <c r="AK50" s="1802"/>
      <c r="AL50" s="1802"/>
      <c r="AM50" s="1802"/>
      <c r="AN50" s="1770"/>
      <c r="AO50" s="1770"/>
      <c r="AP50" s="1770"/>
      <c r="AQ50" s="1770"/>
      <c r="AR50" s="1770"/>
      <c r="AS50" s="1770"/>
      <c r="AT50" s="1770"/>
      <c r="AU50" s="1770"/>
      <c r="AV50" s="1770"/>
      <c r="AW50" s="1770"/>
      <c r="AX50" s="1770"/>
      <c r="AY50" s="1770"/>
      <c r="AZ50" s="1770"/>
      <c r="BA50" s="1770"/>
      <c r="BB50" s="1770"/>
      <c r="BC50" s="1770"/>
      <c r="BD50" s="1770"/>
      <c r="BE50" s="1770"/>
      <c r="BF50" s="1770"/>
      <c r="BG50" s="1770"/>
      <c r="BH50" s="1770"/>
      <c r="BI50" s="1770"/>
      <c r="BJ50" s="1770"/>
      <c r="BK50" s="1770"/>
      <c r="BL50" s="1770"/>
      <c r="BM50" s="1770"/>
      <c r="BN50" s="1770"/>
      <c r="BO50" s="1770"/>
    </row>
    <row r="51" spans="2:67" ht="15" customHeight="1">
      <c r="B51" s="1770"/>
      <c r="C51" s="1770"/>
      <c r="AB51" s="1770"/>
      <c r="AC51" s="1770"/>
      <c r="AD51" s="1770"/>
      <c r="AE51" s="1770"/>
      <c r="AF51" s="1801"/>
      <c r="AG51" s="1802"/>
      <c r="AH51" s="1802"/>
      <c r="AI51" s="1802"/>
      <c r="AJ51" s="1802"/>
      <c r="AK51" s="1802"/>
      <c r="AL51" s="1802"/>
      <c r="AM51" s="1802"/>
      <c r="AN51" s="1804"/>
      <c r="AO51" s="1770"/>
      <c r="AP51" s="1770"/>
      <c r="AQ51" s="1770"/>
      <c r="AR51" s="1770"/>
      <c r="AS51" s="1770"/>
      <c r="AT51" s="1770"/>
      <c r="AU51" s="1770"/>
      <c r="AV51" s="1770"/>
      <c r="AW51" s="1770"/>
      <c r="AX51" s="1770"/>
      <c r="AY51" s="1770"/>
      <c r="AZ51" s="1770"/>
      <c r="BA51" s="1770"/>
      <c r="BB51" s="1770"/>
      <c r="BC51" s="1770"/>
      <c r="BD51" s="1770"/>
      <c r="BE51" s="1770"/>
      <c r="BF51" s="1770"/>
      <c r="BG51" s="1770"/>
      <c r="BH51" s="1770"/>
      <c r="BI51" s="1770"/>
      <c r="BJ51" s="1770"/>
      <c r="BK51" s="1770"/>
      <c r="BL51" s="1770"/>
      <c r="BM51" s="1770"/>
      <c r="BN51" s="1770"/>
      <c r="BO51" s="1770"/>
    </row>
    <row r="52" spans="2:67" ht="15" customHeight="1">
      <c r="B52" s="1770"/>
      <c r="C52" s="1770"/>
      <c r="AB52" s="1770"/>
      <c r="AC52" s="1770"/>
      <c r="AD52" s="1770"/>
      <c r="AE52" s="1770"/>
      <c r="AF52" s="1801"/>
      <c r="AG52" s="1802"/>
      <c r="AH52" s="1802"/>
      <c r="AI52" s="1802"/>
      <c r="AJ52" s="1802"/>
      <c r="AK52" s="1802"/>
      <c r="AL52" s="1802"/>
      <c r="AM52" s="1802"/>
      <c r="AN52" s="1804"/>
      <c r="AO52" s="1770"/>
      <c r="AP52" s="1770"/>
      <c r="AQ52" s="1770"/>
      <c r="AR52" s="1770"/>
      <c r="AS52" s="1770"/>
      <c r="AT52" s="1770"/>
      <c r="AU52" s="1770"/>
      <c r="AV52" s="1770"/>
      <c r="AW52" s="1770"/>
      <c r="AX52" s="1770"/>
      <c r="AY52" s="1770"/>
      <c r="AZ52" s="1770"/>
      <c r="BA52" s="1770"/>
      <c r="BB52" s="1770"/>
      <c r="BC52" s="1770"/>
      <c r="BD52" s="1770"/>
      <c r="BE52" s="1770"/>
      <c r="BF52" s="1770"/>
      <c r="BG52" s="1770"/>
      <c r="BH52" s="1770"/>
      <c r="BI52" s="1770"/>
      <c r="BJ52" s="1770"/>
      <c r="BK52" s="1770"/>
      <c r="BL52" s="1770"/>
      <c r="BM52" s="1770"/>
      <c r="BN52" s="1770"/>
      <c r="BO52" s="1770"/>
    </row>
    <row r="53" spans="2:67" ht="15" customHeight="1">
      <c r="B53" s="1770"/>
      <c r="C53" s="1770"/>
      <c r="AB53" s="1770"/>
      <c r="AC53" s="1770"/>
      <c r="AD53" s="1770"/>
      <c r="AE53" s="1770"/>
      <c r="AF53" s="1801"/>
      <c r="AG53" s="1802"/>
      <c r="AH53" s="1802"/>
      <c r="AI53" s="1802"/>
      <c r="AJ53" s="1802"/>
      <c r="AK53" s="1802"/>
      <c r="AL53" s="1802"/>
      <c r="AM53" s="1802"/>
      <c r="AN53" s="1804"/>
      <c r="AO53" s="1770"/>
      <c r="AP53" s="1770"/>
      <c r="AQ53" s="1770"/>
      <c r="AR53" s="1770"/>
      <c r="AS53" s="1770"/>
      <c r="AT53" s="1770"/>
      <c r="AU53" s="1770"/>
      <c r="AV53" s="1770"/>
      <c r="AW53" s="1770"/>
      <c r="AX53" s="1770"/>
      <c r="AY53" s="1770"/>
      <c r="AZ53" s="1770"/>
      <c r="BA53" s="1770"/>
      <c r="BB53" s="1770"/>
      <c r="BC53" s="1770"/>
      <c r="BD53" s="1770"/>
      <c r="BE53" s="1770"/>
      <c r="BF53" s="1770"/>
      <c r="BG53" s="1770"/>
      <c r="BH53" s="1770"/>
      <c r="BI53" s="1770"/>
      <c r="BJ53" s="1770"/>
      <c r="BK53" s="1770"/>
      <c r="BL53" s="1770"/>
      <c r="BM53" s="1770"/>
      <c r="BN53" s="1770"/>
      <c r="BO53" s="1770"/>
    </row>
    <row r="54" spans="2:67" ht="15" customHeight="1">
      <c r="B54" s="1770"/>
      <c r="C54" s="1770"/>
      <c r="AB54" s="1770"/>
      <c r="AC54" s="1770"/>
      <c r="AD54" s="1770"/>
      <c r="AE54" s="1770"/>
      <c r="AF54" s="1801"/>
      <c r="AG54" s="1802"/>
      <c r="AH54" s="1802"/>
      <c r="AI54" s="1803"/>
      <c r="AJ54" s="1802"/>
      <c r="AK54" s="1802"/>
      <c r="AL54" s="1803"/>
      <c r="AM54" s="1802"/>
      <c r="AN54" s="1804"/>
      <c r="AO54" s="1770"/>
      <c r="AP54" s="1770"/>
      <c r="AQ54" s="1770"/>
      <c r="AR54" s="1770"/>
      <c r="AS54" s="1770"/>
      <c r="AT54" s="1770"/>
      <c r="AU54" s="1770"/>
      <c r="AV54" s="1770"/>
      <c r="AW54" s="1770"/>
      <c r="AX54" s="1770"/>
      <c r="AY54" s="1770"/>
      <c r="AZ54" s="1770"/>
      <c r="BA54" s="1770"/>
      <c r="BB54" s="1770"/>
      <c r="BC54" s="1770"/>
      <c r="BD54" s="1770"/>
      <c r="BE54" s="1770"/>
      <c r="BF54" s="1770"/>
      <c r="BG54" s="1770"/>
      <c r="BH54" s="1770"/>
      <c r="BI54" s="1770"/>
      <c r="BJ54" s="1770"/>
      <c r="BK54" s="1770"/>
      <c r="BL54" s="1770"/>
      <c r="BM54" s="1770"/>
      <c r="BN54" s="1770"/>
      <c r="BO54" s="1770"/>
    </row>
    <row r="55" spans="2:67" ht="15" customHeight="1">
      <c r="B55" s="1770"/>
      <c r="C55" s="1770"/>
      <c r="AB55" s="1770"/>
      <c r="AC55" s="1770"/>
      <c r="AD55" s="1770"/>
      <c r="AE55" s="1805"/>
      <c r="AF55" s="1801"/>
      <c r="AG55" s="1803"/>
      <c r="AH55" s="1803"/>
      <c r="AI55" s="1803"/>
      <c r="AJ55" s="1803"/>
      <c r="AK55" s="1803"/>
      <c r="AL55" s="1803"/>
      <c r="AM55" s="1803"/>
      <c r="AN55" s="1804"/>
      <c r="AO55" s="1770"/>
      <c r="AP55" s="1770"/>
      <c r="AQ55" s="1770"/>
      <c r="AR55" s="1770"/>
      <c r="AS55" s="1770"/>
      <c r="AT55" s="1770"/>
      <c r="AU55" s="1770"/>
      <c r="AV55" s="1770"/>
      <c r="AW55" s="1770"/>
      <c r="AX55" s="1770"/>
      <c r="AY55" s="1770"/>
      <c r="AZ55" s="1770"/>
      <c r="BA55" s="1770"/>
      <c r="BB55" s="1770"/>
      <c r="BC55" s="1770"/>
      <c r="BD55" s="1770"/>
      <c r="BE55" s="1770"/>
      <c r="BF55" s="1770"/>
      <c r="BG55" s="1770"/>
      <c r="BH55" s="1770"/>
      <c r="BI55" s="1770"/>
      <c r="BJ55" s="1770"/>
      <c r="BK55" s="1770"/>
      <c r="BL55" s="1770"/>
      <c r="BM55" s="1770"/>
      <c r="BN55" s="1770"/>
      <c r="BO55" s="1770"/>
    </row>
    <row r="56" spans="2:67" ht="15" customHeight="1">
      <c r="B56" s="1770"/>
      <c r="C56" s="1770"/>
      <c r="AB56" s="1770"/>
      <c r="AC56" s="1770"/>
      <c r="AD56" s="1770"/>
      <c r="AE56" s="1770"/>
      <c r="AF56" s="1801"/>
      <c r="AG56" s="1802"/>
      <c r="AH56" s="1802"/>
      <c r="AI56" s="1803"/>
      <c r="AJ56" s="1802"/>
      <c r="AK56" s="1802"/>
      <c r="AL56" s="1803"/>
      <c r="AM56" s="1802"/>
      <c r="AN56" s="1806"/>
      <c r="AO56" s="1770"/>
      <c r="AP56" s="1770"/>
      <c r="AQ56" s="1770"/>
      <c r="AR56" s="1770"/>
      <c r="AS56" s="1770"/>
      <c r="AT56" s="1770"/>
      <c r="AU56" s="1770"/>
      <c r="AV56" s="1770"/>
      <c r="AW56" s="1770"/>
      <c r="AX56" s="1770"/>
      <c r="AY56" s="1770"/>
      <c r="AZ56" s="1770"/>
      <c r="BA56" s="1770"/>
      <c r="BB56" s="1770"/>
      <c r="BC56" s="1770"/>
      <c r="BD56" s="1770"/>
      <c r="BE56" s="1770"/>
      <c r="BF56" s="1770"/>
      <c r="BG56" s="1770"/>
      <c r="BH56" s="1770"/>
      <c r="BI56" s="1770"/>
      <c r="BJ56" s="1770"/>
      <c r="BK56" s="1770"/>
      <c r="BL56" s="1770"/>
      <c r="BM56" s="1770"/>
      <c r="BN56" s="1770"/>
      <c r="BO56" s="1770"/>
    </row>
    <row r="57" spans="2:67" ht="15" customHeight="1">
      <c r="B57" s="1770"/>
      <c r="C57" s="1770"/>
      <c r="AB57" s="1770"/>
      <c r="AC57" s="1770"/>
      <c r="AD57" s="1770"/>
      <c r="AE57" s="1770"/>
      <c r="AF57" s="1801"/>
      <c r="AG57" s="1803"/>
      <c r="AH57" s="1803"/>
      <c r="AI57" s="1803"/>
      <c r="AJ57" s="1803"/>
      <c r="AK57" s="1803"/>
      <c r="AL57" s="1803"/>
      <c r="AM57" s="1803"/>
      <c r="AN57" s="1804"/>
      <c r="AO57" s="1770"/>
      <c r="AP57" s="1770"/>
      <c r="AQ57" s="1770"/>
      <c r="AR57" s="1770"/>
      <c r="AS57" s="1770"/>
      <c r="AT57" s="1770"/>
      <c r="AU57" s="1770"/>
      <c r="AV57" s="1770"/>
      <c r="AW57" s="1770"/>
      <c r="AX57" s="1770"/>
      <c r="AY57" s="1770"/>
      <c r="AZ57" s="1770"/>
      <c r="BA57" s="1770"/>
      <c r="BB57" s="1770"/>
      <c r="BC57" s="1770"/>
      <c r="BD57" s="1770"/>
      <c r="BE57" s="1770"/>
      <c r="BF57" s="1770"/>
      <c r="BG57" s="1770"/>
      <c r="BH57" s="1770"/>
      <c r="BI57" s="1770"/>
      <c r="BJ57" s="1770"/>
      <c r="BK57" s="1770"/>
      <c r="BL57" s="1770"/>
      <c r="BM57" s="1770"/>
      <c r="BN57" s="1770"/>
      <c r="BO57" s="1770"/>
    </row>
    <row r="58" spans="2:67" ht="15" customHeight="1">
      <c r="B58" s="1770"/>
      <c r="C58" s="1770"/>
      <c r="AB58" s="1770"/>
      <c r="AC58" s="1770"/>
      <c r="AD58" s="1770"/>
      <c r="AE58" s="1770"/>
      <c r="AF58" s="1801"/>
      <c r="AG58" s="1802"/>
      <c r="AH58" s="1802"/>
      <c r="AI58" s="1802"/>
      <c r="AJ58" s="1802"/>
      <c r="AK58" s="1802"/>
      <c r="AL58" s="1802"/>
      <c r="AM58" s="1802"/>
      <c r="AN58" s="1806"/>
      <c r="AO58" s="1770"/>
      <c r="AP58" s="1770"/>
      <c r="AQ58" s="1770"/>
      <c r="AR58" s="1770"/>
      <c r="AS58" s="1770"/>
      <c r="AT58" s="1770"/>
      <c r="AU58" s="1770"/>
      <c r="AV58" s="1770"/>
      <c r="AW58" s="1770"/>
      <c r="AX58" s="1770"/>
      <c r="AY58" s="1770"/>
      <c r="AZ58" s="1770"/>
      <c r="BA58" s="1770"/>
      <c r="BB58" s="1770"/>
      <c r="BC58" s="1770"/>
      <c r="BD58" s="1770"/>
      <c r="BE58" s="1770"/>
      <c r="BF58" s="1770"/>
      <c r="BG58" s="1770"/>
      <c r="BH58" s="1770"/>
      <c r="BI58" s="1770"/>
      <c r="BJ58" s="1770"/>
      <c r="BK58" s="1770"/>
      <c r="BL58" s="1770"/>
      <c r="BM58" s="1770"/>
      <c r="BN58" s="1770"/>
      <c r="BO58" s="1770"/>
    </row>
    <row r="59" spans="2:67" ht="15" customHeight="1">
      <c r="B59" s="1770"/>
      <c r="C59" s="1770"/>
      <c r="AB59" s="1770"/>
      <c r="AC59" s="1770"/>
      <c r="AD59" s="1770"/>
      <c r="AE59" s="1805"/>
      <c r="AF59" s="1801"/>
      <c r="AG59" s="1802"/>
      <c r="AH59" s="1802"/>
      <c r="AI59" s="1802"/>
      <c r="AJ59" s="1802"/>
      <c r="AK59" s="1802"/>
      <c r="AL59" s="1802"/>
      <c r="AM59" s="1802"/>
      <c r="AN59" s="1804"/>
      <c r="AO59" s="1770"/>
      <c r="AP59" s="1770"/>
      <c r="AQ59" s="1770"/>
      <c r="AR59" s="1770"/>
      <c r="AS59" s="1770"/>
      <c r="AT59" s="1770"/>
      <c r="AU59" s="1770"/>
      <c r="AV59" s="1770"/>
      <c r="AW59" s="1770"/>
      <c r="AX59" s="1770"/>
      <c r="AY59" s="1770"/>
      <c r="AZ59" s="1770"/>
      <c r="BA59" s="1770"/>
      <c r="BB59" s="1770"/>
      <c r="BC59" s="1770"/>
      <c r="BD59" s="1770"/>
      <c r="BE59" s="1770"/>
      <c r="BF59" s="1770"/>
      <c r="BG59" s="1770"/>
      <c r="BH59" s="1770"/>
      <c r="BI59" s="1770"/>
      <c r="BJ59" s="1770"/>
      <c r="BK59" s="1770"/>
      <c r="BL59" s="1770"/>
      <c r="BM59" s="1770"/>
      <c r="BN59" s="1770"/>
      <c r="BO59" s="1770"/>
    </row>
    <row r="60" spans="2:67" ht="15" customHeight="1">
      <c r="B60" s="1770"/>
      <c r="C60" s="1770"/>
      <c r="AB60" s="1770"/>
      <c r="AC60" s="1770"/>
      <c r="AD60" s="1770"/>
      <c r="AE60" s="1770"/>
      <c r="AF60" s="1801"/>
      <c r="AG60" s="1802"/>
      <c r="AH60" s="1802"/>
      <c r="AI60" s="1802"/>
      <c r="AJ60" s="1802"/>
      <c r="AK60" s="1802"/>
      <c r="AL60" s="1802"/>
      <c r="AM60" s="1802"/>
      <c r="AN60" s="1804"/>
      <c r="AO60" s="1770"/>
      <c r="AP60" s="1770"/>
      <c r="AQ60" s="1770"/>
      <c r="AR60" s="1770"/>
      <c r="AS60" s="1770"/>
      <c r="AT60" s="1770"/>
      <c r="AU60" s="1770"/>
      <c r="AV60" s="1770"/>
      <c r="AW60" s="1770"/>
      <c r="AX60" s="1770"/>
      <c r="AY60" s="1770"/>
      <c r="AZ60" s="1770"/>
      <c r="BA60" s="1770"/>
      <c r="BB60" s="1770"/>
      <c r="BC60" s="1770"/>
      <c r="BD60" s="1770"/>
      <c r="BE60" s="1770"/>
      <c r="BF60" s="1770"/>
      <c r="BG60" s="1770"/>
      <c r="BH60" s="1770"/>
      <c r="BI60" s="1770"/>
      <c r="BJ60" s="1770"/>
      <c r="BK60" s="1770"/>
      <c r="BL60" s="1770"/>
      <c r="BM60" s="1770"/>
      <c r="BN60" s="1770"/>
      <c r="BO60" s="1770"/>
    </row>
    <row r="61" spans="2:67" ht="15" customHeight="1">
      <c r="B61" s="1770"/>
      <c r="C61" s="1770"/>
      <c r="AB61" s="1770"/>
      <c r="AC61" s="1770"/>
      <c r="AD61" s="1770"/>
      <c r="AE61" s="1770"/>
      <c r="AF61" s="1801"/>
      <c r="AG61" s="1803"/>
      <c r="AH61" s="1802"/>
      <c r="AI61" s="1803"/>
      <c r="AJ61" s="1803"/>
      <c r="AK61" s="1802"/>
      <c r="AL61" s="1803"/>
      <c r="AM61" s="1802"/>
      <c r="AN61" s="1804"/>
      <c r="AO61" s="1770"/>
      <c r="AP61" s="1770"/>
      <c r="AQ61" s="1770"/>
      <c r="AR61" s="1770"/>
      <c r="AS61" s="1770"/>
      <c r="AT61" s="1770"/>
      <c r="AU61" s="1770"/>
      <c r="AV61" s="1770"/>
      <c r="AW61" s="1770"/>
      <c r="AX61" s="1770"/>
      <c r="AY61" s="1770"/>
      <c r="AZ61" s="1770"/>
      <c r="BA61" s="1770"/>
      <c r="BB61" s="1770"/>
      <c r="BC61" s="1770"/>
      <c r="BD61" s="1770"/>
      <c r="BE61" s="1770"/>
      <c r="BF61" s="1770"/>
      <c r="BG61" s="1770"/>
      <c r="BH61" s="1770"/>
      <c r="BI61" s="1770"/>
      <c r="BJ61" s="1770"/>
      <c r="BK61" s="1770"/>
      <c r="BL61" s="1770"/>
      <c r="BM61" s="1770"/>
      <c r="BN61" s="1770"/>
      <c r="BO61" s="1770"/>
    </row>
    <row r="62" spans="2:67" ht="15" customHeight="1">
      <c r="B62" s="1770"/>
      <c r="C62" s="1770"/>
      <c r="AB62" s="1770"/>
      <c r="AC62" s="1770"/>
      <c r="AD62" s="1770"/>
      <c r="AE62" s="1770"/>
      <c r="AF62" s="1801"/>
      <c r="AG62" s="1802"/>
      <c r="AH62" s="1802"/>
      <c r="AI62" s="1802"/>
      <c r="AJ62" s="1802"/>
      <c r="AK62" s="1802"/>
      <c r="AL62" s="1802"/>
      <c r="AM62" s="1802"/>
      <c r="AN62" s="1806"/>
      <c r="AO62" s="1770"/>
      <c r="AP62" s="1770"/>
      <c r="AQ62" s="1770"/>
      <c r="AR62" s="1770"/>
      <c r="AS62" s="1770"/>
      <c r="AT62" s="1770"/>
      <c r="AU62" s="1770"/>
      <c r="AV62" s="1770"/>
      <c r="AW62" s="1770"/>
      <c r="AX62" s="1770"/>
      <c r="AY62" s="1770"/>
      <c r="AZ62" s="1770"/>
      <c r="BA62" s="1770"/>
      <c r="BB62" s="1770"/>
      <c r="BC62" s="1770"/>
      <c r="BD62" s="1770"/>
      <c r="BE62" s="1770"/>
      <c r="BF62" s="1770"/>
      <c r="BG62" s="1770"/>
      <c r="BH62" s="1770"/>
      <c r="BI62" s="1770"/>
      <c r="BJ62" s="1770"/>
      <c r="BK62" s="1770"/>
      <c r="BL62" s="1770"/>
      <c r="BM62" s="1770"/>
      <c r="BN62" s="1770"/>
      <c r="BO62" s="1770"/>
    </row>
    <row r="63" spans="2:67" ht="15" customHeight="1">
      <c r="B63" s="1770"/>
      <c r="C63" s="1770"/>
      <c r="AB63" s="1770"/>
      <c r="AC63" s="1770"/>
      <c r="AD63" s="1770"/>
      <c r="AE63" s="1770"/>
      <c r="AN63" s="1806"/>
      <c r="AO63" s="1770"/>
      <c r="AP63" s="1770"/>
      <c r="AQ63" s="1770"/>
      <c r="AR63" s="1770"/>
      <c r="AS63" s="1770"/>
      <c r="AT63" s="1770"/>
      <c r="AU63" s="1770"/>
      <c r="AV63" s="1770"/>
      <c r="AW63" s="1770"/>
      <c r="AX63" s="1770"/>
      <c r="AY63" s="1770"/>
      <c r="AZ63" s="1770"/>
      <c r="BA63" s="1770"/>
      <c r="BB63" s="1770"/>
      <c r="BC63" s="1770"/>
      <c r="BD63" s="1770"/>
      <c r="BE63" s="1770"/>
      <c r="BF63" s="1770"/>
      <c r="BG63" s="1770"/>
      <c r="BH63" s="1770"/>
      <c r="BI63" s="1770"/>
      <c r="BJ63" s="1770"/>
      <c r="BK63" s="1770"/>
      <c r="BL63" s="1770"/>
      <c r="BM63" s="1770"/>
      <c r="BN63" s="1770"/>
      <c r="BO63" s="1770"/>
    </row>
    <row r="64" spans="2:67" ht="15" customHeight="1">
      <c r="B64" s="1770"/>
      <c r="C64" s="1770"/>
      <c r="AB64" s="1770"/>
      <c r="AC64" s="1770"/>
      <c r="AD64" s="1770"/>
      <c r="AE64" s="1770"/>
      <c r="AF64" s="1804"/>
      <c r="AG64" s="1804"/>
      <c r="AH64" s="1806"/>
      <c r="AI64" s="1806"/>
      <c r="AJ64" s="1806"/>
      <c r="AK64" s="1806"/>
      <c r="AL64" s="1806"/>
      <c r="AM64" s="1806"/>
      <c r="AN64" s="1806"/>
      <c r="AO64" s="1770"/>
      <c r="AP64" s="1770"/>
      <c r="AQ64" s="1770"/>
      <c r="AR64" s="1770"/>
      <c r="AS64" s="1770"/>
      <c r="AT64" s="1770"/>
      <c r="AU64" s="1770"/>
      <c r="AV64" s="1770"/>
      <c r="AW64" s="1770"/>
      <c r="AX64" s="1770"/>
      <c r="AY64" s="1770"/>
      <c r="AZ64" s="1770"/>
      <c r="BA64" s="1770"/>
      <c r="BB64" s="1770"/>
      <c r="BC64" s="1770"/>
      <c r="BD64" s="1770"/>
      <c r="BE64" s="1770"/>
      <c r="BF64" s="1770"/>
      <c r="BG64" s="1770"/>
      <c r="BH64" s="1770"/>
      <c r="BI64" s="1770"/>
      <c r="BJ64" s="1770"/>
      <c r="BK64" s="1770"/>
      <c r="BL64" s="1770"/>
      <c r="BM64" s="1770"/>
      <c r="BN64" s="1770"/>
      <c r="BO64" s="1770"/>
    </row>
    <row r="65" spans="2:67" ht="15" customHeight="1">
      <c r="B65" s="1770"/>
      <c r="C65" s="1770"/>
      <c r="AB65" s="1770"/>
      <c r="AC65" s="1770"/>
      <c r="AD65" s="1770"/>
      <c r="AE65" s="1770"/>
      <c r="AF65" s="1804"/>
      <c r="AG65" s="1804"/>
      <c r="AH65" s="1806"/>
      <c r="AI65" s="1806"/>
      <c r="AJ65" s="1806"/>
      <c r="AK65" s="1806"/>
      <c r="AL65" s="1806"/>
      <c r="AM65" s="1806"/>
      <c r="AN65" s="1806"/>
      <c r="AO65" s="1770"/>
      <c r="AP65" s="1770"/>
      <c r="AQ65" s="1770"/>
      <c r="AR65" s="1770"/>
      <c r="AS65" s="1770"/>
      <c r="AT65" s="1770"/>
      <c r="AU65" s="1770"/>
      <c r="AV65" s="1770"/>
      <c r="AW65" s="1770"/>
      <c r="AX65" s="1770"/>
      <c r="AY65" s="1770"/>
      <c r="AZ65" s="1770"/>
      <c r="BA65" s="1770"/>
      <c r="BB65" s="1770"/>
      <c r="BC65" s="1770"/>
      <c r="BD65" s="1770"/>
      <c r="BE65" s="1770"/>
      <c r="BF65" s="1770"/>
      <c r="BG65" s="1770"/>
      <c r="BH65" s="1770"/>
      <c r="BI65" s="1770"/>
      <c r="BJ65" s="1770"/>
      <c r="BK65" s="1770"/>
      <c r="BL65" s="1770"/>
      <c r="BM65" s="1770"/>
      <c r="BN65" s="1770"/>
      <c r="BO65" s="1770"/>
    </row>
    <row r="66" spans="2:67" ht="15" customHeight="1">
      <c r="B66" s="1770"/>
      <c r="C66" s="1770"/>
      <c r="AB66" s="1770"/>
      <c r="AC66" s="1770"/>
      <c r="AD66" s="1770"/>
      <c r="AE66" s="1770"/>
      <c r="AF66" s="1804"/>
      <c r="AG66" s="1804"/>
      <c r="AH66" s="1806"/>
      <c r="AI66" s="1806"/>
      <c r="AJ66" s="1806"/>
      <c r="AK66" s="1806"/>
      <c r="AL66" s="1806"/>
      <c r="AM66" s="1806"/>
      <c r="AN66" s="1806"/>
      <c r="AO66" s="1770"/>
      <c r="AP66" s="1770"/>
      <c r="AQ66" s="1770"/>
      <c r="AR66" s="1770"/>
      <c r="AS66" s="1770"/>
      <c r="AT66" s="1770"/>
      <c r="AU66" s="1770"/>
      <c r="AV66" s="1770"/>
      <c r="AW66" s="1770"/>
      <c r="AX66" s="1770"/>
      <c r="AY66" s="1770"/>
      <c r="AZ66" s="1770"/>
      <c r="BA66" s="1770"/>
      <c r="BB66" s="1770"/>
      <c r="BC66" s="1770"/>
      <c r="BD66" s="1770"/>
      <c r="BE66" s="1770"/>
      <c r="BF66" s="1770"/>
      <c r="BG66" s="1770"/>
      <c r="BH66" s="1770"/>
      <c r="BI66" s="1770"/>
      <c r="BJ66" s="1770"/>
      <c r="BK66" s="1770"/>
      <c r="BL66" s="1770"/>
      <c r="BM66" s="1770"/>
      <c r="BN66" s="1770"/>
      <c r="BO66" s="1770"/>
    </row>
  </sheetData>
  <pageMargins left="0.7" right="0.7" top="0.75" bottom="0.75" header="0.3" footer="0.3"/>
  <pageSetup paperSize="9" scale="35" orientation="portrait" r:id="rId1"/>
  <colBreaks count="4" manualBreakCount="4">
    <brk id="15" max="35" man="1"/>
    <brk id="28" max="35" man="1"/>
    <brk id="41" max="35" man="1"/>
    <brk id="54" max="3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4">
    <tabColor rgb="FFFFC000"/>
    <pageSetUpPr fitToPage="1"/>
  </sheetPr>
  <dimension ref="A1:W166"/>
  <sheetViews>
    <sheetView zoomScaleNormal="100" workbookViewId="0">
      <selection activeCell="S33" sqref="S33"/>
    </sheetView>
  </sheetViews>
  <sheetFormatPr defaultColWidth="11.42578125" defaultRowHeight="12.75"/>
  <cols>
    <col min="1" max="1" width="5.7109375" style="270" customWidth="1"/>
    <col min="2" max="2" width="67" style="119" bestFit="1" customWidth="1"/>
    <col min="3" max="3" width="25.140625" style="119" customWidth="1"/>
    <col min="4" max="7" width="12.42578125" style="119" customWidth="1"/>
    <col min="8" max="12" width="12.42578125" style="120" customWidth="1"/>
    <col min="13" max="13" width="1.28515625" style="120" customWidth="1"/>
    <col min="14" max="17" width="1.42578125" style="120" customWidth="1"/>
    <col min="18" max="18" width="7.140625" style="119" customWidth="1"/>
    <col min="19" max="19" width="19.140625" style="119" bestFit="1" customWidth="1"/>
    <col min="20" max="16384" width="11.42578125" style="119"/>
  </cols>
  <sheetData>
    <row r="1" spans="2:21" ht="15" customHeight="1"/>
    <row r="2" spans="2:21" ht="18.75">
      <c r="B2" s="109" t="str">
        <f>Übersicht!C16</f>
        <v>Zentrale Planungsannahmen</v>
      </c>
    </row>
    <row r="4" spans="2:21">
      <c r="B4" s="330" t="str">
        <f>Lang.!B224</f>
        <v>Planning assumptions (P&amp;L)</v>
      </c>
      <c r="C4" s="331" t="str">
        <f>Eckdaten!C14</f>
        <v>EUR</v>
      </c>
      <c r="D4" s="141">
        <f>+E4-1</f>
        <v>2021</v>
      </c>
      <c r="E4" s="141">
        <f>+F4-1</f>
        <v>2022</v>
      </c>
      <c r="F4" s="141">
        <f>+G4-1</f>
        <v>2023</v>
      </c>
      <c r="G4" s="1052">
        <f>+Eckdaten!C12</f>
        <v>2024</v>
      </c>
      <c r="H4" s="1047">
        <f>+G4+1</f>
        <v>2025</v>
      </c>
      <c r="I4" s="1492">
        <f>IF(Eckdaten!$C$20+Eckdaten!$C$12&gt;H4,H4+1," ")</f>
        <v>2026</v>
      </c>
      <c r="J4" s="1492">
        <f>IF(Eckdaten!$C$20+Eckdaten!$C$12&gt;I4,I4+1," ")</f>
        <v>2027</v>
      </c>
      <c r="K4" s="1492">
        <f>IF(Eckdaten!$C$20+Eckdaten!$C$12&gt;J4,J4+1," ")</f>
        <v>2028</v>
      </c>
      <c r="L4" s="1492">
        <f>IF(Eckdaten!$C$20+Eckdaten!$C$12&gt;K4,K4+1," ")</f>
        <v>2029</v>
      </c>
      <c r="M4" s="1492" t="str">
        <f>IF(Eckdaten!$C$20+Eckdaten!$C$12&gt;L4,L4+1," ")</f>
        <v xml:space="preserve"> </v>
      </c>
      <c r="N4" s="1492" t="str">
        <f>IF(Eckdaten!$C$20+Eckdaten!$C$12&gt;M4,M4+1," ")</f>
        <v xml:space="preserve"> </v>
      </c>
      <c r="O4" s="1492" t="str">
        <f>IF(Eckdaten!$C$20+Eckdaten!$C$12&gt;N4,N4+1," ")</f>
        <v xml:space="preserve"> </v>
      </c>
      <c r="P4" s="1492" t="str">
        <f>IF(Eckdaten!$C$20+Eckdaten!$C$12&gt;O4,O4+1," ")</f>
        <v xml:space="preserve"> </v>
      </c>
      <c r="Q4" s="1492" t="str">
        <f>IF(Eckdaten!$C$20+Eckdaten!$C$12&gt;P4,P4+1," ")</f>
        <v xml:space="preserve"> </v>
      </c>
    </row>
    <row r="5" spans="2:21">
      <c r="B5" s="271"/>
      <c r="C5" s="271"/>
      <c r="D5" s="127"/>
      <c r="E5" s="127"/>
      <c r="F5" s="127"/>
      <c r="G5" s="1053"/>
      <c r="H5" s="1048" t="s">
        <v>174</v>
      </c>
      <c r="I5" s="1493" t="str">
        <f>IF(I4=" "," ","P")</f>
        <v>P</v>
      </c>
      <c r="J5" s="1493" t="str">
        <f t="shared" ref="J5:Q5" si="0">IF(J4=" "," ","P")</f>
        <v>P</v>
      </c>
      <c r="K5" s="1493" t="str">
        <f t="shared" si="0"/>
        <v>P</v>
      </c>
      <c r="L5" s="1493" t="str">
        <f t="shared" si="0"/>
        <v>P</v>
      </c>
      <c r="M5" s="1493" t="str">
        <f t="shared" si="0"/>
        <v xml:space="preserve"> </v>
      </c>
      <c r="N5" s="1493" t="str">
        <f t="shared" si="0"/>
        <v xml:space="preserve"> </v>
      </c>
      <c r="O5" s="1493" t="str">
        <f t="shared" si="0"/>
        <v xml:space="preserve"> </v>
      </c>
      <c r="P5" s="1493" t="str">
        <f t="shared" si="0"/>
        <v xml:space="preserve"> </v>
      </c>
      <c r="Q5" s="1493" t="str">
        <f t="shared" si="0"/>
        <v xml:space="preserve"> </v>
      </c>
    </row>
    <row r="6" spans="2:21">
      <c r="G6" s="1054"/>
      <c r="H6" s="910"/>
      <c r="I6" s="910"/>
      <c r="J6" s="910"/>
      <c r="K6" s="910"/>
      <c r="L6" s="910"/>
      <c r="M6" s="910"/>
      <c r="N6" s="910"/>
      <c r="O6" s="910"/>
      <c r="P6" s="910"/>
      <c r="Q6" s="910"/>
    </row>
    <row r="7" spans="2:21">
      <c r="B7" s="334" t="str">
        <f>Lang.!B225</f>
        <v>Total turnover</v>
      </c>
      <c r="C7" s="273"/>
      <c r="D7" s="332">
        <f>+'G&amp;V'!D8</f>
        <v>0</v>
      </c>
      <c r="E7" s="332">
        <f>+'G&amp;V'!E8</f>
        <v>38216485.956758939</v>
      </c>
      <c r="F7" s="332">
        <f>+'G&amp;V'!F8</f>
        <v>37396294.271356784</v>
      </c>
      <c r="G7" s="1055">
        <f>+'G&amp;V'!G8</f>
        <v>34006908.524326496</v>
      </c>
      <c r="H7" s="911">
        <f t="shared" ref="H7:Q7" si="1">IFERROR(SUM(H8:H9),"")</f>
        <v>34687046.694813028</v>
      </c>
      <c r="I7" s="911">
        <f t="shared" si="1"/>
        <v>35380787.628709286</v>
      </c>
      <c r="J7" s="911">
        <f t="shared" si="1"/>
        <v>36088403.381283469</v>
      </c>
      <c r="K7" s="911">
        <f t="shared" si="1"/>
        <v>36810171.448909141</v>
      </c>
      <c r="L7" s="911">
        <f t="shared" si="1"/>
        <v>37546374.877887323</v>
      </c>
      <c r="M7" s="911">
        <f t="shared" si="1"/>
        <v>0</v>
      </c>
      <c r="N7" s="911">
        <f t="shared" si="1"/>
        <v>0</v>
      </c>
      <c r="O7" s="911">
        <f t="shared" si="1"/>
        <v>0</v>
      </c>
      <c r="P7" s="911">
        <f t="shared" si="1"/>
        <v>0</v>
      </c>
      <c r="Q7" s="911">
        <f t="shared" si="1"/>
        <v>0</v>
      </c>
    </row>
    <row r="8" spans="2:21">
      <c r="B8" s="335" t="str">
        <f>Lang.!B9</f>
        <v>Revenue</v>
      </c>
      <c r="C8" s="274"/>
      <c r="D8" s="333">
        <f>'G&amp;V'!D9</f>
        <v>0</v>
      </c>
      <c r="E8" s="333">
        <f>'G&amp;V'!E9</f>
        <v>38216485.956758939</v>
      </c>
      <c r="F8" s="333">
        <f>'G&amp;V'!F9</f>
        <v>37396294.271356784</v>
      </c>
      <c r="G8" s="1056">
        <f>'G&amp;V'!G9</f>
        <v>34006908.524326496</v>
      </c>
      <c r="H8" s="912">
        <f t="shared" ref="H8:Q8" si="2">IFERROR(IF(H16&lt;&gt;0,H16,G8*(1+H15)),"")</f>
        <v>34687046.694813028</v>
      </c>
      <c r="I8" s="912">
        <f t="shared" si="2"/>
        <v>35380787.628709286</v>
      </c>
      <c r="J8" s="912">
        <f t="shared" si="2"/>
        <v>36088403.381283469</v>
      </c>
      <c r="K8" s="912">
        <f t="shared" si="2"/>
        <v>36810171.448909141</v>
      </c>
      <c r="L8" s="912">
        <f t="shared" si="2"/>
        <v>37546374.877887323</v>
      </c>
      <c r="M8" s="912" t="str">
        <f t="shared" si="2"/>
        <v/>
      </c>
      <c r="N8" s="912" t="str">
        <f t="shared" si="2"/>
        <v/>
      </c>
      <c r="O8" s="912" t="str">
        <f t="shared" si="2"/>
        <v/>
      </c>
      <c r="P8" s="912" t="str">
        <f t="shared" si="2"/>
        <v/>
      </c>
      <c r="Q8" s="912" t="str">
        <f t="shared" si="2"/>
        <v/>
      </c>
    </row>
    <row r="9" spans="2:21">
      <c r="B9" s="200" t="str">
        <f>Lang.!B11</f>
        <v>Change in Inventory</v>
      </c>
      <c r="C9" s="274"/>
      <c r="D9" s="333">
        <f>'G&amp;V'!D10</f>
        <v>0</v>
      </c>
      <c r="E9" s="333">
        <f>'G&amp;V'!E10</f>
        <v>0</v>
      </c>
      <c r="F9" s="333">
        <f>'G&amp;V'!F10</f>
        <v>0</v>
      </c>
      <c r="G9" s="1056">
        <f>'G&amp;V'!G10</f>
        <v>0</v>
      </c>
      <c r="H9" s="912">
        <f t="shared" ref="H9:Q9" si="3">IFERROR(IF(H18&lt;&gt;0,H18,H8*H17),"")</f>
        <v>0</v>
      </c>
      <c r="I9" s="912">
        <f t="shared" si="3"/>
        <v>0</v>
      </c>
      <c r="J9" s="912">
        <f t="shared" si="3"/>
        <v>0</v>
      </c>
      <c r="K9" s="912">
        <f t="shared" si="3"/>
        <v>0</v>
      </c>
      <c r="L9" s="912">
        <f t="shared" si="3"/>
        <v>0</v>
      </c>
      <c r="M9" s="912" t="str">
        <f t="shared" si="3"/>
        <v/>
      </c>
      <c r="N9" s="912" t="str">
        <f t="shared" si="3"/>
        <v/>
      </c>
      <c r="O9" s="912" t="str">
        <f t="shared" si="3"/>
        <v/>
      </c>
      <c r="P9" s="912" t="str">
        <f t="shared" si="3"/>
        <v/>
      </c>
      <c r="Q9" s="912" t="str">
        <f t="shared" si="3"/>
        <v/>
      </c>
    </row>
    <row r="10" spans="2:21">
      <c r="B10" s="274"/>
      <c r="C10" s="274"/>
      <c r="D10" s="274"/>
      <c r="E10" s="275"/>
      <c r="F10" s="275"/>
      <c r="G10" s="1057"/>
      <c r="H10" s="913"/>
      <c r="I10" s="913"/>
      <c r="J10" s="913"/>
      <c r="K10" s="913"/>
      <c r="L10" s="913"/>
      <c r="M10" s="913"/>
      <c r="N10" s="913"/>
      <c r="O10" s="913"/>
      <c r="P10" s="913"/>
      <c r="Q10" s="913"/>
    </row>
    <row r="11" spans="2:21">
      <c r="B11" s="1404" t="str">
        <f>Lang.!B224</f>
        <v>Planning assumptions (P&amp;L)</v>
      </c>
      <c r="C11" s="1405"/>
      <c r="D11" s="1405"/>
      <c r="E11" s="1406"/>
      <c r="F11" s="1406"/>
      <c r="G11" s="1407"/>
      <c r="H11" s="1408"/>
      <c r="I11" s="1408"/>
      <c r="J11" s="1408"/>
      <c r="K11" s="1408"/>
      <c r="L11" s="1408"/>
      <c r="M11" s="1408"/>
      <c r="N11" s="1408"/>
      <c r="O11" s="1408"/>
      <c r="P11" s="1408"/>
      <c r="Q11" s="1408"/>
    </row>
    <row r="12" spans="2:21" ht="3" customHeight="1">
      <c r="B12" s="276"/>
      <c r="C12" s="277"/>
      <c r="D12" s="277"/>
      <c r="E12" s="278"/>
      <c r="F12" s="278"/>
      <c r="G12" s="1058"/>
      <c r="H12" s="914"/>
      <c r="I12" s="914"/>
      <c r="J12" s="914"/>
      <c r="K12" s="914"/>
      <c r="L12" s="914"/>
      <c r="M12" s="914"/>
      <c r="N12" s="914"/>
      <c r="O12" s="914"/>
      <c r="P12" s="914"/>
      <c r="Q12" s="914"/>
    </row>
    <row r="13" spans="2:21" ht="13.5" customHeight="1">
      <c r="B13" s="887" t="s">
        <v>238</v>
      </c>
      <c r="C13" s="890" t="s">
        <v>239</v>
      </c>
      <c r="D13" s="336"/>
      <c r="E13" s="279"/>
      <c r="F13" s="279"/>
      <c r="G13" s="1059"/>
      <c r="H13" s="1245" t="s">
        <v>240</v>
      </c>
      <c r="I13" s="915"/>
      <c r="J13" s="915"/>
      <c r="K13" s="915"/>
      <c r="L13" s="915"/>
      <c r="M13" s="915"/>
      <c r="N13" s="915"/>
      <c r="O13" s="915"/>
      <c r="P13" s="915"/>
      <c r="Q13" s="915"/>
    </row>
    <row r="14" spans="2:21">
      <c r="B14" s="894" t="str">
        <f>Lang.!B227</f>
        <v>Revenue Planning</v>
      </c>
      <c r="C14" s="894"/>
      <c r="D14" s="893"/>
      <c r="E14" s="893"/>
      <c r="F14" s="893"/>
      <c r="G14" s="895"/>
      <c r="H14" s="916"/>
      <c r="I14" s="916"/>
      <c r="J14" s="916"/>
      <c r="K14" s="916"/>
      <c r="L14" s="916"/>
      <c r="M14" s="916"/>
      <c r="N14" s="916"/>
      <c r="O14" s="916"/>
      <c r="P14" s="916"/>
      <c r="Q14" s="916"/>
    </row>
    <row r="15" spans="2:21" ht="12.75" customHeight="1">
      <c r="B15" s="337" t="str">
        <f>'G&amp;V'!B9</f>
        <v>Revenue</v>
      </c>
      <c r="C15" s="289" t="s">
        <v>241</v>
      </c>
      <c r="D15" s="16" t="str">
        <f>IFERROR((D8-C8)/C8,"na")</f>
        <v>na</v>
      </c>
      <c r="E15" s="16" t="str">
        <f>IFERROR((E8-D8)/D8,"na")</f>
        <v>na</v>
      </c>
      <c r="F15" s="16">
        <f>IFERROR((F8-E8)/E8,"na")</f>
        <v>-2.1461724302181594E-2</v>
      </c>
      <c r="G15" s="896">
        <f>IFERROR((G8-F8)/F8,"na")</f>
        <v>-9.0634267728135431E-2</v>
      </c>
      <c r="H15" s="966">
        <v>0.02</v>
      </c>
      <c r="I15" s="18">
        <f>IF(I$4=" ", " ", H15)</f>
        <v>0.02</v>
      </c>
      <c r="J15" s="18">
        <f t="shared" ref="I15:Q19" si="4">IF(J$4=" ", " ", I15)</f>
        <v>0.02</v>
      </c>
      <c r="K15" s="18">
        <f t="shared" si="4"/>
        <v>0.02</v>
      </c>
      <c r="L15" s="18">
        <f t="shared" si="4"/>
        <v>0.02</v>
      </c>
      <c r="M15" s="18" t="str">
        <f t="shared" si="4"/>
        <v xml:space="preserve"> </v>
      </c>
      <c r="N15" s="18" t="str">
        <f t="shared" si="4"/>
        <v xml:space="preserve"> </v>
      </c>
      <c r="O15" s="18" t="str">
        <f t="shared" si="4"/>
        <v xml:space="preserve"> </v>
      </c>
      <c r="P15" s="18" t="str">
        <f t="shared" si="4"/>
        <v xml:space="preserve"> </v>
      </c>
      <c r="Q15" s="18" t="str">
        <f t="shared" si="4"/>
        <v xml:space="preserve"> </v>
      </c>
      <c r="S15" s="124"/>
      <c r="T15" s="124"/>
      <c r="U15" s="124"/>
    </row>
    <row r="16" spans="2:21" ht="12.75" customHeight="1">
      <c r="B16" s="893"/>
      <c r="C16" s="892" t="s">
        <v>242</v>
      </c>
      <c r="D16" s="893"/>
      <c r="E16" s="893"/>
      <c r="F16" s="893"/>
      <c r="G16" s="895"/>
      <c r="H16" s="1018">
        <v>0</v>
      </c>
      <c r="I16" s="1018">
        <v>0</v>
      </c>
      <c r="J16" s="1018">
        <v>0</v>
      </c>
      <c r="K16" s="1018">
        <v>0</v>
      </c>
      <c r="L16" s="1018">
        <v>0</v>
      </c>
      <c r="M16" s="1018">
        <v>0</v>
      </c>
      <c r="N16" s="1018">
        <v>0</v>
      </c>
      <c r="O16" s="1018">
        <v>0</v>
      </c>
      <c r="P16" s="1018">
        <v>0</v>
      </c>
      <c r="Q16" s="1018">
        <v>0</v>
      </c>
      <c r="S16" s="124"/>
      <c r="T16" s="124"/>
      <c r="U16" s="124"/>
    </row>
    <row r="17" spans="1:21" ht="12.75" customHeight="1">
      <c r="B17" s="337" t="str">
        <f>'G&amp;V'!B10</f>
        <v>Change in Inventory</v>
      </c>
      <c r="C17" s="932" t="s">
        <v>243</v>
      </c>
      <c r="D17" s="16" t="str">
        <f>IFERROR(D9/D8,"na")</f>
        <v>na</v>
      </c>
      <c r="E17" s="16">
        <f>IFERROR(E9/E8,"na")</f>
        <v>0</v>
      </c>
      <c r="F17" s="16">
        <f>IFERROR(F9/F8,"na")</f>
        <v>0</v>
      </c>
      <c r="G17" s="896">
        <f>IFERROR(G9/G8,"na")</f>
        <v>0</v>
      </c>
      <c r="H17" s="1769">
        <v>0</v>
      </c>
      <c r="I17" s="18">
        <f t="shared" si="4"/>
        <v>0</v>
      </c>
      <c r="J17" s="18">
        <f t="shared" si="4"/>
        <v>0</v>
      </c>
      <c r="K17" s="18">
        <f t="shared" si="4"/>
        <v>0</v>
      </c>
      <c r="L17" s="18">
        <f t="shared" si="4"/>
        <v>0</v>
      </c>
      <c r="M17" s="18" t="str">
        <f t="shared" si="4"/>
        <v xml:space="preserve"> </v>
      </c>
      <c r="N17" s="18" t="str">
        <f t="shared" si="4"/>
        <v xml:space="preserve"> </v>
      </c>
      <c r="O17" s="18" t="str">
        <f t="shared" si="4"/>
        <v xml:space="preserve"> </v>
      </c>
      <c r="P17" s="18" t="str">
        <f t="shared" si="4"/>
        <v xml:space="preserve"> </v>
      </c>
      <c r="Q17" s="18" t="str">
        <f t="shared" si="4"/>
        <v xml:space="preserve"> </v>
      </c>
      <c r="S17" s="124"/>
      <c r="T17" s="124"/>
      <c r="U17" s="124"/>
    </row>
    <row r="18" spans="1:21" ht="12.75" customHeight="1">
      <c r="B18" s="893"/>
      <c r="C18" s="892" t="s">
        <v>242</v>
      </c>
      <c r="D18" s="893"/>
      <c r="E18" s="893"/>
      <c r="F18" s="893"/>
      <c r="G18" s="895"/>
      <c r="H18" s="1018">
        <v>0</v>
      </c>
      <c r="I18" s="1018">
        <v>0</v>
      </c>
      <c r="J18" s="1018">
        <v>0</v>
      </c>
      <c r="K18" s="1018">
        <v>0</v>
      </c>
      <c r="L18" s="1018">
        <v>0</v>
      </c>
      <c r="M18" s="1018">
        <v>0</v>
      </c>
      <c r="N18" s="1018">
        <v>0</v>
      </c>
      <c r="O18" s="1018">
        <v>0</v>
      </c>
      <c r="P18" s="1018">
        <v>0</v>
      </c>
      <c r="Q18" s="1018">
        <v>0</v>
      </c>
      <c r="S18" s="124"/>
      <c r="T18" s="124"/>
      <c r="U18" s="124"/>
    </row>
    <row r="19" spans="1:21" ht="12.75" customHeight="1">
      <c r="B19" s="891" t="str">
        <f>'G&amp;V'!B30</f>
        <v>Other Operating Income</v>
      </c>
      <c r="C19" s="932" t="s">
        <v>243</v>
      </c>
      <c r="D19" s="16" t="str">
        <f>'G&amp;V'!D32</f>
        <v>na</v>
      </c>
      <c r="E19" s="16">
        <f>'G&amp;V'!E32</f>
        <v>1.1735315544945904E-2</v>
      </c>
      <c r="F19" s="16">
        <f>'G&amp;V'!F32</f>
        <v>1.4747136098681191E-2</v>
      </c>
      <c r="G19" s="896">
        <f>'G&amp;V'!G32</f>
        <v>1.7671709046228886E-2</v>
      </c>
      <c r="H19" s="1769">
        <v>0</v>
      </c>
      <c r="I19" s="18">
        <f>IF(I$4=" ", " ", H19)</f>
        <v>0</v>
      </c>
      <c r="J19" s="18">
        <f t="shared" si="4"/>
        <v>0</v>
      </c>
      <c r="K19" s="18">
        <f t="shared" si="4"/>
        <v>0</v>
      </c>
      <c r="L19" s="18">
        <f t="shared" si="4"/>
        <v>0</v>
      </c>
      <c r="M19" s="18" t="str">
        <f t="shared" si="4"/>
        <v xml:space="preserve"> </v>
      </c>
      <c r="N19" s="18" t="str">
        <f t="shared" si="4"/>
        <v xml:space="preserve"> </v>
      </c>
      <c r="O19" s="18" t="str">
        <f t="shared" si="4"/>
        <v xml:space="preserve"> </v>
      </c>
      <c r="P19" s="18" t="str">
        <f t="shared" si="4"/>
        <v xml:space="preserve"> </v>
      </c>
      <c r="Q19" s="18" t="str">
        <f t="shared" si="4"/>
        <v xml:space="preserve"> </v>
      </c>
      <c r="S19" s="124"/>
      <c r="T19" s="124"/>
      <c r="U19" s="124"/>
    </row>
    <row r="20" spans="1:21" ht="12.75" customHeight="1">
      <c r="B20" s="893"/>
      <c r="C20" s="892" t="s">
        <v>242</v>
      </c>
      <c r="D20" s="893"/>
      <c r="E20" s="893"/>
      <c r="F20" s="893"/>
      <c r="G20" s="895"/>
      <c r="H20" s="1018">
        <v>0</v>
      </c>
      <c r="I20" s="1018">
        <v>0</v>
      </c>
      <c r="J20" s="1018">
        <v>0</v>
      </c>
      <c r="K20" s="1018">
        <v>0</v>
      </c>
      <c r="L20" s="1018">
        <v>0</v>
      </c>
      <c r="M20" s="1018">
        <v>0</v>
      </c>
      <c r="N20" s="1018">
        <v>0</v>
      </c>
      <c r="O20" s="1018">
        <v>0</v>
      </c>
      <c r="P20" s="1018">
        <v>0</v>
      </c>
      <c r="Q20" s="1018">
        <v>0</v>
      </c>
      <c r="S20" s="124"/>
      <c r="T20" s="124"/>
      <c r="U20" s="124"/>
    </row>
    <row r="21" spans="1:21" s="116" customFormat="1" ht="12.75" customHeight="1">
      <c r="A21" s="926"/>
      <c r="B21" s="927"/>
      <c r="C21" s="928"/>
      <c r="D21" s="927"/>
      <c r="E21" s="927"/>
      <c r="F21" s="927"/>
      <c r="G21" s="985"/>
      <c r="H21" s="929"/>
      <c r="I21" s="929"/>
      <c r="J21" s="929"/>
      <c r="K21" s="929"/>
      <c r="L21" s="929"/>
      <c r="M21" s="929"/>
      <c r="N21" s="929"/>
      <c r="O21" s="929"/>
      <c r="P21" s="929"/>
      <c r="Q21" s="929"/>
      <c r="S21" s="125"/>
      <c r="T21" s="125"/>
      <c r="U21" s="125"/>
    </row>
    <row r="22" spans="1:21" ht="12.75" customHeight="1">
      <c r="B22" s="894" t="str">
        <f>Lang.!B245</f>
        <v>Cost Planning</v>
      </c>
      <c r="C22" s="282"/>
      <c r="D22" s="283"/>
      <c r="E22" s="283"/>
      <c r="F22" s="283"/>
      <c r="G22" s="983"/>
      <c r="H22" s="1768"/>
      <c r="I22" s="18"/>
      <c r="J22" s="18"/>
      <c r="K22" s="18"/>
      <c r="L22" s="18"/>
      <c r="M22" s="18"/>
      <c r="N22" s="18"/>
      <c r="O22" s="18"/>
      <c r="P22" s="18"/>
      <c r="Q22" s="18"/>
      <c r="S22" s="124"/>
      <c r="T22" s="124"/>
      <c r="U22" s="124"/>
    </row>
    <row r="23" spans="1:21">
      <c r="B23" s="338" t="str">
        <f>+'G&amp;V'!B15</f>
        <v>Cost of Material</v>
      </c>
      <c r="C23" s="967" t="str">
        <f>Lang.!B219</f>
        <v>(in % of total turnover)</v>
      </c>
      <c r="D23" s="105" t="str">
        <f>+'G&amp;V'!D15</f>
        <v>na</v>
      </c>
      <c r="E23" s="105">
        <f>+'G&amp;V'!E15</f>
        <v>0</v>
      </c>
      <c r="F23" s="105">
        <f>+'G&amp;V'!F15</f>
        <v>0</v>
      </c>
      <c r="G23" s="984">
        <f>+'G&amp;V'!G15</f>
        <v>0</v>
      </c>
      <c r="H23" s="977">
        <f>IFERROR(AVERAGE(E23:G23),0)</f>
        <v>0</v>
      </c>
      <c r="I23" s="106">
        <f t="shared" ref="I23:Q23" si="5">IF(I4=" ", " ",H23)</f>
        <v>0</v>
      </c>
      <c r="J23" s="106">
        <f t="shared" si="5"/>
        <v>0</v>
      </c>
      <c r="K23" s="106">
        <f t="shared" si="5"/>
        <v>0</v>
      </c>
      <c r="L23" s="106">
        <f t="shared" si="5"/>
        <v>0</v>
      </c>
      <c r="M23" s="106" t="str">
        <f t="shared" si="5"/>
        <v xml:space="preserve"> </v>
      </c>
      <c r="N23" s="106" t="str">
        <f t="shared" si="5"/>
        <v xml:space="preserve"> </v>
      </c>
      <c r="O23" s="106" t="str">
        <f t="shared" si="5"/>
        <v xml:space="preserve"> </v>
      </c>
      <c r="P23" s="106" t="str">
        <f t="shared" si="5"/>
        <v xml:space="preserve"> </v>
      </c>
      <c r="Q23" s="106" t="str">
        <f t="shared" si="5"/>
        <v xml:space="preserve"> </v>
      </c>
      <c r="S23" s="124"/>
      <c r="T23" s="124"/>
      <c r="U23" s="124"/>
    </row>
    <row r="24" spans="1:21">
      <c r="B24" s="893"/>
      <c r="C24" s="892" t="s">
        <v>242</v>
      </c>
      <c r="D24" s="893"/>
      <c r="E24" s="893"/>
      <c r="F24" s="893"/>
      <c r="G24" s="895"/>
      <c r="H24" s="1018">
        <v>0</v>
      </c>
      <c r="I24" s="1018">
        <v>0</v>
      </c>
      <c r="J24" s="1018">
        <v>0</v>
      </c>
      <c r="K24" s="1018">
        <v>0</v>
      </c>
      <c r="L24" s="1018">
        <v>0</v>
      </c>
      <c r="M24" s="1018">
        <v>0</v>
      </c>
      <c r="N24" s="1018">
        <v>0</v>
      </c>
      <c r="O24" s="1018">
        <v>0</v>
      </c>
      <c r="P24" s="1018">
        <v>0</v>
      </c>
      <c r="Q24" s="1018">
        <v>0</v>
      </c>
      <c r="S24" s="124"/>
      <c r="T24" s="124"/>
      <c r="U24" s="124"/>
    </row>
    <row r="25" spans="1:21">
      <c r="B25" s="337" t="str">
        <f>+'G&amp;V'!B25</f>
        <v>Personnel Expenses</v>
      </c>
      <c r="C25" s="968" t="str">
        <f>Lang.!B219</f>
        <v>(in % of total turnover)</v>
      </c>
      <c r="D25" s="16" t="str">
        <f>+'G&amp;V'!D25</f>
        <v>na</v>
      </c>
      <c r="E25" s="16">
        <f>+'G&amp;V'!E25</f>
        <v>-8.9507664878780355E-2</v>
      </c>
      <c r="F25" s="16">
        <f>+'G&amp;V'!F25</f>
        <v>-0.11146941687135917</v>
      </c>
      <c r="G25" s="896">
        <f>+'G&amp;V'!G25</f>
        <v>-0.12596089433163085</v>
      </c>
      <c r="H25" s="977">
        <f>IFERROR(AVERAGE(E25:G25),0)</f>
        <v>-0.10897932536059012</v>
      </c>
      <c r="I25" s="17">
        <f>IF(I4=" ", " ",H25)</f>
        <v>-0.10897932536059012</v>
      </c>
      <c r="J25" s="17">
        <f>IF(J4=" ", " ",I25)</f>
        <v>-0.10897932536059012</v>
      </c>
      <c r="K25" s="17">
        <f>IF(K4=" ", " ",J25)</f>
        <v>-0.10897932536059012</v>
      </c>
      <c r="L25" s="17">
        <f>IF(L4=" ", " ",K25)</f>
        <v>-0.10897932536059012</v>
      </c>
      <c r="M25" s="17" t="str">
        <f>IF(M4=" ", " ",L25*90%)</f>
        <v xml:space="preserve"> </v>
      </c>
      <c r="N25" s="17" t="str">
        <f>IF(N4=" ", " ",M25*90%)</f>
        <v xml:space="preserve"> </v>
      </c>
      <c r="O25" s="17" t="str">
        <f>IF(O4=" ", " ",N25*90%)</f>
        <v xml:space="preserve"> </v>
      </c>
      <c r="P25" s="17" t="str">
        <f>IF(P4=" ", " ",O25*90%)</f>
        <v xml:space="preserve"> </v>
      </c>
      <c r="Q25" s="17" t="str">
        <f>IF(Q4=" ", " ",P25*90%)</f>
        <v xml:space="preserve"> </v>
      </c>
      <c r="S25" s="124"/>
      <c r="T25" s="124"/>
      <c r="U25" s="124"/>
    </row>
    <row r="26" spans="1:21">
      <c r="B26" s="893"/>
      <c r="C26" s="892" t="s">
        <v>242</v>
      </c>
      <c r="D26" s="893"/>
      <c r="E26" s="893"/>
      <c r="F26" s="893"/>
      <c r="G26" s="895"/>
      <c r="H26" s="1018">
        <v>0</v>
      </c>
      <c r="I26" s="1018">
        <v>0</v>
      </c>
      <c r="J26" s="1018">
        <v>0</v>
      </c>
      <c r="K26" s="1018">
        <v>0</v>
      </c>
      <c r="L26" s="1018">
        <v>0</v>
      </c>
      <c r="M26" s="1018">
        <v>0</v>
      </c>
      <c r="N26" s="1018">
        <v>0</v>
      </c>
      <c r="O26" s="1018">
        <v>0</v>
      </c>
      <c r="P26" s="1018">
        <v>0</v>
      </c>
      <c r="Q26" s="1018">
        <v>0</v>
      </c>
      <c r="S26" s="124"/>
      <c r="T26" s="124"/>
      <c r="U26" s="124"/>
    </row>
    <row r="27" spans="1:21">
      <c r="B27" s="337" t="str">
        <f>+'G&amp;V'!B37</f>
        <v>Other Operating Expenses</v>
      </c>
      <c r="C27" s="968" t="str">
        <f>Lang.!B219</f>
        <v>(in % of total turnover)</v>
      </c>
      <c r="D27" s="16" t="str">
        <f>+'G&amp;V'!D37</f>
        <v>na</v>
      </c>
      <c r="E27" s="16">
        <f>+'G&amp;V'!E37</f>
        <v>-0.85691171641829988</v>
      </c>
      <c r="F27" s="16">
        <f>+'G&amp;V'!F37</f>
        <v>-0.85664078698061852</v>
      </c>
      <c r="G27" s="896">
        <f>+'G&amp;V'!G37</f>
        <v>-0.87548259651089244</v>
      </c>
      <c r="H27" s="977">
        <f>IFERROR(AVERAGE(E27:G27),0)</f>
        <v>-0.86301169996993699</v>
      </c>
      <c r="I27" s="17">
        <f t="shared" ref="I27:Q27" si="6">IF(I4=" ", " ",H27)</f>
        <v>-0.86301169996993699</v>
      </c>
      <c r="J27" s="17">
        <f t="shared" si="6"/>
        <v>-0.86301169996993699</v>
      </c>
      <c r="K27" s="17">
        <f t="shared" si="6"/>
        <v>-0.86301169996993699</v>
      </c>
      <c r="L27" s="17">
        <f t="shared" si="6"/>
        <v>-0.86301169996993699</v>
      </c>
      <c r="M27" s="17" t="str">
        <f t="shared" si="6"/>
        <v xml:space="preserve"> </v>
      </c>
      <c r="N27" s="17" t="str">
        <f t="shared" si="6"/>
        <v xml:space="preserve"> </v>
      </c>
      <c r="O27" s="17" t="str">
        <f t="shared" si="6"/>
        <v xml:space="preserve"> </v>
      </c>
      <c r="P27" s="17" t="str">
        <f t="shared" si="6"/>
        <v xml:space="preserve"> </v>
      </c>
      <c r="Q27" s="17" t="str">
        <f t="shared" si="6"/>
        <v xml:space="preserve"> </v>
      </c>
      <c r="S27" s="124"/>
      <c r="T27" s="124"/>
      <c r="U27" s="124"/>
    </row>
    <row r="28" spans="1:21">
      <c r="B28" s="893"/>
      <c r="C28" s="892" t="s">
        <v>242</v>
      </c>
      <c r="D28" s="893"/>
      <c r="E28" s="893"/>
      <c r="F28" s="893"/>
      <c r="G28" s="895"/>
      <c r="H28" s="1018">
        <v>0</v>
      </c>
      <c r="I28" s="1018">
        <v>0</v>
      </c>
      <c r="J28" s="1018">
        <v>0</v>
      </c>
      <c r="K28" s="1018">
        <v>0</v>
      </c>
      <c r="L28" s="1018">
        <v>0</v>
      </c>
      <c r="M28" s="1018">
        <v>0</v>
      </c>
      <c r="N28" s="1018">
        <v>0</v>
      </c>
      <c r="O28" s="1018">
        <v>0</v>
      </c>
      <c r="P28" s="1018">
        <v>0</v>
      </c>
      <c r="Q28" s="1018">
        <v>0</v>
      </c>
    </row>
    <row r="29" spans="1:21" s="116" customFormat="1">
      <c r="A29" s="926"/>
      <c r="B29" s="927"/>
      <c r="C29" s="928"/>
      <c r="D29" s="927"/>
      <c r="E29" s="927"/>
      <c r="F29" s="927"/>
      <c r="G29" s="985"/>
      <c r="H29" s="929"/>
      <c r="I29" s="929"/>
      <c r="J29" s="929"/>
      <c r="K29" s="929"/>
      <c r="L29" s="929"/>
      <c r="M29" s="929"/>
      <c r="N29" s="929"/>
      <c r="O29" s="929"/>
      <c r="P29" s="929"/>
      <c r="Q29" s="929"/>
    </row>
    <row r="30" spans="1:21">
      <c r="B30" s="894" t="str">
        <f>Lang.!B228</f>
        <v>Interest calculation</v>
      </c>
      <c r="C30" s="899"/>
      <c r="D30" s="900"/>
      <c r="E30" s="900"/>
      <c r="F30" s="900"/>
      <c r="G30" s="986"/>
      <c r="H30" s="287"/>
      <c r="I30" s="287"/>
      <c r="J30" s="287"/>
      <c r="K30" s="287"/>
      <c r="L30" s="287"/>
      <c r="M30" s="287"/>
      <c r="N30" s="287"/>
      <c r="O30" s="287"/>
      <c r="P30" s="287"/>
      <c r="Q30" s="287"/>
    </row>
    <row r="31" spans="1:21">
      <c r="B31" s="901" t="str">
        <f>+Pas.!C22</f>
        <v xml:space="preserve"> Bonds</v>
      </c>
      <c r="C31" s="282"/>
      <c r="D31" s="339">
        <f>+Pas.!D22</f>
        <v>0</v>
      </c>
      <c r="E31" s="339">
        <f>+Pas.!E22</f>
        <v>0</v>
      </c>
      <c r="F31" s="339">
        <f>+Pas.!F22</f>
        <v>0</v>
      </c>
      <c r="G31" s="345">
        <f>+Pas.!G22</f>
        <v>0</v>
      </c>
      <c r="H31" s="339">
        <f>+Pas.!H22</f>
        <v>0</v>
      </c>
      <c r="I31" s="339">
        <f>IF(I4=" ", " ",Pas.!I22)</f>
        <v>0</v>
      </c>
      <c r="J31" s="339">
        <f>IF(J4=" ", " ",Pas.!J22)</f>
        <v>0</v>
      </c>
      <c r="K31" s="339">
        <f>IF(K4=" ", " ",Pas.!K22)</f>
        <v>0</v>
      </c>
      <c r="L31" s="339">
        <f>IF(L4=" ", " ",Pas.!L22)</f>
        <v>0</v>
      </c>
      <c r="M31" s="339" t="str">
        <f>IF(M4=" ", " ",Pas.!M22)</f>
        <v xml:space="preserve"> </v>
      </c>
      <c r="N31" s="339" t="str">
        <f>IF(N4=" ", " ",Pas.!N22)</f>
        <v xml:space="preserve"> </v>
      </c>
      <c r="O31" s="339" t="str">
        <f>IF(O4=" ", " ",Pas.!O22)</f>
        <v xml:space="preserve"> </v>
      </c>
      <c r="P31" s="339" t="str">
        <f>IF(P4=" ", " ",Pas.!P22)</f>
        <v xml:space="preserve"> </v>
      </c>
      <c r="Q31" s="339" t="str">
        <f>IF(Q4=" ", " ",Pas.!Q22)</f>
        <v xml:space="preserve"> </v>
      </c>
    </row>
    <row r="32" spans="1:21">
      <c r="B32" s="340" t="str">
        <f>+Pas.!C23</f>
        <v xml:space="preserve"> Liabilities to Credit Institutions</v>
      </c>
      <c r="C32" s="282"/>
      <c r="D32" s="339">
        <f>+Pas.!E23</f>
        <v>14025812.487371186</v>
      </c>
      <c r="E32" s="339">
        <f>+Pas.!F23</f>
        <v>11663180.100502513</v>
      </c>
      <c r="F32" s="339" t="e">
        <f>+Pas.!#REF!</f>
        <v>#REF!</v>
      </c>
      <c r="G32" s="345">
        <f>+Pas.!G23</f>
        <v>8608824.286288701</v>
      </c>
      <c r="H32" s="339">
        <f>+Pas.!H23</f>
        <v>10776564.614694452</v>
      </c>
      <c r="I32" s="339">
        <f>IF(I4=" ", " ",Pas.!I23)</f>
        <v>0</v>
      </c>
      <c r="J32" s="339">
        <f>IF(J4=" ", " ",Pas.!J23)</f>
        <v>0</v>
      </c>
      <c r="K32" s="339">
        <f>IF(K4=" ", " ",Pas.!K23)</f>
        <v>0</v>
      </c>
      <c r="L32" s="339">
        <f>IF(L4=" ", " ",Pas.!L23)</f>
        <v>0</v>
      </c>
      <c r="M32" s="339" t="str">
        <f>IF(M4=" ", " ",Pas.!M23)</f>
        <v xml:space="preserve"> </v>
      </c>
      <c r="N32" s="339" t="str">
        <f>IF(N4=" ", " ",Pas.!N23)</f>
        <v xml:space="preserve"> </v>
      </c>
      <c r="O32" s="339" t="str">
        <f>IF(O4=" ", " ",Pas.!O23)</f>
        <v xml:space="preserve"> </v>
      </c>
      <c r="P32" s="339" t="str">
        <f>IF(P4=" ", " ",Pas.!P23)</f>
        <v xml:space="preserve"> </v>
      </c>
      <c r="Q32" s="339" t="str">
        <f>IF(Q4=" ", " ",Pas.!Q23)</f>
        <v xml:space="preserve"> </v>
      </c>
    </row>
    <row r="33" spans="1:17">
      <c r="B33" s="340" t="str">
        <f>+Pas.!C26</f>
        <v xml:space="preserve"> Liabilities to affiliated companies/shareholders Companies/ shareholders</v>
      </c>
      <c r="C33" s="282"/>
      <c r="D33" s="339">
        <f>+Pas.!E26</f>
        <v>899709.03212770261</v>
      </c>
      <c r="E33" s="339">
        <f>+Pas.!F26</f>
        <v>0</v>
      </c>
      <c r="F33" s="339" t="e">
        <f>+Pas.!#REF!</f>
        <v>#REF!</v>
      </c>
      <c r="G33" s="345">
        <f>+Pas.!G26</f>
        <v>0</v>
      </c>
      <c r="H33" s="339">
        <f>+Pas.!H26</f>
        <v>272205.81578737218</v>
      </c>
      <c r="I33" s="339">
        <f>IF(I4=" ", " ",Pas.!I26)</f>
        <v>0</v>
      </c>
      <c r="J33" s="339">
        <f>IF(J4=" ", " ",Pas.!J26)</f>
        <v>0</v>
      </c>
      <c r="K33" s="339">
        <f>IF(K4=" ", " ",Pas.!K26)</f>
        <v>0</v>
      </c>
      <c r="L33" s="339">
        <f>IF(L4=" ", " ",Pas.!L26)</f>
        <v>0</v>
      </c>
      <c r="M33" s="339" t="str">
        <f>IF(M4=" ", " ",Pas.!M26)</f>
        <v xml:space="preserve"> </v>
      </c>
      <c r="N33" s="339" t="str">
        <f>IF(N4=" ", " ",Pas.!N26)</f>
        <v xml:space="preserve"> </v>
      </c>
      <c r="O33" s="339" t="str">
        <f>IF(O4=" ", " ",Pas.!O26)</f>
        <v xml:space="preserve"> </v>
      </c>
      <c r="P33" s="339" t="str">
        <f>IF(P4=" ", " ",Pas.!P26)</f>
        <v xml:space="preserve"> </v>
      </c>
      <c r="Q33" s="339" t="str">
        <f>IF(Q4=" ", " ",Pas.!Q26)</f>
        <v xml:space="preserve"> </v>
      </c>
    </row>
    <row r="34" spans="1:17">
      <c r="B34" s="340" t="str">
        <f>+Pas.!C27</f>
        <v xml:space="preserve"> Other Liabilities</v>
      </c>
      <c r="C34" s="282"/>
      <c r="D34" s="339">
        <f>+Pas.!E27</f>
        <v>1223181.8549201859</v>
      </c>
      <c r="E34" s="339">
        <f>+Pas.!F27</f>
        <v>1306795.175879397</v>
      </c>
      <c r="F34" s="339" t="e">
        <f>+Pas.!#REF!</f>
        <v>#REF!</v>
      </c>
      <c r="G34" s="345">
        <f>+Pas.!G27</f>
        <v>1070767.7925211098</v>
      </c>
      <c r="H34" s="339">
        <f>+Pas.!H27</f>
        <v>1138173.7693380015</v>
      </c>
      <c r="I34" s="339">
        <f>IF(I5=" ", " ",Pas.!I27)</f>
        <v>0</v>
      </c>
      <c r="J34" s="339">
        <f>IF(J5=" ", " ",Pas.!J27)</f>
        <v>0</v>
      </c>
      <c r="K34" s="339">
        <f>IF(K5=" ", " ",Pas.!K27)</f>
        <v>0</v>
      </c>
      <c r="L34" s="339">
        <f>IF(L5=" ", " ",Pas.!L27)</f>
        <v>0</v>
      </c>
      <c r="M34" s="339" t="str">
        <f>IF(M5=" ", " ",Pas.!M27)</f>
        <v xml:space="preserve"> </v>
      </c>
      <c r="N34" s="339" t="str">
        <f>IF(N5=" ", " ",Pas.!N27)</f>
        <v xml:space="preserve"> </v>
      </c>
      <c r="O34" s="339" t="str">
        <f>IF(O5=" ", " ",Pas.!O27)</f>
        <v xml:space="preserve"> </v>
      </c>
      <c r="P34" s="339" t="str">
        <f>IF(P5=" ", " ",Pas.!P27)</f>
        <v xml:space="preserve"> </v>
      </c>
      <c r="Q34" s="339" t="str">
        <f>IF(Q5=" ", " ",Pas.!Q27)</f>
        <v xml:space="preserve"> </v>
      </c>
    </row>
    <row r="35" spans="1:17">
      <c r="B35" s="341" t="str">
        <f>Lang.!B229</f>
        <v>Interest bearing liabilities</v>
      </c>
      <c r="C35" s="284"/>
      <c r="D35" s="342">
        <f>SUM(D31:D34)</f>
        <v>16148703.374419075</v>
      </c>
      <c r="E35" s="342">
        <f>SUM(E31:E34)</f>
        <v>12969975.27638191</v>
      </c>
      <c r="F35" s="342" t="e">
        <f>SUM(F31:F34)</f>
        <v>#REF!</v>
      </c>
      <c r="G35" s="987">
        <f>SUM(G31:G34)</f>
        <v>9679592.0788098108</v>
      </c>
      <c r="H35" s="342">
        <f>SUM(H31:H34)</f>
        <v>12186944.199819826</v>
      </c>
      <c r="I35" s="342">
        <f t="shared" ref="I35:Q35" si="7">IF(I4=" ", " ",SUM(I31:I34))</f>
        <v>0</v>
      </c>
      <c r="J35" s="342">
        <f t="shared" si="7"/>
        <v>0</v>
      </c>
      <c r="K35" s="342">
        <f t="shared" si="7"/>
        <v>0</v>
      </c>
      <c r="L35" s="342">
        <f t="shared" si="7"/>
        <v>0</v>
      </c>
      <c r="M35" s="342" t="str">
        <f t="shared" si="7"/>
        <v xml:space="preserve"> </v>
      </c>
      <c r="N35" s="342" t="str">
        <f t="shared" si="7"/>
        <v xml:space="preserve"> </v>
      </c>
      <c r="O35" s="342" t="str">
        <f t="shared" si="7"/>
        <v xml:space="preserve"> </v>
      </c>
      <c r="P35" s="342" t="str">
        <f t="shared" si="7"/>
        <v xml:space="preserve"> </v>
      </c>
      <c r="Q35" s="342" t="str">
        <f t="shared" si="7"/>
        <v xml:space="preserve"> </v>
      </c>
    </row>
    <row r="36" spans="1:17" ht="7.9" customHeight="1">
      <c r="B36" s="281"/>
      <c r="C36" s="282"/>
      <c r="D36" s="288"/>
      <c r="E36" s="288"/>
      <c r="F36" s="288"/>
      <c r="G36" s="988"/>
      <c r="H36" s="288"/>
      <c r="I36" s="288"/>
      <c r="J36" s="288"/>
      <c r="K36" s="288"/>
      <c r="L36" s="288"/>
      <c r="M36" s="288"/>
      <c r="N36" s="288"/>
      <c r="O36" s="288"/>
      <c r="P36" s="288"/>
      <c r="Q36" s="288"/>
    </row>
    <row r="37" spans="1:17">
      <c r="B37" s="902" t="str">
        <f>'G&amp;V'!B57</f>
        <v>Interest and similar Expenses</v>
      </c>
      <c r="C37" s="933" t="s">
        <v>244</v>
      </c>
      <c r="D37" s="903">
        <f>+'G&amp;V'!D57</f>
        <v>0</v>
      </c>
      <c r="E37" s="903">
        <f>+'G&amp;V'!E57</f>
        <v>-736463.12386340671</v>
      </c>
      <c r="F37" s="903">
        <f>+'G&amp;V'!F57</f>
        <v>-957149.74874371872</v>
      </c>
      <c r="G37" s="989">
        <f>+'G&amp;V'!G57</f>
        <v>-471237.63570566941</v>
      </c>
      <c r="H37" s="904">
        <f>IFERROR(IF(H38&lt;&gt;0,H38,H40*H35),"")</f>
        <v>-692000.9332702487</v>
      </c>
      <c r="I37" s="904">
        <f t="shared" ref="I37:Q37" si="8">IFERROR(IF(I38&lt;&gt;0,I38,I40*I35),"")</f>
        <v>0</v>
      </c>
      <c r="J37" s="904">
        <f t="shared" si="8"/>
        <v>0</v>
      </c>
      <c r="K37" s="904">
        <f t="shared" si="8"/>
        <v>0</v>
      </c>
      <c r="L37" s="904">
        <f t="shared" si="8"/>
        <v>0</v>
      </c>
      <c r="M37" s="904" t="str">
        <f t="shared" si="8"/>
        <v/>
      </c>
      <c r="N37" s="904" t="str">
        <f t="shared" si="8"/>
        <v/>
      </c>
      <c r="O37" s="904" t="str">
        <f t="shared" si="8"/>
        <v/>
      </c>
      <c r="P37" s="904" t="str">
        <f t="shared" si="8"/>
        <v/>
      </c>
      <c r="Q37" s="904" t="str">
        <f t="shared" si="8"/>
        <v/>
      </c>
    </row>
    <row r="38" spans="1:17">
      <c r="B38" s="893"/>
      <c r="C38" s="892" t="s">
        <v>242</v>
      </c>
      <c r="D38" s="893"/>
      <c r="E38" s="893"/>
      <c r="F38" s="893"/>
      <c r="G38" s="895"/>
      <c r="H38" s="1020">
        <v>0</v>
      </c>
      <c r="I38" s="1020">
        <v>0</v>
      </c>
      <c r="J38" s="1020">
        <v>0</v>
      </c>
      <c r="K38" s="1020">
        <v>0</v>
      </c>
      <c r="L38" s="1020">
        <v>0</v>
      </c>
      <c r="M38" s="1020">
        <v>0</v>
      </c>
      <c r="N38" s="1020">
        <v>0</v>
      </c>
      <c r="O38" s="1020">
        <v>0</v>
      </c>
      <c r="P38" s="1020">
        <v>0</v>
      </c>
      <c r="Q38" s="1020">
        <v>0</v>
      </c>
    </row>
    <row r="39" spans="1:17">
      <c r="B39" s="343" t="str">
        <f>B37</f>
        <v>Interest and similar Expenses</v>
      </c>
      <c r="C39" s="344" t="str">
        <f>Lang.!B219</f>
        <v>(in % of total turnover)</v>
      </c>
      <c r="D39" s="30" t="str">
        <f>IFERROR(D37/D7, "na")</f>
        <v>na</v>
      </c>
      <c r="E39" s="30">
        <f>IFERROR(E37/E7, "na")</f>
        <v>-1.9270822667910848E-2</v>
      </c>
      <c r="F39" s="30">
        <f>IFERROR(F37/F7, "na")</f>
        <v>-2.559477529507076E-2</v>
      </c>
      <c r="G39" s="990">
        <f>IFERROR(G37/G7, "na")</f>
        <v>-1.3857114808556455E-2</v>
      </c>
      <c r="H39" s="1767">
        <f>IFERROR(AVERAGE(E39:G39), 0)</f>
        <v>-1.9574237590512685E-2</v>
      </c>
      <c r="I39" s="290">
        <f>H39</f>
        <v>-1.9574237590512685E-2</v>
      </c>
      <c r="J39" s="290">
        <f t="shared" ref="J39:Q39" si="9">I39</f>
        <v>-1.9574237590512685E-2</v>
      </c>
      <c r="K39" s="290">
        <f t="shared" si="9"/>
        <v>-1.9574237590512685E-2</v>
      </c>
      <c r="L39" s="290">
        <f t="shared" si="9"/>
        <v>-1.9574237590512685E-2</v>
      </c>
      <c r="M39" s="290">
        <f t="shared" si="9"/>
        <v>-1.9574237590512685E-2</v>
      </c>
      <c r="N39" s="290">
        <f t="shared" si="9"/>
        <v>-1.9574237590512685E-2</v>
      </c>
      <c r="O39" s="290">
        <f t="shared" si="9"/>
        <v>-1.9574237590512685E-2</v>
      </c>
      <c r="P39" s="290">
        <f t="shared" si="9"/>
        <v>-1.9574237590512685E-2</v>
      </c>
      <c r="Q39" s="290">
        <f t="shared" si="9"/>
        <v>-1.9574237590512685E-2</v>
      </c>
    </row>
    <row r="40" spans="1:17">
      <c r="B40" s="343" t="str">
        <f>B39</f>
        <v>Interest and similar Expenses</v>
      </c>
      <c r="C40" s="815" t="str">
        <f>Lang.!B230</f>
        <v>(in % int. bearing liab.)</v>
      </c>
      <c r="D40" s="30">
        <f t="shared" ref="D40:E40" si="10">IFERROR(D37/D35, " ")</f>
        <v>0</v>
      </c>
      <c r="E40" s="30">
        <f t="shared" si="10"/>
        <v>-5.6782153255487904E-2</v>
      </c>
      <c r="F40" s="30" t="str">
        <f>IFERROR(F37/F35, " ")</f>
        <v xml:space="preserve"> </v>
      </c>
      <c r="G40" s="990" t="str">
        <f t="shared" ref="G40" si="11">IFERROR(G37/F35, " ")</f>
        <v xml:space="preserve"> </v>
      </c>
      <c r="H40" s="1767">
        <f>IFERROR(AVERAGE(E40:G40), 0)</f>
        <v>-5.6782153255487904E-2</v>
      </c>
      <c r="I40" s="291">
        <f>H40</f>
        <v>-5.6782153255487904E-2</v>
      </c>
      <c r="J40" s="291">
        <f t="shared" ref="J40:Q40" si="12">I40</f>
        <v>-5.6782153255487904E-2</v>
      </c>
      <c r="K40" s="291">
        <f t="shared" si="12"/>
        <v>-5.6782153255487904E-2</v>
      </c>
      <c r="L40" s="291">
        <f t="shared" si="12"/>
        <v>-5.6782153255487904E-2</v>
      </c>
      <c r="M40" s="291">
        <f t="shared" si="12"/>
        <v>-5.6782153255487904E-2</v>
      </c>
      <c r="N40" s="291">
        <f t="shared" si="12"/>
        <v>-5.6782153255487904E-2</v>
      </c>
      <c r="O40" s="291">
        <f t="shared" si="12"/>
        <v>-5.6782153255487904E-2</v>
      </c>
      <c r="P40" s="291">
        <f t="shared" si="12"/>
        <v>-5.6782153255487904E-2</v>
      </c>
      <c r="Q40" s="291">
        <f t="shared" si="12"/>
        <v>-5.6782153255487904E-2</v>
      </c>
    </row>
    <row r="41" spans="1:17">
      <c r="B41" s="343" t="str">
        <f>B40</f>
        <v>Interest and similar Expenses</v>
      </c>
      <c r="C41" s="344" t="str">
        <f>Lang.!B231</f>
        <v>(in % of total Debt)</v>
      </c>
      <c r="D41" s="30" t="str">
        <f>IFERROR(D37/(Pas.!D20), " ")</f>
        <v xml:space="preserve"> </v>
      </c>
      <c r="E41" s="30">
        <f>IFERROR(E37/(Pas.!E20), " ")</f>
        <v>-3.7785862316537487E-2</v>
      </c>
      <c r="F41" s="30">
        <f>IFERROR(F37/(Pas.!F20), " ")</f>
        <v>-5.887092522877449E-2</v>
      </c>
      <c r="G41" s="990">
        <f>IFERROR(G37/(Pas.!F20), " ")</f>
        <v>-2.8984174788767601E-2</v>
      </c>
      <c r="H41" s="1767">
        <f>IFERROR(AVERAGE(E41:G41), 0)</f>
        <v>-4.1880320778026531E-2</v>
      </c>
      <c r="I41" s="290">
        <f>H41</f>
        <v>-4.1880320778026531E-2</v>
      </c>
      <c r="J41" s="290">
        <f t="shared" ref="J41:Q41" si="13">I41</f>
        <v>-4.1880320778026531E-2</v>
      </c>
      <c r="K41" s="290">
        <f t="shared" si="13"/>
        <v>-4.1880320778026531E-2</v>
      </c>
      <c r="L41" s="290">
        <f t="shared" si="13"/>
        <v>-4.1880320778026531E-2</v>
      </c>
      <c r="M41" s="290">
        <f t="shared" si="13"/>
        <v>-4.1880320778026531E-2</v>
      </c>
      <c r="N41" s="290">
        <f t="shared" si="13"/>
        <v>-4.1880320778026531E-2</v>
      </c>
      <c r="O41" s="290">
        <f t="shared" si="13"/>
        <v>-4.1880320778026531E-2</v>
      </c>
      <c r="P41" s="290">
        <f t="shared" si="13"/>
        <v>-4.1880320778026531E-2</v>
      </c>
      <c r="Q41" s="290">
        <f t="shared" si="13"/>
        <v>-4.1880320778026531E-2</v>
      </c>
    </row>
    <row r="42" spans="1:17" s="116" customFormat="1">
      <c r="A42" s="926"/>
      <c r="B42" s="292"/>
      <c r="C42" s="293"/>
      <c r="D42" s="294"/>
      <c r="E42" s="294"/>
      <c r="F42" s="294"/>
      <c r="G42" s="991"/>
      <c r="H42" s="979"/>
      <c r="I42" s="294"/>
      <c r="J42" s="294"/>
      <c r="K42" s="294"/>
      <c r="L42" s="294"/>
      <c r="M42" s="294"/>
      <c r="N42" s="294"/>
      <c r="O42" s="294"/>
      <c r="P42" s="294"/>
      <c r="Q42" s="294"/>
    </row>
    <row r="43" spans="1:17">
      <c r="B43" s="905" t="str">
        <f>Lang.!B232</f>
        <v>Financial income calculation</v>
      </c>
      <c r="C43" s="906"/>
      <c r="D43" s="907"/>
      <c r="E43" s="907"/>
      <c r="F43" s="907"/>
      <c r="G43" s="992"/>
      <c r="H43" s="907"/>
      <c r="I43" s="907"/>
      <c r="J43" s="907"/>
      <c r="K43" s="907"/>
      <c r="L43" s="907"/>
      <c r="M43" s="907"/>
      <c r="N43" s="907"/>
      <c r="O43" s="907"/>
      <c r="P43" s="907"/>
      <c r="Q43" s="907"/>
    </row>
    <row r="44" spans="1:17">
      <c r="B44" s="337" t="str">
        <f>Akt.!C20</f>
        <v xml:space="preserve"> Financial Assets</v>
      </c>
      <c r="C44" s="289"/>
      <c r="D44" s="339">
        <f>Akt.!D20</f>
        <v>0</v>
      </c>
      <c r="E44" s="339">
        <f>Akt.!E20</f>
        <v>2809.4564558496668</v>
      </c>
      <c r="F44" s="339">
        <f>Akt.!F20</f>
        <v>10378.693467336685</v>
      </c>
      <c r="G44" s="345">
        <f>Akt.!G20</f>
        <v>10077.804583835947</v>
      </c>
      <c r="H44" s="339">
        <f>Akt.!H20</f>
        <v>13165.789434876198</v>
      </c>
      <c r="I44" s="339">
        <f>IF(I4=" ", " ",Akt.!I20)</f>
        <v>0</v>
      </c>
      <c r="J44" s="339">
        <f>IF(J4=" ", " ",Akt.!J20)</f>
        <v>0</v>
      </c>
      <c r="K44" s="339">
        <f>IF(K4=" ", " ",Akt.!K20)</f>
        <v>0</v>
      </c>
      <c r="L44" s="286">
        <f>IF(L4=" ", " ",Akt.!L20)</f>
        <v>0</v>
      </c>
      <c r="M44" s="286" t="str">
        <f>IF(M4=" ", " ",Akt.!M20)</f>
        <v xml:space="preserve"> </v>
      </c>
      <c r="N44" s="286" t="str">
        <f>IF(N4=" ", " ",Akt.!N20)</f>
        <v xml:space="preserve"> </v>
      </c>
      <c r="O44" s="286" t="str">
        <f>IF(O4=" ", " ",Akt.!O20)</f>
        <v xml:space="preserve"> </v>
      </c>
      <c r="P44" s="286" t="str">
        <f>IF(P4=" ", " ",Akt.!P20)</f>
        <v xml:space="preserve"> </v>
      </c>
      <c r="Q44" s="286" t="str">
        <f>IF(Q4=" ", " ",Akt.!Q20)</f>
        <v xml:space="preserve"> </v>
      </c>
    </row>
    <row r="45" spans="1:17">
      <c r="B45" s="337" t="str">
        <f>Akt.!C39</f>
        <v xml:space="preserve"> Securities</v>
      </c>
      <c r="C45" s="289"/>
      <c r="D45" s="339">
        <f>Akt.!D39</f>
        <v>0</v>
      </c>
      <c r="E45" s="339">
        <f>Akt.!E39</f>
        <v>0</v>
      </c>
      <c r="F45" s="339">
        <f>Akt.!F39</f>
        <v>0</v>
      </c>
      <c r="G45" s="345">
        <f>Akt.!G39</f>
        <v>0</v>
      </c>
      <c r="H45" s="339">
        <f>Akt.!H39</f>
        <v>0</v>
      </c>
      <c r="I45" s="339">
        <f>IF(I4=" ", " ",Akt.!I39)</f>
        <v>0</v>
      </c>
      <c r="J45" s="339">
        <f>IF(J4=" ", " ",Akt.!J39)</f>
        <v>0</v>
      </c>
      <c r="K45" s="339">
        <f>IF(K4=" ", " ",Akt.!K39)</f>
        <v>0</v>
      </c>
      <c r="L45" s="286">
        <f>IF(L4=" ", " ",Akt.!L39)</f>
        <v>0</v>
      </c>
      <c r="M45" s="286" t="str">
        <f>IF(M4=" ", " ",Akt.!M39)</f>
        <v xml:space="preserve"> </v>
      </c>
      <c r="N45" s="286" t="str">
        <f>IF(N4=" ", " ",Akt.!N39)</f>
        <v xml:space="preserve"> </v>
      </c>
      <c r="O45" s="286" t="str">
        <f>IF(O4=" ", " ",Akt.!O39)</f>
        <v xml:space="preserve"> </v>
      </c>
      <c r="P45" s="286" t="str">
        <f>IF(P4=" ", " ",Akt.!P39)</f>
        <v xml:space="preserve"> </v>
      </c>
      <c r="Q45" s="286" t="str">
        <f>IF(Q4=" ", " ",Akt.!Q39)</f>
        <v xml:space="preserve"> </v>
      </c>
    </row>
    <row r="46" spans="1:17">
      <c r="B46" s="341" t="str">
        <f>Lang.!B233</f>
        <v>Financial assets</v>
      </c>
      <c r="C46" s="296"/>
      <c r="D46" s="346">
        <f t="shared" ref="D46:E46" si="14">SUM(D44:D45)</f>
        <v>0</v>
      </c>
      <c r="E46" s="346">
        <f t="shared" si="14"/>
        <v>2809.4564558496668</v>
      </c>
      <c r="F46" s="346">
        <f>SUM(F44:F45)</f>
        <v>10378.693467336685</v>
      </c>
      <c r="G46" s="993">
        <f>SUM(G44:G45)</f>
        <v>10077.804583835947</v>
      </c>
      <c r="H46" s="346">
        <f>SUM(H44:H45)</f>
        <v>13165.789434876198</v>
      </c>
      <c r="I46" s="346">
        <f t="shared" ref="I46:Q46" si="15">IF(I4=" ", " ",SUM(I44:I45))</f>
        <v>0</v>
      </c>
      <c r="J46" s="346">
        <f t="shared" si="15"/>
        <v>0</v>
      </c>
      <c r="K46" s="346">
        <f t="shared" si="15"/>
        <v>0</v>
      </c>
      <c r="L46" s="297">
        <f t="shared" si="15"/>
        <v>0</v>
      </c>
      <c r="M46" s="297" t="str">
        <f t="shared" si="15"/>
        <v xml:space="preserve"> </v>
      </c>
      <c r="N46" s="297" t="str">
        <f t="shared" si="15"/>
        <v xml:space="preserve"> </v>
      </c>
      <c r="O46" s="297" t="str">
        <f t="shared" si="15"/>
        <v xml:space="preserve"> </v>
      </c>
      <c r="P46" s="297" t="str">
        <f t="shared" si="15"/>
        <v xml:space="preserve"> </v>
      </c>
      <c r="Q46" s="297" t="str">
        <f t="shared" si="15"/>
        <v xml:space="preserve"> </v>
      </c>
    </row>
    <row r="47" spans="1:17" ht="10.5" customHeight="1">
      <c r="B47" s="298"/>
      <c r="C47" s="289"/>
      <c r="D47" s="290"/>
      <c r="E47" s="290"/>
      <c r="F47" s="290"/>
      <c r="G47" s="994"/>
      <c r="H47" s="980"/>
      <c r="I47" s="290"/>
      <c r="J47" s="290"/>
      <c r="K47" s="290"/>
      <c r="L47" s="290"/>
      <c r="M47" s="290"/>
      <c r="N47" s="290"/>
      <c r="O47" s="290"/>
      <c r="P47" s="290"/>
      <c r="Q47" s="290"/>
    </row>
    <row r="48" spans="1:17">
      <c r="B48" s="902" t="str">
        <f>'G&amp;V'!B56&amp;" (excl. Cash interest)"</f>
        <v>Other Interest and similar Income (excl. Cash interest)</v>
      </c>
      <c r="C48" s="933" t="s">
        <v>245</v>
      </c>
      <c r="D48" s="908">
        <f>+'G&amp;V'!D56</f>
        <v>0</v>
      </c>
      <c r="E48" s="908">
        <f>+'G&amp;V'!E56</f>
        <v>579822.59042230761</v>
      </c>
      <c r="F48" s="908">
        <f>+'G&amp;V'!F56</f>
        <v>774900.50251256279</v>
      </c>
      <c r="G48" s="995">
        <f>+'G&amp;V'!G56</f>
        <v>411227.78447929228</v>
      </c>
      <c r="H48" s="909">
        <f>IFERROR(IF(H49&lt;&gt;0,H49,H51*H46),"")</f>
        <v>1412471.5311677039</v>
      </c>
      <c r="I48" s="909">
        <f t="shared" ref="I48:Q48" si="16">IFERROR(IF(I49&lt;&gt;0,I49,I51*I46),"")</f>
        <v>0</v>
      </c>
      <c r="J48" s="909">
        <f t="shared" si="16"/>
        <v>0</v>
      </c>
      <c r="K48" s="909">
        <f t="shared" si="16"/>
        <v>0</v>
      </c>
      <c r="L48" s="909">
        <f t="shared" si="16"/>
        <v>0</v>
      </c>
      <c r="M48" s="909" t="str">
        <f t="shared" si="16"/>
        <v/>
      </c>
      <c r="N48" s="909" t="str">
        <f t="shared" si="16"/>
        <v/>
      </c>
      <c r="O48" s="909" t="str">
        <f t="shared" si="16"/>
        <v/>
      </c>
      <c r="P48" s="909" t="str">
        <f t="shared" si="16"/>
        <v/>
      </c>
      <c r="Q48" s="909" t="str">
        <f t="shared" si="16"/>
        <v/>
      </c>
    </row>
    <row r="49" spans="1:17">
      <c r="B49" s="893"/>
      <c r="C49" s="892" t="s">
        <v>242</v>
      </c>
      <c r="D49" s="893"/>
      <c r="E49" s="893"/>
      <c r="F49" s="893"/>
      <c r="G49" s="895"/>
      <c r="H49" s="1018">
        <v>0</v>
      </c>
      <c r="I49" s="1018">
        <v>0</v>
      </c>
      <c r="J49" s="1018">
        <v>0</v>
      </c>
      <c r="K49" s="1018">
        <v>0</v>
      </c>
      <c r="L49" s="1018">
        <v>0</v>
      </c>
      <c r="M49" s="1018">
        <v>0</v>
      </c>
      <c r="N49" s="1018">
        <v>0</v>
      </c>
      <c r="O49" s="1018">
        <v>0</v>
      </c>
      <c r="P49" s="1018">
        <v>0</v>
      </c>
      <c r="Q49" s="1018">
        <v>0</v>
      </c>
    </row>
    <row r="50" spans="1:17">
      <c r="B50" s="343" t="str">
        <f>B48</f>
        <v>Other Interest and similar Income (excl. Cash interest)</v>
      </c>
      <c r="C50" s="344" t="str">
        <f>Lang.!B219</f>
        <v>(in % of total turnover)</v>
      </c>
      <c r="D50" s="30" t="str">
        <f>IFERROR(D48/D7,"na")</f>
        <v>na</v>
      </c>
      <c r="E50" s="30">
        <f>IFERROR(E48/E7,"na")</f>
        <v>1.5172054046998546E-2</v>
      </c>
      <c r="F50" s="30">
        <f>IFERROR(F48/F7,"na")</f>
        <v>2.0721317916949006E-2</v>
      </c>
      <c r="G50" s="990">
        <f>IFERROR(G48/G7,"na")</f>
        <v>1.2092477744194969E-2</v>
      </c>
      <c r="H50" s="1767">
        <f>IFERROR(AVERAGE(E50:G50), 0)</f>
        <v>1.5995283236047507E-2</v>
      </c>
      <c r="I50" s="290">
        <f>H50</f>
        <v>1.5995283236047507E-2</v>
      </c>
      <c r="J50" s="290">
        <f t="shared" ref="J50:Q50" si="17">I50</f>
        <v>1.5995283236047507E-2</v>
      </c>
      <c r="K50" s="290">
        <f t="shared" si="17"/>
        <v>1.5995283236047507E-2</v>
      </c>
      <c r="L50" s="290">
        <f t="shared" si="17"/>
        <v>1.5995283236047507E-2</v>
      </c>
      <c r="M50" s="290">
        <f t="shared" si="17"/>
        <v>1.5995283236047507E-2</v>
      </c>
      <c r="N50" s="290">
        <f t="shared" si="17"/>
        <v>1.5995283236047507E-2</v>
      </c>
      <c r="O50" s="290">
        <f t="shared" si="17"/>
        <v>1.5995283236047507E-2</v>
      </c>
      <c r="P50" s="290">
        <f t="shared" si="17"/>
        <v>1.5995283236047507E-2</v>
      </c>
      <c r="Q50" s="290">
        <f t="shared" si="17"/>
        <v>1.5995283236047507E-2</v>
      </c>
    </row>
    <row r="51" spans="1:17">
      <c r="B51" s="343" t="str">
        <f>B50</f>
        <v>Other Interest and similar Income (excl. Cash interest)</v>
      </c>
      <c r="C51" s="815" t="str">
        <f>Lang.!B235</f>
        <v>(in % of financial assets)</v>
      </c>
      <c r="D51" s="30" t="str">
        <f>IFERROR(D48/D46, "na")</f>
        <v>na</v>
      </c>
      <c r="E51" s="30">
        <f t="shared" ref="E51:G51" si="18">IFERROR(E48/E46, "na")</f>
        <v>206.38247986191024</v>
      </c>
      <c r="F51" s="30">
        <f t="shared" si="18"/>
        <v>74.662625401866975</v>
      </c>
      <c r="G51" s="990">
        <f t="shared" si="18"/>
        <v>40.80529455183833</v>
      </c>
      <c r="H51" s="1767">
        <f>IFERROR(AVERAGE(E51:G51), 0)</f>
        <v>107.28346660520519</v>
      </c>
      <c r="I51" s="290">
        <f>H51</f>
        <v>107.28346660520519</v>
      </c>
      <c r="J51" s="290">
        <f t="shared" ref="J51:Q51" si="19">I51</f>
        <v>107.28346660520519</v>
      </c>
      <c r="K51" s="290">
        <f t="shared" si="19"/>
        <v>107.28346660520519</v>
      </c>
      <c r="L51" s="290">
        <f t="shared" si="19"/>
        <v>107.28346660520519</v>
      </c>
      <c r="M51" s="290">
        <f t="shared" si="19"/>
        <v>107.28346660520519</v>
      </c>
      <c r="N51" s="290">
        <f t="shared" si="19"/>
        <v>107.28346660520519</v>
      </c>
      <c r="O51" s="290">
        <f t="shared" si="19"/>
        <v>107.28346660520519</v>
      </c>
      <c r="P51" s="290">
        <f t="shared" si="19"/>
        <v>107.28346660520519</v>
      </c>
      <c r="Q51" s="290">
        <f t="shared" si="19"/>
        <v>107.28346660520519</v>
      </c>
    </row>
    <row r="52" spans="1:17">
      <c r="B52" s="299"/>
      <c r="C52" s="293"/>
      <c r="D52" s="294"/>
      <c r="E52" s="294"/>
      <c r="F52" s="294"/>
      <c r="G52" s="991"/>
      <c r="H52" s="979"/>
      <c r="I52" s="294"/>
      <c r="J52" s="294"/>
      <c r="K52" s="294"/>
      <c r="L52" s="294"/>
      <c r="M52" s="294"/>
      <c r="N52" s="294"/>
      <c r="O52" s="294"/>
      <c r="P52" s="294"/>
      <c r="Q52" s="294"/>
    </row>
    <row r="53" spans="1:17">
      <c r="B53" s="902" t="str">
        <f>+'G&amp;V'!B67</f>
        <v>Extraordinary Items</v>
      </c>
      <c r="C53" s="933" t="s">
        <v>246</v>
      </c>
      <c r="D53" s="930">
        <f>'G&amp;V'!D66</f>
        <v>0</v>
      </c>
      <c r="E53" s="930">
        <f>'G&amp;V'!E66</f>
        <v>0</v>
      </c>
      <c r="F53" s="930">
        <f>'G&amp;V'!F66</f>
        <v>0</v>
      </c>
      <c r="G53" s="996">
        <f>'G&amp;V'!G66</f>
        <v>0</v>
      </c>
      <c r="H53" s="909">
        <f t="shared" ref="H53:Q53" si="20">IFERROR(IF(H54&lt;&gt;0,H54,H55*H7),"")</f>
        <v>0</v>
      </c>
      <c r="I53" s="909">
        <f t="shared" si="20"/>
        <v>0</v>
      </c>
      <c r="J53" s="909">
        <f t="shared" si="20"/>
        <v>0</v>
      </c>
      <c r="K53" s="909">
        <f t="shared" si="20"/>
        <v>0</v>
      </c>
      <c r="L53" s="909">
        <f t="shared" si="20"/>
        <v>0</v>
      </c>
      <c r="M53" s="909">
        <f t="shared" si="20"/>
        <v>0</v>
      </c>
      <c r="N53" s="909">
        <f t="shared" si="20"/>
        <v>0</v>
      </c>
      <c r="O53" s="909">
        <f t="shared" si="20"/>
        <v>0</v>
      </c>
      <c r="P53" s="909">
        <f t="shared" si="20"/>
        <v>0</v>
      </c>
      <c r="Q53" s="909">
        <f t="shared" si="20"/>
        <v>0</v>
      </c>
    </row>
    <row r="54" spans="1:17">
      <c r="B54" s="893"/>
      <c r="C54" s="892" t="s">
        <v>242</v>
      </c>
      <c r="D54" s="893"/>
      <c r="E54" s="893"/>
      <c r="F54" s="893"/>
      <c r="G54" s="895"/>
      <c r="H54" s="1018">
        <v>0</v>
      </c>
      <c r="I54" s="1018">
        <v>0</v>
      </c>
      <c r="J54" s="1018">
        <v>0</v>
      </c>
      <c r="K54" s="1018">
        <v>0</v>
      </c>
      <c r="L54" s="1018">
        <v>0</v>
      </c>
      <c r="M54" s="1018">
        <v>0</v>
      </c>
      <c r="N54" s="1018">
        <v>0</v>
      </c>
      <c r="O54" s="1018">
        <v>0</v>
      </c>
      <c r="P54" s="1018">
        <v>0</v>
      </c>
      <c r="Q54" s="1018">
        <v>0</v>
      </c>
    </row>
    <row r="55" spans="1:17">
      <c r="B55" s="347" t="str">
        <f>B53</f>
        <v>Extraordinary Items</v>
      </c>
      <c r="C55" s="344" t="str">
        <f>Lang.!B219</f>
        <v>(in % of total turnover)</v>
      </c>
      <c r="D55" s="30" t="str">
        <f>IFERROR(D53/D7, "na")</f>
        <v>na</v>
      </c>
      <c r="E55" s="30">
        <f>IFERROR(E53/E7, "na")</f>
        <v>0</v>
      </c>
      <c r="F55" s="30">
        <f>IFERROR(F53/F7, "na")</f>
        <v>0</v>
      </c>
      <c r="G55" s="990">
        <f>IFERROR(G53/G7, "na")</f>
        <v>0</v>
      </c>
      <c r="H55" s="978">
        <f>IFERROR(AVERAGE(E55:G55),0)</f>
        <v>0</v>
      </c>
      <c r="I55" s="290">
        <f>H55</f>
        <v>0</v>
      </c>
      <c r="J55" s="290">
        <f t="shared" ref="J55:Q55" si="21">I55</f>
        <v>0</v>
      </c>
      <c r="K55" s="290">
        <f t="shared" si="21"/>
        <v>0</v>
      </c>
      <c r="L55" s="290">
        <f t="shared" si="21"/>
        <v>0</v>
      </c>
      <c r="M55" s="290">
        <f t="shared" si="21"/>
        <v>0</v>
      </c>
      <c r="N55" s="290">
        <f t="shared" si="21"/>
        <v>0</v>
      </c>
      <c r="O55" s="290">
        <f t="shared" si="21"/>
        <v>0</v>
      </c>
      <c r="P55" s="290">
        <f t="shared" si="21"/>
        <v>0</v>
      </c>
      <c r="Q55" s="290">
        <f t="shared" si="21"/>
        <v>0</v>
      </c>
    </row>
    <row r="56" spans="1:17">
      <c r="B56" s="300"/>
      <c r="C56" s="285"/>
      <c r="D56" s="301"/>
      <c r="E56" s="301"/>
      <c r="F56" s="301"/>
      <c r="G56" s="997"/>
      <c r="H56" s="981"/>
      <c r="I56" s="9"/>
      <c r="J56" s="9"/>
      <c r="K56" s="9"/>
      <c r="L56" s="9"/>
      <c r="M56" s="9"/>
      <c r="N56" s="9"/>
      <c r="O56" s="9"/>
      <c r="P56" s="9"/>
      <c r="Q56" s="9"/>
    </row>
    <row r="57" spans="1:17">
      <c r="B57" s="902" t="str">
        <f>'G&amp;V'!B74</f>
        <v>Taxes on income and earnings + other taxes</v>
      </c>
      <c r="C57" s="933" t="s">
        <v>247</v>
      </c>
      <c r="D57" s="903">
        <f>'G&amp;V'!D74</f>
        <v>0</v>
      </c>
      <c r="E57" s="903">
        <f>'G&amp;V'!E74</f>
        <v>-364367.75106082001</v>
      </c>
      <c r="F57" s="903">
        <f>'G&amp;V'!F74</f>
        <v>-270599.79899497487</v>
      </c>
      <c r="G57" s="989">
        <f>'G&amp;V'!G74</f>
        <v>-132156.41334941695</v>
      </c>
      <c r="H57" s="931">
        <f>IFERROR(IF(H58&lt;&gt;0,H58,H59*'G&amp;V'!H70),"")</f>
        <v>-507605.76303938963</v>
      </c>
      <c r="I57" s="931">
        <f>IFERROR(IF(I58&lt;&gt;0,I58,I59*'G&amp;V'!I70),"")</f>
        <v>0</v>
      </c>
      <c r="J57" s="931">
        <f>IFERROR(IF(J58&lt;&gt;0,J58,J59*'G&amp;V'!J70),"")</f>
        <v>0</v>
      </c>
      <c r="K57" s="931">
        <f>IFERROR(IF(K58&lt;&gt;0,K58,K59*'G&amp;V'!K70),"")</f>
        <v>0</v>
      </c>
      <c r="L57" s="931">
        <f>IFERROR(IF(L58&lt;&gt;0,L58,L59*'G&amp;V'!L70),"")</f>
        <v>0</v>
      </c>
      <c r="M57" s="931" t="str">
        <f>IFERROR(IF(M58&lt;&gt;0,M58,M59*'G&amp;V'!M70),"")</f>
        <v/>
      </c>
      <c r="N57" s="931" t="str">
        <f>IFERROR(IF(N58&lt;&gt;0,N58,N59*'G&amp;V'!N70),"")</f>
        <v/>
      </c>
      <c r="O57" s="931" t="str">
        <f>IFERROR(IF(O58&lt;&gt;0,O58,O59*'G&amp;V'!O70),"")</f>
        <v/>
      </c>
      <c r="P57" s="931" t="str">
        <f>IFERROR(IF(P58&lt;&gt;0,P58,P59*'G&amp;V'!P70),"")</f>
        <v/>
      </c>
      <c r="Q57" s="931" t="str">
        <f>IFERROR(IF(Q58&lt;&gt;0,Q58,Q59*'G&amp;V'!Q70),"")</f>
        <v/>
      </c>
    </row>
    <row r="58" spans="1:17">
      <c r="B58" s="893"/>
      <c r="C58" s="892" t="s">
        <v>242</v>
      </c>
      <c r="D58" s="893"/>
      <c r="E58" s="893"/>
      <c r="F58" s="893"/>
      <c r="G58" s="895"/>
      <c r="H58" s="1018">
        <v>0</v>
      </c>
      <c r="I58" s="1018">
        <v>0</v>
      </c>
      <c r="J58" s="1018">
        <v>0</v>
      </c>
      <c r="K58" s="1018">
        <v>0</v>
      </c>
      <c r="L58" s="1018">
        <v>0</v>
      </c>
      <c r="M58" s="1018">
        <v>0</v>
      </c>
      <c r="N58" s="1018">
        <v>0</v>
      </c>
      <c r="O58" s="1018">
        <v>0</v>
      </c>
      <c r="P58" s="1018">
        <v>0</v>
      </c>
      <c r="Q58" s="1018">
        <v>0</v>
      </c>
    </row>
    <row r="59" spans="1:17" s="303" customFormat="1">
      <c r="A59" s="302"/>
      <c r="B59" s="347" t="str">
        <f>B57</f>
        <v>Taxes on income and earnings + other taxes</v>
      </c>
      <c r="C59" s="932" t="s">
        <v>248</v>
      </c>
      <c r="D59" s="30" t="str">
        <f>IFERROR(D57/'G&amp;V'!D70, "na")</f>
        <v>na</v>
      </c>
      <c r="E59" s="30">
        <f>IFERROR(E57/'G&amp;V'!E70, "na")</f>
        <v>-0.15574566362157835</v>
      </c>
      <c r="F59" s="30">
        <f>IFERROR(F57/'G&amp;V'!F70, "na")</f>
        <v>-0.17326158170109504</v>
      </c>
      <c r="G59" s="990">
        <f>IFERROR(G57/'G&amp;V'!G70, "na")</f>
        <v>-0.26868613377368583</v>
      </c>
      <c r="H59" s="982">
        <f>-Eckdaten!C24</f>
        <v>-0.3</v>
      </c>
      <c r="I59" s="348">
        <f t="shared" ref="I59:Q59" si="22">IF(I4=" ", " ",H59)</f>
        <v>-0.3</v>
      </c>
      <c r="J59" s="348">
        <f t="shared" si="22"/>
        <v>-0.3</v>
      </c>
      <c r="K59" s="348">
        <f t="shared" si="22"/>
        <v>-0.3</v>
      </c>
      <c r="L59" s="348">
        <f t="shared" si="22"/>
        <v>-0.3</v>
      </c>
      <c r="M59" s="348" t="str">
        <f t="shared" si="22"/>
        <v xml:space="preserve"> </v>
      </c>
      <c r="N59" s="348" t="str">
        <f t="shared" si="22"/>
        <v xml:space="preserve"> </v>
      </c>
      <c r="O59" s="348" t="str">
        <f t="shared" si="22"/>
        <v xml:space="preserve"> </v>
      </c>
      <c r="P59" s="348" t="str">
        <f t="shared" si="22"/>
        <v xml:space="preserve"> </v>
      </c>
      <c r="Q59" s="348" t="str">
        <f t="shared" si="22"/>
        <v xml:space="preserve"> </v>
      </c>
    </row>
    <row r="60" spans="1:17" s="303" customFormat="1">
      <c r="A60" s="302"/>
      <c r="B60" s="347"/>
      <c r="C60" s="932"/>
      <c r="D60" s="30"/>
      <c r="E60" s="30"/>
      <c r="F60" s="30"/>
      <c r="G60" s="990"/>
      <c r="H60" s="982"/>
      <c r="I60" s="348"/>
      <c r="J60" s="348"/>
      <c r="K60" s="348"/>
      <c r="L60" s="348"/>
      <c r="M60" s="348"/>
      <c r="N60" s="348"/>
      <c r="O60" s="348"/>
      <c r="P60" s="348"/>
      <c r="Q60" s="348"/>
    </row>
    <row r="61" spans="1:17" s="303" customFormat="1">
      <c r="A61" s="302"/>
      <c r="B61" s="347"/>
      <c r="C61" s="932"/>
      <c r="D61" s="30"/>
      <c r="E61" s="30"/>
      <c r="F61" s="30"/>
      <c r="G61" s="990"/>
      <c r="H61" s="982"/>
      <c r="I61" s="348"/>
      <c r="J61" s="348"/>
      <c r="K61" s="348"/>
      <c r="L61" s="348"/>
      <c r="M61" s="348"/>
      <c r="N61" s="348"/>
      <c r="O61" s="348"/>
      <c r="P61" s="348"/>
      <c r="Q61" s="348"/>
    </row>
    <row r="62" spans="1:17">
      <c r="B62" s="303"/>
      <c r="C62" s="304"/>
      <c r="D62" s="304"/>
      <c r="E62" s="305"/>
      <c r="F62" s="305"/>
      <c r="G62" s="998"/>
      <c r="H62" s="9"/>
      <c r="I62" s="9"/>
      <c r="J62" s="9"/>
      <c r="K62" s="9"/>
      <c r="L62" s="9"/>
      <c r="M62" s="9"/>
      <c r="N62" s="9"/>
      <c r="O62" s="9"/>
      <c r="P62" s="9"/>
      <c r="Q62" s="9"/>
    </row>
    <row r="63" spans="1:17">
      <c r="B63" s="1505" t="str">
        <f>Lang.!B236</f>
        <v>Planning  of Assets</v>
      </c>
      <c r="C63" s="1506"/>
      <c r="D63" s="1506"/>
      <c r="E63" s="1507"/>
      <c r="F63" s="1508"/>
      <c r="G63" s="1509"/>
      <c r="H63" s="1510"/>
      <c r="I63" s="1510"/>
      <c r="J63" s="1510"/>
      <c r="K63" s="1510"/>
      <c r="L63" s="1510"/>
      <c r="M63" s="1510"/>
      <c r="N63" s="1510"/>
      <c r="O63" s="1510"/>
      <c r="P63" s="1510"/>
      <c r="Q63" s="1510"/>
    </row>
    <row r="64" spans="1:17" ht="3" customHeight="1">
      <c r="B64" s="125"/>
      <c r="C64" s="125"/>
      <c r="D64" s="125"/>
      <c r="E64" s="306"/>
      <c r="F64" s="19"/>
      <c r="G64" s="999"/>
      <c r="H64" s="917"/>
      <c r="I64" s="917"/>
      <c r="J64" s="917"/>
      <c r="K64" s="917"/>
      <c r="L64" s="917"/>
      <c r="M64" s="917"/>
      <c r="N64" s="917"/>
      <c r="O64" s="917"/>
      <c r="P64" s="917"/>
      <c r="Q64" s="917"/>
    </row>
    <row r="65" spans="1:19" ht="12.75" customHeight="1">
      <c r="B65" s="1544" t="str">
        <f>Lang.!B86</f>
        <v>I. Intangibles</v>
      </c>
      <c r="C65" s="1405"/>
      <c r="D65" s="1405"/>
      <c r="E65" s="1545"/>
      <c r="F65" s="1545"/>
      <c r="G65" s="1546"/>
      <c r="H65" s="1547"/>
      <c r="I65" s="1548"/>
      <c r="J65" s="1548"/>
      <c r="K65" s="1548"/>
      <c r="L65" s="1548"/>
      <c r="M65" s="1548"/>
      <c r="N65" s="1548"/>
      <c r="O65" s="1548"/>
      <c r="P65" s="1548"/>
      <c r="Q65" s="1548"/>
    </row>
    <row r="66" spans="1:19">
      <c r="B66" s="307" t="s">
        <v>249</v>
      </c>
      <c r="C66" s="308"/>
      <c r="D66" s="309">
        <v>0</v>
      </c>
      <c r="E66" s="349">
        <f t="shared" ref="E66:H66" si="23">+D75</f>
        <v>0</v>
      </c>
      <c r="F66" s="349">
        <f t="shared" si="23"/>
        <v>4011.3154172560116</v>
      </c>
      <c r="G66" s="1000">
        <f t="shared" si="23"/>
        <v>25585.527638190957</v>
      </c>
      <c r="H66" s="918">
        <f t="shared" si="23"/>
        <v>19983.514274225974</v>
      </c>
      <c r="I66" s="918">
        <f t="shared" ref="I66:Q66" si="24">IF(I4=" ", " ",H75)</f>
        <v>25962.856834469596</v>
      </c>
      <c r="J66" s="918">
        <f t="shared" si="24"/>
        <v>32061.786245918087</v>
      </c>
      <c r="K66" s="918">
        <f t="shared" si="24"/>
        <v>38282.69424559555</v>
      </c>
      <c r="L66" s="918">
        <f t="shared" si="24"/>
        <v>44628.020405266565</v>
      </c>
      <c r="M66" s="918" t="str">
        <f t="shared" si="24"/>
        <v xml:space="preserve"> </v>
      </c>
      <c r="N66" s="918" t="str">
        <f t="shared" si="24"/>
        <v xml:space="preserve"> </v>
      </c>
      <c r="O66" s="918" t="str">
        <f t="shared" si="24"/>
        <v xml:space="preserve"> </v>
      </c>
      <c r="P66" s="918" t="str">
        <f t="shared" si="24"/>
        <v xml:space="preserve"> </v>
      </c>
      <c r="Q66" s="918" t="str">
        <f t="shared" si="24"/>
        <v xml:space="preserve"> </v>
      </c>
    </row>
    <row r="67" spans="1:19">
      <c r="B67" s="1549" t="s">
        <v>250</v>
      </c>
      <c r="C67" s="1550"/>
      <c r="D67" s="1551">
        <f>+D75-D66-D70-D73-D74</f>
        <v>0</v>
      </c>
      <c r="E67" s="1551">
        <f>+E75-E66-E70-E73-E74</f>
        <v>4011.3154172560116</v>
      </c>
      <c r="F67" s="1551">
        <f>+F75-F66-F70-F73-F74</f>
        <v>21574.212220934947</v>
      </c>
      <c r="G67" s="1552">
        <f>+G75-G66-G70-G73-G74</f>
        <v>-5602.013363964983</v>
      </c>
      <c r="H67" s="1553">
        <f>IFERROR(H68*H$7," ")</f>
        <v>5979.34256024362</v>
      </c>
      <c r="I67" s="1553">
        <f t="shared" ref="I67:Q67" si="25">IFERROR(I68*I$7," ")</f>
        <v>6098.9294114484919</v>
      </c>
      <c r="J67" s="1553">
        <f t="shared" si="25"/>
        <v>6220.9079996774608</v>
      </c>
      <c r="K67" s="1553">
        <f t="shared" si="25"/>
        <v>6345.3261596710108</v>
      </c>
      <c r="L67" s="1553">
        <f t="shared" si="25"/>
        <v>6472.2326828644309</v>
      </c>
      <c r="M67" s="1553" t="str">
        <f t="shared" si="25"/>
        <v xml:space="preserve"> </v>
      </c>
      <c r="N67" s="1553" t="str">
        <f t="shared" si="25"/>
        <v xml:space="preserve"> </v>
      </c>
      <c r="O67" s="1553" t="str">
        <f t="shared" si="25"/>
        <v xml:space="preserve"> </v>
      </c>
      <c r="P67" s="1553" t="str">
        <f t="shared" si="25"/>
        <v xml:space="preserve"> </v>
      </c>
      <c r="Q67" s="1553" t="str">
        <f t="shared" si="25"/>
        <v xml:space="preserve"> </v>
      </c>
      <c r="R67" s="310"/>
      <c r="S67" s="311"/>
    </row>
    <row r="68" spans="1:19" s="314" customFormat="1">
      <c r="A68" s="312"/>
      <c r="B68" s="313" t="s">
        <v>251</v>
      </c>
      <c r="C68" s="289" t="s">
        <v>177</v>
      </c>
      <c r="D68" s="888" t="str">
        <f>IFERROR(D67/D7, "na")</f>
        <v>na</v>
      </c>
      <c r="E68" s="888">
        <f>IFERROR(E67/E7, "na")</f>
        <v>1.0496295817974268E-4</v>
      </c>
      <c r="F68" s="888">
        <f>IFERROR(F67/F7, "na")</f>
        <v>5.7690775627090515E-4</v>
      </c>
      <c r="G68" s="1766">
        <f>IFERROR(G67/G7, "na")</f>
        <v>-1.6473162680923024E-4</v>
      </c>
      <c r="H68" s="1767">
        <f>IFERROR(AVERAGE(E68:G68), 0)</f>
        <v>1.7237969588047253E-4</v>
      </c>
      <c r="I68" s="31">
        <f t="shared" ref="I68:Q68" si="26">IF(I4=" ", " ",+H68)</f>
        <v>1.7237969588047253E-4</v>
      </c>
      <c r="J68" s="31">
        <f t="shared" si="26"/>
        <v>1.7237969588047253E-4</v>
      </c>
      <c r="K68" s="31">
        <f t="shared" si="26"/>
        <v>1.7237969588047253E-4</v>
      </c>
      <c r="L68" s="31">
        <f t="shared" si="26"/>
        <v>1.7237969588047253E-4</v>
      </c>
      <c r="M68" s="31" t="str">
        <f t="shared" si="26"/>
        <v xml:space="preserve"> </v>
      </c>
      <c r="N68" s="31" t="str">
        <f t="shared" si="26"/>
        <v xml:space="preserve"> </v>
      </c>
      <c r="O68" s="31" t="str">
        <f t="shared" si="26"/>
        <v xml:space="preserve"> </v>
      </c>
      <c r="P68" s="31" t="str">
        <f t="shared" si="26"/>
        <v xml:space="preserve"> </v>
      </c>
      <c r="Q68" s="31" t="str">
        <f t="shared" si="26"/>
        <v xml:space="preserve"> </v>
      </c>
      <c r="R68" s="311"/>
      <c r="S68" s="311"/>
    </row>
    <row r="69" spans="1:19" s="314" customFormat="1">
      <c r="A69" s="312"/>
      <c r="B69" s="350" t="str">
        <f>+B68</f>
        <v>CapEx</v>
      </c>
      <c r="C69" s="315" t="s">
        <v>252</v>
      </c>
      <c r="D69" s="348">
        <f t="shared" ref="D69:E69" si="27">IFERROR(D67/-D70,0)</f>
        <v>0</v>
      </c>
      <c r="E69" s="348">
        <f t="shared" si="27"/>
        <v>0</v>
      </c>
      <c r="F69" s="348">
        <f t="shared" ref="F69:I69" si="28">IFERROR(F67/-F70,0)</f>
        <v>0</v>
      </c>
      <c r="G69" s="1001">
        <f t="shared" si="28"/>
        <v>0</v>
      </c>
      <c r="H69" s="31">
        <f t="shared" si="28"/>
        <v>0</v>
      </c>
      <c r="I69" s="31">
        <f t="shared" si="28"/>
        <v>0</v>
      </c>
      <c r="J69" s="31">
        <f t="shared" ref="J69:Q69" si="29">IFERROR(J67/-J70,0)</f>
        <v>0</v>
      </c>
      <c r="K69" s="31">
        <f t="shared" si="29"/>
        <v>0</v>
      </c>
      <c r="L69" s="31">
        <f t="shared" si="29"/>
        <v>0</v>
      </c>
      <c r="M69" s="31">
        <f t="shared" si="29"/>
        <v>0</v>
      </c>
      <c r="N69" s="31">
        <f t="shared" si="29"/>
        <v>0</v>
      </c>
      <c r="O69" s="31">
        <f t="shared" si="29"/>
        <v>0</v>
      </c>
      <c r="P69" s="31">
        <f t="shared" si="29"/>
        <v>0</v>
      </c>
      <c r="Q69" s="31">
        <f t="shared" si="29"/>
        <v>0</v>
      </c>
      <c r="R69" s="311"/>
      <c r="S69" s="311"/>
    </row>
    <row r="70" spans="1:19">
      <c r="B70" s="1516" t="s">
        <v>222</v>
      </c>
      <c r="C70" s="1517"/>
      <c r="D70" s="1518">
        <f>+'G&amp;V'!D46</f>
        <v>0</v>
      </c>
      <c r="E70" s="1518">
        <f>+'G&amp;V'!E46</f>
        <v>0</v>
      </c>
      <c r="F70" s="1518">
        <f>+'G&amp;V'!F46</f>
        <v>0</v>
      </c>
      <c r="G70" s="1519">
        <f>+'G&amp;V'!G46</f>
        <v>0</v>
      </c>
      <c r="H70" s="1520">
        <f>IFERROR(IF(H71&lt;&gt;0,H71,H72*H66),"")</f>
        <v>0</v>
      </c>
      <c r="I70" s="1520">
        <f t="shared" ref="I70:L70" si="30">IFERROR(IF(I71&lt;&gt;0,I71,I72*I66),"")</f>
        <v>0</v>
      </c>
      <c r="J70" s="1520">
        <f t="shared" si="30"/>
        <v>0</v>
      </c>
      <c r="K70" s="1520">
        <f t="shared" si="30"/>
        <v>0</v>
      </c>
      <c r="L70" s="1520">
        <f t="shared" si="30"/>
        <v>0</v>
      </c>
      <c r="M70" s="1520">
        <f t="shared" ref="M70:Q70" si="31">IFERROR(IF(M71&lt;&gt;0,M71,M72*M7),"")</f>
        <v>0</v>
      </c>
      <c r="N70" s="1520">
        <f t="shared" si="31"/>
        <v>0</v>
      </c>
      <c r="O70" s="1520">
        <f t="shared" si="31"/>
        <v>0</v>
      </c>
      <c r="P70" s="1520">
        <f t="shared" si="31"/>
        <v>0</v>
      </c>
      <c r="Q70" s="1520">
        <f t="shared" si="31"/>
        <v>0</v>
      </c>
      <c r="R70" s="311"/>
      <c r="S70" s="311"/>
    </row>
    <row r="71" spans="1:19" s="116" customFormat="1">
      <c r="A71" s="926"/>
      <c r="B71" s="975" t="s">
        <v>222</v>
      </c>
      <c r="C71" s="898" t="s">
        <v>242</v>
      </c>
      <c r="D71" s="897"/>
      <c r="E71" s="897"/>
      <c r="F71" s="897"/>
      <c r="G71" s="1002"/>
      <c r="H71" s="1019">
        <v>0</v>
      </c>
      <c r="I71" s="1019">
        <v>0</v>
      </c>
      <c r="J71" s="1019">
        <v>0</v>
      </c>
      <c r="K71" s="1019">
        <v>0</v>
      </c>
      <c r="L71" s="1019">
        <v>0</v>
      </c>
      <c r="M71" s="1019">
        <v>0</v>
      </c>
      <c r="N71" s="1019">
        <v>0</v>
      </c>
      <c r="O71" s="1019">
        <v>0</v>
      </c>
      <c r="P71" s="1019">
        <v>0</v>
      </c>
      <c r="Q71" s="1019">
        <v>0</v>
      </c>
      <c r="R71" s="969"/>
      <c r="S71" s="969"/>
    </row>
    <row r="72" spans="1:19" s="314" customFormat="1">
      <c r="A72" s="312"/>
      <c r="B72" s="974" t="s">
        <v>222</v>
      </c>
      <c r="C72" s="970" t="s">
        <v>253</v>
      </c>
      <c r="D72" s="971" t="str">
        <f>IFERROR(+D70/D66, "na")</f>
        <v>na</v>
      </c>
      <c r="E72" s="971" t="str">
        <f t="shared" ref="E72:G72" si="32">IFERROR(+E70/E66, "na")</f>
        <v>na</v>
      </c>
      <c r="F72" s="971">
        <f t="shared" si="32"/>
        <v>0</v>
      </c>
      <c r="G72" s="1006">
        <f t="shared" si="32"/>
        <v>0</v>
      </c>
      <c r="H72" s="972">
        <f>IFERROR(AVERAGE(E72:G72), 0)</f>
        <v>0</v>
      </c>
      <c r="I72" s="976">
        <f>H72</f>
        <v>0</v>
      </c>
      <c r="J72" s="976">
        <f t="shared" ref="J72:Q72" si="33">I72</f>
        <v>0</v>
      </c>
      <c r="K72" s="976">
        <f t="shared" si="33"/>
        <v>0</v>
      </c>
      <c r="L72" s="976">
        <f t="shared" si="33"/>
        <v>0</v>
      </c>
      <c r="M72" s="976">
        <f t="shared" si="33"/>
        <v>0</v>
      </c>
      <c r="N72" s="976">
        <f t="shared" si="33"/>
        <v>0</v>
      </c>
      <c r="O72" s="976">
        <f t="shared" si="33"/>
        <v>0</v>
      </c>
      <c r="P72" s="976">
        <f t="shared" si="33"/>
        <v>0</v>
      </c>
      <c r="Q72" s="976">
        <f t="shared" si="33"/>
        <v>0</v>
      </c>
    </row>
    <row r="73" spans="1:19">
      <c r="B73" s="316" t="s">
        <v>254</v>
      </c>
      <c r="C73" s="280"/>
      <c r="D73" s="317">
        <v>0</v>
      </c>
      <c r="E73" s="317">
        <v>0</v>
      </c>
      <c r="F73" s="317">
        <v>0</v>
      </c>
      <c r="G73" s="1003">
        <v>0</v>
      </c>
      <c r="H73" s="919">
        <v>0</v>
      </c>
      <c r="I73" s="919">
        <v>0</v>
      </c>
      <c r="J73" s="919">
        <v>0</v>
      </c>
      <c r="K73" s="919">
        <v>0</v>
      </c>
      <c r="L73" s="919">
        <v>0</v>
      </c>
      <c r="M73" s="919"/>
      <c r="N73" s="919"/>
      <c r="O73" s="919"/>
      <c r="P73" s="919"/>
      <c r="Q73" s="919"/>
    </row>
    <row r="74" spans="1:19">
      <c r="B74" s="316" t="s">
        <v>255</v>
      </c>
      <c r="C74" s="280"/>
      <c r="D74" s="317">
        <v>0</v>
      </c>
      <c r="E74" s="317">
        <v>0</v>
      </c>
      <c r="F74" s="317">
        <v>0</v>
      </c>
      <c r="G74" s="1003">
        <v>0</v>
      </c>
      <c r="H74" s="919">
        <v>0</v>
      </c>
      <c r="I74" s="919">
        <v>0</v>
      </c>
      <c r="J74" s="919">
        <v>0</v>
      </c>
      <c r="K74" s="919">
        <v>0</v>
      </c>
      <c r="L74" s="919">
        <v>0</v>
      </c>
      <c r="M74" s="919"/>
      <c r="N74" s="919"/>
      <c r="O74" s="919"/>
      <c r="P74" s="919"/>
      <c r="Q74" s="919"/>
    </row>
    <row r="75" spans="1:19">
      <c r="B75" s="318" t="s">
        <v>256</v>
      </c>
      <c r="C75" s="319"/>
      <c r="D75" s="351">
        <f>+Akt.!D9</f>
        <v>0</v>
      </c>
      <c r="E75" s="351">
        <f>+Akt.!E9</f>
        <v>4011.3154172560116</v>
      </c>
      <c r="F75" s="351">
        <f>+Akt.!F9</f>
        <v>25585.527638190957</v>
      </c>
      <c r="G75" s="1004">
        <f>+Akt.!G9</f>
        <v>19983.514274225974</v>
      </c>
      <c r="H75" s="920">
        <f>+H66+H67+H70+H73+H74</f>
        <v>25962.856834469596</v>
      </c>
      <c r="I75" s="920">
        <f t="shared" ref="I75:Q75" si="34">IF(I4=" ", " ",I66+I67+I70+I73+I74)</f>
        <v>32061.786245918087</v>
      </c>
      <c r="J75" s="920">
        <f t="shared" si="34"/>
        <v>38282.69424559555</v>
      </c>
      <c r="K75" s="920">
        <f t="shared" si="34"/>
        <v>44628.020405266565</v>
      </c>
      <c r="L75" s="920">
        <f t="shared" si="34"/>
        <v>51100.253088130994</v>
      </c>
      <c r="M75" s="920" t="str">
        <f t="shared" si="34"/>
        <v xml:space="preserve"> </v>
      </c>
      <c r="N75" s="920" t="str">
        <f t="shared" si="34"/>
        <v xml:space="preserve"> </v>
      </c>
      <c r="O75" s="920" t="str">
        <f t="shared" si="34"/>
        <v xml:space="preserve"> </v>
      </c>
      <c r="P75" s="920" t="str">
        <f t="shared" si="34"/>
        <v xml:space="preserve"> </v>
      </c>
      <c r="Q75" s="920" t="str">
        <f t="shared" si="34"/>
        <v xml:space="preserve"> </v>
      </c>
    </row>
    <row r="76" spans="1:19" ht="3" customHeight="1">
      <c r="B76" s="320"/>
      <c r="E76" s="321"/>
      <c r="F76" s="321"/>
      <c r="G76" s="1005"/>
      <c r="H76" s="910"/>
      <c r="I76" s="910"/>
      <c r="J76" s="910"/>
      <c r="K76" s="910"/>
      <c r="L76" s="910"/>
      <c r="M76" s="910"/>
      <c r="N76" s="910"/>
      <c r="O76" s="910"/>
      <c r="P76" s="910"/>
      <c r="Q76" s="910"/>
    </row>
    <row r="77" spans="1:19" s="323" customFormat="1">
      <c r="A77" s="322"/>
      <c r="B77" s="1544" t="str">
        <f>Lang.!B91</f>
        <v>II. PP&amp;E</v>
      </c>
      <c r="C77" s="1544"/>
      <c r="D77" s="1544"/>
      <c r="E77" s="1544"/>
      <c r="F77" s="1544"/>
      <c r="G77" s="1544"/>
      <c r="H77" s="1544"/>
      <c r="I77" s="1544"/>
      <c r="J77" s="1544"/>
      <c r="K77" s="1544"/>
      <c r="L77" s="1544"/>
      <c r="M77" s="1544"/>
      <c r="N77" s="1544"/>
      <c r="O77" s="1544"/>
      <c r="P77" s="1544"/>
      <c r="Q77" s="1544"/>
    </row>
    <row r="78" spans="1:19">
      <c r="B78" s="307" t="s">
        <v>249</v>
      </c>
      <c r="C78" s="308"/>
      <c r="D78" s="309">
        <v>0</v>
      </c>
      <c r="E78" s="349">
        <f t="shared" ref="E78:H78" si="35">+D87</f>
        <v>0</v>
      </c>
      <c r="F78" s="349">
        <f t="shared" si="35"/>
        <v>9576643.1602343917</v>
      </c>
      <c r="G78" s="1000">
        <f t="shared" si="35"/>
        <v>7390513.5678391969</v>
      </c>
      <c r="H78" s="918">
        <f t="shared" si="35"/>
        <v>5179702.4527543215</v>
      </c>
      <c r="I78" s="918">
        <f t="shared" ref="I78:Q78" si="36">IF(I4=" ", " ",H87)</f>
        <v>6649510.7461395664</v>
      </c>
      <c r="J78" s="918">
        <f t="shared" si="36"/>
        <v>8148715.2053925162</v>
      </c>
      <c r="K78" s="918">
        <f t="shared" si="36"/>
        <v>9677903.7538305242</v>
      </c>
      <c r="L78" s="918">
        <f t="shared" si="36"/>
        <v>11237676.073237292</v>
      </c>
      <c r="M78" s="918" t="str">
        <f t="shared" si="36"/>
        <v xml:space="preserve"> </v>
      </c>
      <c r="N78" s="918" t="str">
        <f t="shared" si="36"/>
        <v xml:space="preserve"> </v>
      </c>
      <c r="O78" s="918" t="str">
        <f t="shared" si="36"/>
        <v xml:space="preserve"> </v>
      </c>
      <c r="P78" s="918" t="str">
        <f t="shared" si="36"/>
        <v xml:space="preserve"> </v>
      </c>
      <c r="Q78" s="918" t="str">
        <f t="shared" si="36"/>
        <v xml:space="preserve"> </v>
      </c>
    </row>
    <row r="79" spans="1:19">
      <c r="B79" s="1549" t="s">
        <v>250</v>
      </c>
      <c r="C79" s="1550"/>
      <c r="D79" s="1551">
        <f>+D87-D78-D82-D85-D86</f>
        <v>0</v>
      </c>
      <c r="E79" s="1551">
        <f>+E87-E78-E82-E85-E86</f>
        <v>9576643.1602343917</v>
      </c>
      <c r="F79" s="1551">
        <f>+F87-F78-F82-F85-F86</f>
        <v>-2186129.5923951948</v>
      </c>
      <c r="G79" s="1552">
        <f>+G87-G78-G82-G85-G86</f>
        <v>-2210811.1150848754</v>
      </c>
      <c r="H79" s="1553">
        <f>IFERROR(H80*H$7,"")</f>
        <v>1469808.2933852449</v>
      </c>
      <c r="I79" s="1553">
        <f t="shared" ref="I79:Q79" si="37">IFERROR(I80*I$7,"")</f>
        <v>1499204.4592529496</v>
      </c>
      <c r="J79" s="1553">
        <f t="shared" si="37"/>
        <v>1529188.5484380084</v>
      </c>
      <c r="K79" s="1553">
        <f t="shared" si="37"/>
        <v>1559772.3194067688</v>
      </c>
      <c r="L79" s="1553">
        <f t="shared" si="37"/>
        <v>1590967.7657949042</v>
      </c>
      <c r="M79" s="1553" t="str">
        <f t="shared" si="37"/>
        <v/>
      </c>
      <c r="N79" s="1553" t="str">
        <f t="shared" si="37"/>
        <v/>
      </c>
      <c r="O79" s="1553" t="str">
        <f t="shared" si="37"/>
        <v/>
      </c>
      <c r="P79" s="1553" t="str">
        <f t="shared" si="37"/>
        <v/>
      </c>
      <c r="Q79" s="1553" t="str">
        <f t="shared" si="37"/>
        <v/>
      </c>
    </row>
    <row r="80" spans="1:19" s="323" customFormat="1">
      <c r="A80" s="322"/>
      <c r="B80" s="350" t="str">
        <f>+B68</f>
        <v>CapEx</v>
      </c>
      <c r="C80" s="289" t="s">
        <v>177</v>
      </c>
      <c r="D80" s="889" t="str">
        <f>IFERROR(+D79/D7, "na")</f>
        <v>na</v>
      </c>
      <c r="E80" s="889">
        <f>IFERROR(+E79/E7, "na")</f>
        <v>0.25058931820864272</v>
      </c>
      <c r="F80" s="889">
        <f>IFERROR(+F79/F7, "na")</f>
        <v>-5.8458455175587627E-2</v>
      </c>
      <c r="G80" s="1766">
        <f>IFERROR(+G79/G7, "na")</f>
        <v>-6.50106466897276E-2</v>
      </c>
      <c r="H80" s="1767">
        <f>IFERROR(AVERAGE(E80:G80), 0)</f>
        <v>4.2373405447775826E-2</v>
      </c>
      <c r="I80" s="291">
        <f t="shared" ref="I80:Q80" si="38">IF(I4=" ", " ",H80)</f>
        <v>4.2373405447775826E-2</v>
      </c>
      <c r="J80" s="291">
        <f t="shared" si="38"/>
        <v>4.2373405447775826E-2</v>
      </c>
      <c r="K80" s="291">
        <f t="shared" si="38"/>
        <v>4.2373405447775826E-2</v>
      </c>
      <c r="L80" s="291">
        <f t="shared" si="38"/>
        <v>4.2373405447775826E-2</v>
      </c>
      <c r="M80" s="291" t="str">
        <f t="shared" si="38"/>
        <v xml:space="preserve"> </v>
      </c>
      <c r="N80" s="291" t="str">
        <f t="shared" si="38"/>
        <v xml:space="preserve"> </v>
      </c>
      <c r="O80" s="291" t="str">
        <f t="shared" si="38"/>
        <v xml:space="preserve"> </v>
      </c>
      <c r="P80" s="291" t="str">
        <f t="shared" si="38"/>
        <v xml:space="preserve"> </v>
      </c>
      <c r="Q80" s="291" t="str">
        <f t="shared" si="38"/>
        <v xml:space="preserve"> </v>
      </c>
    </row>
    <row r="81" spans="1:17">
      <c r="B81" s="350" t="str">
        <f>+B69</f>
        <v>CapEx</v>
      </c>
      <c r="C81" s="315" t="s">
        <v>252</v>
      </c>
      <c r="D81" s="348">
        <f>IFERROR(D79/-D82,0)</f>
        <v>0</v>
      </c>
      <c r="E81" s="348">
        <f>IFERROR(E79/-E82,0)</f>
        <v>0</v>
      </c>
      <c r="F81" s="348">
        <f t="shared" ref="F81:I81" si="39">IFERROR(F79/-F82,0)</f>
        <v>0</v>
      </c>
      <c r="G81" s="1001">
        <f t="shared" si="39"/>
        <v>0</v>
      </c>
      <c r="H81" s="31">
        <f t="shared" si="39"/>
        <v>0</v>
      </c>
      <c r="I81" s="31">
        <f t="shared" si="39"/>
        <v>0</v>
      </c>
      <c r="J81" s="31">
        <f t="shared" ref="J81:Q81" si="40">IFERROR(J79/-J82,0)</f>
        <v>0</v>
      </c>
      <c r="K81" s="31">
        <f t="shared" si="40"/>
        <v>0</v>
      </c>
      <c r="L81" s="31">
        <f t="shared" si="40"/>
        <v>0</v>
      </c>
      <c r="M81" s="31">
        <f t="shared" si="40"/>
        <v>0</v>
      </c>
      <c r="N81" s="31">
        <f t="shared" si="40"/>
        <v>0</v>
      </c>
      <c r="O81" s="31">
        <f t="shared" si="40"/>
        <v>0</v>
      </c>
      <c r="P81" s="31">
        <f t="shared" si="40"/>
        <v>0</v>
      </c>
      <c r="Q81" s="31">
        <f t="shared" si="40"/>
        <v>0</v>
      </c>
    </row>
    <row r="82" spans="1:17">
      <c r="B82" s="1511" t="s">
        <v>222</v>
      </c>
      <c r="C82" s="1512"/>
      <c r="D82" s="1513">
        <f>+'G&amp;V'!D47</f>
        <v>0</v>
      </c>
      <c r="E82" s="1513">
        <f>+'G&amp;V'!E47</f>
        <v>0</v>
      </c>
      <c r="F82" s="1513">
        <f>+'G&amp;V'!F47</f>
        <v>0</v>
      </c>
      <c r="G82" s="1514">
        <f>+'G&amp;V'!G47</f>
        <v>0</v>
      </c>
      <c r="H82" s="1515">
        <f>IFERROR(IF(H83&lt;&gt;0,H83,H84*H78),"")</f>
        <v>0</v>
      </c>
      <c r="I82" s="1515">
        <f t="shared" ref="I82:L82" si="41">IFERROR(IF(I83&lt;&gt;0,I83,I84*I78),"")</f>
        <v>0</v>
      </c>
      <c r="J82" s="1515">
        <f t="shared" si="41"/>
        <v>0</v>
      </c>
      <c r="K82" s="1515">
        <f t="shared" si="41"/>
        <v>0</v>
      </c>
      <c r="L82" s="1515">
        <f t="shared" si="41"/>
        <v>0</v>
      </c>
      <c r="M82" s="1515">
        <f t="shared" ref="M82:Q82" si="42">IFERROR(IF(M83&lt;&gt;0,M83,M84*M7),"")</f>
        <v>0</v>
      </c>
      <c r="N82" s="1515">
        <f t="shared" si="42"/>
        <v>0</v>
      </c>
      <c r="O82" s="1515">
        <f t="shared" si="42"/>
        <v>0</v>
      </c>
      <c r="P82" s="1515">
        <f t="shared" si="42"/>
        <v>0</v>
      </c>
      <c r="Q82" s="1515">
        <f t="shared" si="42"/>
        <v>0</v>
      </c>
    </row>
    <row r="83" spans="1:17" s="116" customFormat="1">
      <c r="A83" s="926"/>
      <c r="B83" s="975" t="s">
        <v>222</v>
      </c>
      <c r="C83" s="898" t="s">
        <v>242</v>
      </c>
      <c r="D83" s="897"/>
      <c r="E83" s="897"/>
      <c r="F83" s="897"/>
      <c r="G83" s="1002"/>
      <c r="H83" s="1019">
        <v>0</v>
      </c>
      <c r="I83" s="1019">
        <v>0</v>
      </c>
      <c r="J83" s="1019">
        <v>0</v>
      </c>
      <c r="K83" s="1019">
        <v>0</v>
      </c>
      <c r="L83" s="1019">
        <v>0</v>
      </c>
      <c r="M83" s="1019">
        <v>0</v>
      </c>
      <c r="N83" s="1019">
        <v>0</v>
      </c>
      <c r="O83" s="1019">
        <v>0</v>
      </c>
      <c r="P83" s="1019">
        <v>0</v>
      </c>
      <c r="Q83" s="1019">
        <v>0</v>
      </c>
    </row>
    <row r="84" spans="1:17">
      <c r="B84" s="974" t="s">
        <v>222</v>
      </c>
      <c r="C84" s="970" t="s">
        <v>253</v>
      </c>
      <c r="D84" s="971" t="str">
        <f>IFERROR(+D82/D78, "na")</f>
        <v>na</v>
      </c>
      <c r="E84" s="971" t="str">
        <f t="shared" ref="E84:G84" si="43">IFERROR(+E82/E78, "na")</f>
        <v>na</v>
      </c>
      <c r="F84" s="971">
        <f t="shared" si="43"/>
        <v>0</v>
      </c>
      <c r="G84" s="1006">
        <f t="shared" si="43"/>
        <v>0</v>
      </c>
      <c r="H84" s="972">
        <f>IFERROR(AVERAGE(E84:G84), 0)</f>
        <v>0</v>
      </c>
      <c r="I84" s="973">
        <f>+H84</f>
        <v>0</v>
      </c>
      <c r="J84" s="973">
        <f t="shared" ref="J84:Q84" si="44">+I84</f>
        <v>0</v>
      </c>
      <c r="K84" s="973">
        <f t="shared" si="44"/>
        <v>0</v>
      </c>
      <c r="L84" s="973">
        <f t="shared" si="44"/>
        <v>0</v>
      </c>
      <c r="M84" s="973">
        <f t="shared" si="44"/>
        <v>0</v>
      </c>
      <c r="N84" s="973">
        <f t="shared" si="44"/>
        <v>0</v>
      </c>
      <c r="O84" s="973">
        <f t="shared" si="44"/>
        <v>0</v>
      </c>
      <c r="P84" s="973">
        <f t="shared" si="44"/>
        <v>0</v>
      </c>
      <c r="Q84" s="973">
        <f t="shared" si="44"/>
        <v>0</v>
      </c>
    </row>
    <row r="85" spans="1:17">
      <c r="B85" s="316" t="s">
        <v>254</v>
      </c>
      <c r="C85" s="280"/>
      <c r="D85" s="317">
        <v>0</v>
      </c>
      <c r="E85" s="317">
        <v>0</v>
      </c>
      <c r="F85" s="317">
        <v>0</v>
      </c>
      <c r="G85" s="1003">
        <v>0</v>
      </c>
      <c r="H85" s="921">
        <v>0</v>
      </c>
      <c r="I85" s="921">
        <v>0</v>
      </c>
      <c r="J85" s="921">
        <v>0</v>
      </c>
      <c r="K85" s="921">
        <v>0</v>
      </c>
      <c r="L85" s="921">
        <v>0</v>
      </c>
      <c r="M85" s="921"/>
      <c r="N85" s="921"/>
      <c r="O85" s="921"/>
      <c r="P85" s="921"/>
      <c r="Q85" s="921"/>
    </row>
    <row r="86" spans="1:17" s="314" customFormat="1">
      <c r="A86" s="312"/>
      <c r="B86" s="316" t="s">
        <v>255</v>
      </c>
      <c r="C86" s="280"/>
      <c r="D86" s="317">
        <v>0</v>
      </c>
      <c r="E86" s="317">
        <v>0</v>
      </c>
      <c r="F86" s="317">
        <v>0</v>
      </c>
      <c r="G86" s="1003">
        <v>0</v>
      </c>
      <c r="H86" s="921">
        <v>0</v>
      </c>
      <c r="I86" s="921">
        <v>0</v>
      </c>
      <c r="J86" s="921">
        <v>0</v>
      </c>
      <c r="K86" s="921">
        <v>0</v>
      </c>
      <c r="L86" s="921">
        <v>0</v>
      </c>
      <c r="M86" s="921"/>
      <c r="N86" s="921"/>
      <c r="O86" s="921"/>
      <c r="P86" s="921"/>
      <c r="Q86" s="921"/>
    </row>
    <row r="87" spans="1:17" s="314" customFormat="1">
      <c r="A87" s="312"/>
      <c r="B87" s="318" t="s">
        <v>256</v>
      </c>
      <c r="C87" s="319"/>
      <c r="D87" s="351">
        <f>+Akt.!D14</f>
        <v>0</v>
      </c>
      <c r="E87" s="351">
        <f>+Akt.!E14</f>
        <v>9576643.1602343917</v>
      </c>
      <c r="F87" s="351">
        <f>+Akt.!F14</f>
        <v>7390513.5678391969</v>
      </c>
      <c r="G87" s="1004">
        <f>+Akt.!G14</f>
        <v>5179702.4527543215</v>
      </c>
      <c r="H87" s="920">
        <f>+H86+H85+H82+H79+H78</f>
        <v>6649510.7461395664</v>
      </c>
      <c r="I87" s="920">
        <f t="shared" ref="I87:Q87" si="45">IF(I4=" ", " ",I86+I85+I82+I79+I78)</f>
        <v>8148715.2053925162</v>
      </c>
      <c r="J87" s="920">
        <f t="shared" si="45"/>
        <v>9677903.7538305242</v>
      </c>
      <c r="K87" s="920">
        <f t="shared" si="45"/>
        <v>11237676.073237292</v>
      </c>
      <c r="L87" s="920">
        <f t="shared" si="45"/>
        <v>12828643.839032197</v>
      </c>
      <c r="M87" s="920" t="str">
        <f t="shared" si="45"/>
        <v xml:space="preserve"> </v>
      </c>
      <c r="N87" s="920" t="str">
        <f t="shared" si="45"/>
        <v xml:space="preserve"> </v>
      </c>
      <c r="O87" s="920" t="str">
        <f t="shared" si="45"/>
        <v xml:space="preserve"> </v>
      </c>
      <c r="P87" s="920" t="str">
        <f t="shared" si="45"/>
        <v xml:space="preserve"> </v>
      </c>
      <c r="Q87" s="920" t="str">
        <f t="shared" si="45"/>
        <v xml:space="preserve"> </v>
      </c>
    </row>
    <row r="88" spans="1:17" s="314" customFormat="1" ht="3" customHeight="1">
      <c r="A88" s="312"/>
      <c r="B88" s="320"/>
      <c r="C88" s="119"/>
      <c r="D88" s="119"/>
      <c r="E88" s="321"/>
      <c r="F88" s="321"/>
      <c r="G88" s="1005"/>
      <c r="H88" s="910"/>
      <c r="I88" s="910"/>
      <c r="J88" s="910"/>
      <c r="K88" s="910"/>
      <c r="L88" s="910"/>
      <c r="M88" s="910"/>
      <c r="N88" s="910"/>
      <c r="O88" s="910"/>
      <c r="P88" s="910"/>
      <c r="Q88" s="910"/>
    </row>
    <row r="89" spans="1:17">
      <c r="B89" s="1544" t="str">
        <f>Lang.!B97</f>
        <v>III. Financial Assets</v>
      </c>
      <c r="C89" s="1544"/>
      <c r="D89" s="1544"/>
      <c r="E89" s="1544"/>
      <c r="F89" s="1544"/>
      <c r="G89" s="1544"/>
      <c r="H89" s="1544"/>
      <c r="I89" s="1544"/>
      <c r="J89" s="1544"/>
      <c r="K89" s="1544"/>
      <c r="L89" s="1544"/>
      <c r="M89" s="1544"/>
      <c r="N89" s="1544"/>
      <c r="O89" s="1544"/>
      <c r="P89" s="1544"/>
      <c r="Q89" s="1544"/>
    </row>
    <row r="90" spans="1:17">
      <c r="B90" s="307" t="s">
        <v>249</v>
      </c>
      <c r="C90" s="308"/>
      <c r="D90" s="309">
        <v>0</v>
      </c>
      <c r="E90" s="349">
        <f t="shared" ref="E90:H90" si="46">+D98</f>
        <v>0</v>
      </c>
      <c r="F90" s="349">
        <f t="shared" si="46"/>
        <v>2809.4564558496668</v>
      </c>
      <c r="G90" s="1000">
        <f t="shared" si="46"/>
        <v>10378.693467336685</v>
      </c>
      <c r="H90" s="918">
        <f t="shared" si="46"/>
        <v>10077.804583835947</v>
      </c>
      <c r="I90" s="918">
        <f t="shared" ref="I90:Q90" si="47">IF(I4=" ", " ",H98)</f>
        <v>13165.789434876198</v>
      </c>
      <c r="J90" s="918">
        <f t="shared" si="47"/>
        <v>16315.533982937253</v>
      </c>
      <c r="K90" s="918">
        <f t="shared" si="47"/>
        <v>19528.27342195953</v>
      </c>
      <c r="L90" s="918">
        <f t="shared" si="47"/>
        <v>22805.267649762252</v>
      </c>
      <c r="M90" s="918" t="str">
        <f t="shared" si="47"/>
        <v xml:space="preserve"> </v>
      </c>
      <c r="N90" s="918" t="str">
        <f t="shared" si="47"/>
        <v xml:space="preserve"> </v>
      </c>
      <c r="O90" s="918" t="str">
        <f t="shared" si="47"/>
        <v xml:space="preserve"> </v>
      </c>
      <c r="P90" s="918" t="str">
        <f t="shared" si="47"/>
        <v xml:space="preserve"> </v>
      </c>
      <c r="Q90" s="918" t="str">
        <f t="shared" si="47"/>
        <v xml:space="preserve"> </v>
      </c>
    </row>
    <row r="91" spans="1:17">
      <c r="B91" s="1549" t="s">
        <v>257</v>
      </c>
      <c r="C91" s="1550"/>
      <c r="D91" s="1551">
        <f>D98-D94-D97-D90</f>
        <v>0</v>
      </c>
      <c r="E91" s="1551">
        <f>E98-E94-E97-E90</f>
        <v>2809.4564558496668</v>
      </c>
      <c r="F91" s="1551">
        <f>F98-F94-F97-F90</f>
        <v>7569.2370114870182</v>
      </c>
      <c r="G91" s="1552">
        <f>G98-G94-G97-G90</f>
        <v>-300.8888835007383</v>
      </c>
      <c r="H91" s="1553">
        <f>IFERROR(H92*H$7,0)</f>
        <v>3087.9848510402508</v>
      </c>
      <c r="I91" s="1553">
        <f t="shared" ref="I91:Q91" si="48">IFERROR(I92*I$7," ")</f>
        <v>3149.7445480610559</v>
      </c>
      <c r="J91" s="1553">
        <f t="shared" si="48"/>
        <v>3212.7394390222767</v>
      </c>
      <c r="K91" s="1553">
        <f t="shared" si="48"/>
        <v>3276.9942278027224</v>
      </c>
      <c r="L91" s="1553">
        <f t="shared" si="48"/>
        <v>3342.5341123587768</v>
      </c>
      <c r="M91" s="1553">
        <f t="shared" si="48"/>
        <v>0</v>
      </c>
      <c r="N91" s="1553">
        <f t="shared" si="48"/>
        <v>0</v>
      </c>
      <c r="O91" s="1553">
        <f t="shared" si="48"/>
        <v>0</v>
      </c>
      <c r="P91" s="1553">
        <f t="shared" si="48"/>
        <v>0</v>
      </c>
      <c r="Q91" s="1553">
        <f t="shared" si="48"/>
        <v>0</v>
      </c>
    </row>
    <row r="92" spans="1:17">
      <c r="B92" s="350" t="str">
        <f>+B80</f>
        <v>CapEx</v>
      </c>
      <c r="C92" s="289" t="s">
        <v>177</v>
      </c>
      <c r="D92" s="889" t="str">
        <f>IFERROR(+D91/D7, "na")</f>
        <v>na</v>
      </c>
      <c r="E92" s="889">
        <f>IFERROR(+E91/E7, "na")</f>
        <v>7.3514254006203008E-5</v>
      </c>
      <c r="F92" s="889">
        <f>IFERROR(+F91/F7, "na")</f>
        <v>2.0240607148298593E-4</v>
      </c>
      <c r="G92" s="1766">
        <f>IFERROR(+G91/G7, "na")</f>
        <v>-8.84787522763207E-6</v>
      </c>
      <c r="H92" s="1767">
        <f>IFERROR(AVERAGE(E92:G92), 0)</f>
        <v>8.902415008718562E-5</v>
      </c>
      <c r="I92" s="291">
        <f>+H92</f>
        <v>8.902415008718562E-5</v>
      </c>
      <c r="J92" s="291">
        <f t="shared" ref="J92:Q92" si="49">+I92</f>
        <v>8.902415008718562E-5</v>
      </c>
      <c r="K92" s="291">
        <f t="shared" si="49"/>
        <v>8.902415008718562E-5</v>
      </c>
      <c r="L92" s="291">
        <f t="shared" si="49"/>
        <v>8.902415008718562E-5</v>
      </c>
      <c r="M92" s="291">
        <f t="shared" si="49"/>
        <v>8.902415008718562E-5</v>
      </c>
      <c r="N92" s="291">
        <f t="shared" si="49"/>
        <v>8.902415008718562E-5</v>
      </c>
      <c r="O92" s="291">
        <f t="shared" si="49"/>
        <v>8.902415008718562E-5</v>
      </c>
      <c r="P92" s="291">
        <f t="shared" si="49"/>
        <v>8.902415008718562E-5</v>
      </c>
      <c r="Q92" s="291">
        <f t="shared" si="49"/>
        <v>8.902415008718562E-5</v>
      </c>
    </row>
    <row r="93" spans="1:17">
      <c r="B93" s="350" t="str">
        <f>+B81</f>
        <v>CapEx</v>
      </c>
      <c r="C93" s="315" t="s">
        <v>252</v>
      </c>
      <c r="D93" s="348">
        <f t="shared" ref="D93:E93" si="50">IFERROR(D91/-D94,0)</f>
        <v>0</v>
      </c>
      <c r="E93" s="348">
        <f t="shared" si="50"/>
        <v>0</v>
      </c>
      <c r="F93" s="348">
        <f t="shared" ref="F93:I93" si="51">IFERROR(F91/-F94,0)</f>
        <v>0</v>
      </c>
      <c r="G93" s="1001">
        <f t="shared" si="51"/>
        <v>0</v>
      </c>
      <c r="H93" s="31">
        <f t="shared" si="51"/>
        <v>0</v>
      </c>
      <c r="I93" s="31">
        <f t="shared" si="51"/>
        <v>0</v>
      </c>
      <c r="J93" s="31">
        <f t="shared" ref="J93:Q93" si="52">IFERROR(J91/-J94,0)</f>
        <v>0</v>
      </c>
      <c r="K93" s="31">
        <f t="shared" si="52"/>
        <v>0</v>
      </c>
      <c r="L93" s="31">
        <f t="shared" si="52"/>
        <v>0</v>
      </c>
      <c r="M93" s="31">
        <f t="shared" si="52"/>
        <v>0</v>
      </c>
      <c r="N93" s="31">
        <f t="shared" si="52"/>
        <v>0</v>
      </c>
      <c r="O93" s="31">
        <f t="shared" si="52"/>
        <v>0</v>
      </c>
      <c r="P93" s="31">
        <f t="shared" si="52"/>
        <v>0</v>
      </c>
      <c r="Q93" s="31">
        <f t="shared" si="52"/>
        <v>0</v>
      </c>
    </row>
    <row r="94" spans="1:17">
      <c r="B94" s="1511" t="s">
        <v>222</v>
      </c>
      <c r="C94" s="1521"/>
      <c r="D94" s="1513">
        <f>'G&amp;V'!D60</f>
        <v>0</v>
      </c>
      <c r="E94" s="1513">
        <f>'G&amp;V'!E60</f>
        <v>0</v>
      </c>
      <c r="F94" s="1513">
        <f>'G&amp;V'!F60</f>
        <v>0</v>
      </c>
      <c r="G94" s="1514">
        <f>'G&amp;V'!G60</f>
        <v>0</v>
      </c>
      <c r="H94" s="1515">
        <f>IFERROR(IF(H95&lt;&gt;0,H95,H96*H90),"")</f>
        <v>0</v>
      </c>
      <c r="I94" s="1515">
        <f t="shared" ref="I94:L94" si="53">IFERROR(IF(I95&lt;&gt;0,I95,I96*I90),"")</f>
        <v>0</v>
      </c>
      <c r="J94" s="1515">
        <f t="shared" si="53"/>
        <v>0</v>
      </c>
      <c r="K94" s="1515">
        <f t="shared" si="53"/>
        <v>0</v>
      </c>
      <c r="L94" s="1515">
        <f t="shared" si="53"/>
        <v>0</v>
      </c>
      <c r="M94" s="1515">
        <f t="shared" ref="M94:Q94" si="54">IFERROR(IF(M95&lt;&gt;0,M95,M96*M7),"")</f>
        <v>0</v>
      </c>
      <c r="N94" s="1515">
        <f t="shared" si="54"/>
        <v>0</v>
      </c>
      <c r="O94" s="1515">
        <f t="shared" si="54"/>
        <v>0</v>
      </c>
      <c r="P94" s="1515">
        <f t="shared" si="54"/>
        <v>0</v>
      </c>
      <c r="Q94" s="1515">
        <f t="shared" si="54"/>
        <v>0</v>
      </c>
    </row>
    <row r="95" spans="1:17" s="116" customFormat="1">
      <c r="A95" s="926"/>
      <c r="B95" s="975" t="s">
        <v>222</v>
      </c>
      <c r="C95" s="898" t="s">
        <v>242</v>
      </c>
      <c r="D95" s="897"/>
      <c r="E95" s="897"/>
      <c r="F95" s="897"/>
      <c r="G95" s="1002"/>
      <c r="H95" s="1019">
        <v>0</v>
      </c>
      <c r="I95" s="1019">
        <v>0</v>
      </c>
      <c r="J95" s="1019">
        <v>0</v>
      </c>
      <c r="K95" s="1019">
        <v>0</v>
      </c>
      <c r="L95" s="1019">
        <v>0</v>
      </c>
      <c r="M95" s="1019">
        <v>0</v>
      </c>
      <c r="N95" s="1019">
        <v>0</v>
      </c>
      <c r="O95" s="1019">
        <v>0</v>
      </c>
      <c r="P95" s="1019">
        <v>0</v>
      </c>
      <c r="Q95" s="1019">
        <v>0</v>
      </c>
    </row>
    <row r="96" spans="1:17">
      <c r="B96" s="974" t="s">
        <v>222</v>
      </c>
      <c r="C96" s="970" t="s">
        <v>253</v>
      </c>
      <c r="D96" s="971" t="str">
        <f>IFERROR(+D94/D90, "na")</f>
        <v>na</v>
      </c>
      <c r="E96" s="971" t="str">
        <f t="shared" ref="E96:G96" si="55">IFERROR(+E94/E90, "na")</f>
        <v>na</v>
      </c>
      <c r="F96" s="971">
        <f t="shared" si="55"/>
        <v>0</v>
      </c>
      <c r="G96" s="1006">
        <f t="shared" si="55"/>
        <v>0</v>
      </c>
      <c r="H96" s="972">
        <f>IFERROR(AVERAGE(E96:G96), 0)</f>
        <v>0</v>
      </c>
      <c r="I96" s="973">
        <f>+H96</f>
        <v>0</v>
      </c>
      <c r="J96" s="973">
        <f t="shared" ref="J96:Q96" si="56">+I96</f>
        <v>0</v>
      </c>
      <c r="K96" s="973">
        <f t="shared" si="56"/>
        <v>0</v>
      </c>
      <c r="L96" s="973">
        <f t="shared" si="56"/>
        <v>0</v>
      </c>
      <c r="M96" s="973">
        <f t="shared" si="56"/>
        <v>0</v>
      </c>
      <c r="N96" s="973">
        <f t="shared" si="56"/>
        <v>0</v>
      </c>
      <c r="O96" s="973">
        <f t="shared" si="56"/>
        <v>0</v>
      </c>
      <c r="P96" s="973">
        <f t="shared" si="56"/>
        <v>0</v>
      </c>
      <c r="Q96" s="973">
        <f t="shared" si="56"/>
        <v>0</v>
      </c>
    </row>
    <row r="97" spans="1:23">
      <c r="B97" s="316" t="s">
        <v>254</v>
      </c>
      <c r="C97" s="280"/>
      <c r="D97" s="317">
        <v>0</v>
      </c>
      <c r="E97" s="317">
        <v>0</v>
      </c>
      <c r="F97" s="317">
        <v>0</v>
      </c>
      <c r="G97" s="1007"/>
      <c r="H97" s="919">
        <v>0</v>
      </c>
      <c r="I97" s="919">
        <v>0</v>
      </c>
      <c r="J97" s="919">
        <v>0</v>
      </c>
      <c r="K97" s="919">
        <v>0</v>
      </c>
      <c r="L97" s="919">
        <v>0</v>
      </c>
      <c r="M97" s="919"/>
      <c r="N97" s="919"/>
      <c r="O97" s="919"/>
      <c r="P97" s="919"/>
      <c r="Q97" s="919"/>
    </row>
    <row r="98" spans="1:23">
      <c r="A98" s="295"/>
      <c r="B98" s="318" t="s">
        <v>256</v>
      </c>
      <c r="C98" s="319"/>
      <c r="D98" s="351">
        <f>+Akt.!D20</f>
        <v>0</v>
      </c>
      <c r="E98" s="351">
        <f>+Akt.!E20</f>
        <v>2809.4564558496668</v>
      </c>
      <c r="F98" s="351">
        <f>+Akt.!F20</f>
        <v>10378.693467336685</v>
      </c>
      <c r="G98" s="1004">
        <f>+Akt.!G20</f>
        <v>10077.804583835947</v>
      </c>
      <c r="H98" s="920">
        <f>+H97+H94+H91+H90</f>
        <v>13165.789434876198</v>
      </c>
      <c r="I98" s="920">
        <f t="shared" ref="I98:Q98" si="57">IF(I4=" ", " ",I97+I94+I91+I90)</f>
        <v>16315.533982937253</v>
      </c>
      <c r="J98" s="920">
        <f t="shared" si="57"/>
        <v>19528.27342195953</v>
      </c>
      <c r="K98" s="920">
        <f t="shared" si="57"/>
        <v>22805.267649762252</v>
      </c>
      <c r="L98" s="920">
        <f t="shared" si="57"/>
        <v>26147.801762121031</v>
      </c>
      <c r="M98" s="920" t="str">
        <f t="shared" si="57"/>
        <v xml:space="preserve"> </v>
      </c>
      <c r="N98" s="920" t="str">
        <f t="shared" si="57"/>
        <v xml:space="preserve"> </v>
      </c>
      <c r="O98" s="920" t="str">
        <f t="shared" si="57"/>
        <v xml:space="preserve"> </v>
      </c>
      <c r="P98" s="920" t="str">
        <f t="shared" si="57"/>
        <v xml:space="preserve"> </v>
      </c>
      <c r="Q98" s="920" t="str">
        <f t="shared" si="57"/>
        <v xml:space="preserve"> </v>
      </c>
    </row>
    <row r="99" spans="1:23">
      <c r="A99" s="295"/>
      <c r="B99" s="324"/>
      <c r="E99" s="272"/>
      <c r="F99" s="272"/>
      <c r="G99" s="1060"/>
      <c r="H99" s="910"/>
      <c r="I99" s="910"/>
      <c r="J99" s="910"/>
      <c r="K99" s="910"/>
      <c r="L99" s="910"/>
      <c r="M99" s="910"/>
      <c r="N99" s="910"/>
      <c r="O99" s="910"/>
      <c r="P99" s="910"/>
      <c r="Q99" s="910"/>
    </row>
    <row r="100" spans="1:23">
      <c r="A100" s="295"/>
      <c r="B100" s="1522" t="str">
        <f>Lang.!B237</f>
        <v>Total Depreciation</v>
      </c>
      <c r="C100" s="1523"/>
      <c r="D100" s="1523"/>
      <c r="E100" s="1524">
        <f t="shared" ref="E100:H100" si="58">+E70+E82+E94</f>
        <v>0</v>
      </c>
      <c r="F100" s="1524">
        <f t="shared" si="58"/>
        <v>0</v>
      </c>
      <c r="G100" s="1525">
        <f t="shared" si="58"/>
        <v>0</v>
      </c>
      <c r="H100" s="1526">
        <f t="shared" si="58"/>
        <v>0</v>
      </c>
      <c r="I100" s="1526">
        <f t="shared" ref="I100:Q100" si="59">IF(I4=" ", " ",I70+I82+I94)</f>
        <v>0</v>
      </c>
      <c r="J100" s="1526">
        <f t="shared" si="59"/>
        <v>0</v>
      </c>
      <c r="K100" s="1526">
        <f t="shared" si="59"/>
        <v>0</v>
      </c>
      <c r="L100" s="1526">
        <f t="shared" si="59"/>
        <v>0</v>
      </c>
      <c r="M100" s="1526" t="str">
        <f t="shared" si="59"/>
        <v xml:space="preserve"> </v>
      </c>
      <c r="N100" s="1526" t="str">
        <f t="shared" si="59"/>
        <v xml:space="preserve"> </v>
      </c>
      <c r="O100" s="1526" t="str">
        <f t="shared" si="59"/>
        <v xml:space="preserve"> </v>
      </c>
      <c r="P100" s="1526" t="str">
        <f t="shared" si="59"/>
        <v xml:space="preserve"> </v>
      </c>
      <c r="Q100" s="1526" t="str">
        <f t="shared" si="59"/>
        <v xml:space="preserve"> </v>
      </c>
    </row>
    <row r="101" spans="1:23">
      <c r="A101" s="295"/>
      <c r="B101" s="354" t="str">
        <f>Lang.!B238</f>
        <v>Control (comparison with P&amp;L)</v>
      </c>
      <c r="C101" s="315"/>
      <c r="D101" s="315"/>
      <c r="E101" s="352">
        <f>+E100-'G&amp;V'!E44</f>
        <v>0</v>
      </c>
      <c r="F101" s="352">
        <f>+F100-'G&amp;V'!F44</f>
        <v>0</v>
      </c>
      <c r="G101" s="1061">
        <f>+G100-'G&amp;V'!G44</f>
        <v>0</v>
      </c>
      <c r="H101" s="922">
        <f>+H100-'G&amp;V'!H44</f>
        <v>0</v>
      </c>
      <c r="I101" s="922">
        <f>IF(I4=" ", " ",I100-'G&amp;V'!I44)</f>
        <v>0</v>
      </c>
      <c r="J101" s="922">
        <f>IF(J4=" ", " ",J100-'G&amp;V'!J44)</f>
        <v>0</v>
      </c>
      <c r="K101" s="922">
        <f>IF(K4=" ", " ",K100-'G&amp;V'!K44)</f>
        <v>0</v>
      </c>
      <c r="L101" s="922">
        <f>IF(L4=" ", " ",L100-'G&amp;V'!L44)</f>
        <v>0</v>
      </c>
      <c r="M101" s="922" t="str">
        <f>IF(M4=" ", " ",M100-'G&amp;V'!M44)</f>
        <v xml:space="preserve"> </v>
      </c>
      <c r="N101" s="922" t="str">
        <f>IF(N4=" ", " ",N100-'G&amp;V'!N44)</f>
        <v xml:space="preserve"> </v>
      </c>
      <c r="O101" s="922" t="str">
        <f>IF(O4=" ", " ",O100-'G&amp;V'!O44)</f>
        <v xml:space="preserve"> </v>
      </c>
      <c r="P101" s="922" t="str">
        <f>IF(P4=" ", " ",P100-'G&amp;V'!P44)</f>
        <v xml:space="preserve"> </v>
      </c>
      <c r="Q101" s="922" t="str">
        <f>IF(Q4=" ", " ",Q100-'G&amp;V'!Q44)</f>
        <v xml:space="preserve"> </v>
      </c>
    </row>
    <row r="102" spans="1:23">
      <c r="A102" s="295"/>
      <c r="B102" s="355" t="str">
        <f>Lang.!B239</f>
        <v>Gross investments (without transfer/disposal)</v>
      </c>
      <c r="C102" s="280"/>
      <c r="D102" s="280"/>
      <c r="E102" s="353">
        <f t="shared" ref="E102:H102" si="60">+E67+E79+E91</f>
        <v>9583463.932107497</v>
      </c>
      <c r="F102" s="353">
        <f t="shared" si="60"/>
        <v>-2156986.1431627725</v>
      </c>
      <c r="G102" s="1062">
        <f t="shared" si="60"/>
        <v>-2216714.0173323411</v>
      </c>
      <c r="H102" s="923">
        <f t="shared" si="60"/>
        <v>1478875.6207965286</v>
      </c>
      <c r="I102" s="923">
        <f t="shared" ref="I102:Q102" si="61">IF(I4=" ", " ",I67+I79+I91)</f>
        <v>1508453.1332124593</v>
      </c>
      <c r="J102" s="923">
        <f t="shared" si="61"/>
        <v>1538622.195876708</v>
      </c>
      <c r="K102" s="923">
        <f t="shared" si="61"/>
        <v>1569394.6397942423</v>
      </c>
      <c r="L102" s="923">
        <f t="shared" si="61"/>
        <v>1600782.5325901273</v>
      </c>
      <c r="M102" s="923" t="str">
        <f t="shared" si="61"/>
        <v xml:space="preserve"> </v>
      </c>
      <c r="N102" s="923" t="str">
        <f t="shared" si="61"/>
        <v xml:space="preserve"> </v>
      </c>
      <c r="O102" s="923" t="str">
        <f t="shared" si="61"/>
        <v xml:space="preserve"> </v>
      </c>
      <c r="P102" s="923" t="str">
        <f t="shared" si="61"/>
        <v xml:space="preserve"> </v>
      </c>
      <c r="Q102" s="923" t="str">
        <f t="shared" si="61"/>
        <v xml:space="preserve"> </v>
      </c>
    </row>
    <row r="103" spans="1:23">
      <c r="A103" s="295"/>
      <c r="B103" s="1522" t="str">
        <f>Lang.!B240</f>
        <v>CapEx/ net investments</v>
      </c>
      <c r="C103" s="1523"/>
      <c r="D103" s="1523"/>
      <c r="E103" s="1524">
        <f>+E102+E73+E74+E85+E86+E97</f>
        <v>9583463.932107497</v>
      </c>
      <c r="F103" s="1524">
        <f t="shared" ref="F103:H103" si="62">+F102+F73+F74+F85+F86+F97</f>
        <v>-2156986.1431627725</v>
      </c>
      <c r="G103" s="1525">
        <f t="shared" si="62"/>
        <v>-2216714.0173323411</v>
      </c>
      <c r="H103" s="1526">
        <f t="shared" si="62"/>
        <v>1478875.6207965286</v>
      </c>
      <c r="I103" s="1526">
        <f t="shared" ref="I103:Q103" si="63">IF(I4=" ", " ",I102+I73+I74+I85+I86+I97)</f>
        <v>1508453.1332124593</v>
      </c>
      <c r="J103" s="1526">
        <f t="shared" si="63"/>
        <v>1538622.195876708</v>
      </c>
      <c r="K103" s="1526">
        <f t="shared" si="63"/>
        <v>1569394.6397942423</v>
      </c>
      <c r="L103" s="1526">
        <f t="shared" si="63"/>
        <v>1600782.5325901273</v>
      </c>
      <c r="M103" s="1526" t="str">
        <f t="shared" si="63"/>
        <v xml:space="preserve"> </v>
      </c>
      <c r="N103" s="1526" t="str">
        <f t="shared" si="63"/>
        <v xml:space="preserve"> </v>
      </c>
      <c r="O103" s="1526" t="str">
        <f t="shared" si="63"/>
        <v xml:space="preserve"> </v>
      </c>
      <c r="P103" s="1526" t="str">
        <f t="shared" si="63"/>
        <v xml:space="preserve"> </v>
      </c>
      <c r="Q103" s="1526" t="str">
        <f t="shared" si="63"/>
        <v xml:space="preserve"> </v>
      </c>
    </row>
    <row r="104" spans="1:23">
      <c r="A104" s="295"/>
      <c r="B104" s="1209"/>
      <c r="C104" s="323"/>
      <c r="D104" s="323"/>
      <c r="E104" s="1210"/>
      <c r="F104" s="1210"/>
      <c r="G104" s="1211"/>
      <c r="H104" s="1212"/>
      <c r="I104" s="1212"/>
      <c r="J104" s="1212"/>
      <c r="K104" s="1212"/>
      <c r="L104" s="1212"/>
      <c r="M104" s="1212"/>
      <c r="N104" s="1212"/>
      <c r="O104" s="1212"/>
      <c r="P104" s="1212"/>
      <c r="Q104" s="1212"/>
    </row>
    <row r="105" spans="1:23">
      <c r="A105" s="295"/>
      <c r="E105" s="272"/>
      <c r="F105" s="272"/>
      <c r="G105" s="1060"/>
      <c r="H105" s="910"/>
      <c r="I105" s="910"/>
      <c r="J105" s="910"/>
      <c r="K105" s="910"/>
      <c r="L105" s="910"/>
      <c r="M105" s="910"/>
      <c r="N105" s="910"/>
      <c r="O105" s="910"/>
      <c r="P105" s="910"/>
      <c r="Q105" s="910"/>
    </row>
    <row r="106" spans="1:23">
      <c r="A106" s="119"/>
      <c r="B106" s="1409" t="str">
        <f>Lang.!B241</f>
        <v>Planning balance sheet - asset side</v>
      </c>
      <c r="C106" s="1405"/>
      <c r="D106" s="1405"/>
      <c r="E106" s="1410"/>
      <c r="F106" s="1410"/>
      <c r="G106" s="1411"/>
      <c r="H106" s="1412"/>
      <c r="I106" s="1412"/>
      <c r="J106" s="1412"/>
      <c r="K106" s="1412"/>
      <c r="L106" s="1412"/>
      <c r="M106" s="1412"/>
      <c r="N106" s="1412"/>
      <c r="O106" s="1412"/>
      <c r="P106" s="1412"/>
      <c r="Q106" s="1412"/>
    </row>
    <row r="107" spans="1:23" ht="3" customHeight="1">
      <c r="A107" s="119"/>
      <c r="E107" s="272"/>
      <c r="F107" s="272"/>
      <c r="G107" s="1060"/>
      <c r="H107" s="910"/>
      <c r="I107" s="910"/>
      <c r="J107" s="910"/>
      <c r="K107" s="910"/>
      <c r="L107" s="910"/>
      <c r="M107" s="910"/>
      <c r="N107" s="910"/>
      <c r="O107" s="910"/>
      <c r="P107" s="910"/>
      <c r="Q107" s="910"/>
      <c r="W107" s="356" t="str">
        <f>IFERROR(INDEX(HS!$B$4:$C$17,MATCH(Y107,HS!$B$4:$B$17,0),2), " ")</f>
        <v xml:space="preserve"> </v>
      </c>
    </row>
    <row r="108" spans="1:23">
      <c r="A108" s="1067" t="str">
        <f>IFERROR(INDEX(HS!$B$4:$C$17,MATCH(C108,HS!$B$4:$B$17,0),2), " ")</f>
        <v xml:space="preserve"> </v>
      </c>
      <c r="B108" s="357" t="str">
        <f>IFERROR(Akt.!C28," ")</f>
        <v xml:space="preserve"> Inventories</v>
      </c>
      <c r="C108" s="280"/>
      <c r="D108" s="280"/>
      <c r="E108" s="325"/>
      <c r="F108" s="325"/>
      <c r="G108" s="983"/>
      <c r="H108" s="977"/>
      <c r="I108" s="18"/>
      <c r="J108" s="18"/>
      <c r="K108" s="18"/>
      <c r="L108" s="18"/>
      <c r="M108" s="18"/>
      <c r="N108" s="18"/>
      <c r="O108" s="18"/>
      <c r="P108" s="18"/>
      <c r="Q108" s="18"/>
      <c r="S108" s="119" t="s">
        <v>258</v>
      </c>
    </row>
    <row r="109" spans="1:23">
      <c r="A109" s="1067" t="str">
        <f>IFERROR(INDEX(HS!$B$4:$C$17,MATCH(C109,HS!$B$4:$B$17,0),2), " ")</f>
        <v>Cost of Material</v>
      </c>
      <c r="B109" s="1021" t="str">
        <f>IFERROR(Akt.!C29," ")</f>
        <v xml:space="preserve"> Raw Materials and Supplies</v>
      </c>
      <c r="C109" s="1022" t="s">
        <v>259</v>
      </c>
      <c r="D109" s="1023" t="str">
        <f>IFERROR(INDEX(Akt.!$B$4:$L$48,MATCH($B109,Akt.!$C$4:$C$51,0),MATCH(D$4,Akt.!$B$4:$L$4,0))/IF($A109=FALSE, 1, INDEX('G&amp;V'!$B$4:$L$112,MATCH($A109,'G&amp;V'!$B$4:$B$112,0),MATCH(D$4,'G&amp;V'!$B$4:$L$4,0))), " ")</f>
        <v xml:space="preserve"> </v>
      </c>
      <c r="E109" s="1023" t="str">
        <f>IFERROR(INDEX(Akt.!$B$4:$L$48,MATCH($B109,Akt.!$C$4:$C$51,0),MATCH(E$4,Akt.!$B$4:$L$4,0))/IF($A109=FALSE, 1, INDEX('G&amp;V'!$B$4:$L$112,MATCH($A109,'G&amp;V'!$B$4:$B$112,0),MATCH(E$4,'G&amp;V'!$B$4:$L$4,0))), " ")</f>
        <v xml:space="preserve"> </v>
      </c>
      <c r="F109" s="1023" t="str">
        <f>IFERROR(INDEX(Akt.!$B$4:$L$48,MATCH($B109,Akt.!$C$4:$C$51,0),MATCH(F$4,Akt.!$B$4:$L$4,0))/IF($A109=FALSE, 1, INDEX('G&amp;V'!$B$4:$L$112,MATCH($A109,'G&amp;V'!$B$4:$B$112,0),MATCH(F$4,'G&amp;V'!$B$4:$L$4,0))), " ")</f>
        <v xml:space="preserve"> </v>
      </c>
      <c r="G109" s="1046" t="str">
        <f>IFERROR(INDEX(Akt.!$B$4:$L$48,MATCH($B109,Akt.!$C$4:$C$51,0),MATCH(G$4,Akt.!$B$4:$L$4,0))/IF($A109=FALSE, 1, INDEX('G&amp;V'!$B$4:$L$112,MATCH($A109,'G&amp;V'!$B$4:$B$112,0),MATCH(G$4,'G&amp;V'!$B$4:$L$4,0))), " ")</f>
        <v xml:space="preserve"> </v>
      </c>
      <c r="H109" s="1049" t="str">
        <f>IFERROR(AVERAGE(E109:G109)," ")</f>
        <v xml:space="preserve"> </v>
      </c>
      <c r="I109" s="1024" t="str">
        <f t="shared" ref="I109:Q109" si="64">IF(I4=" ", " ",H109)</f>
        <v xml:space="preserve"> </v>
      </c>
      <c r="J109" s="1024" t="str">
        <f t="shared" si="64"/>
        <v xml:space="preserve"> </v>
      </c>
      <c r="K109" s="1024" t="str">
        <f t="shared" si="64"/>
        <v xml:space="preserve"> </v>
      </c>
      <c r="L109" s="1024" t="str">
        <f t="shared" si="64"/>
        <v xml:space="preserve"> </v>
      </c>
      <c r="M109" s="1024" t="str">
        <f t="shared" si="64"/>
        <v xml:space="preserve"> </v>
      </c>
      <c r="N109" s="1024" t="str">
        <f t="shared" si="64"/>
        <v xml:space="preserve"> </v>
      </c>
      <c r="O109" s="1024" t="str">
        <f t="shared" si="64"/>
        <v xml:space="preserve"> </v>
      </c>
      <c r="P109" s="1024" t="str">
        <f t="shared" si="64"/>
        <v xml:space="preserve"> </v>
      </c>
      <c r="Q109" s="1024" t="str">
        <f t="shared" si="64"/>
        <v xml:space="preserve"> </v>
      </c>
    </row>
    <row r="110" spans="1:23">
      <c r="A110" s="1067"/>
      <c r="B110" s="355"/>
      <c r="C110" s="898" t="s">
        <v>242</v>
      </c>
      <c r="D110" s="897"/>
      <c r="E110" s="897"/>
      <c r="F110" s="897"/>
      <c r="G110" s="1002"/>
      <c r="H110" s="1019">
        <v>0</v>
      </c>
      <c r="I110" s="1019">
        <v>0</v>
      </c>
      <c r="J110" s="1019">
        <v>0</v>
      </c>
      <c r="K110" s="1019">
        <v>0</v>
      </c>
      <c r="L110" s="1019">
        <v>0</v>
      </c>
      <c r="M110" s="1019">
        <v>0</v>
      </c>
      <c r="N110" s="1019">
        <v>0</v>
      </c>
      <c r="O110" s="1019">
        <v>0</v>
      </c>
      <c r="P110" s="1019">
        <v>0</v>
      </c>
      <c r="Q110" s="1019">
        <v>0</v>
      </c>
    </row>
    <row r="111" spans="1:23">
      <c r="A111" s="1067" t="str">
        <f>IFERROR(INDEX(HS!$B$4:$C$17,MATCH(C111,HS!$B$4:$B$17,0),2), " ")</f>
        <v>Cost of Material</v>
      </c>
      <c r="B111" s="1021" t="str">
        <f>IFERROR(Akt.!C30," ")</f>
        <v xml:space="preserve"> Unfinished Goods and Services</v>
      </c>
      <c r="C111" s="1022" t="s">
        <v>259</v>
      </c>
      <c r="D111" s="1023" t="str">
        <f>IFERROR(INDEX(Akt.!$B$4:$L$48,MATCH($B111,Akt.!$C$4:$C$51,0),MATCH(D$4,Akt.!$B$4:$L$4,0))/IF($A111=FALSE, 1, INDEX('G&amp;V'!$B$4:$L$112,MATCH($A111,'G&amp;V'!$B$4:$B$112,0),MATCH(D$4,'G&amp;V'!$B$4:$L$4,0))), " ")</f>
        <v xml:space="preserve"> </v>
      </c>
      <c r="E111" s="1023" t="str">
        <f>IFERROR(INDEX(Akt.!$B$4:$L$48,MATCH($B111,Akt.!$C$4:$C$51,0),MATCH(E$4,Akt.!$B$4:$L$4,0))/IF($A111=FALSE, 1, INDEX('G&amp;V'!$B$4:$L$112,MATCH($A111,'G&amp;V'!$B$4:$B$112,0),MATCH(E$4,'G&amp;V'!$B$4:$L$4,0))), " ")</f>
        <v xml:space="preserve"> </v>
      </c>
      <c r="F111" s="1023" t="str">
        <f>IFERROR(INDEX(Akt.!$B$4:$L$48,MATCH($B111,Akt.!$C$4:$C$51,0),MATCH(F$4,Akt.!$B$4:$L$4,0))/IF($A111=FALSE, 1, INDEX('G&amp;V'!$B$4:$L$112,MATCH($A111,'G&amp;V'!$B$4:$B$112,0),MATCH(F$4,'G&amp;V'!$B$4:$L$4,0))), " ")</f>
        <v xml:space="preserve"> </v>
      </c>
      <c r="G111" s="1046" t="str">
        <f>IFERROR(INDEX(Akt.!$B$4:$L$48,MATCH($B111,Akt.!$C$4:$C$51,0),MATCH(G$4,Akt.!$B$4:$L$4,0))/IF($A111=FALSE, 1, INDEX('G&amp;V'!$B$4:$L$112,MATCH($A111,'G&amp;V'!$B$4:$B$112,0),MATCH(G$4,'G&amp;V'!$B$4:$L$4,0))), " ")</f>
        <v xml:space="preserve"> </v>
      </c>
      <c r="H111" s="1049" t="str">
        <f>IFERROR(AVERAGE(E111:G111)," ")</f>
        <v xml:space="preserve"> </v>
      </c>
      <c r="I111" s="1024" t="str">
        <f t="shared" ref="I111:Q111" si="65">IF(I4=" ", " ",H111)</f>
        <v xml:space="preserve"> </v>
      </c>
      <c r="J111" s="1024" t="str">
        <f t="shared" si="65"/>
        <v xml:space="preserve"> </v>
      </c>
      <c r="K111" s="1024" t="str">
        <f t="shared" si="65"/>
        <v xml:space="preserve"> </v>
      </c>
      <c r="L111" s="1024" t="str">
        <f t="shared" si="65"/>
        <v xml:space="preserve"> </v>
      </c>
      <c r="M111" s="1024" t="str">
        <f t="shared" si="65"/>
        <v xml:space="preserve"> </v>
      </c>
      <c r="N111" s="1024" t="str">
        <f t="shared" si="65"/>
        <v xml:space="preserve"> </v>
      </c>
      <c r="O111" s="1024" t="str">
        <f t="shared" si="65"/>
        <v xml:space="preserve"> </v>
      </c>
      <c r="P111" s="1024" t="str">
        <f t="shared" si="65"/>
        <v xml:space="preserve"> </v>
      </c>
      <c r="Q111" s="1024" t="str">
        <f t="shared" si="65"/>
        <v xml:space="preserve"> </v>
      </c>
    </row>
    <row r="112" spans="1:23">
      <c r="A112" s="1067"/>
      <c r="B112" s="355"/>
      <c r="C112" s="898" t="s">
        <v>242</v>
      </c>
      <c r="D112" s="897"/>
      <c r="E112" s="897"/>
      <c r="F112" s="897"/>
      <c r="G112" s="1002"/>
      <c r="H112" s="1019">
        <v>0</v>
      </c>
      <c r="I112" s="1019">
        <v>0</v>
      </c>
      <c r="J112" s="1019">
        <v>0</v>
      </c>
      <c r="K112" s="1019">
        <v>0</v>
      </c>
      <c r="L112" s="1019">
        <v>0</v>
      </c>
      <c r="M112" s="1019">
        <v>0</v>
      </c>
      <c r="N112" s="1019">
        <v>0</v>
      </c>
      <c r="O112" s="1019">
        <v>0</v>
      </c>
      <c r="P112" s="1019">
        <v>0</v>
      </c>
      <c r="Q112" s="1019">
        <v>0</v>
      </c>
    </row>
    <row r="113" spans="1:19">
      <c r="A113" s="1067" t="str">
        <f>IFERROR(INDEX(HS!$B$4:$C$17,MATCH(C113,HS!$B$4:$B$17,0),2), " ")</f>
        <v>Cost of Material</v>
      </c>
      <c r="B113" s="1021" t="str">
        <f>IFERROR(Akt.!C31," ")</f>
        <v xml:space="preserve"> Finished products and Goods</v>
      </c>
      <c r="C113" s="1022" t="s">
        <v>259</v>
      </c>
      <c r="D113" s="1023" t="str">
        <f>IFERROR(INDEX(Akt.!$B$4:$L$48,MATCH($B113,Akt.!$C$4:$C$51,0),MATCH(D$4,Akt.!$B$4:$L$4,0))/IF($A113=FALSE, 1, INDEX('G&amp;V'!$B$4:$L$112,MATCH($A113,'G&amp;V'!$B$4:$B$112,0),MATCH(D$4,'G&amp;V'!$B$4:$L$4,0))), " ")</f>
        <v xml:space="preserve"> </v>
      </c>
      <c r="E113" s="1023" t="str">
        <f>IFERROR(INDEX(Akt.!$B$4:$L$48,MATCH($B113,Akt.!$C$4:$C$51,0),MATCH(E$4,Akt.!$B$4:$L$4,0))/IF($A113=FALSE, 1, INDEX('G&amp;V'!$B$4:$L$112,MATCH($A113,'G&amp;V'!$B$4:$B$112,0),MATCH(E$4,'G&amp;V'!$B$4:$L$4,0))), " ")</f>
        <v xml:space="preserve"> </v>
      </c>
      <c r="F113" s="1023" t="str">
        <f>IFERROR(INDEX(Akt.!$B$4:$L$48,MATCH($B113,Akt.!$C$4:$C$51,0),MATCH(F$4,Akt.!$B$4:$L$4,0))/IF($A113=FALSE, 1, INDEX('G&amp;V'!$B$4:$L$112,MATCH($A113,'G&amp;V'!$B$4:$B$112,0),MATCH(F$4,'G&amp;V'!$B$4:$L$4,0))), " ")</f>
        <v xml:space="preserve"> </v>
      </c>
      <c r="G113" s="1046" t="str">
        <f>IFERROR(INDEX(Akt.!$B$4:$L$48,MATCH($B113,Akt.!$C$4:$C$51,0),MATCH(G$4,Akt.!$B$4:$L$4,0))/IF($A113=FALSE, 1, INDEX('G&amp;V'!$B$4:$L$112,MATCH($A113,'G&amp;V'!$B$4:$B$112,0),MATCH(G$4,'G&amp;V'!$B$4:$L$4,0))), " ")</f>
        <v xml:space="preserve"> </v>
      </c>
      <c r="H113" s="1049" t="str">
        <f>IFERROR(AVERAGE(E113:G113)," ")</f>
        <v xml:space="preserve"> </v>
      </c>
      <c r="I113" s="1024" t="str">
        <f t="shared" ref="I113:Q113" si="66">IF(I4=" ", " ",H113)</f>
        <v xml:space="preserve"> </v>
      </c>
      <c r="J113" s="1024" t="str">
        <f t="shared" si="66"/>
        <v xml:space="preserve"> </v>
      </c>
      <c r="K113" s="1024" t="str">
        <f t="shared" si="66"/>
        <v xml:space="preserve"> </v>
      </c>
      <c r="L113" s="1024" t="str">
        <f t="shared" si="66"/>
        <v xml:space="preserve"> </v>
      </c>
      <c r="M113" s="1024" t="str">
        <f t="shared" si="66"/>
        <v xml:space="preserve"> </v>
      </c>
      <c r="N113" s="1024" t="str">
        <f t="shared" si="66"/>
        <v xml:space="preserve"> </v>
      </c>
      <c r="O113" s="1024" t="str">
        <f t="shared" si="66"/>
        <v xml:space="preserve"> </v>
      </c>
      <c r="P113" s="1024" t="str">
        <f t="shared" si="66"/>
        <v xml:space="preserve"> </v>
      </c>
      <c r="Q113" s="1024" t="str">
        <f t="shared" si="66"/>
        <v xml:space="preserve"> </v>
      </c>
    </row>
    <row r="114" spans="1:19">
      <c r="A114" s="1067"/>
      <c r="B114" s="355"/>
      <c r="C114" s="898" t="s">
        <v>242</v>
      </c>
      <c r="D114" s="897"/>
      <c r="E114" s="897"/>
      <c r="F114" s="897"/>
      <c r="G114" s="1002"/>
      <c r="H114" s="1019">
        <v>0</v>
      </c>
      <c r="I114" s="1019">
        <v>0</v>
      </c>
      <c r="J114" s="1019">
        <v>0</v>
      </c>
      <c r="K114" s="1019">
        <v>0</v>
      </c>
      <c r="L114" s="1019">
        <v>0</v>
      </c>
      <c r="M114" s="1019">
        <v>0</v>
      </c>
      <c r="N114" s="1019">
        <v>0</v>
      </c>
      <c r="O114" s="1019">
        <v>0</v>
      </c>
      <c r="P114" s="1019">
        <v>0</v>
      </c>
      <c r="Q114" s="1019">
        <v>0</v>
      </c>
    </row>
    <row r="115" spans="1:19">
      <c r="A115" s="1067" t="str">
        <f>IFERROR(INDEX(HS!$B$4:$C$17,MATCH(C115,HS!$B$4:$B$17,0),2), " ")</f>
        <v>Cost of Material</v>
      </c>
      <c r="B115" s="1021" t="str">
        <f>IFERROR(Akt.!C32," ")</f>
        <v xml:space="preserve"> Advance Payments Made</v>
      </c>
      <c r="C115" s="1022" t="s">
        <v>259</v>
      </c>
      <c r="D115" s="1023" t="str">
        <f>IFERROR(INDEX(Akt.!$B$4:$L$48,MATCH($B115,Akt.!$C$4:$C$51,0),MATCH(D$4,Akt.!$B$4:$L$4,0))/IF($A115=FALSE, 1, INDEX('G&amp;V'!$B$4:$L$112,MATCH($A115,'G&amp;V'!$B$4:$B$112,0),MATCH(D$4,'G&amp;V'!$B$4:$L$4,0))), " ")</f>
        <v xml:space="preserve"> </v>
      </c>
      <c r="E115" s="1023" t="str">
        <f>IFERROR(INDEX(Akt.!$B$4:$L$48,MATCH($B115,Akt.!$C$4:$C$51,0),MATCH(E$4,Akt.!$B$4:$L$4,0))/IF($A115=FALSE, 1, INDEX('G&amp;V'!$B$4:$L$112,MATCH($A115,'G&amp;V'!$B$4:$B$112,0),MATCH(E$4,'G&amp;V'!$B$4:$L$4,0))), " ")</f>
        <v xml:space="preserve"> </v>
      </c>
      <c r="F115" s="1023" t="str">
        <f>IFERROR(INDEX(Akt.!$B$4:$L$48,MATCH($B115,Akt.!$C$4:$C$51,0),MATCH(F$4,Akt.!$B$4:$L$4,0))/IF($A115=FALSE, 1, INDEX('G&amp;V'!$B$4:$L$112,MATCH($A115,'G&amp;V'!$B$4:$B$112,0),MATCH(F$4,'G&amp;V'!$B$4:$L$4,0))), " ")</f>
        <v xml:space="preserve"> </v>
      </c>
      <c r="G115" s="1046" t="str">
        <f>IFERROR(INDEX(Akt.!$B$4:$L$48,MATCH($B115,Akt.!$C$4:$C$51,0),MATCH(G$4,Akt.!$B$4:$L$4,0))/IF($A115=FALSE, 1, INDEX('G&amp;V'!$B$4:$L$112,MATCH($A115,'G&amp;V'!$B$4:$B$112,0),MATCH(G$4,'G&amp;V'!$B$4:$L$4,0))), " ")</f>
        <v xml:space="preserve"> </v>
      </c>
      <c r="H115" s="1049" t="str">
        <f>IFERROR(AVERAGE(E115:G115)," ")</f>
        <v xml:space="preserve"> </v>
      </c>
      <c r="I115" s="1024" t="str">
        <f t="shared" ref="I115:Q115" si="67">IF(I4=" ", " ",H115)</f>
        <v xml:space="preserve"> </v>
      </c>
      <c r="J115" s="1024" t="str">
        <f t="shared" si="67"/>
        <v xml:space="preserve"> </v>
      </c>
      <c r="K115" s="1024" t="str">
        <f t="shared" si="67"/>
        <v xml:space="preserve"> </v>
      </c>
      <c r="L115" s="1024" t="str">
        <f t="shared" si="67"/>
        <v xml:space="preserve"> </v>
      </c>
      <c r="M115" s="1024" t="str">
        <f t="shared" si="67"/>
        <v xml:space="preserve"> </v>
      </c>
      <c r="N115" s="1024" t="str">
        <f t="shared" si="67"/>
        <v xml:space="preserve"> </v>
      </c>
      <c r="O115" s="1024" t="str">
        <f t="shared" si="67"/>
        <v xml:space="preserve"> </v>
      </c>
      <c r="P115" s="1024" t="str">
        <f t="shared" si="67"/>
        <v xml:space="preserve"> </v>
      </c>
      <c r="Q115" s="1024" t="str">
        <f t="shared" si="67"/>
        <v xml:space="preserve"> </v>
      </c>
    </row>
    <row r="116" spans="1:19">
      <c r="A116" s="1067"/>
      <c r="B116" s="358" t="str">
        <f>IFERROR(Akt.!C33," ")</f>
        <v xml:space="preserve"> </v>
      </c>
      <c r="C116" s="898" t="s">
        <v>242</v>
      </c>
      <c r="D116" s="897"/>
      <c r="E116" s="897"/>
      <c r="F116" s="897"/>
      <c r="G116" s="1002"/>
      <c r="H116" s="1019">
        <v>0</v>
      </c>
      <c r="I116" s="1019">
        <v>0</v>
      </c>
      <c r="J116" s="1019">
        <v>0</v>
      </c>
      <c r="K116" s="1019">
        <v>0</v>
      </c>
      <c r="L116" s="1019">
        <v>0</v>
      </c>
      <c r="M116" s="1019">
        <v>0</v>
      </c>
      <c r="N116" s="1019">
        <v>0</v>
      </c>
      <c r="O116" s="1019">
        <v>0</v>
      </c>
      <c r="P116" s="1019">
        <v>0</v>
      </c>
      <c r="Q116" s="1019">
        <v>0</v>
      </c>
    </row>
    <row r="117" spans="1:19">
      <c r="A117" s="1067"/>
      <c r="B117" s="1025"/>
      <c r="C117" s="1026"/>
      <c r="D117" s="1027"/>
      <c r="E117" s="1027"/>
      <c r="F117" s="1027"/>
      <c r="G117" s="1040"/>
      <c r="H117" s="1049" t="str">
        <f t="shared" ref="H117" si="68">IFERROR(AVERAGE(E117:G117)," ")</f>
        <v xml:space="preserve"> </v>
      </c>
      <c r="I117" s="1024"/>
      <c r="J117" s="1024"/>
      <c r="K117" s="1024"/>
      <c r="L117" s="1024"/>
      <c r="M117" s="1024"/>
      <c r="N117" s="1024"/>
      <c r="O117" s="1024"/>
      <c r="P117" s="1024"/>
      <c r="Q117" s="1024"/>
    </row>
    <row r="118" spans="1:19">
      <c r="A118" s="1067"/>
      <c r="B118" s="357" t="str">
        <f>IFERROR(Akt.!C34," ")</f>
        <v xml:space="preserve"> Receivables and other assets</v>
      </c>
      <c r="C118" s="280"/>
      <c r="D118" s="325"/>
      <c r="E118" s="325"/>
      <c r="F118" s="325"/>
      <c r="G118" s="983"/>
      <c r="H118" s="977" t="str">
        <f t="shared" ref="H118:H130" si="69">IFERROR(AVERAGE(E118:G118)," ")</f>
        <v xml:space="preserve"> </v>
      </c>
      <c r="I118" s="18" t="str">
        <f t="shared" ref="I118" si="70">H118</f>
        <v xml:space="preserve"> </v>
      </c>
      <c r="J118" s="18" t="str">
        <f t="shared" ref="J118" si="71">I118</f>
        <v xml:space="preserve"> </v>
      </c>
      <c r="K118" s="18" t="str">
        <f t="shared" ref="K118" si="72">J118</f>
        <v xml:space="preserve"> </v>
      </c>
      <c r="L118" s="18" t="str">
        <f t="shared" ref="L118" si="73">K118</f>
        <v xml:space="preserve"> </v>
      </c>
      <c r="M118" s="18" t="str">
        <f t="shared" ref="M118" si="74">L118</f>
        <v xml:space="preserve"> </v>
      </c>
      <c r="N118" s="18" t="str">
        <f t="shared" ref="N118" si="75">M118</f>
        <v xml:space="preserve"> </v>
      </c>
      <c r="O118" s="18" t="str">
        <f t="shared" ref="O118" si="76">N118</f>
        <v xml:space="preserve"> </v>
      </c>
      <c r="P118" s="18" t="str">
        <f t="shared" ref="P118" si="77">O118</f>
        <v xml:space="preserve"> </v>
      </c>
      <c r="Q118" s="18" t="str">
        <f t="shared" ref="Q118" si="78">P118</f>
        <v xml:space="preserve"> </v>
      </c>
    </row>
    <row r="119" spans="1:19">
      <c r="A119" s="1067" t="str">
        <f>IFERROR(INDEX(HS!$B$4:$C$17,MATCH(C119,HS!$B$4:$B$17,0),2), " ")</f>
        <v>Total Turnover (reported)</v>
      </c>
      <c r="B119" s="1021" t="str">
        <f>IFERROR(Akt.!C35," ")</f>
        <v xml:space="preserve"> Trade Receivables</v>
      </c>
      <c r="C119" s="1022" t="s">
        <v>260</v>
      </c>
      <c r="D119" s="1023" t="str">
        <f>IFERROR(INDEX(Akt.!$B$4:$L$48,MATCH($B119,Akt.!$C$4:$C$51,0),MATCH(D$4,Akt.!$B$4:$L$4,0))/IF($A119=FALSE, 1, INDEX('G&amp;V'!$B$4:$L$112,MATCH($A119,'G&amp;V'!$B$4:$B$112,0),MATCH(D$4,'G&amp;V'!$B$4:$L$4,0))), " ")</f>
        <v xml:space="preserve"> </v>
      </c>
      <c r="E119" s="1023">
        <f>IFERROR(INDEX(Akt.!$B$4:$L$48,MATCH($B119,Akt.!$C$4:$C$51,0),MATCH(E$4,Akt.!$B$4:$L$4,0))/IF($A119=FALSE, 1, INDEX('G&amp;V'!$B$4:$L$112,MATCH($A119,'G&amp;V'!$B$4:$B$112,0),MATCH(E$4,'G&amp;V'!$B$4:$L$4,0))), " ")</f>
        <v>0.1677402449548451</v>
      </c>
      <c r="F119" s="1023">
        <f>IFERROR(INDEX(Akt.!$B$4:$L$48,MATCH($B119,Akt.!$C$4:$C$51,0),MATCH(F$4,Akt.!$B$4:$L$4,0))/IF($A119=FALSE, 1, INDEX('G&amp;V'!$B$4:$L$112,MATCH($A119,'G&amp;V'!$B$4:$B$112,0),MATCH(F$4,'G&amp;V'!$B$4:$L$4,0))), " ")</f>
        <v>0.15448203601330687</v>
      </c>
      <c r="G119" s="1046">
        <f>IFERROR(INDEX(Akt.!$B$4:$L$48,MATCH($B119,Akt.!$C$4:$C$51,0),MATCH(G$4,Akt.!$B$4:$L$4,0))/IF($A119=FALSE, 1, INDEX('G&amp;V'!$B$4:$L$112,MATCH($A119,'G&amp;V'!$B$4:$B$112,0),MATCH(G$4,'G&amp;V'!$B$4:$L$4,0))), " ")</f>
        <v>0.14854332296053069</v>
      </c>
      <c r="H119" s="1049">
        <f t="shared" si="69"/>
        <v>0.15692186797622756</v>
      </c>
      <c r="I119" s="1024">
        <f t="shared" ref="I119:Q119" si="79">IF(I4=" ", " ",H119)</f>
        <v>0.15692186797622756</v>
      </c>
      <c r="J119" s="1024">
        <f t="shared" si="79"/>
        <v>0.15692186797622756</v>
      </c>
      <c r="K119" s="1024">
        <f t="shared" si="79"/>
        <v>0.15692186797622756</v>
      </c>
      <c r="L119" s="1024">
        <f t="shared" si="79"/>
        <v>0.15692186797622756</v>
      </c>
      <c r="M119" s="1024" t="str">
        <f t="shared" si="79"/>
        <v xml:space="preserve"> </v>
      </c>
      <c r="N119" s="1024" t="str">
        <f t="shared" si="79"/>
        <v xml:space="preserve"> </v>
      </c>
      <c r="O119" s="1024" t="str">
        <f t="shared" si="79"/>
        <v xml:space="preserve"> </v>
      </c>
      <c r="P119" s="1024" t="str">
        <f t="shared" si="79"/>
        <v xml:space="preserve"> </v>
      </c>
      <c r="Q119" s="1024" t="str">
        <f t="shared" si="79"/>
        <v xml:space="preserve"> </v>
      </c>
      <c r="S119" s="119" t="s">
        <v>261</v>
      </c>
    </row>
    <row r="120" spans="1:19">
      <c r="A120" s="1067"/>
      <c r="B120" s="355"/>
      <c r="C120" s="898" t="s">
        <v>242</v>
      </c>
      <c r="D120" s="897"/>
      <c r="E120" s="897"/>
      <c r="F120" s="897"/>
      <c r="G120" s="1002"/>
      <c r="H120" s="1019">
        <v>0</v>
      </c>
      <c r="I120" s="1019">
        <v>0</v>
      </c>
      <c r="J120" s="1019">
        <v>0</v>
      </c>
      <c r="K120" s="1019">
        <v>0</v>
      </c>
      <c r="L120" s="1019">
        <v>0</v>
      </c>
      <c r="M120" s="1019">
        <v>0</v>
      </c>
      <c r="N120" s="1019">
        <v>0</v>
      </c>
      <c r="O120" s="1019">
        <v>0</v>
      </c>
      <c r="P120" s="1019">
        <v>0</v>
      </c>
      <c r="Q120" s="1019">
        <v>0</v>
      </c>
    </row>
    <row r="121" spans="1:19">
      <c r="A121" s="1067" t="str">
        <f>IFERROR(INDEX(HS!$B$4:$C$17,MATCH(C121,HS!$B$4:$B$17,0),2), " ")</f>
        <v>Total Turnover (reported)</v>
      </c>
      <c r="B121" s="1021" t="str">
        <f>IFERROR(Akt.!C36," ")</f>
        <v xml:space="preserve"> Receivables from Affiliated Businesses</v>
      </c>
      <c r="C121" s="1022" t="s">
        <v>260</v>
      </c>
      <c r="D121" s="1023" t="str">
        <f>IFERROR(INDEX(Akt.!$B$4:$L$48,MATCH($B121,Akt.!$C$4:$C$51,0),MATCH(D$4,Akt.!$B$4:$L$4,0))/IF($A121=FALSE, 1, INDEX('G&amp;V'!$B$4:$L$112,MATCH($A121,'G&amp;V'!$B$4:$B$112,0),MATCH(D$4,'G&amp;V'!$B$4:$L$4,0))), " ")</f>
        <v xml:space="preserve"> </v>
      </c>
      <c r="E121" s="1023">
        <f>IFERROR(INDEX(Akt.!$B$4:$L$48,MATCH($B121,Akt.!$C$4:$C$51,0),MATCH(E$4,Akt.!$B$4:$L$4,0))/IF($A121=FALSE, 1, INDEX('G&amp;V'!$B$4:$L$112,MATCH($A121,'G&amp;V'!$B$4:$B$112,0),MATCH(E$4,'G&amp;V'!$B$4:$L$4,0))), " ")</f>
        <v>1.3318854028465594E-2</v>
      </c>
      <c r="F121" s="1023">
        <f>IFERROR(INDEX(Akt.!$B$4:$L$48,MATCH($B121,Akt.!$C$4:$C$51,0),MATCH(F$4,Akt.!$B$4:$L$4,0))/IF($A121=FALSE, 1, INDEX('G&amp;V'!$B$4:$L$112,MATCH($A121,'G&amp;V'!$B$4:$B$112,0),MATCH(F$4,'G&amp;V'!$B$4:$L$4,0))), " ")</f>
        <v>0.10635105306217857</v>
      </c>
      <c r="G121" s="1046">
        <f>IFERROR(INDEX(Akt.!$B$4:$L$48,MATCH($B121,Akt.!$C$4:$C$51,0),MATCH(G$4,Akt.!$B$4:$L$4,0))/IF($A121=FALSE, 1, INDEX('G&amp;V'!$B$4:$L$112,MATCH($A121,'G&amp;V'!$B$4:$B$112,0),MATCH(G$4,'G&amp;V'!$B$4:$L$4,0))), " ")</f>
        <v>4.0557896999606199E-2</v>
      </c>
      <c r="H121" s="1049">
        <f t="shared" si="69"/>
        <v>5.3409268030083452E-2</v>
      </c>
      <c r="I121" s="1024">
        <f t="shared" ref="I121:Q121" si="80">IF(I4=" ", " ",H121)</f>
        <v>5.3409268030083452E-2</v>
      </c>
      <c r="J121" s="1024">
        <f t="shared" si="80"/>
        <v>5.3409268030083452E-2</v>
      </c>
      <c r="K121" s="1024">
        <f t="shared" si="80"/>
        <v>5.3409268030083452E-2</v>
      </c>
      <c r="L121" s="1024">
        <f t="shared" si="80"/>
        <v>5.3409268030083452E-2</v>
      </c>
      <c r="M121" s="1024" t="str">
        <f t="shared" si="80"/>
        <v xml:space="preserve"> </v>
      </c>
      <c r="N121" s="1024" t="str">
        <f t="shared" si="80"/>
        <v xml:space="preserve"> </v>
      </c>
      <c r="O121" s="1024" t="str">
        <f t="shared" si="80"/>
        <v xml:space="preserve"> </v>
      </c>
      <c r="P121" s="1024" t="str">
        <f t="shared" si="80"/>
        <v xml:space="preserve"> </v>
      </c>
      <c r="Q121" s="1024" t="str">
        <f t="shared" si="80"/>
        <v xml:space="preserve"> </v>
      </c>
    </row>
    <row r="122" spans="1:19">
      <c r="A122" s="1067"/>
      <c r="B122" s="355"/>
      <c r="C122" s="898" t="s">
        <v>242</v>
      </c>
      <c r="D122" s="897"/>
      <c r="E122" s="897"/>
      <c r="F122" s="897"/>
      <c r="G122" s="1002"/>
      <c r="H122" s="1019">
        <v>0</v>
      </c>
      <c r="I122" s="1019">
        <v>0</v>
      </c>
      <c r="J122" s="1019">
        <v>0</v>
      </c>
      <c r="K122" s="1019">
        <v>0</v>
      </c>
      <c r="L122" s="1019">
        <v>0</v>
      </c>
      <c r="M122" s="1019">
        <v>0</v>
      </c>
      <c r="N122" s="1019">
        <v>0</v>
      </c>
      <c r="O122" s="1019">
        <v>0</v>
      </c>
      <c r="P122" s="1019">
        <v>0</v>
      </c>
      <c r="Q122" s="1019">
        <v>0</v>
      </c>
    </row>
    <row r="123" spans="1:19">
      <c r="A123" s="1067" t="str">
        <f>IFERROR(INDEX(HS!$B$4:$C$17,MATCH(C123,HS!$B$4:$B$17,0),2), " ")</f>
        <v>Total Turnover (reported)</v>
      </c>
      <c r="B123" s="1021" t="str">
        <f>IFERROR(Akt.!C37," ")</f>
        <v xml:space="preserve"> Other Assets</v>
      </c>
      <c r="C123" s="1022" t="s">
        <v>260</v>
      </c>
      <c r="D123" s="1023" t="str">
        <f>IFERROR(INDEX(Akt.!$B$4:$L$48,MATCH($B123,Akt.!$C$4:$C$51,0),MATCH(D$4,Akt.!$B$4:$L$4,0))/IF($A123=FALSE, 1, INDEX('G&amp;V'!$B$4:$L$112,MATCH($A123,'G&amp;V'!$B$4:$B$112,0),MATCH(D$4,'G&amp;V'!$B$4:$L$4,0))), " ")</f>
        <v xml:space="preserve"> </v>
      </c>
      <c r="E123" s="1023">
        <f>IFERROR(INDEX(Akt.!$B$4:$L$48,MATCH($B123,Akt.!$C$4:$C$51,0),MATCH(E$4,Akt.!$B$4:$L$4,0))/IF($A123=FALSE, 1, INDEX('G&amp;V'!$B$4:$L$112,MATCH($A123,'G&amp;V'!$B$4:$B$112,0),MATCH(E$4,'G&amp;V'!$B$4:$L$4,0))), " ")</f>
        <v>2.5712376993361021E-2</v>
      </c>
      <c r="F123" s="1023">
        <f>IFERROR(INDEX(Akt.!$B$4:$L$48,MATCH($B123,Akt.!$C$4:$C$51,0),MATCH(F$4,Akt.!$B$4:$L$4,0))/IF($A123=FALSE, 1, INDEX('G&amp;V'!$B$4:$L$112,MATCH($A123,'G&amp;V'!$B$4:$B$112,0),MATCH(F$4,'G&amp;V'!$B$4:$L$4,0))), " ")</f>
        <v>6.2648348614489863E-3</v>
      </c>
      <c r="G123" s="1046">
        <f>IFERROR(INDEX(Akt.!$B$4:$L$48,MATCH($B123,Akt.!$C$4:$C$51,0),MATCH(G$4,Akt.!$B$4:$L$4,0))/IF($A123=FALSE, 1, INDEX('G&amp;V'!$B$4:$L$112,MATCH($A123,'G&amp;V'!$B$4:$B$112,0),MATCH(G$4,'G&amp;V'!$B$4:$L$4,0))), " ")</f>
        <v>9.4702191091366444E-3</v>
      </c>
      <c r="H123" s="1049">
        <f t="shared" si="69"/>
        <v>1.381581032131555E-2</v>
      </c>
      <c r="I123" s="1024">
        <f t="shared" ref="I123:Q123" si="81">IF(I4=" ", " ",H123)</f>
        <v>1.381581032131555E-2</v>
      </c>
      <c r="J123" s="1024">
        <f t="shared" si="81"/>
        <v>1.381581032131555E-2</v>
      </c>
      <c r="K123" s="1024">
        <f t="shared" si="81"/>
        <v>1.381581032131555E-2</v>
      </c>
      <c r="L123" s="1024">
        <f t="shared" si="81"/>
        <v>1.381581032131555E-2</v>
      </c>
      <c r="M123" s="1024" t="str">
        <f t="shared" si="81"/>
        <v xml:space="preserve"> </v>
      </c>
      <c r="N123" s="1024" t="str">
        <f t="shared" si="81"/>
        <v xml:space="preserve"> </v>
      </c>
      <c r="O123" s="1024" t="str">
        <f t="shared" si="81"/>
        <v xml:space="preserve"> </v>
      </c>
      <c r="P123" s="1024" t="str">
        <f t="shared" si="81"/>
        <v xml:space="preserve"> </v>
      </c>
      <c r="Q123" s="1024" t="str">
        <f t="shared" si="81"/>
        <v xml:space="preserve"> </v>
      </c>
    </row>
    <row r="124" spans="1:19">
      <c r="A124" s="1067"/>
      <c r="B124" s="355"/>
      <c r="C124" s="898" t="s">
        <v>242</v>
      </c>
      <c r="D124" s="897"/>
      <c r="E124" s="897"/>
      <c r="F124" s="897"/>
      <c r="G124" s="1002"/>
      <c r="H124" s="1019">
        <v>0</v>
      </c>
      <c r="I124" s="1019">
        <v>0</v>
      </c>
      <c r="J124" s="1019">
        <v>0</v>
      </c>
      <c r="K124" s="1019">
        <v>0</v>
      </c>
      <c r="L124" s="1019">
        <v>0</v>
      </c>
      <c r="M124" s="1019">
        <v>0</v>
      </c>
      <c r="N124" s="1019">
        <v>0</v>
      </c>
      <c r="O124" s="1019">
        <v>0</v>
      </c>
      <c r="P124" s="1019">
        <v>0</v>
      </c>
      <c r="Q124" s="1019">
        <v>0</v>
      </c>
    </row>
    <row r="125" spans="1:19">
      <c r="A125" s="1067"/>
      <c r="B125" s="1025" t="str">
        <f>IFERROR(Akt.!C38," ")</f>
        <v xml:space="preserve"> </v>
      </c>
      <c r="C125" s="1028"/>
      <c r="D125" s="1023"/>
      <c r="E125" s="1023"/>
      <c r="F125" s="1023"/>
      <c r="G125" s="1046"/>
      <c r="H125" s="1049" t="str">
        <f t="shared" si="69"/>
        <v xml:space="preserve"> </v>
      </c>
      <c r="I125" s="1024"/>
      <c r="J125" s="1024"/>
      <c r="K125" s="1024"/>
      <c r="L125" s="1024"/>
      <c r="M125" s="1024"/>
      <c r="N125" s="1024"/>
      <c r="O125" s="1024"/>
      <c r="P125" s="1024"/>
      <c r="Q125" s="1024"/>
    </row>
    <row r="126" spans="1:19">
      <c r="A126" s="1067" t="b">
        <f>IFERROR(INDEX(HS!$B$4:$C$17,MATCH(C126,HS!$B$4:$B$17,0),2), " ")</f>
        <v>0</v>
      </c>
      <c r="B126" s="1029" t="str">
        <f>IFERROR(Akt.!C39," ")</f>
        <v xml:space="preserve"> Securities</v>
      </c>
      <c r="C126" s="1022" t="s">
        <v>262</v>
      </c>
      <c r="D126" s="1023">
        <f>IFERROR(INDEX(Akt.!$B$4:$L$48,MATCH($B126,Akt.!$C$4:$C$51,0),MATCH(D$4,Akt.!$B$4:$L$4,0))/IF($A126=FALSE, 1, INDEX('G&amp;V'!$B$4:$L$112,MATCH($A126,'G&amp;V'!$B$4:$B$112,0),MATCH(D$4,'G&amp;V'!$B$4:$L$4,0))), " ")</f>
        <v>0</v>
      </c>
      <c r="E126" s="1023">
        <f>IFERROR(INDEX(Akt.!$B$4:$L$48,MATCH($B126,Akt.!$C$4:$C$51,0),MATCH(E$4,Akt.!$B$4:$L$4,0))/IF($A126=FALSE, 1, INDEX('G&amp;V'!$B$4:$L$112,MATCH($A126,'G&amp;V'!$B$4:$B$112,0),MATCH(E$4,'G&amp;V'!$B$4:$L$4,0))), " ")</f>
        <v>0</v>
      </c>
      <c r="F126" s="1023">
        <f>IFERROR(INDEX(Akt.!$B$4:$L$48,MATCH($B126,Akt.!$C$4:$C$51,0),MATCH(F$4,Akt.!$B$4:$L$4,0))/IF($A126=FALSE, 1, INDEX('G&amp;V'!$B$4:$L$112,MATCH($A126,'G&amp;V'!$B$4:$B$112,0),MATCH(F$4,'G&amp;V'!$B$4:$L$4,0))), " ")</f>
        <v>0</v>
      </c>
      <c r="G126" s="1046">
        <f>IFERROR(INDEX(Akt.!$B$4:$L$48,MATCH($B126,Akt.!$C$4:$C$51,0),MATCH(G$4,Akt.!$B$4:$L$4,0))/IF($A126=FALSE, 1, INDEX('G&amp;V'!$B$4:$L$112,MATCH($A126,'G&amp;V'!$B$4:$B$112,0),MATCH(G$4,'G&amp;V'!$B$4:$L$4,0))), " ")</f>
        <v>0</v>
      </c>
      <c r="H126" s="1049">
        <f t="shared" si="69"/>
        <v>0</v>
      </c>
      <c r="I126" s="1024">
        <f t="shared" ref="I126:Q126" si="82">IF(I4=" ", " ",H126)</f>
        <v>0</v>
      </c>
      <c r="J126" s="1024">
        <f t="shared" si="82"/>
        <v>0</v>
      </c>
      <c r="K126" s="1024">
        <f t="shared" si="82"/>
        <v>0</v>
      </c>
      <c r="L126" s="1024">
        <f t="shared" si="82"/>
        <v>0</v>
      </c>
      <c r="M126" s="1024" t="str">
        <f t="shared" si="82"/>
        <v xml:space="preserve"> </v>
      </c>
      <c r="N126" s="1024" t="str">
        <f t="shared" si="82"/>
        <v xml:space="preserve"> </v>
      </c>
      <c r="O126" s="1024" t="str">
        <f t="shared" si="82"/>
        <v xml:space="preserve"> </v>
      </c>
      <c r="P126" s="1024" t="str">
        <f t="shared" si="82"/>
        <v xml:space="preserve"> </v>
      </c>
      <c r="Q126" s="1024" t="str">
        <f t="shared" si="82"/>
        <v xml:space="preserve"> </v>
      </c>
    </row>
    <row r="127" spans="1:19">
      <c r="A127" s="1067"/>
      <c r="B127" s="357"/>
      <c r="C127" s="898" t="s">
        <v>242</v>
      </c>
      <c r="D127" s="897"/>
      <c r="E127" s="897"/>
      <c r="F127" s="897"/>
      <c r="G127" s="1002"/>
      <c r="H127" s="1019">
        <v>0</v>
      </c>
      <c r="I127" s="1019">
        <v>0</v>
      </c>
      <c r="J127" s="1019">
        <v>0</v>
      </c>
      <c r="K127" s="1019">
        <v>0</v>
      </c>
      <c r="L127" s="1019">
        <v>0</v>
      </c>
      <c r="M127" s="1019">
        <v>0</v>
      </c>
      <c r="N127" s="1019">
        <v>0</v>
      </c>
      <c r="O127" s="1019">
        <v>0</v>
      </c>
      <c r="P127" s="1019">
        <v>0</v>
      </c>
      <c r="Q127" s="1019">
        <v>0</v>
      </c>
    </row>
    <row r="128" spans="1:19">
      <c r="A128" s="1067" t="str">
        <f>IFERROR(INDEX(HS!$B$4:$C$17,MATCH(C128,HS!$B$4:$B$17,0),2), " ")</f>
        <v>Total Turnover (reported)</v>
      </c>
      <c r="B128" s="1029" t="str">
        <f>IFERROR(Akt.!C43," ")</f>
        <v xml:space="preserve"> Prepaid expenses / Accrued income</v>
      </c>
      <c r="C128" s="1022" t="s">
        <v>260</v>
      </c>
      <c r="D128" s="1023" t="str">
        <f>IFERROR(INDEX(Akt.!$B$4:$L$48,MATCH($B128,Akt.!$C$4:$C$51,0),MATCH(D$4,Akt.!$B$4:$L$4,0))/IF($A128=FALSE, 1, INDEX('G&amp;V'!$B$4:$L$112,MATCH($A128,'G&amp;V'!$B$4:$B$112,0),MATCH(D$4,'G&amp;V'!$B$4:$L$4,0))), " ")</f>
        <v xml:space="preserve"> </v>
      </c>
      <c r="E128" s="1023">
        <f>IFERROR(INDEX(Akt.!$B$4:$L$48,MATCH($B128,Akt.!$C$4:$C$51,0),MATCH(E$4,Akt.!$B$4:$L$4,0))/IF($A128=FALSE, 1, INDEX('G&amp;V'!$B$4:$L$112,MATCH($A128,'G&amp;V'!$B$4:$B$112,0),MATCH(E$4,'G&amp;V'!$B$4:$L$4,0))), " ")</f>
        <v>4.1476759029575689E-3</v>
      </c>
      <c r="F128" s="1023">
        <f>IFERROR(INDEX(Akt.!$B$4:$L$48,MATCH($B128,Akt.!$C$4:$C$51,0),MATCH(F$4,Akt.!$B$4:$L$4,0))/IF($A128=FALSE, 1, INDEX('G&amp;V'!$B$4:$L$112,MATCH($A128,'G&amp;V'!$B$4:$B$112,0),MATCH(F$4,'G&amp;V'!$B$4:$L$4,0))), " ")</f>
        <v>4.6487179413858999E-3</v>
      </c>
      <c r="G128" s="1046">
        <f>IFERROR(INDEX(Akt.!$B$4:$L$48,MATCH($B128,Akt.!$C$4:$C$51,0),MATCH(G$4,Akt.!$B$4:$L$4,0))/IF($A128=FALSE, 1, INDEX('G&amp;V'!$B$4:$L$112,MATCH($A128,'G&amp;V'!$B$4:$B$112,0),MATCH(G$4,'G&amp;V'!$B$4:$L$4,0))), " ")</f>
        <v>5.7390949849749958E-3</v>
      </c>
      <c r="H128" s="1049">
        <f t="shared" si="69"/>
        <v>4.8451629431061549E-3</v>
      </c>
      <c r="I128" s="1030">
        <f t="shared" ref="I128:Q128" si="83">IF(I4=" ", " ",H128)</f>
        <v>4.8451629431061549E-3</v>
      </c>
      <c r="J128" s="1030">
        <f t="shared" si="83"/>
        <v>4.8451629431061549E-3</v>
      </c>
      <c r="K128" s="1030">
        <f t="shared" si="83"/>
        <v>4.8451629431061549E-3</v>
      </c>
      <c r="L128" s="1030">
        <f t="shared" si="83"/>
        <v>4.8451629431061549E-3</v>
      </c>
      <c r="M128" s="1030" t="str">
        <f t="shared" si="83"/>
        <v xml:space="preserve"> </v>
      </c>
      <c r="N128" s="1030" t="str">
        <f t="shared" si="83"/>
        <v xml:space="preserve"> </v>
      </c>
      <c r="O128" s="1030" t="str">
        <f t="shared" si="83"/>
        <v xml:space="preserve"> </v>
      </c>
      <c r="P128" s="1030" t="str">
        <f t="shared" si="83"/>
        <v xml:space="preserve"> </v>
      </c>
      <c r="Q128" s="1030" t="str">
        <f t="shared" si="83"/>
        <v xml:space="preserve"> </v>
      </c>
    </row>
    <row r="129" spans="1:17">
      <c r="A129" s="1067"/>
      <c r="B129" s="357"/>
      <c r="C129" s="898" t="s">
        <v>242</v>
      </c>
      <c r="D129" s="897"/>
      <c r="E129" s="897"/>
      <c r="F129" s="897"/>
      <c r="G129" s="1002"/>
      <c r="H129" s="1019">
        <v>0</v>
      </c>
      <c r="I129" s="1019">
        <v>0</v>
      </c>
      <c r="J129" s="1019">
        <v>0</v>
      </c>
      <c r="K129" s="1019">
        <v>0</v>
      </c>
      <c r="L129" s="1019">
        <v>0</v>
      </c>
      <c r="M129" s="1019">
        <v>0</v>
      </c>
      <c r="N129" s="1019">
        <v>0</v>
      </c>
      <c r="O129" s="1019">
        <v>0</v>
      </c>
      <c r="P129" s="1019">
        <v>0</v>
      </c>
      <c r="Q129" s="1019">
        <v>0</v>
      </c>
    </row>
    <row r="130" spans="1:17">
      <c r="A130" s="1067" t="str">
        <f>IFERROR(INDEX(HS!$B$4:$C$17,MATCH(C130,HS!$B$4:$B$17,0),2), " ")</f>
        <v>Total Turnover (reported)</v>
      </c>
      <c r="B130" s="1029" t="str">
        <f>IFERROR(Akt.!C44," ")</f>
        <v xml:space="preserve"> Deferred tax assets</v>
      </c>
      <c r="C130" s="1022" t="s">
        <v>260</v>
      </c>
      <c r="D130" s="1023" t="str">
        <f>IFERROR(INDEX(Akt.!$B$4:$L$48,MATCH($B130,Akt.!$C$4:$C$51,0),MATCH(D$4,Akt.!$B$4:$L$4,0))/IF($A130=FALSE, 1, INDEX('G&amp;V'!$B$4:$L$112,MATCH($A130,'G&amp;V'!$B$4:$B$112,0),MATCH(D$4,'G&amp;V'!$B$4:$L$4,0))), " ")</f>
        <v xml:space="preserve"> </v>
      </c>
      <c r="E130" s="1023">
        <f>IFERROR(INDEX(Akt.!$B$4:$L$48,MATCH($B130,Akt.!$C$4:$C$51,0),MATCH(E$4,Akt.!$B$4:$L$4,0))/IF($A130=FALSE, 1, INDEX('G&amp;V'!$B$4:$L$112,MATCH($A130,'G&amp;V'!$B$4:$B$112,0),MATCH(E$4,'G&amp;V'!$B$4:$L$4,0))), " ")</f>
        <v>0</v>
      </c>
      <c r="F130" s="1023">
        <f>IFERROR(INDEX(Akt.!$B$4:$L$48,MATCH($B130,Akt.!$C$4:$C$51,0),MATCH(F$4,Akt.!$B$4:$L$4,0))/IF($A130=FALSE, 1, INDEX('G&amp;V'!$B$4:$L$112,MATCH($A130,'G&amp;V'!$B$4:$B$112,0),MATCH(F$4,'G&amp;V'!$B$4:$L$4,0))), " ")</f>
        <v>0</v>
      </c>
      <c r="G130" s="1046">
        <f>IFERROR(INDEX(Akt.!$B$4:$L$48,MATCH($B130,Akt.!$C$4:$C$51,0),MATCH(G$4,Akt.!$B$4:$L$4,0))/IF($A130=FALSE, 1, INDEX('G&amp;V'!$B$4:$L$112,MATCH($A130,'G&amp;V'!$B$4:$B$112,0),MATCH(G$4,'G&amp;V'!$B$4:$L$4,0))), " ")</f>
        <v>0</v>
      </c>
      <c r="H130" s="1049">
        <f t="shared" si="69"/>
        <v>0</v>
      </c>
      <c r="I130" s="1030">
        <f t="shared" ref="I130:Q130" si="84">IF(I4=" ", " ",H130)</f>
        <v>0</v>
      </c>
      <c r="J130" s="1030">
        <f t="shared" si="84"/>
        <v>0</v>
      </c>
      <c r="K130" s="1030">
        <f t="shared" si="84"/>
        <v>0</v>
      </c>
      <c r="L130" s="1030">
        <f t="shared" si="84"/>
        <v>0</v>
      </c>
      <c r="M130" s="1030" t="str">
        <f t="shared" si="84"/>
        <v xml:space="preserve"> </v>
      </c>
      <c r="N130" s="1030" t="str">
        <f t="shared" si="84"/>
        <v xml:space="preserve"> </v>
      </c>
      <c r="O130" s="1030" t="str">
        <f t="shared" si="84"/>
        <v xml:space="preserve"> </v>
      </c>
      <c r="P130" s="1030" t="str">
        <f t="shared" si="84"/>
        <v xml:space="preserve"> </v>
      </c>
      <c r="Q130" s="1030" t="str">
        <f t="shared" si="84"/>
        <v xml:space="preserve"> </v>
      </c>
    </row>
    <row r="131" spans="1:17">
      <c r="A131" s="1067"/>
      <c r="B131" s="357"/>
      <c r="C131" s="898" t="s">
        <v>242</v>
      </c>
      <c r="D131" s="897"/>
      <c r="E131" s="897"/>
      <c r="F131" s="897"/>
      <c r="G131" s="1002"/>
      <c r="H131" s="1019">
        <v>0</v>
      </c>
      <c r="I131" s="1019">
        <v>0</v>
      </c>
      <c r="J131" s="1019">
        <v>0</v>
      </c>
      <c r="K131" s="1019">
        <v>0</v>
      </c>
      <c r="L131" s="1019">
        <v>0</v>
      </c>
      <c r="M131" s="1019">
        <v>0</v>
      </c>
      <c r="N131" s="1019">
        <v>0</v>
      </c>
      <c r="O131" s="1019">
        <v>0</v>
      </c>
      <c r="P131" s="1019">
        <v>0</v>
      </c>
      <c r="Q131" s="1019">
        <v>0</v>
      </c>
    </row>
    <row r="132" spans="1:17">
      <c r="A132" s="1067"/>
      <c r="B132" s="1035"/>
      <c r="C132" s="1035"/>
      <c r="D132" s="1035"/>
      <c r="E132" s="1036"/>
      <c r="F132" s="1036"/>
      <c r="G132" s="1063"/>
      <c r="H132" s="1050" t="str">
        <f>IFERROR(AVERAGE(E132:G132)," ")</f>
        <v xml:space="preserve"> </v>
      </c>
      <c r="I132" s="1037"/>
      <c r="J132" s="1037"/>
      <c r="K132" s="1037"/>
      <c r="L132" s="1037"/>
      <c r="M132" s="1037"/>
      <c r="N132" s="1037"/>
      <c r="O132" s="1037"/>
      <c r="P132" s="1037"/>
      <c r="Q132" s="1037"/>
    </row>
    <row r="133" spans="1:17" s="326" customFormat="1">
      <c r="A133" s="1067"/>
      <c r="B133" s="1409" t="str">
        <f>Lang.!B242</f>
        <v>Planning balance sheet - liabilities side</v>
      </c>
      <c r="C133" s="1405"/>
      <c r="D133" s="1405"/>
      <c r="E133" s="1410"/>
      <c r="F133" s="1410"/>
      <c r="G133" s="1411"/>
      <c r="H133" s="1412"/>
      <c r="I133" s="1412"/>
      <c r="J133" s="1412"/>
      <c r="K133" s="1412"/>
      <c r="L133" s="1412"/>
      <c r="M133" s="1412"/>
      <c r="N133" s="1412"/>
      <c r="O133" s="1412"/>
      <c r="P133" s="1412"/>
      <c r="Q133" s="1412"/>
    </row>
    <row r="134" spans="1:17" s="326" customFormat="1" ht="3" customHeight="1">
      <c r="A134" s="1067" t="str">
        <f>IFERROR(INDEX(HS!$B$4:$C$17,MATCH(C132,HS!$B$4:$B$17,0),2), " ")</f>
        <v xml:space="preserve"> </v>
      </c>
      <c r="B134" s="118"/>
      <c r="C134" s="118"/>
      <c r="D134" s="118"/>
      <c r="E134" s="327"/>
      <c r="F134" s="327"/>
      <c r="G134" s="1064"/>
      <c r="H134" s="924"/>
      <c r="I134" s="924"/>
      <c r="J134" s="924"/>
      <c r="K134" s="924"/>
      <c r="L134" s="924"/>
      <c r="M134" s="924"/>
      <c r="N134" s="924"/>
      <c r="O134" s="924"/>
      <c r="P134" s="924"/>
      <c r="Q134" s="924"/>
    </row>
    <row r="135" spans="1:17" s="326" customFormat="1">
      <c r="A135" s="1067" t="str">
        <f>IFERROR(INDEX(HS!$B$4:$C$17,MATCH(C133,HS!$B$4:$B$17,0),2), " ")</f>
        <v xml:space="preserve"> </v>
      </c>
      <c r="B135" s="357" t="str">
        <f>IFERROR(Pas.!C14," ")</f>
        <v xml:space="preserve"> Provisions</v>
      </c>
      <c r="C135" s="280"/>
      <c r="D135" s="280"/>
      <c r="E135" s="328"/>
      <c r="F135" s="328"/>
      <c r="G135" s="1065"/>
      <c r="H135" s="925"/>
      <c r="I135" s="925"/>
      <c r="J135" s="925"/>
      <c r="K135" s="925"/>
      <c r="L135" s="925"/>
      <c r="M135" s="925"/>
      <c r="N135" s="925"/>
      <c r="O135" s="925"/>
      <c r="P135" s="925"/>
      <c r="Q135" s="925"/>
    </row>
    <row r="136" spans="1:17" s="326" customFormat="1">
      <c r="A136" s="1067" t="str">
        <f>IFERROR(INDEX(HS!$B$4:$C$17,MATCH(C136,HS!$B$4:$B$17,0),2), " ")</f>
        <v>Personnel Expenses</v>
      </c>
      <c r="B136" s="1021" t="str">
        <f>IFERROR(Pas.!C16," ")</f>
        <v xml:space="preserve"> Provisions for pensions and similar obligations</v>
      </c>
      <c r="C136" s="1022" t="s">
        <v>263</v>
      </c>
      <c r="D136" s="1023" t="str">
        <f>IFERROR(INDEX(Pas.!$B$4:$L$49,MATCH($B136,Pas.!$C$4:$C$52,0),MATCH(D$4,Pas.!$B$4:$L$4,0))/IF($A136=FALSE, 1, INDEX('G&amp;V'!$B$4:$L$112,MATCH($A136,'G&amp;V'!$B$4:$B$112,0),MATCH(D$4,'G&amp;V'!$B$4:$L$4,0))), " ")</f>
        <v xml:space="preserve"> </v>
      </c>
      <c r="E136" s="1023">
        <f>IFERROR(INDEX(Pas.!$B$4:$L$49,MATCH($B136,Pas.!$C$4:$C$52,0),MATCH(E$4,Pas.!$B$4:$L$4,0))/IF($A136=FALSE, 1, INDEX('G&amp;V'!$B$4:$L$112,MATCH($A136,'G&amp;V'!$B$4:$B$112,0),MATCH(E$4,'G&amp;V'!$B$4:$L$4,0))), " ")</f>
        <v>0</v>
      </c>
      <c r="F136" s="1023">
        <f>IFERROR(INDEX(Pas.!$B$4:$L$49,MATCH($B136,Pas.!$C$4:$C$52,0),MATCH(F$4,Pas.!$B$4:$L$4,0))/IF($A136=FALSE, 1, INDEX('G&amp;V'!$B$4:$L$112,MATCH($A136,'G&amp;V'!$B$4:$B$112,0),MATCH(F$4,'G&amp;V'!$B$4:$L$4,0))), " ")</f>
        <v>0</v>
      </c>
      <c r="G136" s="1046">
        <f>IFERROR(INDEX(Pas.!$B$4:$L$49,MATCH($B136,Pas.!$C$4:$C$52,0),MATCH(G$4,Pas.!$B$4:$L$4,0))/IF($A136=FALSE, 1, INDEX('G&amp;V'!$B$4:$L$112,MATCH($A136,'G&amp;V'!$B$4:$B$112,0),MATCH(G$4,'G&amp;V'!$B$4:$L$4,0))), " ")</f>
        <v>0</v>
      </c>
      <c r="H136" s="1049">
        <f t="shared" ref="H136:H140" si="85">IFERROR(AVERAGE(E136:G136)," ")</f>
        <v>0</v>
      </c>
      <c r="I136" s="1030">
        <f t="shared" ref="I136:Q136" si="86">IF(I4=" ", " ",H136)</f>
        <v>0</v>
      </c>
      <c r="J136" s="1030">
        <f t="shared" si="86"/>
        <v>0</v>
      </c>
      <c r="K136" s="1030">
        <f t="shared" si="86"/>
        <v>0</v>
      </c>
      <c r="L136" s="1030">
        <f t="shared" si="86"/>
        <v>0</v>
      </c>
      <c r="M136" s="1030" t="str">
        <f t="shared" si="86"/>
        <v xml:space="preserve"> </v>
      </c>
      <c r="N136" s="1030" t="str">
        <f t="shared" si="86"/>
        <v xml:space="preserve"> </v>
      </c>
      <c r="O136" s="1030" t="str">
        <f t="shared" si="86"/>
        <v xml:space="preserve"> </v>
      </c>
      <c r="P136" s="1030" t="str">
        <f t="shared" si="86"/>
        <v xml:space="preserve"> </v>
      </c>
      <c r="Q136" s="1030" t="str">
        <f t="shared" si="86"/>
        <v xml:space="preserve"> </v>
      </c>
    </row>
    <row r="137" spans="1:17" s="326" customFormat="1">
      <c r="A137" s="1067"/>
      <c r="B137" s="355"/>
      <c r="C137" s="898" t="s">
        <v>242</v>
      </c>
      <c r="D137" s="897"/>
      <c r="E137" s="897"/>
      <c r="F137" s="897"/>
      <c r="G137" s="1002"/>
      <c r="H137" s="1019">
        <v>0</v>
      </c>
      <c r="I137" s="1019">
        <v>0</v>
      </c>
      <c r="J137" s="1019">
        <v>0</v>
      </c>
      <c r="K137" s="1019">
        <v>0</v>
      </c>
      <c r="L137" s="1019">
        <v>0</v>
      </c>
      <c r="M137" s="1019">
        <v>0</v>
      </c>
      <c r="N137" s="1019">
        <v>0</v>
      </c>
      <c r="O137" s="1019">
        <v>0</v>
      </c>
      <c r="P137" s="1019">
        <v>0</v>
      </c>
      <c r="Q137" s="1019">
        <v>0</v>
      </c>
    </row>
    <row r="138" spans="1:17" s="326" customFormat="1">
      <c r="A138" s="1067" t="str">
        <f>IFERROR(INDEX(HS!$B$4:$C$17,MATCH(C138,HS!$B$4:$B$17,0),2), " ")</f>
        <v>Total Turnover (reported)</v>
      </c>
      <c r="B138" s="1021" t="str">
        <f>IFERROR(Pas.!C17," ")</f>
        <v xml:space="preserve"> Tax Provisions</v>
      </c>
      <c r="C138" s="1022" t="s">
        <v>260</v>
      </c>
      <c r="D138" s="1023" t="str">
        <f>IFERROR(INDEX(Pas.!$B$4:$L$49,MATCH($B138,Pas.!$C$4:$C$52,0),MATCH(D$4,Pas.!$B$4:$L$4,0))/IF($A138=FALSE, 1, INDEX('G&amp;V'!$B$4:$L$112,MATCH($A138,'G&amp;V'!$B$4:$B$112,0),MATCH(D$4,'G&amp;V'!$B$4:$L$4,0))), " ")</f>
        <v xml:space="preserve"> </v>
      </c>
      <c r="E138" s="1023">
        <f>IFERROR(INDEX(Pas.!$B$4:$L$49,MATCH($B138,Pas.!$C$4:$C$52,0),MATCH(E$4,Pas.!$B$4:$L$4,0))/IF($A138=FALSE, 1, INDEX('G&amp;V'!$B$4:$L$112,MATCH($A138,'G&amp;V'!$B$4:$B$112,0),MATCH(E$4,'G&amp;V'!$B$4:$L$4,0))), " ")</f>
        <v>0</v>
      </c>
      <c r="F138" s="1023">
        <f>IFERROR(INDEX(Pas.!$B$4:$L$49,MATCH($B138,Pas.!$C$4:$C$52,0),MATCH(F$4,Pas.!$B$4:$L$4,0))/IF($A138=FALSE, 1, INDEX('G&amp;V'!$B$4:$L$112,MATCH($A138,'G&amp;V'!$B$4:$B$112,0),MATCH(F$4,'G&amp;V'!$B$4:$L$4,0))), " ")</f>
        <v>0</v>
      </c>
      <c r="G138" s="1046">
        <f>IFERROR(INDEX(Pas.!$B$4:$L$49,MATCH($B138,Pas.!$C$4:$C$52,0),MATCH(G$4,Pas.!$B$4:$L$4,0))/IF($A138=FALSE, 1, INDEX('G&amp;V'!$B$4:$L$112,MATCH($A138,'G&amp;V'!$B$4:$B$112,0),MATCH(G$4,'G&amp;V'!$B$4:$L$4,0))), " ")</f>
        <v>0</v>
      </c>
      <c r="H138" s="1049">
        <f t="shared" si="85"/>
        <v>0</v>
      </c>
      <c r="I138" s="1030">
        <f t="shared" ref="I138:Q138" si="87">IF(I4=" ", " ",H138)</f>
        <v>0</v>
      </c>
      <c r="J138" s="1030">
        <f t="shared" si="87"/>
        <v>0</v>
      </c>
      <c r="K138" s="1030">
        <f t="shared" si="87"/>
        <v>0</v>
      </c>
      <c r="L138" s="1030">
        <f t="shared" si="87"/>
        <v>0</v>
      </c>
      <c r="M138" s="1030" t="str">
        <f t="shared" si="87"/>
        <v xml:space="preserve"> </v>
      </c>
      <c r="N138" s="1030" t="str">
        <f t="shared" si="87"/>
        <v xml:space="preserve"> </v>
      </c>
      <c r="O138" s="1030" t="str">
        <f t="shared" si="87"/>
        <v xml:space="preserve"> </v>
      </c>
      <c r="P138" s="1030" t="str">
        <f t="shared" si="87"/>
        <v xml:space="preserve"> </v>
      </c>
      <c r="Q138" s="1030" t="str">
        <f t="shared" si="87"/>
        <v xml:space="preserve"> </v>
      </c>
    </row>
    <row r="139" spans="1:17" s="326" customFormat="1">
      <c r="A139" s="1067"/>
      <c r="B139" s="355"/>
      <c r="C139" s="898" t="s">
        <v>242</v>
      </c>
      <c r="D139" s="897"/>
      <c r="E139" s="897"/>
      <c r="F139" s="897"/>
      <c r="G139" s="1002"/>
      <c r="H139" s="1019">
        <v>0</v>
      </c>
      <c r="I139" s="1019">
        <v>0</v>
      </c>
      <c r="J139" s="1019">
        <v>0</v>
      </c>
      <c r="K139" s="1019">
        <v>0</v>
      </c>
      <c r="L139" s="1019">
        <v>0</v>
      </c>
      <c r="M139" s="1019">
        <v>0</v>
      </c>
      <c r="N139" s="1019">
        <v>0</v>
      </c>
      <c r="O139" s="1019">
        <v>0</v>
      </c>
      <c r="P139" s="1019">
        <v>0</v>
      </c>
      <c r="Q139" s="1019">
        <v>0</v>
      </c>
    </row>
    <row r="140" spans="1:17" s="326" customFormat="1">
      <c r="A140" s="1067" t="str">
        <f>IFERROR(INDEX(HS!$B$4:$C$17,MATCH(C140,HS!$B$4:$B$17,0),2), " ")</f>
        <v>Total Turnover (reported)</v>
      </c>
      <c r="B140" s="1021" t="str">
        <f>IFERROR(Pas.!C18," ")</f>
        <v xml:space="preserve"> Other Provisions</v>
      </c>
      <c r="C140" s="1022" t="s">
        <v>260</v>
      </c>
      <c r="D140" s="1023" t="str">
        <f>IFERROR(INDEX(Pas.!$B$4:$L$49,MATCH($B140,Pas.!$C$4:$C$52,0),MATCH(D$4,Pas.!$B$4:$L$4,0))/IF($A140=FALSE, 1, INDEX('G&amp;V'!$B$4:$L$112,MATCH($A140,'G&amp;V'!$B$4:$B$112,0),MATCH(D$4,'G&amp;V'!$B$4:$L$4,0))), " ")</f>
        <v xml:space="preserve"> </v>
      </c>
      <c r="E140" s="1023">
        <f>IFERROR(INDEX(Pas.!$B$4:$L$49,MATCH($B140,Pas.!$C$4:$C$52,0),MATCH(E$4,Pas.!$B$4:$L$4,0))/IF($A140=FALSE, 1, INDEX('G&amp;V'!$B$4:$L$112,MATCH($A140,'G&amp;V'!$B$4:$B$112,0),MATCH(E$4,'G&amp;V'!$B$4:$L$4,0))), " ")</f>
        <v>0</v>
      </c>
      <c r="F140" s="1023">
        <f>IFERROR(INDEX(Pas.!$B$4:$L$49,MATCH($B140,Pas.!$C$4:$C$52,0),MATCH(F$4,Pas.!$B$4:$L$4,0))/IF($A140=FALSE, 1, INDEX('G&amp;V'!$B$4:$L$112,MATCH($A140,'G&amp;V'!$B$4:$B$112,0),MATCH(F$4,'G&amp;V'!$B$4:$L$4,0))), " ")</f>
        <v>0</v>
      </c>
      <c r="G140" s="1046">
        <f>IFERROR(INDEX(Pas.!$B$4:$L$49,MATCH($B140,Pas.!$C$4:$C$52,0),MATCH(G$4,Pas.!$B$4:$L$4,0))/IF($A140=FALSE, 1, INDEX('G&amp;V'!$B$4:$L$112,MATCH($A140,'G&amp;V'!$B$4:$B$112,0),MATCH(G$4,'G&amp;V'!$B$4:$L$4,0))), " ")</f>
        <v>0</v>
      </c>
      <c r="H140" s="1049">
        <f t="shared" si="85"/>
        <v>0</v>
      </c>
      <c r="I140" s="1030">
        <f t="shared" ref="I140:Q140" si="88">IF(I4=" ", " ",H140)</f>
        <v>0</v>
      </c>
      <c r="J140" s="1030">
        <f t="shared" si="88"/>
        <v>0</v>
      </c>
      <c r="K140" s="1030">
        <f t="shared" si="88"/>
        <v>0</v>
      </c>
      <c r="L140" s="1030">
        <f t="shared" si="88"/>
        <v>0</v>
      </c>
      <c r="M140" s="1030" t="str">
        <f t="shared" si="88"/>
        <v xml:space="preserve"> </v>
      </c>
      <c r="N140" s="1030" t="str">
        <f t="shared" si="88"/>
        <v xml:space="preserve"> </v>
      </c>
      <c r="O140" s="1030" t="str">
        <f t="shared" si="88"/>
        <v xml:space="preserve"> </v>
      </c>
      <c r="P140" s="1030" t="str">
        <f t="shared" si="88"/>
        <v xml:space="preserve"> </v>
      </c>
      <c r="Q140" s="1030" t="str">
        <f t="shared" si="88"/>
        <v xml:space="preserve"> </v>
      </c>
    </row>
    <row r="141" spans="1:17" s="326" customFormat="1">
      <c r="A141" s="1067"/>
      <c r="B141" s="355"/>
      <c r="C141" s="898" t="s">
        <v>242</v>
      </c>
      <c r="D141" s="897"/>
      <c r="E141" s="897"/>
      <c r="F141" s="897"/>
      <c r="G141" s="1002"/>
      <c r="H141" s="1019">
        <v>0</v>
      </c>
      <c r="I141" s="1019">
        <v>0</v>
      </c>
      <c r="J141" s="1019">
        <v>0</v>
      </c>
      <c r="K141" s="1019">
        <v>0</v>
      </c>
      <c r="L141" s="1019">
        <v>0</v>
      </c>
      <c r="M141" s="1019">
        <v>0</v>
      </c>
      <c r="N141" s="1019">
        <v>0</v>
      </c>
      <c r="O141" s="1019">
        <v>0</v>
      </c>
      <c r="P141" s="1019">
        <v>0</v>
      </c>
      <c r="Q141" s="1019">
        <v>0</v>
      </c>
    </row>
    <row r="142" spans="1:17" ht="12.75" customHeight="1">
      <c r="A142" s="1067"/>
      <c r="B142" s="1025" t="str">
        <f>IFERROR(Pas.!C19," ")</f>
        <v xml:space="preserve"> </v>
      </c>
      <c r="C142" s="1028"/>
      <c r="D142" s="1023"/>
      <c r="E142" s="1023"/>
      <c r="F142" s="1023"/>
      <c r="G142" s="1046"/>
      <c r="H142" s="1049" t="str">
        <f t="shared" ref="H142:H152" si="89">IFERROR(AVERAGE(E142:G142)," ")</f>
        <v xml:space="preserve"> </v>
      </c>
      <c r="I142" s="1030"/>
      <c r="J142" s="1030"/>
      <c r="K142" s="1030"/>
      <c r="L142" s="1030"/>
      <c r="M142" s="1030"/>
      <c r="N142" s="1030"/>
      <c r="O142" s="1030"/>
      <c r="P142" s="1030"/>
      <c r="Q142" s="1030"/>
    </row>
    <row r="143" spans="1:17">
      <c r="A143" s="1067"/>
      <c r="B143" s="357" t="str">
        <f>IFERROR(Pas.!C20," ")</f>
        <v xml:space="preserve"> Liabilities</v>
      </c>
      <c r="C143" s="280"/>
      <c r="D143" s="325"/>
      <c r="E143" s="325"/>
      <c r="F143" s="325"/>
      <c r="G143" s="983"/>
      <c r="H143" s="977" t="str">
        <f t="shared" si="89"/>
        <v xml:space="preserve"> </v>
      </c>
      <c r="I143" s="20"/>
      <c r="J143" s="20"/>
      <c r="K143" s="20"/>
      <c r="L143" s="20"/>
      <c r="M143" s="20"/>
      <c r="N143" s="20"/>
      <c r="O143" s="20"/>
      <c r="P143" s="20"/>
      <c r="Q143" s="20"/>
    </row>
    <row r="144" spans="1:17">
      <c r="A144" s="1067" t="b">
        <f>IFERROR(INDEX(HS!$B$4:$C$17,MATCH(C144,HS!$B$4:$B$17,0),2), " ")</f>
        <v>0</v>
      </c>
      <c r="B144" s="1021" t="str">
        <f>IFERROR(Pas.!C22," ")</f>
        <v xml:space="preserve"> Bonds</v>
      </c>
      <c r="C144" s="1022" t="s">
        <v>262</v>
      </c>
      <c r="D144" s="1023">
        <f>IFERROR(INDEX(Pas.!$B$4:$L$49,MATCH($B144,Pas.!$C$4:$C$52,0),MATCH(D$4,Pas.!$B$4:$L$4,0))/IF($A144=FALSE, 1, INDEX('G&amp;V'!$B$4:$L$112,MATCH($A144,'G&amp;V'!$B$4:$B$112,0),MATCH(D$4,'G&amp;V'!$B$4:$L$4,0))), " ")</f>
        <v>0</v>
      </c>
      <c r="E144" s="1023">
        <f>IFERROR(INDEX(Pas.!$B$4:$L$49,MATCH($B144,Pas.!$C$4:$C$52,0),MATCH(E$4,Pas.!$B$4:$L$4,0))/IF($A144=FALSE, 1, INDEX('G&amp;V'!$B$4:$L$112,MATCH($A144,'G&amp;V'!$B$4:$B$112,0),MATCH(E$4,'G&amp;V'!$B$4:$L$4,0))), " ")</f>
        <v>0</v>
      </c>
      <c r="F144" s="1023">
        <f>IFERROR(INDEX(Pas.!$B$4:$L$49,MATCH($B144,Pas.!$C$4:$C$52,0),MATCH(F$4,Pas.!$B$4:$L$4,0))/IF($A144=FALSE, 1, INDEX('G&amp;V'!$B$4:$L$112,MATCH($A144,'G&amp;V'!$B$4:$B$112,0),MATCH(F$4,'G&amp;V'!$B$4:$L$4,0))), " ")</f>
        <v>0</v>
      </c>
      <c r="G144" s="1046">
        <f>IFERROR(INDEX(Pas.!$B$4:$L$49,MATCH($B144,Pas.!$C$4:$C$52,0),MATCH(G$4,Pas.!$B$4:$L$4,0))/IF($A144=FALSE, 1, INDEX('G&amp;V'!$B$4:$L$112,MATCH($A144,'G&amp;V'!$B$4:$B$112,0),MATCH(G$4,'G&amp;V'!$B$4:$L$4,0))), " ")</f>
        <v>0</v>
      </c>
      <c r="H144" s="1008">
        <f>G144</f>
        <v>0</v>
      </c>
      <c r="I144" s="1066">
        <f t="shared" ref="I144:Q144" si="90">IF(I4=" ", " ",H144)</f>
        <v>0</v>
      </c>
      <c r="J144" s="1066">
        <f t="shared" si="90"/>
        <v>0</v>
      </c>
      <c r="K144" s="1066">
        <f t="shared" si="90"/>
        <v>0</v>
      </c>
      <c r="L144" s="1066">
        <f t="shared" si="90"/>
        <v>0</v>
      </c>
      <c r="M144" s="1066" t="str">
        <f t="shared" si="90"/>
        <v xml:space="preserve"> </v>
      </c>
      <c r="N144" s="1066" t="str">
        <f t="shared" si="90"/>
        <v xml:space="preserve"> </v>
      </c>
      <c r="O144" s="1066" t="str">
        <f t="shared" si="90"/>
        <v xml:space="preserve"> </v>
      </c>
      <c r="P144" s="1066" t="str">
        <f t="shared" si="90"/>
        <v xml:space="preserve"> </v>
      </c>
      <c r="Q144" s="1066" t="str">
        <f t="shared" si="90"/>
        <v xml:space="preserve"> </v>
      </c>
    </row>
    <row r="145" spans="1:19">
      <c r="A145" s="1067"/>
      <c r="B145" s="355"/>
      <c r="C145" s="898" t="s">
        <v>242</v>
      </c>
      <c r="D145" s="897"/>
      <c r="E145" s="897"/>
      <c r="F145" s="897"/>
      <c r="G145" s="1002"/>
      <c r="H145" s="1019">
        <v>0</v>
      </c>
      <c r="I145" s="1019">
        <v>0</v>
      </c>
      <c r="J145" s="1019">
        <v>0</v>
      </c>
      <c r="K145" s="1019">
        <v>0</v>
      </c>
      <c r="L145" s="1019">
        <v>0</v>
      </c>
      <c r="M145" s="1019">
        <v>0</v>
      </c>
      <c r="N145" s="1019">
        <v>0</v>
      </c>
      <c r="O145" s="1019">
        <v>0</v>
      </c>
      <c r="P145" s="1019">
        <v>0</v>
      </c>
      <c r="Q145" s="1019">
        <v>0</v>
      </c>
    </row>
    <row r="146" spans="1:19">
      <c r="A146" s="1067" t="str">
        <f>IFERROR(INDEX(HS!$B$4:$C$17,MATCH(C146,HS!$B$4:$B$17,0),2), " ")</f>
        <v>Total Turnover (reported)</v>
      </c>
      <c r="B146" s="1021" t="str">
        <f>IFERROR(Pas.!C23," ")</f>
        <v xml:space="preserve"> Liabilities to Credit Institutions</v>
      </c>
      <c r="C146" s="1022" t="s">
        <v>260</v>
      </c>
      <c r="D146" s="1023" t="str">
        <f>IFERROR(INDEX(Pas.!$B$4:$L$49,MATCH($B146,Pas.!$C$4:$C$52,0),MATCH(D$4,Pas.!$B$4:$L$4,0))/IF($A146=FALSE, 1, INDEX('G&amp;V'!$B$4:$L$112,MATCH($A146,'G&amp;V'!$B$4:$B$112,0),MATCH(D$4,'G&amp;V'!$B$4:$L$4,0))), " ")</f>
        <v xml:space="preserve"> </v>
      </c>
      <c r="E146" s="1023">
        <f>IFERROR(INDEX(Pas.!$B$4:$L$49,MATCH($B146,Pas.!$C$4:$C$52,0),MATCH(E$4,Pas.!$B$4:$L$4,0))/IF($A146=FALSE, 1, INDEX('G&amp;V'!$B$4:$L$112,MATCH($A146,'G&amp;V'!$B$4:$B$112,0),MATCH(E$4,'G&amp;V'!$B$4:$L$4,0))), " ")</f>
        <v>0.36700947604761636</v>
      </c>
      <c r="F146" s="1023">
        <f>IFERROR(INDEX(Pas.!$B$4:$L$49,MATCH($B146,Pas.!$C$4:$C$52,0),MATCH(F$4,Pas.!$B$4:$L$4,0))/IF($A146=FALSE, 1, INDEX('G&amp;V'!$B$4:$L$112,MATCH($A146,'G&amp;V'!$B$4:$B$112,0),MATCH(F$4,'G&amp;V'!$B$4:$L$4,0))), " ")</f>
        <v>0.31188063758060053</v>
      </c>
      <c r="G146" s="1046">
        <f>IFERROR(INDEX(Pas.!$B$4:$L$49,MATCH($B146,Pas.!$C$4:$C$52,0),MATCH(G$4,Pas.!$B$4:$L$4,0))/IF($A146=FALSE, 1, INDEX('G&amp;V'!$B$4:$L$112,MATCH($A146,'G&amp;V'!$B$4:$B$112,0),MATCH(G$4,'G&amp;V'!$B$4:$L$4,0))), " ")</f>
        <v>0.25314927642218538</v>
      </c>
      <c r="H146" s="1049">
        <f t="shared" si="89"/>
        <v>0.3106797966834674</v>
      </c>
      <c r="I146" s="1030">
        <f t="shared" ref="I146:Q146" si="91">IF(I4=" ", " ",H146)</f>
        <v>0.3106797966834674</v>
      </c>
      <c r="J146" s="1030">
        <f t="shared" si="91"/>
        <v>0.3106797966834674</v>
      </c>
      <c r="K146" s="1030">
        <f t="shared" si="91"/>
        <v>0.3106797966834674</v>
      </c>
      <c r="L146" s="1030">
        <f t="shared" si="91"/>
        <v>0.3106797966834674</v>
      </c>
      <c r="M146" s="1030" t="str">
        <f t="shared" si="91"/>
        <v xml:space="preserve"> </v>
      </c>
      <c r="N146" s="1030" t="str">
        <f t="shared" si="91"/>
        <v xml:space="preserve"> </v>
      </c>
      <c r="O146" s="1030" t="str">
        <f t="shared" si="91"/>
        <v xml:space="preserve"> </v>
      </c>
      <c r="P146" s="1030" t="str">
        <f t="shared" si="91"/>
        <v xml:space="preserve"> </v>
      </c>
      <c r="Q146" s="1030" t="str">
        <f t="shared" si="91"/>
        <v xml:space="preserve"> </v>
      </c>
    </row>
    <row r="147" spans="1:19">
      <c r="A147" s="1067"/>
      <c r="B147" s="355"/>
      <c r="C147" s="898" t="s">
        <v>242</v>
      </c>
      <c r="D147" s="897"/>
      <c r="E147" s="897"/>
      <c r="F147" s="897"/>
      <c r="G147" s="1002"/>
      <c r="H147" s="1019">
        <v>0</v>
      </c>
      <c r="I147" s="1019">
        <v>0</v>
      </c>
      <c r="J147" s="1019">
        <v>0</v>
      </c>
      <c r="K147" s="1019">
        <v>0</v>
      </c>
      <c r="L147" s="1019">
        <v>0</v>
      </c>
      <c r="M147" s="1019">
        <v>0</v>
      </c>
      <c r="N147" s="1019">
        <v>0</v>
      </c>
      <c r="O147" s="1019">
        <v>0</v>
      </c>
      <c r="P147" s="1019">
        <v>0</v>
      </c>
      <c r="Q147" s="1019">
        <v>0</v>
      </c>
    </row>
    <row r="148" spans="1:19">
      <c r="A148" s="1067" t="str">
        <f>IFERROR(INDEX(HS!$B$4:$C$17,MATCH(C148,HS!$B$4:$B$17,0),2), " ")</f>
        <v>Total Turnover (reported)</v>
      </c>
      <c r="B148" s="1021" t="str">
        <f>IFERROR(Pas.!C24," ")</f>
        <v xml:space="preserve"> Unearned Revenue</v>
      </c>
      <c r="C148" s="1022" t="s">
        <v>260</v>
      </c>
      <c r="D148" s="1023" t="str">
        <f>IFERROR(INDEX(Pas.!$B$4:$L$49,MATCH($B148,Pas.!$C$4:$C$52,0),MATCH(D$4,Pas.!$B$4:$L$4,0))/IF($A148=FALSE, 1, INDEX('G&amp;V'!$B$4:$L$112,MATCH($A148,'G&amp;V'!$B$4:$B$112,0),MATCH(D$4,'G&amp;V'!$B$4:$L$4,0))), " ")</f>
        <v xml:space="preserve"> </v>
      </c>
      <c r="E148" s="1023">
        <f>IFERROR(INDEX(Pas.!$B$4:$L$49,MATCH($B148,Pas.!$C$4:$C$52,0),MATCH(E$4,Pas.!$B$4:$L$4,0))/IF($A148=FALSE, 1, INDEX('G&amp;V'!$B$4:$L$112,MATCH($A148,'G&amp;V'!$B$4:$B$112,0),MATCH(E$4,'G&amp;V'!$B$4:$L$4,0))), " ")</f>
        <v>0</v>
      </c>
      <c r="F148" s="1023">
        <f>IFERROR(INDEX(Pas.!$B$4:$L$49,MATCH($B148,Pas.!$C$4:$C$52,0),MATCH(F$4,Pas.!$B$4:$L$4,0))/IF($A148=FALSE, 1, INDEX('G&amp;V'!$B$4:$L$112,MATCH($A148,'G&amp;V'!$B$4:$B$112,0),MATCH(F$4,'G&amp;V'!$B$4:$L$4,0))), " ")</f>
        <v>0</v>
      </c>
      <c r="G148" s="1046">
        <f>IFERROR(INDEX(Pas.!$B$4:$L$49,MATCH($B148,Pas.!$C$4:$C$52,0),MATCH(G$4,Pas.!$B$4:$L$4,0))/IF($A148=FALSE, 1, INDEX('G&amp;V'!$B$4:$L$112,MATCH($A148,'G&amp;V'!$B$4:$B$112,0),MATCH(G$4,'G&amp;V'!$B$4:$L$4,0))), " ")</f>
        <v>0</v>
      </c>
      <c r="H148" s="1049">
        <f t="shared" si="89"/>
        <v>0</v>
      </c>
      <c r="I148" s="1030">
        <f t="shared" ref="I148:Q148" si="92">IF(I4=" ", " ",H148)</f>
        <v>0</v>
      </c>
      <c r="J148" s="1030">
        <f t="shared" si="92"/>
        <v>0</v>
      </c>
      <c r="K148" s="1030">
        <f t="shared" si="92"/>
        <v>0</v>
      </c>
      <c r="L148" s="1030">
        <f t="shared" si="92"/>
        <v>0</v>
      </c>
      <c r="M148" s="1030" t="str">
        <f t="shared" si="92"/>
        <v xml:space="preserve"> </v>
      </c>
      <c r="N148" s="1030" t="str">
        <f t="shared" si="92"/>
        <v xml:space="preserve"> </v>
      </c>
      <c r="O148" s="1030" t="str">
        <f t="shared" si="92"/>
        <v xml:space="preserve"> </v>
      </c>
      <c r="P148" s="1030" t="str">
        <f t="shared" si="92"/>
        <v xml:space="preserve"> </v>
      </c>
      <c r="Q148" s="1030" t="str">
        <f t="shared" si="92"/>
        <v xml:space="preserve"> </v>
      </c>
    </row>
    <row r="149" spans="1:19">
      <c r="A149" s="1067"/>
      <c r="B149" s="355"/>
      <c r="C149" s="898" t="s">
        <v>242</v>
      </c>
      <c r="D149" s="897"/>
      <c r="E149" s="897"/>
      <c r="F149" s="897"/>
      <c r="G149" s="1002"/>
      <c r="H149" s="1019">
        <v>0</v>
      </c>
      <c r="I149" s="1019">
        <v>0</v>
      </c>
      <c r="J149" s="1019">
        <v>0</v>
      </c>
      <c r="K149" s="1019">
        <v>0</v>
      </c>
      <c r="L149" s="1019">
        <v>0</v>
      </c>
      <c r="M149" s="1019">
        <v>0</v>
      </c>
      <c r="N149" s="1019">
        <v>0</v>
      </c>
      <c r="O149" s="1019">
        <v>0</v>
      </c>
      <c r="P149" s="1019">
        <v>0</v>
      </c>
      <c r="Q149" s="1019">
        <v>0</v>
      </c>
    </row>
    <row r="150" spans="1:19">
      <c r="A150" s="1067" t="str">
        <f>IFERROR(INDEX(HS!$B$4:$C$17,MATCH(C150,HS!$B$4:$B$17,0),2), " ")</f>
        <v>Cost of Material</v>
      </c>
      <c r="B150" s="1021" t="str">
        <f>IFERROR(Pas.!C25," ")</f>
        <v xml:space="preserve"> Liabilities from trade payables</v>
      </c>
      <c r="C150" s="1022" t="s">
        <v>259</v>
      </c>
      <c r="D150" s="1023" t="str">
        <f>IFERROR(INDEX(Pas.!$B$4:$L$49,MATCH($B150,Pas.!$C$4:$C$52,0),MATCH(D$4,Pas.!$B$4:$L$4,0))/IF($A150=FALSE, 1, INDEX('G&amp;V'!$B$4:$L$112,MATCH($A150,'G&amp;V'!$B$4:$B$112,0),MATCH(D$4,'G&amp;V'!$B$4:$L$4,0))), " ")</f>
        <v xml:space="preserve"> </v>
      </c>
      <c r="E150" s="1023" t="str">
        <f>IFERROR(INDEX(Pas.!$B$4:$L$49,MATCH($B150,Pas.!$C$4:$C$52,0),MATCH(E$4,Pas.!$B$4:$L$4,0))/IF($A150=FALSE, 1, INDEX('G&amp;V'!$B$4:$L$112,MATCH($A150,'G&amp;V'!$B$4:$B$112,0),MATCH(E$4,'G&amp;V'!$B$4:$L$4,0))), " ")</f>
        <v xml:space="preserve"> </v>
      </c>
      <c r="F150" s="1023" t="str">
        <f>IFERROR(INDEX(Pas.!$B$4:$L$49,MATCH($B150,Pas.!$C$4:$C$52,0),MATCH(F$4,Pas.!$B$4:$L$4,0))/IF($A150=FALSE, 1, INDEX('G&amp;V'!$B$4:$L$112,MATCH($A150,'G&amp;V'!$B$4:$B$112,0),MATCH(F$4,'G&amp;V'!$B$4:$L$4,0))), " ")</f>
        <v xml:space="preserve"> </v>
      </c>
      <c r="G150" s="1046" t="str">
        <f>IFERROR(INDEX(Pas.!$B$4:$L$49,MATCH($B150,Pas.!$C$4:$C$52,0),MATCH(G$4,Pas.!$B$4:$L$4,0))/IF($A150=FALSE, 1, INDEX('G&amp;V'!$B$4:$L$112,MATCH($A150,'G&amp;V'!$B$4:$B$112,0),MATCH(G$4,'G&amp;V'!$B$4:$L$4,0))), " ")</f>
        <v xml:space="preserve"> </v>
      </c>
      <c r="H150" s="1049" t="str">
        <f t="shared" si="89"/>
        <v xml:space="preserve"> </v>
      </c>
      <c r="I150" s="1030" t="str">
        <f t="shared" ref="I150:Q150" si="93">IF(I4=" ", " ",H150)</f>
        <v xml:space="preserve"> </v>
      </c>
      <c r="J150" s="1030" t="str">
        <f t="shared" si="93"/>
        <v xml:space="preserve"> </v>
      </c>
      <c r="K150" s="1030" t="str">
        <f t="shared" si="93"/>
        <v xml:space="preserve"> </v>
      </c>
      <c r="L150" s="1030" t="str">
        <f t="shared" si="93"/>
        <v xml:space="preserve"> </v>
      </c>
      <c r="M150" s="1030" t="str">
        <f t="shared" si="93"/>
        <v xml:space="preserve"> </v>
      </c>
      <c r="N150" s="1030" t="str">
        <f t="shared" si="93"/>
        <v xml:space="preserve"> </v>
      </c>
      <c r="O150" s="1030" t="str">
        <f t="shared" si="93"/>
        <v xml:space="preserve"> </v>
      </c>
      <c r="P150" s="1030" t="str">
        <f t="shared" si="93"/>
        <v xml:space="preserve"> </v>
      </c>
      <c r="Q150" s="1030" t="str">
        <f t="shared" si="93"/>
        <v xml:space="preserve"> </v>
      </c>
      <c r="S150" s="119" t="s">
        <v>264</v>
      </c>
    </row>
    <row r="151" spans="1:19">
      <c r="A151" s="1067"/>
      <c r="B151" s="355"/>
      <c r="C151" s="898" t="s">
        <v>242</v>
      </c>
      <c r="D151" s="897"/>
      <c r="E151" s="897"/>
      <c r="F151" s="897"/>
      <c r="G151" s="1002"/>
      <c r="H151" s="1019">
        <v>0</v>
      </c>
      <c r="I151" s="1019">
        <v>0</v>
      </c>
      <c r="J151" s="1019">
        <v>0</v>
      </c>
      <c r="K151" s="1019">
        <v>0</v>
      </c>
      <c r="L151" s="1019">
        <v>0</v>
      </c>
      <c r="M151" s="1019">
        <v>0</v>
      </c>
      <c r="N151" s="1019">
        <v>0</v>
      </c>
      <c r="O151" s="1019">
        <v>0</v>
      </c>
      <c r="P151" s="1019">
        <v>0</v>
      </c>
      <c r="Q151" s="1019">
        <v>0</v>
      </c>
    </row>
    <row r="152" spans="1:19">
      <c r="A152" s="1067" t="str">
        <f>IFERROR(INDEX(HS!$B$4:$C$17,MATCH(C152,HS!$B$4:$B$17,0),2), " ")</f>
        <v>Total Turnover (reported)</v>
      </c>
      <c r="B152" s="1021" t="str">
        <f>IFERROR(Pas.!C26," ")</f>
        <v xml:space="preserve"> Liabilities to affiliated companies/shareholders Companies/ shareholders</v>
      </c>
      <c r="C152" s="1022" t="s">
        <v>260</v>
      </c>
      <c r="D152" s="1023" t="str">
        <f>IFERROR(INDEX(Pas.!$B$4:$L$49,MATCH($B152,Pas.!$C$4:$C$52,0),MATCH(D$4,Pas.!$B$4:$L$4,0))/IF($A152=FALSE, 1, INDEX('G&amp;V'!$B$4:$L$112,MATCH($A152,'G&amp;V'!$B$4:$B$112,0),MATCH(D$4,'G&amp;V'!$B$4:$L$4,0))), " ")</f>
        <v xml:space="preserve"> </v>
      </c>
      <c r="E152" s="1023">
        <f>IFERROR(INDEX(Pas.!$B$4:$L$49,MATCH($B152,Pas.!$C$4:$C$52,0),MATCH(E$4,Pas.!$B$4:$L$4,0))/IF($A152=FALSE, 1, INDEX('G&amp;V'!$B$4:$L$112,MATCH($A152,'G&amp;V'!$B$4:$B$112,0),MATCH(E$4,'G&amp;V'!$B$4:$L$4,0))), " ")</f>
        <v>2.354243226720799E-2</v>
      </c>
      <c r="F152" s="1023">
        <f>IFERROR(INDEX(Pas.!$B$4:$L$49,MATCH($B152,Pas.!$C$4:$C$52,0),MATCH(F$4,Pas.!$B$4:$L$4,0))/IF($A152=FALSE, 1, INDEX('G&amp;V'!$B$4:$L$112,MATCH($A152,'G&amp;V'!$B$4:$B$112,0),MATCH(F$4,'G&amp;V'!$B$4:$L$4,0))), " ")</f>
        <v>0</v>
      </c>
      <c r="G152" s="1046">
        <f>IFERROR(INDEX(Pas.!$B$4:$L$49,MATCH($B152,Pas.!$C$4:$C$52,0),MATCH(G$4,Pas.!$B$4:$L$4,0))/IF($A152=FALSE, 1, INDEX('G&amp;V'!$B$4:$L$112,MATCH($A152,'G&amp;V'!$B$4:$B$112,0),MATCH(G$4,'G&amp;V'!$B$4:$L$4,0))), " ")</f>
        <v>0</v>
      </c>
      <c r="H152" s="1049">
        <f t="shared" si="89"/>
        <v>7.8474774224026635E-3</v>
      </c>
      <c r="I152" s="1030">
        <f t="shared" ref="I152:Q152" si="94">IF(I4=" ", " ",H152)</f>
        <v>7.8474774224026635E-3</v>
      </c>
      <c r="J152" s="1030">
        <f t="shared" si="94"/>
        <v>7.8474774224026635E-3</v>
      </c>
      <c r="K152" s="1030">
        <f t="shared" si="94"/>
        <v>7.8474774224026635E-3</v>
      </c>
      <c r="L152" s="1030">
        <f t="shared" si="94"/>
        <v>7.8474774224026635E-3</v>
      </c>
      <c r="M152" s="1030" t="str">
        <f t="shared" si="94"/>
        <v xml:space="preserve"> </v>
      </c>
      <c r="N152" s="1030" t="str">
        <f t="shared" si="94"/>
        <v xml:space="preserve"> </v>
      </c>
      <c r="O152" s="1030" t="str">
        <f t="shared" si="94"/>
        <v xml:space="preserve"> </v>
      </c>
      <c r="P152" s="1030" t="str">
        <f t="shared" si="94"/>
        <v xml:space="preserve"> </v>
      </c>
      <c r="Q152" s="1030" t="str">
        <f t="shared" si="94"/>
        <v xml:space="preserve"> </v>
      </c>
    </row>
    <row r="153" spans="1:19">
      <c r="A153" s="1067"/>
      <c r="B153" s="355"/>
      <c r="C153" s="898" t="s">
        <v>242</v>
      </c>
      <c r="D153" s="897"/>
      <c r="E153" s="897"/>
      <c r="F153" s="897"/>
      <c r="G153" s="1002"/>
      <c r="H153" s="1019">
        <v>0</v>
      </c>
      <c r="I153" s="1019">
        <v>0</v>
      </c>
      <c r="J153" s="1019">
        <v>0</v>
      </c>
      <c r="K153" s="1019">
        <v>0</v>
      </c>
      <c r="L153" s="1019">
        <v>0</v>
      </c>
      <c r="M153" s="1019">
        <v>0</v>
      </c>
      <c r="N153" s="1019">
        <v>0</v>
      </c>
      <c r="O153" s="1019">
        <v>0</v>
      </c>
      <c r="P153" s="1019">
        <v>0</v>
      </c>
      <c r="Q153" s="1019">
        <v>0</v>
      </c>
    </row>
    <row r="154" spans="1:19">
      <c r="A154" s="1067" t="str">
        <f>IFERROR(INDEX(HS!$B$4:$C$17,MATCH(C154,HS!$B$4:$B$17,0),2), " ")</f>
        <v>Total Turnover (reported)</v>
      </c>
      <c r="B154" s="1021" t="str">
        <f>IFERROR(Pas.!C27," ")</f>
        <v xml:space="preserve"> Other Liabilities</v>
      </c>
      <c r="C154" s="1022" t="s">
        <v>260</v>
      </c>
      <c r="D154" s="1023" t="str">
        <f>IFERROR(INDEX(Pas.!$B$4:$L$49,MATCH($B154,Pas.!$C$4:$C$52,0),MATCH(D$4,Pas.!$B$4:$L$4,0))/IF($A154=FALSE, 1, INDEX('G&amp;V'!$B$4:$L$112,MATCH($A154,'G&amp;V'!$B$4:$B$112,0),MATCH(D$4,'G&amp;V'!$B$4:$L$4,0))), " ")</f>
        <v xml:space="preserve"> </v>
      </c>
      <c r="E154" s="1023">
        <f>IFERROR(INDEX(Pas.!$B$4:$L$49,MATCH($B154,Pas.!$C$4:$C$52,0),MATCH(E$4,Pas.!$B$4:$L$4,0))/IF($A154=FALSE, 1, INDEX('G&amp;V'!$B$4:$L$112,MATCH($A154,'G&amp;V'!$B$4:$B$112,0),MATCH(E$4,'G&amp;V'!$B$4:$L$4,0))), " ")</f>
        <v>3.2006654308933256E-2</v>
      </c>
      <c r="F154" s="1023">
        <f>IFERROR(INDEX(Pas.!$B$4:$L$49,MATCH($B154,Pas.!$C$4:$C$52,0),MATCH(F$4,Pas.!$B$4:$L$4,0))/IF($A154=FALSE, 1, INDEX('G&amp;V'!$B$4:$L$112,MATCH($A154,'G&amp;V'!$B$4:$B$112,0),MATCH(F$4,'G&amp;V'!$B$4:$L$4,0))), " ")</f>
        <v>3.494450991312046E-2</v>
      </c>
      <c r="G154" s="1046">
        <f>IFERROR(INDEX(Pas.!$B$4:$L$49,MATCH($B154,Pas.!$C$4:$C$52,0),MATCH(G$4,Pas.!$B$4:$L$4,0))/IF($A154=FALSE, 1, INDEX('G&amp;V'!$B$4:$L$112,MATCH($A154,'G&amp;V'!$B$4:$B$112,0),MATCH(G$4,'G&amp;V'!$B$4:$L$4,0))), " ")</f>
        <v>3.1486772511389767E-2</v>
      </c>
      <c r="H154" s="1049">
        <f>IFERROR(AVERAGE(E154:G154)," ")</f>
        <v>3.2812645577814492E-2</v>
      </c>
      <c r="I154" s="1030">
        <f t="shared" ref="I154:Q154" si="95">IF(I4=" ", " ",H154)</f>
        <v>3.2812645577814492E-2</v>
      </c>
      <c r="J154" s="1030">
        <f t="shared" si="95"/>
        <v>3.2812645577814492E-2</v>
      </c>
      <c r="K154" s="1030">
        <f t="shared" si="95"/>
        <v>3.2812645577814492E-2</v>
      </c>
      <c r="L154" s="1030">
        <f t="shared" si="95"/>
        <v>3.2812645577814492E-2</v>
      </c>
      <c r="M154" s="1030" t="str">
        <f t="shared" si="95"/>
        <v xml:space="preserve"> </v>
      </c>
      <c r="N154" s="1030" t="str">
        <f t="shared" si="95"/>
        <v xml:space="preserve"> </v>
      </c>
      <c r="O154" s="1030" t="str">
        <f t="shared" si="95"/>
        <v xml:space="preserve"> </v>
      </c>
      <c r="P154" s="1030" t="str">
        <f t="shared" si="95"/>
        <v xml:space="preserve"> </v>
      </c>
      <c r="Q154" s="1030" t="str">
        <f t="shared" si="95"/>
        <v xml:space="preserve"> </v>
      </c>
    </row>
    <row r="155" spans="1:19">
      <c r="A155" s="1067"/>
      <c r="B155" s="358" t="str">
        <f>IFERROR(Pas.!C28," ")</f>
        <v xml:space="preserve"> </v>
      </c>
      <c r="C155" s="898" t="s">
        <v>242</v>
      </c>
      <c r="D155" s="897"/>
      <c r="E155" s="897"/>
      <c r="F155" s="897"/>
      <c r="G155" s="1002"/>
      <c r="H155" s="1019">
        <v>0</v>
      </c>
      <c r="I155" s="1019">
        <v>0</v>
      </c>
      <c r="J155" s="1019">
        <v>0</v>
      </c>
      <c r="K155" s="1019">
        <v>0</v>
      </c>
      <c r="L155" s="1019">
        <v>0</v>
      </c>
      <c r="M155" s="1019">
        <v>0</v>
      </c>
      <c r="N155" s="1019">
        <v>0</v>
      </c>
      <c r="O155" s="1019">
        <v>0</v>
      </c>
      <c r="P155" s="1019">
        <v>0</v>
      </c>
      <c r="Q155" s="1019">
        <v>0</v>
      </c>
    </row>
    <row r="156" spans="1:19">
      <c r="A156" s="1067"/>
      <c r="B156" s="1031"/>
      <c r="C156" s="1032"/>
      <c r="D156" s="1033"/>
      <c r="E156" s="1033"/>
      <c r="F156" s="1033"/>
      <c r="G156" s="1043"/>
      <c r="H156" s="1051" t="str">
        <f t="shared" ref="H156" si="96">IFERROR(AVERAGE(E156:G156)," ")</f>
        <v xml:space="preserve"> </v>
      </c>
      <c r="I156" s="1034"/>
      <c r="J156" s="1034"/>
      <c r="K156" s="1034"/>
      <c r="L156" s="1034"/>
      <c r="M156" s="1034"/>
      <c r="N156" s="1034"/>
      <c r="O156" s="1034"/>
      <c r="P156" s="1034"/>
      <c r="Q156" s="1034"/>
    </row>
    <row r="157" spans="1:19">
      <c r="A157" s="1067" t="str">
        <f>IFERROR(INDEX(HS!$B$4:$C$17,MATCH(C157,HS!$B$4:$B$17,0),2), " ")</f>
        <v>Total Turnover (reported)</v>
      </c>
      <c r="B157" s="1029" t="str">
        <f>IFERROR(Pas.!C29," ")</f>
        <v xml:space="preserve"> Accrued expenses / Deferred income</v>
      </c>
      <c r="C157" s="1022" t="s">
        <v>260</v>
      </c>
      <c r="D157" s="1023" t="str">
        <f>IFERROR(INDEX(Pas.!$B$4:$L$49,MATCH($B157,Pas.!$C$4:$C$52,0),MATCH(D$4,Pas.!$B$4:$L$4,0))/IF($A157=FALSE, 1, INDEX('G&amp;V'!$B$4:$L$112,MATCH($A157,'G&amp;V'!$B$4:$B$112,0),MATCH(D$4,'G&amp;V'!$B$4:$L$4,0))), " ")</f>
        <v xml:space="preserve"> </v>
      </c>
      <c r="E157" s="1023">
        <f>IFERROR(INDEX(Pas.!$B$4:$L$49,MATCH($B157,Pas.!$C$4:$C$52,0),MATCH(E$4,Pas.!$B$4:$L$4,0))/IF($A157=FALSE, 1, INDEX('G&amp;V'!$B$4:$L$112,MATCH($A157,'G&amp;V'!$B$4:$B$112,0),MATCH(E$4,'G&amp;V'!$B$4:$L$4,0))), " ")</f>
        <v>0</v>
      </c>
      <c r="F157" s="1023">
        <f>IFERROR(INDEX(Pas.!$B$4:$L$49,MATCH($B157,Pas.!$C$4:$C$52,0),MATCH(F$4,Pas.!$B$4:$L$4,0))/IF($A157=FALSE, 1, INDEX('G&amp;V'!$B$4:$L$112,MATCH($A157,'G&amp;V'!$B$4:$B$112,0),MATCH(F$4,'G&amp;V'!$B$4:$L$4,0))), " ")</f>
        <v>0</v>
      </c>
      <c r="G157" s="1046">
        <f>IFERROR(INDEX(Pas.!$B$4:$L$49,MATCH($B157,Pas.!$C$4:$C$52,0),MATCH(G$4,Pas.!$B$4:$L$4,0))/IF($A157=FALSE, 1, INDEX('G&amp;V'!$B$4:$L$112,MATCH($A157,'G&amp;V'!$B$4:$B$112,0),MATCH(G$4,'G&amp;V'!$B$4:$L$4,0))), " ")</f>
        <v>0</v>
      </c>
      <c r="H157" s="1049">
        <f>IFERROR(AVERAGE(E157:G157)," ")</f>
        <v>0</v>
      </c>
      <c r="I157" s="1030">
        <f t="shared" ref="I157:Q157" si="97">IF(I4=" ", " ",H157)</f>
        <v>0</v>
      </c>
      <c r="J157" s="1030">
        <f t="shared" si="97"/>
        <v>0</v>
      </c>
      <c r="K157" s="1030">
        <f t="shared" si="97"/>
        <v>0</v>
      </c>
      <c r="L157" s="1030">
        <f t="shared" si="97"/>
        <v>0</v>
      </c>
      <c r="M157" s="1030" t="str">
        <f t="shared" si="97"/>
        <v xml:space="preserve"> </v>
      </c>
      <c r="N157" s="1030" t="str">
        <f t="shared" si="97"/>
        <v xml:space="preserve"> </v>
      </c>
      <c r="O157" s="1030" t="str">
        <f t="shared" si="97"/>
        <v xml:space="preserve"> </v>
      </c>
      <c r="P157" s="1030" t="str">
        <f t="shared" si="97"/>
        <v xml:space="preserve"> </v>
      </c>
      <c r="Q157" s="1030" t="str">
        <f t="shared" si="97"/>
        <v xml:space="preserve"> </v>
      </c>
    </row>
    <row r="158" spans="1:19">
      <c r="A158" s="1067"/>
      <c r="B158" s="357"/>
      <c r="C158" s="898" t="s">
        <v>242</v>
      </c>
      <c r="D158" s="897"/>
      <c r="E158" s="897"/>
      <c r="F158" s="897"/>
      <c r="G158" s="1002"/>
      <c r="H158" s="1019">
        <v>0</v>
      </c>
      <c r="I158" s="1019">
        <v>0</v>
      </c>
      <c r="J158" s="1019">
        <v>0</v>
      </c>
      <c r="K158" s="1019">
        <v>0</v>
      </c>
      <c r="L158" s="1019">
        <v>0</v>
      </c>
      <c r="M158" s="1019">
        <v>0</v>
      </c>
      <c r="N158" s="1019">
        <v>0</v>
      </c>
      <c r="O158" s="1019">
        <v>0</v>
      </c>
      <c r="P158" s="1019">
        <v>0</v>
      </c>
      <c r="Q158" s="1019">
        <v>0</v>
      </c>
    </row>
    <row r="159" spans="1:19">
      <c r="A159" s="1067" t="str">
        <f>IFERROR(INDEX(HS!$B$4:$C$17,MATCH(C159,HS!$B$4:$B$17,0),2), " ")</f>
        <v>Total Turnover (reported)</v>
      </c>
      <c r="B159" s="1039" t="str">
        <f>IFERROR(Pas.!C30," ")</f>
        <v xml:space="preserve"> Deferred Tax Liabilities</v>
      </c>
      <c r="C159" s="1022" t="s">
        <v>260</v>
      </c>
      <c r="D159" s="1023" t="str">
        <f>IFERROR(INDEX(Pas.!$B$4:$L$49,MATCH($B159,Pas.!$C$4:$C$52,0),MATCH(D$4,Pas.!$B$4:$L$4,0))/IF($A159=FALSE, 1, INDEX('G&amp;V'!$B$4:$L$112,MATCH($A159,'G&amp;V'!$B$4:$B$112,0),MATCH(D$4,'G&amp;V'!$B$4:$L$4,0))), " ")</f>
        <v xml:space="preserve"> </v>
      </c>
      <c r="E159" s="1023">
        <f>IFERROR(INDEX(Pas.!$B$4:$L$49,MATCH($B159,Pas.!$C$4:$C$52,0),MATCH(E$4,Pas.!$B$4:$L$4,0))/IF($A159=FALSE, 1, INDEX('G&amp;V'!$B$4:$L$112,MATCH($A159,'G&amp;V'!$B$4:$B$112,0),MATCH(E$4,'G&amp;V'!$B$4:$L$4,0))), " ")</f>
        <v>0</v>
      </c>
      <c r="F159" s="1023">
        <f>IFERROR(INDEX(Pas.!$B$4:$L$49,MATCH($B159,Pas.!$C$4:$C$52,0),MATCH(F$4,Pas.!$B$4:$L$4,0))/IF($A159=FALSE, 1, INDEX('G&amp;V'!$B$4:$L$112,MATCH($A159,'G&amp;V'!$B$4:$B$112,0),MATCH(F$4,'G&amp;V'!$B$4:$L$4,0))), " ")</f>
        <v>0</v>
      </c>
      <c r="G159" s="1046">
        <f>IFERROR(INDEX(Pas.!$B$4:$L$49,MATCH($B159,Pas.!$C$4:$C$52,0),MATCH(G$4,Pas.!$B$4:$L$4,0))/IF($A159=FALSE, 1, INDEX('G&amp;V'!$B$4:$L$112,MATCH($A159,'G&amp;V'!$B$4:$B$112,0),MATCH(G$4,'G&amp;V'!$B$4:$L$4,0))), " ")</f>
        <v>0</v>
      </c>
      <c r="H159" s="1049">
        <f>IFERROR(AVERAGE(E159:G159)," ")</f>
        <v>0</v>
      </c>
      <c r="I159" s="1030">
        <f t="shared" ref="I159:Q159" si="98">IF(I4=" ", " ",H159)</f>
        <v>0</v>
      </c>
      <c r="J159" s="1030">
        <f t="shared" si="98"/>
        <v>0</v>
      </c>
      <c r="K159" s="1030">
        <f t="shared" si="98"/>
        <v>0</v>
      </c>
      <c r="L159" s="1030">
        <f t="shared" si="98"/>
        <v>0</v>
      </c>
      <c r="M159" s="1030" t="str">
        <f t="shared" si="98"/>
        <v xml:space="preserve"> </v>
      </c>
      <c r="N159" s="1030" t="str">
        <f t="shared" si="98"/>
        <v xml:space="preserve"> </v>
      </c>
      <c r="O159" s="1030" t="str">
        <f t="shared" si="98"/>
        <v xml:space="preserve"> </v>
      </c>
      <c r="P159" s="1030" t="str">
        <f t="shared" si="98"/>
        <v xml:space="preserve"> </v>
      </c>
      <c r="Q159" s="1030" t="str">
        <f t="shared" si="98"/>
        <v xml:space="preserve"> </v>
      </c>
    </row>
    <row r="160" spans="1:19">
      <c r="A160" s="1067"/>
      <c r="B160" s="357" t="str">
        <f>IFERROR(Pas.!C31," ")</f>
        <v xml:space="preserve"> </v>
      </c>
      <c r="C160" s="898" t="s">
        <v>242</v>
      </c>
      <c r="D160" s="897"/>
      <c r="E160" s="897"/>
      <c r="F160" s="897"/>
      <c r="G160" s="1002"/>
      <c r="H160" s="1019">
        <v>0</v>
      </c>
      <c r="I160" s="1019">
        <v>0</v>
      </c>
      <c r="J160" s="1019">
        <v>0</v>
      </c>
      <c r="K160" s="1019">
        <v>0</v>
      </c>
      <c r="L160" s="1019">
        <v>0</v>
      </c>
      <c r="M160" s="1019">
        <v>0</v>
      </c>
      <c r="N160" s="1019">
        <v>0</v>
      </c>
      <c r="O160" s="1019">
        <v>0</v>
      </c>
      <c r="P160" s="1019">
        <v>0</v>
      </c>
      <c r="Q160" s="1019">
        <v>0</v>
      </c>
    </row>
    <row r="161" spans="1:17">
      <c r="A161" s="356"/>
      <c r="B161" s="1028"/>
      <c r="C161" s="1028"/>
      <c r="D161" s="1028"/>
      <c r="E161" s="1028"/>
      <c r="F161" s="1028"/>
      <c r="G161" s="1046"/>
      <c r="H161" s="1038"/>
      <c r="I161" s="1038"/>
      <c r="J161" s="1038"/>
      <c r="K161" s="1038"/>
      <c r="L161" s="1038"/>
      <c r="M161" s="1038"/>
      <c r="N161" s="1038"/>
      <c r="O161" s="1038"/>
      <c r="P161" s="1038"/>
      <c r="Q161" s="1038"/>
    </row>
    <row r="162" spans="1:17">
      <c r="A162" s="119"/>
      <c r="B162" s="1044" t="s">
        <v>265</v>
      </c>
      <c r="C162" s="280"/>
      <c r="D162" s="280"/>
      <c r="E162" s="280"/>
      <c r="F162" s="280"/>
      <c r="G162" s="1002"/>
      <c r="H162" s="1565">
        <f t="shared" ref="H162:Q162" si="99">SUM(H163:H164)</f>
        <v>0</v>
      </c>
      <c r="I162" s="1565">
        <f t="shared" si="99"/>
        <v>0</v>
      </c>
      <c r="J162" s="1565">
        <f t="shared" si="99"/>
        <v>0</v>
      </c>
      <c r="K162" s="1565">
        <f t="shared" si="99"/>
        <v>0</v>
      </c>
      <c r="L162" s="1565">
        <f t="shared" si="99"/>
        <v>0</v>
      </c>
      <c r="M162" s="1565">
        <f t="shared" si="99"/>
        <v>0</v>
      </c>
      <c r="N162" s="1565">
        <f t="shared" si="99"/>
        <v>0</v>
      </c>
      <c r="O162" s="1565">
        <f t="shared" si="99"/>
        <v>0</v>
      </c>
      <c r="P162" s="1565">
        <f t="shared" si="99"/>
        <v>0</v>
      </c>
      <c r="Q162" s="1565">
        <f t="shared" si="99"/>
        <v>0</v>
      </c>
    </row>
    <row r="163" spans="1:17">
      <c r="A163" s="119"/>
      <c r="B163" s="1045" t="s">
        <v>266</v>
      </c>
      <c r="C163" s="1028"/>
      <c r="D163" s="1028"/>
      <c r="E163" s="1028"/>
      <c r="F163" s="1028"/>
      <c r="G163" s="1046"/>
      <c r="H163" s="1041">
        <v>0</v>
      </c>
      <c r="I163" s="1041">
        <v>0</v>
      </c>
      <c r="J163" s="1041">
        <v>0</v>
      </c>
      <c r="K163" s="1041">
        <v>0</v>
      </c>
      <c r="L163" s="1041">
        <v>0</v>
      </c>
      <c r="M163" s="1041">
        <v>0</v>
      </c>
      <c r="N163" s="1041">
        <v>0</v>
      </c>
      <c r="O163" s="1041">
        <v>0</v>
      </c>
      <c r="P163" s="1041">
        <v>0</v>
      </c>
      <c r="Q163" s="1041">
        <v>0</v>
      </c>
    </row>
    <row r="164" spans="1:17">
      <c r="A164" s="119"/>
      <c r="B164" s="355" t="s">
        <v>267</v>
      </c>
      <c r="C164" s="280"/>
      <c r="D164" s="280"/>
      <c r="E164" s="280"/>
      <c r="F164" s="280"/>
      <c r="G164" s="895"/>
      <c r="H164" s="1042">
        <v>0</v>
      </c>
      <c r="I164" s="1042">
        <v>0</v>
      </c>
      <c r="J164" s="1042">
        <v>0</v>
      </c>
      <c r="K164" s="1042">
        <v>0</v>
      </c>
      <c r="L164" s="1042">
        <v>0</v>
      </c>
      <c r="M164" s="1042">
        <v>0</v>
      </c>
      <c r="N164" s="1042">
        <v>0</v>
      </c>
      <c r="O164" s="1042">
        <v>0</v>
      </c>
      <c r="P164" s="1042">
        <v>0</v>
      </c>
      <c r="Q164" s="1042">
        <v>0</v>
      </c>
    </row>
    <row r="165" spans="1:17">
      <c r="B165" s="1028"/>
      <c r="C165" s="1028"/>
      <c r="D165" s="1028"/>
      <c r="E165" s="1028"/>
      <c r="F165" s="1028"/>
      <c r="G165" s="1068"/>
      <c r="H165" s="1038"/>
      <c r="I165" s="1038"/>
      <c r="J165" s="1038"/>
      <c r="K165" s="1038"/>
      <c r="L165" s="1038"/>
      <c r="M165" s="1038"/>
      <c r="N165" s="1038"/>
      <c r="O165" s="1038"/>
      <c r="P165" s="1038"/>
      <c r="Q165" s="1038"/>
    </row>
    <row r="166" spans="1:17">
      <c r="B166" s="1044" t="s">
        <v>268</v>
      </c>
      <c r="C166" s="280" t="str">
        <f>IFERROR(Pas.!C11+Pas.!C12-Pas.!E11,"")</f>
        <v/>
      </c>
      <c r="D166" s="280">
        <f>IFERROR(Pas.!E11+Pas.!E12-Pas.!F11,"")</f>
        <v>347481.07309634122</v>
      </c>
      <c r="E166" s="280" t="str">
        <f>IFERROR(Pas.!F11+Pas.!F12-Pas.!#REF!,"")</f>
        <v/>
      </c>
      <c r="F166" s="280" t="str">
        <f>IFERROR(Pas.!#REF!+Pas.!#REF!-Pas.!G11,"")</f>
        <v/>
      </c>
      <c r="G166" s="1002">
        <f>IFERROR(Pas.!G11+Pas.!G12-Pas.!H11,"")</f>
        <v>0</v>
      </c>
      <c r="H166" s="1042">
        <v>0</v>
      </c>
      <c r="I166" s="1042">
        <v>0</v>
      </c>
      <c r="J166" s="1042">
        <v>0</v>
      </c>
      <c r="K166" s="1042">
        <v>0</v>
      </c>
      <c r="L166" s="1042">
        <v>0</v>
      </c>
      <c r="M166" s="1042">
        <v>0</v>
      </c>
      <c r="N166" s="1042">
        <v>0</v>
      </c>
      <c r="O166" s="1042">
        <v>0</v>
      </c>
      <c r="P166" s="1042">
        <v>0</v>
      </c>
      <c r="Q166" s="1042">
        <v>0</v>
      </c>
    </row>
  </sheetData>
  <sheetProtection formatCells="0" formatColumns="0" formatRows="0" insertRows="0"/>
  <phoneticPr fontId="214" type="noConversion"/>
  <conditionalFormatting sqref="D157:G157">
    <cfRule type="expression" dxfId="16" priority="5">
      <formula>$C157 = "(Absolut)"</formula>
    </cfRule>
    <cfRule type="expression" dxfId="15" priority="6">
      <formula>$C157&lt;&gt;"(Absolut)"</formula>
    </cfRule>
  </conditionalFormatting>
  <conditionalFormatting sqref="D109:Q109 D111:Q111 D113:Q113 D115:Q115 D118:Q119 D121:Q121 D123:Q123 D125:Q126 D128:Q128 D130:Q130 E132:Q135 D136:Q136 D138:Q138 D140:Q140 D142:Q144 D146:Q146 D148:Q148 D150:Q150 D152:Q152 D154:Q154">
    <cfRule type="expression" dxfId="14" priority="21">
      <formula>$C109 = "(Absolut)"</formula>
    </cfRule>
    <cfRule type="expression" dxfId="13" priority="22">
      <formula>$C109&lt;&gt;"(Absolut)"</formula>
    </cfRule>
  </conditionalFormatting>
  <conditionalFormatting sqref="D159:Q159">
    <cfRule type="expression" dxfId="12" priority="3">
      <formula>$C159 = "(Absolut)"</formula>
    </cfRule>
    <cfRule type="expression" dxfId="11" priority="4">
      <formula>$C159&lt;&gt;"(Absolut)"</formula>
    </cfRule>
  </conditionalFormatting>
  <conditionalFormatting sqref="G161">
    <cfRule type="expression" dxfId="10" priority="9">
      <formula>$C161 = "(Absolut)"</formula>
    </cfRule>
    <cfRule type="expression" dxfId="9" priority="10">
      <formula>$C161&lt;&gt;"(Absolut)"</formula>
    </cfRule>
  </conditionalFormatting>
  <conditionalFormatting sqref="G163">
    <cfRule type="expression" dxfId="8" priority="7">
      <formula>$C163 = "(Absolut)"</formula>
    </cfRule>
    <cfRule type="expression" dxfId="7" priority="8">
      <formula>$C163&lt;&gt;"(Absolut)"</formula>
    </cfRule>
  </conditionalFormatting>
  <conditionalFormatting sqref="H117:Q117">
    <cfRule type="expression" dxfId="6" priority="13">
      <formula>$C117 = "(Absolut)"</formula>
    </cfRule>
    <cfRule type="expression" dxfId="5" priority="14">
      <formula>$C117&lt;&gt;"(Absolut)"</formula>
    </cfRule>
  </conditionalFormatting>
  <conditionalFormatting sqref="H156:Q157">
    <cfRule type="expression" dxfId="4" priority="11">
      <formula>$C156 = "(Absolut)"</formula>
    </cfRule>
    <cfRule type="expression" dxfId="3" priority="12">
      <formula>$C156&lt;&gt;"(Absolut)"</formula>
    </cfRule>
  </conditionalFormatting>
  <printOptions horizontalCentered="1"/>
  <pageMargins left="0.23622047244094491" right="0.23622047244094491" top="0.74803149606299213" bottom="0.74803149606299213" header="0.31496062992125984" footer="0.31496062992125984"/>
  <pageSetup paperSize="9" scale="48" orientation="portrait" cellComments="asDisplayed" horizontalDpi="4294967294" r:id="rId1"/>
  <headerFooter alignWithMargins="0"/>
  <ignoredErrors>
    <ignoredError sqref="M14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3B7A1ED5-6006-4CDB-8375-0DC28B0DE58C}">
          <x14:formula1>
            <xm:f>HS!$B$5:$B$14</xm:f>
          </x14:formula1>
          <xm:sqref>D108 C111 C113 C121 D135 C125:C126 C123 C130 C115 C138 C140 C142:C144 C146 C148 C150 C152 C154 C157 C128 C118:C119 C108:C109 C159 C135:C136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5">
    <tabColor rgb="FFFFC000"/>
    <pageSetUpPr fitToPage="1"/>
  </sheetPr>
  <dimension ref="A1:S59"/>
  <sheetViews>
    <sheetView workbookViewId="0"/>
  </sheetViews>
  <sheetFormatPr defaultColWidth="11.42578125" defaultRowHeight="12.75"/>
  <cols>
    <col min="1" max="1" width="5.7109375" style="359" customWidth="1"/>
    <col min="2" max="2" width="64.42578125" style="359" bestFit="1" customWidth="1"/>
    <col min="3" max="3" width="9" style="360" customWidth="1"/>
    <col min="4" max="4" width="12.42578125" style="360" customWidth="1"/>
    <col min="5" max="7" width="12.42578125" style="359" customWidth="1"/>
    <col min="8" max="8" width="12.42578125" style="361" customWidth="1"/>
    <col min="9" max="12" width="12.42578125" style="359" customWidth="1"/>
    <col min="13" max="17" width="1.42578125" style="359" customWidth="1"/>
    <col min="18" max="20" width="14.140625" style="359" customWidth="1"/>
    <col min="21" max="16384" width="11.42578125" style="359"/>
  </cols>
  <sheetData>
    <row r="1" spans="1:19" ht="15" customHeight="1"/>
    <row r="2" spans="1:19" ht="18.75">
      <c r="B2" s="115" t="str">
        <f>Übersicht!C17</f>
        <v>Working Capital und Net Debt</v>
      </c>
    </row>
    <row r="4" spans="1:19">
      <c r="B4" s="362" t="s">
        <v>269</v>
      </c>
      <c r="C4" s="363" t="str">
        <f>+Eckdaten!C14</f>
        <v>EUR</v>
      </c>
      <c r="D4" s="122">
        <f>+Akt.!D4</f>
        <v>2021</v>
      </c>
      <c r="E4" s="122">
        <f>+Akt.!E4</f>
        <v>2022</v>
      </c>
      <c r="F4" s="122">
        <f t="shared" ref="F4:H4" si="0">+E4+1</f>
        <v>2023</v>
      </c>
      <c r="G4" s="122">
        <f t="shared" si="0"/>
        <v>2024</v>
      </c>
      <c r="H4" s="123">
        <f t="shared" si="0"/>
        <v>2025</v>
      </c>
      <c r="I4" s="1498">
        <f>IF(Eckdaten!$C$20+Eckdaten!$C$12&gt;H4,H4+1," ")</f>
        <v>2026</v>
      </c>
      <c r="J4" s="1498">
        <f>IF(Eckdaten!$C$20+Eckdaten!$C$12&gt;I4,I4+1," ")</f>
        <v>2027</v>
      </c>
      <c r="K4" s="1498">
        <f>IF(Eckdaten!$C$20+Eckdaten!$C$12&gt;J4,J4+1," ")</f>
        <v>2028</v>
      </c>
      <c r="L4" s="1498">
        <f>IF(Eckdaten!$C$20+Eckdaten!$C$12&gt;K4,K4+1," ")</f>
        <v>2029</v>
      </c>
      <c r="M4" s="1498" t="str">
        <f>IF(Eckdaten!$C$20+Eckdaten!$C$12&gt;L4,L4+1," ")</f>
        <v xml:space="preserve"> </v>
      </c>
      <c r="N4" s="1498" t="str">
        <f>IF(Eckdaten!$C$20+Eckdaten!$C$12&gt;M4,M4+1," ")</f>
        <v xml:space="preserve"> </v>
      </c>
      <c r="O4" s="1498" t="str">
        <f>IF(Eckdaten!$C$20+Eckdaten!$C$12&gt;N4,N4+1," ")</f>
        <v xml:space="preserve"> </v>
      </c>
      <c r="P4" s="1498" t="str">
        <f>IF(Eckdaten!$C$20+Eckdaten!$C$12&gt;O4,O4+1," ")</f>
        <v xml:space="preserve"> </v>
      </c>
      <c r="Q4" s="1498" t="str">
        <f>IF(Eckdaten!$C$20+Eckdaten!$C$12&gt;P4,P4+1," ")</f>
        <v xml:space="preserve"> </v>
      </c>
    </row>
    <row r="5" spans="1:19">
      <c r="B5" s="364"/>
      <c r="C5" s="363"/>
      <c r="D5" s="127" t="str">
        <f>+'G&amp;V'!D5</f>
        <v>A</v>
      </c>
      <c r="E5" s="127" t="str">
        <f>+'G&amp;V'!E5</f>
        <v>A</v>
      </c>
      <c r="F5" s="127" t="str">
        <f>+'G&amp;V'!F5</f>
        <v>A</v>
      </c>
      <c r="G5" s="127" t="str">
        <f>+'G&amp;V'!G5</f>
        <v>A</v>
      </c>
      <c r="H5" s="128" t="str">
        <f>+'G&amp;V'!H5</f>
        <v>FC</v>
      </c>
      <c r="I5" s="1499" t="str">
        <f>IF(I4=" "," ","P")</f>
        <v>P</v>
      </c>
      <c r="J5" s="1499" t="str">
        <f t="shared" ref="J5:Q5" si="1">IF(J4=" "," ","P")</f>
        <v>P</v>
      </c>
      <c r="K5" s="1499" t="str">
        <f t="shared" si="1"/>
        <v>P</v>
      </c>
      <c r="L5" s="1499" t="str">
        <f t="shared" si="1"/>
        <v>P</v>
      </c>
      <c r="M5" s="1499" t="str">
        <f t="shared" si="1"/>
        <v xml:space="preserve"> </v>
      </c>
      <c r="N5" s="1499" t="str">
        <f t="shared" si="1"/>
        <v xml:space="preserve"> </v>
      </c>
      <c r="O5" s="1499" t="str">
        <f t="shared" si="1"/>
        <v xml:space="preserve"> </v>
      </c>
      <c r="P5" s="1499" t="str">
        <f t="shared" si="1"/>
        <v xml:space="preserve"> </v>
      </c>
      <c r="Q5" s="1499" t="str">
        <f t="shared" si="1"/>
        <v xml:space="preserve"> </v>
      </c>
    </row>
    <row r="6" spans="1:19">
      <c r="D6" s="359"/>
      <c r="I6" s="361"/>
      <c r="J6" s="361"/>
      <c r="K6" s="361"/>
      <c r="L6" s="361"/>
    </row>
    <row r="7" spans="1:19">
      <c r="B7" s="359" t="str">
        <f>Lang.!B191</f>
        <v>( + ) Inventories</v>
      </c>
      <c r="D7" s="365">
        <f>+Akt.!D28</f>
        <v>0</v>
      </c>
      <c r="E7" s="365">
        <f>+Akt.!E28</f>
        <v>144370.78197615681</v>
      </c>
      <c r="F7" s="365">
        <f>+Akt.!F28</f>
        <v>133187.53768844221</v>
      </c>
      <c r="G7" s="365">
        <f>+Akt.!G28</f>
        <v>141271.21029352632</v>
      </c>
      <c r="H7" s="365" t="e">
        <f>+Akt.!H28</f>
        <v>#VALUE!</v>
      </c>
      <c r="I7" s="365">
        <f>IF(I4=" ", " ",Akt.!I28)</f>
        <v>0</v>
      </c>
      <c r="J7" s="365">
        <f>IF(J4=" ", " ",Akt.!J28)</f>
        <v>0</v>
      </c>
      <c r="K7" s="365">
        <f>IF(K4=" ", " ",Akt.!K28)</f>
        <v>0</v>
      </c>
      <c r="L7" s="365">
        <f>IF(L4=" ", " ",Akt.!L28)</f>
        <v>0</v>
      </c>
      <c r="M7" s="365" t="str">
        <f>IF(M4=" ", " ",Akt.!M28)</f>
        <v xml:space="preserve"> </v>
      </c>
      <c r="N7" s="365" t="str">
        <f>IF(N4=" ", " ",Akt.!N28)</f>
        <v xml:space="preserve"> </v>
      </c>
      <c r="O7" s="365" t="str">
        <f>IF(O4=" ", " ",Akt.!O28)</f>
        <v xml:space="preserve"> </v>
      </c>
      <c r="P7" s="365" t="str">
        <f>IF(P4=" ", " ",Akt.!P28)</f>
        <v xml:space="preserve"> </v>
      </c>
      <c r="Q7" s="365" t="str">
        <f>IF(Q4=" ", " ",Akt.!Q28)</f>
        <v xml:space="preserve"> </v>
      </c>
    </row>
    <row r="8" spans="1:19">
      <c r="B8" s="359" t="str">
        <f>Lang.!B192</f>
        <v>( + ) Trade receivables</v>
      </c>
      <c r="D8" s="365">
        <f>+Akt.!D35</f>
        <v>0</v>
      </c>
      <c r="E8" s="365">
        <f>+Akt.!E35</f>
        <v>6410442.7157001421</v>
      </c>
      <c r="F8" s="365">
        <f>+Akt.!F35</f>
        <v>5777055.6783919604</v>
      </c>
      <c r="G8" s="365">
        <f>+Akt.!G35</f>
        <v>5051499.1958182547</v>
      </c>
      <c r="H8" s="365">
        <f>+Akt.!H35</f>
        <v>5443156.161928691</v>
      </c>
      <c r="I8" s="365">
        <f>IF(I4=" ", " ",Akt.!I35)</f>
        <v>0</v>
      </c>
      <c r="J8" s="365">
        <f>IF(J4=" ", " ",Akt.!J35)</f>
        <v>0</v>
      </c>
      <c r="K8" s="365">
        <f>IF(K4=" ", " ",Akt.!K35)</f>
        <v>0</v>
      </c>
      <c r="L8" s="365">
        <f>IF(L4=" ", " ",Akt.!L35)</f>
        <v>0</v>
      </c>
      <c r="M8" s="365" t="str">
        <f>IF(M4=" ", " ",Akt.!M35)</f>
        <v xml:space="preserve"> </v>
      </c>
      <c r="N8" s="365" t="str">
        <f>IF(N4=" ", " ",Akt.!N35)</f>
        <v xml:space="preserve"> </v>
      </c>
      <c r="O8" s="365" t="str">
        <f>IF(O4=" ", " ",Akt.!O35)</f>
        <v xml:space="preserve"> </v>
      </c>
      <c r="P8" s="365" t="str">
        <f>IF(P4=" ", " ",Akt.!P35)</f>
        <v xml:space="preserve"> </v>
      </c>
      <c r="Q8" s="365" t="str">
        <f>IF(Q4=" ", " ",Akt.!Q35)</f>
        <v xml:space="preserve"> </v>
      </c>
    </row>
    <row r="9" spans="1:19">
      <c r="B9" s="359" t="str">
        <f>Lang.!B193</f>
        <v/>
      </c>
      <c r="D9" s="365"/>
      <c r="E9" s="365"/>
      <c r="F9" s="365"/>
      <c r="G9" s="366"/>
      <c r="H9" s="365"/>
      <c r="I9" s="365"/>
      <c r="J9" s="365"/>
      <c r="K9" s="365"/>
      <c r="L9" s="365"/>
      <c r="M9" s="365"/>
      <c r="N9" s="365"/>
      <c r="O9" s="365"/>
      <c r="P9" s="365"/>
      <c r="Q9" s="365"/>
    </row>
    <row r="10" spans="1:19">
      <c r="B10" s="359" t="str">
        <f>Lang.!B194</f>
        <v>( - ) Trade Payables</v>
      </c>
      <c r="D10" s="365">
        <f>-Pas.!E25</f>
        <v>-3341737.7247928875</v>
      </c>
      <c r="E10" s="365">
        <f>-Pas.!F25</f>
        <v>-3288470.5527638192</v>
      </c>
      <c r="F10" s="365" t="e">
        <f>-Pas.!#REF!</f>
        <v>#REF!</v>
      </c>
      <c r="G10" s="365">
        <f>-Pas.!G25</f>
        <v>-2804518.8982710093</v>
      </c>
      <c r="H10" s="365" t="e">
        <f>-Pas.!H25</f>
        <v>#VALUE!</v>
      </c>
      <c r="I10" s="365">
        <f>IF(I4=" ", " ",-Pas.!I25)</f>
        <v>0</v>
      </c>
      <c r="J10" s="365">
        <f>IF(J4=" ", " ",-Pas.!J25)</f>
        <v>0</v>
      </c>
      <c r="K10" s="365">
        <f>IF(K4=" ", " ",-Pas.!K25)</f>
        <v>0</v>
      </c>
      <c r="L10" s="365">
        <f>IF(L4=" ", " ",-Pas.!L25)</f>
        <v>0</v>
      </c>
      <c r="M10" s="365" t="str">
        <f>IF(M4=" ", " ",-Pas.!M25)</f>
        <v xml:space="preserve"> </v>
      </c>
      <c r="N10" s="365" t="str">
        <f>IF(N4=" ", " ",-Pas.!N25)</f>
        <v xml:space="preserve"> </v>
      </c>
      <c r="O10" s="365" t="str">
        <f>IF(O4=" ", " ",-Pas.!O25)</f>
        <v xml:space="preserve"> </v>
      </c>
      <c r="P10" s="365" t="str">
        <f>IF(P4=" ", " ",-Pas.!P25)</f>
        <v xml:space="preserve"> </v>
      </c>
      <c r="Q10" s="365" t="str">
        <f>IF(Q4=" ", " ",-Pas.!Q25)</f>
        <v xml:space="preserve"> </v>
      </c>
    </row>
    <row r="11" spans="1:19">
      <c r="B11" s="218" t="str">
        <f>Lang.!B195&amp;" ("&amp;Pas.!B24&amp;")"</f>
        <v>( - )  NWC adjustments (3. Unearned Revenue)</v>
      </c>
      <c r="D11" s="365">
        <f>-Pas.!E24</f>
        <v>0</v>
      </c>
      <c r="E11" s="365">
        <f>-Pas.!F24</f>
        <v>0</v>
      </c>
      <c r="F11" s="365" t="e">
        <f>-Pas.!#REF!</f>
        <v>#REF!</v>
      </c>
      <c r="G11" s="365">
        <f>-Pas.!G24</f>
        <v>0</v>
      </c>
      <c r="H11" s="365">
        <f>-Pas.!H24</f>
        <v>0</v>
      </c>
      <c r="I11" s="365">
        <f>IF(I4=" ", " ",-Pas.!I24)</f>
        <v>0</v>
      </c>
      <c r="J11" s="365">
        <f>IF(J4=" ", " ",-Pas.!J24)</f>
        <v>0</v>
      </c>
      <c r="K11" s="365">
        <f>IF(K4=" ", " ",-Pas.!K24)</f>
        <v>0</v>
      </c>
      <c r="L11" s="365">
        <f>IF(L4=" ", " ",-Pas.!L24)</f>
        <v>0</v>
      </c>
      <c r="M11" s="365" t="str">
        <f>IF(M4=" ", " ",-Pas.!M24)</f>
        <v xml:space="preserve"> </v>
      </c>
      <c r="N11" s="365" t="str">
        <f>IF(N4=" ", " ",-Pas.!N24)</f>
        <v xml:space="preserve"> </v>
      </c>
      <c r="O11" s="365" t="str">
        <f>IF(O4=" ", " ",-Pas.!O24)</f>
        <v xml:space="preserve"> </v>
      </c>
      <c r="P11" s="365" t="str">
        <f>IF(P4=" ", " ",-Pas.!P24)</f>
        <v xml:space="preserve"> </v>
      </c>
      <c r="Q11" s="365" t="str">
        <f>IF(Q4=" ", " ",-Pas.!Q24)</f>
        <v xml:space="preserve"> </v>
      </c>
      <c r="S11" s="367" t="s">
        <v>270</v>
      </c>
    </row>
    <row r="12" spans="1:19">
      <c r="B12" s="359" t="str">
        <f>Lang.!B196</f>
        <v/>
      </c>
      <c r="D12" s="365"/>
      <c r="E12" s="365"/>
      <c r="F12" s="365"/>
      <c r="G12" s="366"/>
      <c r="H12" s="365"/>
      <c r="I12" s="365"/>
      <c r="J12" s="365"/>
      <c r="K12" s="365"/>
      <c r="L12" s="365"/>
      <c r="M12" s="365"/>
      <c r="N12" s="365"/>
      <c r="O12" s="365"/>
      <c r="P12" s="365"/>
      <c r="Q12" s="365"/>
    </row>
    <row r="13" spans="1:19" s="368" customFormat="1">
      <c r="B13" s="1560" t="str">
        <f>B4</f>
        <v>Trade Working Capital</v>
      </c>
      <c r="C13" s="369"/>
      <c r="D13" s="370">
        <f>SUM(D7:D11)</f>
        <v>-3341737.7247928875</v>
      </c>
      <c r="E13" s="370">
        <f>SUM(E7:E11)</f>
        <v>3266342.9449124797</v>
      </c>
      <c r="F13" s="370" t="e">
        <f>SUM(F7:F11)</f>
        <v>#REF!</v>
      </c>
      <c r="G13" s="370">
        <f>SUM(G7:G11)</f>
        <v>2388251.5078407722</v>
      </c>
      <c r="H13" s="370" t="e">
        <f>SUM(H7:H11)</f>
        <v>#VALUE!</v>
      </c>
      <c r="I13" s="370">
        <f t="shared" ref="I13:Q13" si="2">IF(I4=" ", " ",SUM(I7:I11))</f>
        <v>0</v>
      </c>
      <c r="J13" s="370">
        <f t="shared" si="2"/>
        <v>0</v>
      </c>
      <c r="K13" s="370">
        <f t="shared" si="2"/>
        <v>0</v>
      </c>
      <c r="L13" s="370">
        <f t="shared" si="2"/>
        <v>0</v>
      </c>
      <c r="M13" s="370" t="str">
        <f t="shared" si="2"/>
        <v xml:space="preserve"> </v>
      </c>
      <c r="N13" s="370" t="str">
        <f t="shared" si="2"/>
        <v xml:space="preserve"> </v>
      </c>
      <c r="O13" s="370" t="str">
        <f t="shared" si="2"/>
        <v xml:space="preserve"> </v>
      </c>
      <c r="P13" s="370" t="str">
        <f t="shared" si="2"/>
        <v xml:space="preserve"> </v>
      </c>
      <c r="Q13" s="370" t="str">
        <f t="shared" si="2"/>
        <v xml:space="preserve"> </v>
      </c>
    </row>
    <row r="14" spans="1:19" ht="16.5" customHeight="1" thickBot="1">
      <c r="A14" s="368"/>
      <c r="B14" s="371" t="str">
        <f>Lang.!B198</f>
        <v>∆ Working Capital (Increase (-)/ Decrease (+))</v>
      </c>
      <c r="C14" s="372"/>
      <c r="D14" s="373" t="str">
        <f>IF(AND(ISNUMBER(C4),ISNUMBER(D4)),C13-D13," ")</f>
        <v xml:space="preserve"> </v>
      </c>
      <c r="E14" s="373">
        <f t="shared" ref="E14:Q14" si="3">IF(AND(ISNUMBER(D4),ISNUMBER(E4)),D13-E13," ")</f>
        <v>-6608080.6697053667</v>
      </c>
      <c r="F14" s="373" t="e">
        <f t="shared" si="3"/>
        <v>#REF!</v>
      </c>
      <c r="G14" s="373" t="e">
        <f t="shared" si="3"/>
        <v>#REF!</v>
      </c>
      <c r="H14" s="373" t="e">
        <f t="shared" si="3"/>
        <v>#VALUE!</v>
      </c>
      <c r="I14" s="373" t="e">
        <f t="shared" si="3"/>
        <v>#VALUE!</v>
      </c>
      <c r="J14" s="373">
        <f t="shared" si="3"/>
        <v>0</v>
      </c>
      <c r="K14" s="373">
        <f t="shared" si="3"/>
        <v>0</v>
      </c>
      <c r="L14" s="373">
        <f t="shared" si="3"/>
        <v>0</v>
      </c>
      <c r="M14" s="373" t="str">
        <f t="shared" si="3"/>
        <v xml:space="preserve"> </v>
      </c>
      <c r="N14" s="373" t="str">
        <f t="shared" si="3"/>
        <v xml:space="preserve"> </v>
      </c>
      <c r="O14" s="373" t="str">
        <f t="shared" si="3"/>
        <v xml:space="preserve"> </v>
      </c>
      <c r="P14" s="373" t="str">
        <f t="shared" si="3"/>
        <v xml:space="preserve"> </v>
      </c>
      <c r="Q14" s="373" t="str">
        <f t="shared" si="3"/>
        <v xml:space="preserve"> </v>
      </c>
    </row>
    <row r="15" spans="1:19" ht="14.25" thickTop="1" thickBot="1">
      <c r="A15" s="368"/>
      <c r="B15" s="374" t="str">
        <f>Lang.!B199</f>
        <v/>
      </c>
      <c r="C15" s="375"/>
      <c r="D15" s="376"/>
      <c r="E15" s="376"/>
      <c r="F15" s="376"/>
      <c r="G15" s="376"/>
      <c r="H15" s="376"/>
      <c r="I15" s="376"/>
      <c r="J15" s="376"/>
      <c r="K15" s="376"/>
      <c r="L15" s="376"/>
      <c r="M15" s="376"/>
      <c r="N15" s="376"/>
      <c r="O15" s="376"/>
      <c r="P15" s="376"/>
      <c r="Q15" s="376"/>
    </row>
    <row r="16" spans="1:19" s="368" customFormat="1" ht="13.5" thickBot="1">
      <c r="B16" s="374" t="s">
        <v>271</v>
      </c>
      <c r="C16" s="375"/>
      <c r="D16" s="1264"/>
      <c r="E16" s="1265"/>
      <c r="F16" s="1561" t="e">
        <f>AVERAGE(E13:H13)</f>
        <v>#REF!</v>
      </c>
      <c r="G16" s="1266"/>
      <c r="H16" s="1267"/>
      <c r="I16" s="376"/>
      <c r="J16" s="376"/>
      <c r="K16" s="376"/>
      <c r="L16" s="376"/>
      <c r="M16" s="376"/>
      <c r="N16" s="376"/>
      <c r="O16" s="376"/>
      <c r="P16" s="376"/>
      <c r="Q16" s="376"/>
    </row>
    <row r="17" spans="1:17" s="368" customFormat="1">
      <c r="B17" s="374" t="str">
        <f>Lang.!B201</f>
        <v/>
      </c>
      <c r="C17" s="375"/>
      <c r="D17" s="377"/>
      <c r="E17" s="377"/>
      <c r="F17" s="377"/>
      <c r="G17" s="377"/>
      <c r="H17" s="376"/>
      <c r="I17" s="376"/>
      <c r="J17" s="376"/>
      <c r="K17" s="376"/>
      <c r="L17" s="376"/>
      <c r="M17" s="376"/>
      <c r="N17" s="376"/>
      <c r="O17" s="376"/>
      <c r="P17" s="376"/>
      <c r="Q17" s="376"/>
    </row>
    <row r="18" spans="1:17" s="368" customFormat="1">
      <c r="B18" s="374" t="str">
        <f>Lang.!B202</f>
        <v>WC (Max)</v>
      </c>
      <c r="C18" s="375"/>
      <c r="D18" s="366" t="e">
        <f t="shared" ref="D18:Q18" si="4">MAX($D$13:$Q$13)</f>
        <v>#REF!</v>
      </c>
      <c r="E18" s="366" t="e">
        <f t="shared" si="4"/>
        <v>#REF!</v>
      </c>
      <c r="F18" s="366" t="e">
        <f t="shared" si="4"/>
        <v>#REF!</v>
      </c>
      <c r="G18" s="366" t="e">
        <f t="shared" si="4"/>
        <v>#REF!</v>
      </c>
      <c r="H18" s="366" t="e">
        <f t="shared" si="4"/>
        <v>#REF!</v>
      </c>
      <c r="I18" s="366" t="e">
        <f t="shared" si="4"/>
        <v>#REF!</v>
      </c>
      <c r="J18" s="366" t="e">
        <f t="shared" si="4"/>
        <v>#REF!</v>
      </c>
      <c r="K18" s="366" t="e">
        <f t="shared" si="4"/>
        <v>#REF!</v>
      </c>
      <c r="L18" s="366" t="e">
        <f t="shared" si="4"/>
        <v>#REF!</v>
      </c>
      <c r="M18" s="366" t="e">
        <f t="shared" si="4"/>
        <v>#REF!</v>
      </c>
      <c r="N18" s="366" t="e">
        <f t="shared" si="4"/>
        <v>#REF!</v>
      </c>
      <c r="O18" s="366" t="e">
        <f t="shared" si="4"/>
        <v>#REF!</v>
      </c>
      <c r="P18" s="366" t="e">
        <f t="shared" si="4"/>
        <v>#REF!</v>
      </c>
      <c r="Q18" s="366" t="e">
        <f t="shared" si="4"/>
        <v>#REF!</v>
      </c>
    </row>
    <row r="19" spans="1:17" s="368" customFormat="1">
      <c r="B19" s="374" t="str">
        <f>Lang.!B203</f>
        <v>WC (Min)</v>
      </c>
      <c r="C19" s="375"/>
      <c r="D19" s="366" t="e">
        <f t="shared" ref="D19:Q19" si="5">MIN($D$13:$Q$13)</f>
        <v>#REF!</v>
      </c>
      <c r="E19" s="366" t="e">
        <f t="shared" si="5"/>
        <v>#REF!</v>
      </c>
      <c r="F19" s="366" t="e">
        <f t="shared" si="5"/>
        <v>#REF!</v>
      </c>
      <c r="G19" s="366" t="e">
        <f t="shared" si="5"/>
        <v>#REF!</v>
      </c>
      <c r="H19" s="366" t="e">
        <f t="shared" si="5"/>
        <v>#REF!</v>
      </c>
      <c r="I19" s="366" t="e">
        <f t="shared" si="5"/>
        <v>#REF!</v>
      </c>
      <c r="J19" s="366" t="e">
        <f t="shared" si="5"/>
        <v>#REF!</v>
      </c>
      <c r="K19" s="366" t="e">
        <f t="shared" si="5"/>
        <v>#REF!</v>
      </c>
      <c r="L19" s="366" t="e">
        <f t="shared" si="5"/>
        <v>#REF!</v>
      </c>
      <c r="M19" s="366" t="e">
        <f t="shared" si="5"/>
        <v>#REF!</v>
      </c>
      <c r="N19" s="366" t="e">
        <f t="shared" si="5"/>
        <v>#REF!</v>
      </c>
      <c r="O19" s="366" t="e">
        <f t="shared" si="5"/>
        <v>#REF!</v>
      </c>
      <c r="P19" s="366" t="e">
        <f t="shared" si="5"/>
        <v>#REF!</v>
      </c>
      <c r="Q19" s="366" t="e">
        <f t="shared" si="5"/>
        <v>#REF!</v>
      </c>
    </row>
    <row r="20" spans="1:17" s="368" customFormat="1">
      <c r="B20" s="374" t="str">
        <f>Lang.!B204</f>
        <v>WC (Mean)</v>
      </c>
      <c r="C20" s="375"/>
      <c r="D20" s="366" t="e">
        <f t="shared" ref="D20:Q20" si="6">AVERAGE($D$13:$Q$13)</f>
        <v>#REF!</v>
      </c>
      <c r="E20" s="366" t="e">
        <f t="shared" si="6"/>
        <v>#REF!</v>
      </c>
      <c r="F20" s="366" t="e">
        <f t="shared" si="6"/>
        <v>#REF!</v>
      </c>
      <c r="G20" s="366" t="e">
        <f t="shared" si="6"/>
        <v>#REF!</v>
      </c>
      <c r="H20" s="366" t="e">
        <f t="shared" si="6"/>
        <v>#REF!</v>
      </c>
      <c r="I20" s="366" t="e">
        <f t="shared" si="6"/>
        <v>#REF!</v>
      </c>
      <c r="J20" s="366" t="e">
        <f t="shared" si="6"/>
        <v>#REF!</v>
      </c>
      <c r="K20" s="366" t="e">
        <f t="shared" si="6"/>
        <v>#REF!</v>
      </c>
      <c r="L20" s="366" t="e">
        <f t="shared" si="6"/>
        <v>#REF!</v>
      </c>
      <c r="M20" s="366" t="e">
        <f t="shared" si="6"/>
        <v>#REF!</v>
      </c>
      <c r="N20" s="366" t="e">
        <f t="shared" si="6"/>
        <v>#REF!</v>
      </c>
      <c r="O20" s="366" t="e">
        <f t="shared" si="6"/>
        <v>#REF!</v>
      </c>
      <c r="P20" s="366" t="e">
        <f t="shared" si="6"/>
        <v>#REF!</v>
      </c>
      <c r="Q20" s="366" t="e">
        <f t="shared" si="6"/>
        <v>#REF!</v>
      </c>
    </row>
    <row r="21" spans="1:17" s="368" customFormat="1">
      <c r="B21" s="378" t="str">
        <f>Lang.!B205</f>
        <v>WC (Standard Deviation)</v>
      </c>
      <c r="C21" s="379"/>
      <c r="D21" s="380" t="e">
        <f t="shared" ref="D21:Q21" si="7">_xlfn.STDEV.P($D$13:$Q$13)</f>
        <v>#REF!</v>
      </c>
      <c r="E21" s="380" t="e">
        <f t="shared" si="7"/>
        <v>#REF!</v>
      </c>
      <c r="F21" s="380" t="e">
        <f t="shared" si="7"/>
        <v>#REF!</v>
      </c>
      <c r="G21" s="380" t="e">
        <f t="shared" si="7"/>
        <v>#REF!</v>
      </c>
      <c r="H21" s="380" t="e">
        <f t="shared" si="7"/>
        <v>#REF!</v>
      </c>
      <c r="I21" s="380" t="e">
        <f t="shared" si="7"/>
        <v>#REF!</v>
      </c>
      <c r="J21" s="380" t="e">
        <f t="shared" si="7"/>
        <v>#REF!</v>
      </c>
      <c r="K21" s="380" t="e">
        <f t="shared" si="7"/>
        <v>#REF!</v>
      </c>
      <c r="L21" s="380" t="e">
        <f t="shared" si="7"/>
        <v>#REF!</v>
      </c>
      <c r="M21" s="380" t="e">
        <f t="shared" si="7"/>
        <v>#REF!</v>
      </c>
      <c r="N21" s="380" t="e">
        <f t="shared" si="7"/>
        <v>#REF!</v>
      </c>
      <c r="O21" s="380" t="e">
        <f t="shared" si="7"/>
        <v>#REF!</v>
      </c>
      <c r="P21" s="380" t="e">
        <f t="shared" si="7"/>
        <v>#REF!</v>
      </c>
      <c r="Q21" s="380" t="e">
        <f t="shared" si="7"/>
        <v>#REF!</v>
      </c>
    </row>
    <row r="22" spans="1:17" s="368" customFormat="1">
      <c r="B22" s="374" t="str">
        <f>Lang.!B206</f>
        <v>TWC in % of total turnover</v>
      </c>
      <c r="C22" s="375"/>
      <c r="D22" s="381" t="str">
        <f t="shared" ref="D22" si="8">IFERROR(D13/D28, " ")</f>
        <v xml:space="preserve"> </v>
      </c>
      <c r="E22" s="381">
        <f t="shared" ref="E22:Q22" si="9">IFERROR(E13/E28, " ")</f>
        <v>8.546947379223381E-2</v>
      </c>
      <c r="F22" s="381" t="str">
        <f t="shared" si="9"/>
        <v xml:space="preserve"> </v>
      </c>
      <c r="G22" s="381">
        <f t="shared" si="9"/>
        <v>7.0228421561235446E-2</v>
      </c>
      <c r="H22" s="381" t="str">
        <f t="shared" si="9"/>
        <v xml:space="preserve"> </v>
      </c>
      <c r="I22" s="381" t="str">
        <f t="shared" si="9"/>
        <v xml:space="preserve"> </v>
      </c>
      <c r="J22" s="381" t="str">
        <f t="shared" si="9"/>
        <v xml:space="preserve"> </v>
      </c>
      <c r="K22" s="381" t="str">
        <f t="shared" si="9"/>
        <v xml:space="preserve"> </v>
      </c>
      <c r="L22" s="381" t="str">
        <f t="shared" si="9"/>
        <v xml:space="preserve"> </v>
      </c>
      <c r="M22" s="381" t="str">
        <f t="shared" si="9"/>
        <v xml:space="preserve"> </v>
      </c>
      <c r="N22" s="381" t="str">
        <f t="shared" si="9"/>
        <v xml:space="preserve"> </v>
      </c>
      <c r="O22" s="381" t="str">
        <f t="shared" si="9"/>
        <v xml:space="preserve"> </v>
      </c>
      <c r="P22" s="381" t="str">
        <f t="shared" si="9"/>
        <v xml:space="preserve"> </v>
      </c>
      <c r="Q22" s="381" t="str">
        <f t="shared" si="9"/>
        <v xml:space="preserve"> </v>
      </c>
    </row>
    <row r="23" spans="1:17" s="368" customFormat="1">
      <c r="B23" s="382" t="str">
        <f>Lang.!B207</f>
        <v/>
      </c>
      <c r="C23" s="375"/>
      <c r="D23" s="381"/>
      <c r="E23" s="381"/>
      <c r="F23" s="381"/>
      <c r="G23" s="381"/>
      <c r="H23" s="381"/>
      <c r="I23" s="381"/>
      <c r="J23" s="381"/>
      <c r="K23" s="381"/>
      <c r="L23" s="381"/>
      <c r="M23" s="381"/>
      <c r="N23" s="381"/>
      <c r="O23" s="381"/>
      <c r="P23" s="381"/>
      <c r="Q23" s="381"/>
    </row>
    <row r="24" spans="1:17" s="368" customFormat="1">
      <c r="A24" s="359"/>
      <c r="B24" s="359"/>
      <c r="C24" s="360"/>
      <c r="D24" s="359"/>
      <c r="E24" s="359"/>
      <c r="F24" s="359"/>
      <c r="G24" s="359"/>
      <c r="H24" s="361"/>
      <c r="I24" s="359"/>
      <c r="J24" s="359"/>
      <c r="K24" s="359"/>
      <c r="L24" s="359"/>
    </row>
    <row r="25" spans="1:17">
      <c r="B25" s="399" t="s">
        <v>272</v>
      </c>
      <c r="C25" s="400" t="str">
        <f>+C4</f>
        <v>EUR</v>
      </c>
      <c r="D25" s="141">
        <f>+D4</f>
        <v>2021</v>
      </c>
      <c r="E25" s="141">
        <f>+E4</f>
        <v>2022</v>
      </c>
      <c r="F25" s="144">
        <f t="shared" ref="F25:H25" si="10">+E25+1</f>
        <v>2023</v>
      </c>
      <c r="G25" s="144">
        <f t="shared" si="10"/>
        <v>2024</v>
      </c>
      <c r="H25" s="145">
        <f t="shared" si="10"/>
        <v>2025</v>
      </c>
      <c r="I25" s="1492">
        <f>IF(Eckdaten!$C$20+Eckdaten!$C$12&gt;H25,H25+1," ")</f>
        <v>2026</v>
      </c>
      <c r="J25" s="1492">
        <f>IF(Eckdaten!$C$20+Eckdaten!$C$12&gt;I25,I25+1," ")</f>
        <v>2027</v>
      </c>
      <c r="K25" s="1492">
        <f>IF(Eckdaten!$C$20+Eckdaten!$C$12&gt;J25,J25+1," ")</f>
        <v>2028</v>
      </c>
      <c r="L25" s="1492">
        <f>IF(Eckdaten!$C$20+Eckdaten!$C$12&gt;K25,K25+1," ")</f>
        <v>2029</v>
      </c>
      <c r="M25" s="1492" t="str">
        <f>IF(Eckdaten!$C$20+Eckdaten!$C$12&gt;L25,L25+1," ")</f>
        <v xml:space="preserve"> </v>
      </c>
      <c r="N25" s="1492" t="str">
        <f>IF(Eckdaten!$C$20+Eckdaten!$C$12&gt;M25,M25+1," ")</f>
        <v xml:space="preserve"> </v>
      </c>
      <c r="O25" s="1492" t="str">
        <f>IF(Eckdaten!$C$20+Eckdaten!$C$12&gt;N25,N25+1," ")</f>
        <v xml:space="preserve"> </v>
      </c>
      <c r="P25" s="1492" t="str">
        <f>IF(Eckdaten!$C$20+Eckdaten!$C$12&gt;O25,O25+1," ")</f>
        <v xml:space="preserve"> </v>
      </c>
      <c r="Q25" s="1492" t="str">
        <f>IF(Eckdaten!$C$20+Eckdaten!$C$12&gt;P25,P25+1," ")</f>
        <v xml:space="preserve"> </v>
      </c>
    </row>
    <row r="26" spans="1:17">
      <c r="B26" s="401"/>
      <c r="C26" s="400"/>
      <c r="D26" s="144" t="s">
        <v>173</v>
      </c>
      <c r="E26" s="144" t="s">
        <v>173</v>
      </c>
      <c r="F26" s="144" t="s">
        <v>173</v>
      </c>
      <c r="G26" s="144" t="s">
        <v>173</v>
      </c>
      <c r="H26" s="145" t="str">
        <f>+'G&amp;V'!H5</f>
        <v>FC</v>
      </c>
      <c r="I26" s="1493" t="str">
        <f>IF(I25=" "," ","P")</f>
        <v>P</v>
      </c>
      <c r="J26" s="1493" t="str">
        <f t="shared" ref="J26" si="11">IF(J25=" "," ","P")</f>
        <v>P</v>
      </c>
      <c r="K26" s="1493" t="str">
        <f t="shared" ref="K26" si="12">IF(K25=" "," ","P")</f>
        <v>P</v>
      </c>
      <c r="L26" s="1493" t="str">
        <f t="shared" ref="L26" si="13">IF(L25=" "," ","P")</f>
        <v>P</v>
      </c>
      <c r="M26" s="1493" t="str">
        <f t="shared" ref="M26" si="14">IF(M25=" "," ","P")</f>
        <v xml:space="preserve"> </v>
      </c>
      <c r="N26" s="1493" t="str">
        <f t="shared" ref="N26" si="15">IF(N25=" "," ","P")</f>
        <v xml:space="preserve"> </v>
      </c>
      <c r="O26" s="1493" t="str">
        <f t="shared" ref="O26" si="16">IF(O25=" "," ","P")</f>
        <v xml:space="preserve"> </v>
      </c>
      <c r="P26" s="1493" t="str">
        <f t="shared" ref="P26" si="17">IF(P25=" "," ","P")</f>
        <v xml:space="preserve"> </v>
      </c>
      <c r="Q26" s="1493" t="str">
        <f t="shared" ref="Q26" si="18">IF(Q25=" "," ","P")</f>
        <v xml:space="preserve"> </v>
      </c>
    </row>
    <row r="27" spans="1:17">
      <c r="B27" s="402"/>
      <c r="C27" s="402"/>
      <c r="D27" s="403"/>
      <c r="E27" s="403"/>
      <c r="F27" s="403"/>
      <c r="G27" s="403"/>
      <c r="H27" s="403"/>
      <c r="I27" s="403"/>
      <c r="J27" s="403"/>
      <c r="K27" s="403"/>
      <c r="L27" s="403"/>
      <c r="M27" s="393"/>
      <c r="N27" s="393"/>
      <c r="O27" s="393"/>
      <c r="P27" s="393"/>
      <c r="Q27" s="393"/>
    </row>
    <row r="28" spans="1:17">
      <c r="B28" s="404" t="str">
        <f>Lang.!B210</f>
        <v>Total Turnover</v>
      </c>
      <c r="C28" s="405"/>
      <c r="D28" s="406">
        <f>+'G&amp;V'!D8</f>
        <v>0</v>
      </c>
      <c r="E28" s="406">
        <f>+'G&amp;V'!E8</f>
        <v>38216485.956758939</v>
      </c>
      <c r="F28" s="406">
        <f>+'G&amp;V'!F8</f>
        <v>37396294.271356784</v>
      </c>
      <c r="G28" s="406">
        <f>+'G&amp;V'!G8</f>
        <v>34006908.524326496</v>
      </c>
      <c r="H28" s="406">
        <f>+'G&amp;V'!H8</f>
        <v>34687046.694813028</v>
      </c>
      <c r="I28" s="406">
        <f>IF(I4=" ", " ",+'G&amp;V'!I8)</f>
        <v>0</v>
      </c>
      <c r="J28" s="406">
        <f>IF(J4=" ", " ",+'G&amp;V'!J8)</f>
        <v>0</v>
      </c>
      <c r="K28" s="406">
        <f>IF(K4=" ", " ",+'G&amp;V'!K8)</f>
        <v>0</v>
      </c>
      <c r="L28" s="406">
        <f>IF(L4=" ", " ",+'G&amp;V'!L8)</f>
        <v>0</v>
      </c>
      <c r="M28" s="406" t="str">
        <f>IF(M4=" ", " ",+'G&amp;V'!M8)</f>
        <v xml:space="preserve"> </v>
      </c>
      <c r="N28" s="406" t="str">
        <f>IF(N4=" ", " ",+'G&amp;V'!N8)</f>
        <v xml:space="preserve"> </v>
      </c>
      <c r="O28" s="406" t="str">
        <f>IF(O4=" ", " ",+'G&amp;V'!O8)</f>
        <v xml:space="preserve"> </v>
      </c>
      <c r="P28" s="406" t="str">
        <f>IF(P4=" ", " ",+'G&amp;V'!P8)</f>
        <v xml:space="preserve"> </v>
      </c>
      <c r="Q28" s="406" t="str">
        <f>IF(Q4=" ", " ",+'G&amp;V'!Q8)</f>
        <v xml:space="preserve"> </v>
      </c>
    </row>
    <row r="29" spans="1:17">
      <c r="B29" s="404" t="str">
        <f>Lang.!B211</f>
        <v>Cost of Materials</v>
      </c>
      <c r="C29" s="405"/>
      <c r="D29" s="406">
        <f>+'G&amp;V'!D14</f>
        <v>0</v>
      </c>
      <c r="E29" s="406">
        <f>+'G&amp;V'!E14</f>
        <v>0</v>
      </c>
      <c r="F29" s="406">
        <f>+'G&amp;V'!F14</f>
        <v>0</v>
      </c>
      <c r="G29" s="406">
        <f>+'G&amp;V'!G14</f>
        <v>0</v>
      </c>
      <c r="H29" s="406">
        <f>+'G&amp;V'!H14</f>
        <v>0</v>
      </c>
      <c r="I29" s="406">
        <f>IF(I4=" ", " ",+'G&amp;V'!I14)</f>
        <v>0</v>
      </c>
      <c r="J29" s="406">
        <f>IF(J4=" ", " ",+'G&amp;V'!J14)</f>
        <v>0</v>
      </c>
      <c r="K29" s="406">
        <f>IF(K4=" ", " ",+'G&amp;V'!K14)</f>
        <v>0</v>
      </c>
      <c r="L29" s="406">
        <f>IF(L4=" ", " ",+'G&amp;V'!L14)</f>
        <v>0</v>
      </c>
      <c r="M29" s="406" t="str">
        <f>IF(M4=" ", " ",+'G&amp;V'!M14)</f>
        <v xml:space="preserve"> </v>
      </c>
      <c r="N29" s="406" t="str">
        <f>IF(N4=" ", " ",+'G&amp;V'!N14)</f>
        <v xml:space="preserve"> </v>
      </c>
      <c r="O29" s="406" t="str">
        <f>IF(O4=" ", " ",+'G&amp;V'!O14)</f>
        <v xml:space="preserve"> </v>
      </c>
      <c r="P29" s="406" t="str">
        <f>IF(P4=" ", " ",+'G&amp;V'!P14)</f>
        <v xml:space="preserve"> </v>
      </c>
      <c r="Q29" s="406" t="str">
        <f>IF(Q4=" ", " ",+'G&amp;V'!Q14)</f>
        <v xml:space="preserve"> </v>
      </c>
    </row>
    <row r="30" spans="1:17">
      <c r="B30" s="393"/>
      <c r="C30" s="407"/>
      <c r="D30" s="408"/>
      <c r="E30" s="408"/>
      <c r="F30" s="408"/>
      <c r="G30" s="408"/>
      <c r="H30" s="409"/>
      <c r="I30" s="409"/>
      <c r="J30" s="409"/>
      <c r="K30" s="409"/>
      <c r="L30" s="409"/>
      <c r="M30" s="409"/>
      <c r="N30" s="409"/>
      <c r="O30" s="409"/>
      <c r="P30" s="409"/>
      <c r="Q30" s="409"/>
    </row>
    <row r="31" spans="1:17">
      <c r="B31" s="402" t="str">
        <f>Lang.!B213</f>
        <v>Stockholding, in days (Days Inventory Held)</v>
      </c>
      <c r="C31" s="402" t="s">
        <v>166</v>
      </c>
      <c r="D31" s="410" t="str">
        <f>IFERROR((D7/-D29)*365,"")</f>
        <v/>
      </c>
      <c r="E31" s="410" t="str">
        <f>IFERROR((E7/-E29)*365,"")</f>
        <v/>
      </c>
      <c r="F31" s="410" t="str">
        <f t="shared" ref="F31:Q31" si="19">IFERROR((F7/-F29)*365,"")</f>
        <v/>
      </c>
      <c r="G31" s="410" t="str">
        <f t="shared" si="19"/>
        <v/>
      </c>
      <c r="H31" s="410" t="str">
        <f>IFERROR((H7/-H29)*365,"")</f>
        <v/>
      </c>
      <c r="I31" s="410" t="str">
        <f t="shared" si="19"/>
        <v/>
      </c>
      <c r="J31" s="410" t="str">
        <f t="shared" si="19"/>
        <v/>
      </c>
      <c r="K31" s="410" t="str">
        <f t="shared" si="19"/>
        <v/>
      </c>
      <c r="L31" s="410" t="str">
        <f t="shared" si="19"/>
        <v/>
      </c>
      <c r="M31" s="410" t="str">
        <f t="shared" si="19"/>
        <v/>
      </c>
      <c r="N31" s="410" t="str">
        <f t="shared" si="19"/>
        <v/>
      </c>
      <c r="O31" s="410" t="str">
        <f t="shared" si="19"/>
        <v/>
      </c>
      <c r="P31" s="410" t="str">
        <f t="shared" si="19"/>
        <v/>
      </c>
      <c r="Q31" s="410" t="str">
        <f t="shared" si="19"/>
        <v/>
      </c>
    </row>
    <row r="32" spans="1:17">
      <c r="B32" s="402" t="str">
        <f>Lang.!B214</f>
        <v>Accounts payable target, in days (Days Payables Outstanding)</v>
      </c>
      <c r="C32" s="402" t="s">
        <v>167</v>
      </c>
      <c r="D32" s="410" t="str">
        <f>IFERROR((D10+D11)/D29*365,"")</f>
        <v/>
      </c>
      <c r="E32" s="410" t="str">
        <f>IFERROR((E10+E11)/E29*365,"")</f>
        <v/>
      </c>
      <c r="F32" s="410" t="str">
        <f t="shared" ref="F32:Q32" si="20">IFERROR((F10+F11)/F29*365,"")</f>
        <v/>
      </c>
      <c r="G32" s="410" t="str">
        <f t="shared" si="20"/>
        <v/>
      </c>
      <c r="H32" s="410" t="str">
        <f t="shared" si="20"/>
        <v/>
      </c>
      <c r="I32" s="410" t="str">
        <f t="shared" si="20"/>
        <v/>
      </c>
      <c r="J32" s="410" t="str">
        <f t="shared" si="20"/>
        <v/>
      </c>
      <c r="K32" s="410" t="str">
        <f t="shared" si="20"/>
        <v/>
      </c>
      <c r="L32" s="410" t="str">
        <f t="shared" si="20"/>
        <v/>
      </c>
      <c r="M32" s="410" t="str">
        <f t="shared" si="20"/>
        <v/>
      </c>
      <c r="N32" s="410" t="str">
        <f t="shared" si="20"/>
        <v/>
      </c>
      <c r="O32" s="410" t="str">
        <f t="shared" si="20"/>
        <v/>
      </c>
      <c r="P32" s="410" t="str">
        <f t="shared" si="20"/>
        <v/>
      </c>
      <c r="Q32" s="410" t="str">
        <f t="shared" si="20"/>
        <v/>
      </c>
    </row>
    <row r="33" spans="2:19">
      <c r="B33" s="402" t="str">
        <f>Lang.!B215</f>
        <v>Debtor target, in days (Days Sales Outstanding)</v>
      </c>
      <c r="C33" s="402" t="s">
        <v>168</v>
      </c>
      <c r="D33" s="410" t="str">
        <f>IFERROR((D8/D28)*365,"")</f>
        <v/>
      </c>
      <c r="E33" s="410">
        <f>IFERROR((E8/E28)*365,"")</f>
        <v>61.22518940851846</v>
      </c>
      <c r="F33" s="410">
        <f t="shared" ref="F33:Q33" si="21">IFERROR((F8/F28)*365,"")</f>
        <v>56.385943144857009</v>
      </c>
      <c r="G33" s="410">
        <f t="shared" si="21"/>
        <v>54.2183128805937</v>
      </c>
      <c r="H33" s="410">
        <f t="shared" si="21"/>
        <v>57.276481811323059</v>
      </c>
      <c r="I33" s="410" t="str">
        <f t="shared" si="21"/>
        <v/>
      </c>
      <c r="J33" s="410" t="str">
        <f t="shared" si="21"/>
        <v/>
      </c>
      <c r="K33" s="410" t="str">
        <f t="shared" si="21"/>
        <v/>
      </c>
      <c r="L33" s="410" t="str">
        <f t="shared" si="21"/>
        <v/>
      </c>
      <c r="M33" s="410" t="str">
        <f t="shared" si="21"/>
        <v/>
      </c>
      <c r="N33" s="410" t="str">
        <f t="shared" si="21"/>
        <v/>
      </c>
      <c r="O33" s="410" t="str">
        <f t="shared" si="21"/>
        <v/>
      </c>
      <c r="P33" s="410" t="str">
        <f t="shared" si="21"/>
        <v/>
      </c>
      <c r="Q33" s="410" t="str">
        <f t="shared" si="21"/>
        <v/>
      </c>
    </row>
    <row r="34" spans="2:19">
      <c r="B34" s="393"/>
      <c r="C34" s="407"/>
      <c r="D34" s="393"/>
      <c r="E34" s="393"/>
      <c r="F34" s="393"/>
      <c r="G34" s="393"/>
      <c r="H34" s="411"/>
      <c r="I34" s="393"/>
      <c r="J34" s="393"/>
      <c r="K34" s="393"/>
      <c r="L34" s="393"/>
      <c r="M34" s="410"/>
      <c r="N34" s="410"/>
      <c r="O34" s="410"/>
      <c r="P34" s="410"/>
      <c r="Q34" s="410"/>
    </row>
    <row r="35" spans="2:19">
      <c r="B35" s="412" t="str">
        <f>Lang.!B216</f>
        <v>Interim financing required, in days (Cash Conversion Cycle)</v>
      </c>
      <c r="C35" s="412"/>
      <c r="D35" s="413" t="str">
        <f>IFERROR(D31-D32+D33,"")</f>
        <v/>
      </c>
      <c r="E35" s="413" t="str">
        <f>IFERROR(E31-E32+E33,"")</f>
        <v/>
      </c>
      <c r="F35" s="413" t="str">
        <f t="shared" ref="F35:Q35" si="22">IFERROR(F31-F32+F33,"")</f>
        <v/>
      </c>
      <c r="G35" s="413" t="str">
        <f t="shared" si="22"/>
        <v/>
      </c>
      <c r="H35" s="413" t="str">
        <f t="shared" si="22"/>
        <v/>
      </c>
      <c r="I35" s="413" t="str">
        <f t="shared" si="22"/>
        <v/>
      </c>
      <c r="J35" s="413" t="str">
        <f t="shared" si="22"/>
        <v/>
      </c>
      <c r="K35" s="413" t="str">
        <f t="shared" si="22"/>
        <v/>
      </c>
      <c r="L35" s="413" t="str">
        <f t="shared" si="22"/>
        <v/>
      </c>
      <c r="M35" s="413" t="str">
        <f t="shared" si="22"/>
        <v/>
      </c>
      <c r="N35" s="413" t="str">
        <f t="shared" si="22"/>
        <v/>
      </c>
      <c r="O35" s="413" t="str">
        <f t="shared" si="22"/>
        <v/>
      </c>
      <c r="P35" s="413" t="str">
        <f t="shared" si="22"/>
        <v/>
      </c>
      <c r="Q35" s="413" t="str">
        <f t="shared" si="22"/>
        <v/>
      </c>
    </row>
    <row r="36" spans="2:19">
      <c r="B36" s="359" t="s">
        <v>273</v>
      </c>
      <c r="D36" s="359"/>
    </row>
    <row r="37" spans="2:19">
      <c r="D37" s="359"/>
    </row>
    <row r="38" spans="2:19">
      <c r="D38" s="359"/>
    </row>
    <row r="39" spans="2:19">
      <c r="D39" s="359"/>
      <c r="H39" s="385"/>
    </row>
    <row r="40" spans="2:19">
      <c r="D40" s="359"/>
      <c r="H40" s="385"/>
    </row>
    <row r="41" spans="2:19">
      <c r="B41" s="399" t="s">
        <v>274</v>
      </c>
      <c r="C41" s="400" t="str">
        <f>+C4</f>
        <v>EUR</v>
      </c>
      <c r="D41" s="141">
        <f>+D4</f>
        <v>2021</v>
      </c>
      <c r="E41" s="141">
        <f>+E4</f>
        <v>2022</v>
      </c>
      <c r="F41" s="141">
        <f>+F4</f>
        <v>2023</v>
      </c>
      <c r="G41" s="141">
        <f>+G4</f>
        <v>2024</v>
      </c>
      <c r="H41" s="143">
        <f>+G41+1</f>
        <v>2025</v>
      </c>
      <c r="I41" s="1492">
        <f>IF(Eckdaten!$C$20+Eckdaten!$C$12&gt;H41,H41+1," ")</f>
        <v>2026</v>
      </c>
      <c r="K41" s="386" t="s">
        <v>275</v>
      </c>
      <c r="L41" s="387"/>
      <c r="M41" s="387"/>
      <c r="N41" s="387"/>
      <c r="O41" s="387"/>
      <c r="P41" s="387"/>
      <c r="Q41" s="387"/>
      <c r="R41" s="387"/>
      <c r="S41" s="387"/>
    </row>
    <row r="42" spans="2:19">
      <c r="B42" s="401"/>
      <c r="C42" s="400"/>
      <c r="D42" s="144" t="s">
        <v>173</v>
      </c>
      <c r="E42" s="144" t="s">
        <v>173</v>
      </c>
      <c r="F42" s="144" t="s">
        <v>173</v>
      </c>
      <c r="G42" s="144" t="s">
        <v>173</v>
      </c>
      <c r="H42" s="145" t="s">
        <v>174</v>
      </c>
      <c r="I42" s="1493" t="str">
        <f>IF(I41=" "," ","P")</f>
        <v>P</v>
      </c>
    </row>
    <row r="43" spans="2:19">
      <c r="D43" s="361"/>
      <c r="E43" s="361"/>
      <c r="F43" s="361"/>
      <c r="G43" s="361"/>
      <c r="I43" s="361"/>
    </row>
    <row r="44" spans="2:19">
      <c r="B44" s="392" t="str">
        <f>CONCATENATE("( - ) "&amp;Pas.!C16)</f>
        <v>( - )  Provisions for pensions and similar obligations</v>
      </c>
      <c r="D44" s="388">
        <f>-Pas.!D16</f>
        <v>0</v>
      </c>
      <c r="E44" s="388">
        <f>-Pas.!E16</f>
        <v>0</v>
      </c>
      <c r="F44" s="388">
        <f>-Pas.!F16</f>
        <v>0</v>
      </c>
      <c r="G44" s="388">
        <f>-Pas.!G16</f>
        <v>0</v>
      </c>
      <c r="H44" s="388">
        <f>-Pas.!H16</f>
        <v>0</v>
      </c>
      <c r="I44" s="388">
        <f>-Pas.!I16</f>
        <v>0</v>
      </c>
      <c r="K44" s="389" t="s">
        <v>276</v>
      </c>
    </row>
    <row r="45" spans="2:19">
      <c r="B45" s="393" t="str">
        <f>CONCATENATE("( - ) "&amp;Pas.!C22)</f>
        <v>( - )  Bonds</v>
      </c>
      <c r="D45" s="388">
        <f>-Pas.!D22</f>
        <v>0</v>
      </c>
      <c r="E45" s="388">
        <f>-Pas.!E22</f>
        <v>0</v>
      </c>
      <c r="F45" s="388">
        <f>-Pas.!F22</f>
        <v>0</v>
      </c>
      <c r="G45" s="388">
        <f>-Pas.!G22</f>
        <v>0</v>
      </c>
      <c r="H45" s="388">
        <f>-Pas.!H22</f>
        <v>0</v>
      </c>
      <c r="I45" s="388">
        <f>-Pas.!I22</f>
        <v>0</v>
      </c>
      <c r="K45" s="218"/>
    </row>
    <row r="46" spans="2:19" ht="13.9" customHeight="1">
      <c r="B46" s="393" t="str">
        <f>CONCATENATE("( - ) "&amp;Pas.!C23)</f>
        <v>( - )  Liabilities to Credit Institutions</v>
      </c>
      <c r="D46" s="388">
        <f>-Pas.!E23</f>
        <v>-14025812.487371186</v>
      </c>
      <c r="E46" s="388">
        <f>-Pas.!F23</f>
        <v>-11663180.100502513</v>
      </c>
      <c r="F46" s="388" t="e">
        <f>-Pas.!#REF!</f>
        <v>#REF!</v>
      </c>
      <c r="G46" s="388">
        <f>-Pas.!G23</f>
        <v>-8608824.286288701</v>
      </c>
      <c r="H46" s="388">
        <f>-Pas.!H23</f>
        <v>-10776564.614694452</v>
      </c>
      <c r="I46" s="388">
        <f>-Pas.!I23</f>
        <v>0</v>
      </c>
      <c r="K46" s="218"/>
    </row>
    <row r="47" spans="2:19" ht="13.9" customHeight="1">
      <c r="B47" s="393" t="str">
        <f>CONCATENATE("( - ) "&amp;Pas.!C26)</f>
        <v>( - )  Liabilities to affiliated companies/shareholders Companies/ shareholders</v>
      </c>
      <c r="D47" s="388">
        <f>-Pas.!E26</f>
        <v>-899709.03212770261</v>
      </c>
      <c r="E47" s="388">
        <f>-Pas.!F26</f>
        <v>0</v>
      </c>
      <c r="F47" s="388" t="e">
        <f>-Pas.!#REF!</f>
        <v>#REF!</v>
      </c>
      <c r="G47" s="388">
        <f>-Pas.!G26</f>
        <v>0</v>
      </c>
      <c r="H47" s="388">
        <f>-Pas.!H26</f>
        <v>-272205.81578737218</v>
      </c>
      <c r="I47" s="388">
        <f>-Pas.!I26</f>
        <v>0</v>
      </c>
      <c r="K47" s="218"/>
    </row>
    <row r="48" spans="2:19" ht="13.9" customHeight="1">
      <c r="B48" s="393" t="str">
        <f>CONCATENATE("( - ) "&amp;Pas.!C27)</f>
        <v>( - )  Other Liabilities</v>
      </c>
      <c r="D48" s="388">
        <f>-Pas.!E27</f>
        <v>-1223181.8549201859</v>
      </c>
      <c r="E48" s="388">
        <f>-Pas.!F27</f>
        <v>-1306795.175879397</v>
      </c>
      <c r="F48" s="388" t="e">
        <f>-Pas.!#REF!</f>
        <v>#REF!</v>
      </c>
      <c r="G48" s="388">
        <f>-Pas.!G27</f>
        <v>-1070767.7925211098</v>
      </c>
      <c r="H48" s="388">
        <f>-Pas.!H27</f>
        <v>-1138173.7693380015</v>
      </c>
      <c r="I48" s="388">
        <f>-Pas.!I27</f>
        <v>0</v>
      </c>
      <c r="K48" s="218"/>
    </row>
    <row r="49" spans="1:12" ht="13.9" customHeight="1">
      <c r="B49" s="394" t="str">
        <f>CONCATENATE("( - ) "&amp;Pas.!C30)</f>
        <v>( - )  Deferred Tax Liabilities</v>
      </c>
      <c r="D49" s="388">
        <f>-Pas.!D30</f>
        <v>0</v>
      </c>
      <c r="E49" s="388">
        <f>-Pas.!E30</f>
        <v>0</v>
      </c>
      <c r="F49" s="388">
        <f>-Pas.!F30</f>
        <v>0</v>
      </c>
      <c r="G49" s="388">
        <f>-Pas.!G30</f>
        <v>0</v>
      </c>
      <c r="H49" s="388">
        <f>-Pas.!H30</f>
        <v>0</v>
      </c>
      <c r="I49" s="388">
        <f>-Pas.!I30</f>
        <v>0</v>
      </c>
      <c r="K49" s="389"/>
    </row>
    <row r="50" spans="1:12" ht="13.9" customHeight="1">
      <c r="B50" s="393"/>
      <c r="D50" s="388"/>
      <c r="E50" s="388"/>
      <c r="F50" s="388"/>
      <c r="G50" s="388"/>
      <c r="H50" s="388"/>
      <c r="I50" s="388"/>
      <c r="K50" s="390"/>
    </row>
    <row r="51" spans="1:12" ht="13.9" customHeight="1">
      <c r="B51" s="393" t="str">
        <f>CONCATENATE("( + ) "&amp;Akt.!C36)</f>
        <v>( + )  Receivables from Affiliated Businesses</v>
      </c>
      <c r="D51" s="388">
        <f>Akt.!D36</f>
        <v>0</v>
      </c>
      <c r="E51" s="388">
        <f>Akt.!E36</f>
        <v>508999.7979389776</v>
      </c>
      <c r="F51" s="388">
        <f>Akt.!F36</f>
        <v>3977135.2763819098</v>
      </c>
      <c r="G51" s="388">
        <f>Akt.!G36</f>
        <v>1379248.6932046642</v>
      </c>
      <c r="H51" s="388">
        <f>Akt.!H36</f>
        <v>1852609.7740952894</v>
      </c>
      <c r="I51" s="388">
        <f>Akt.!I36</f>
        <v>0</v>
      </c>
      <c r="K51" s="390"/>
    </row>
    <row r="52" spans="1:12" ht="13.9" customHeight="1">
      <c r="B52" s="393" t="str">
        <f>CONCATENATE("( + ) "&amp;Akt.!C41)</f>
        <v>( + )  Cash in Hand, Bank Balances</v>
      </c>
      <c r="D52" s="388">
        <f>Akt.!D41</f>
        <v>0</v>
      </c>
      <c r="E52" s="388">
        <f>Akt.!E41</f>
        <v>3309318.044049303</v>
      </c>
      <c r="F52" s="388">
        <f>Akt.!F41</f>
        <v>1087263.7185929648</v>
      </c>
      <c r="G52" s="388">
        <f>Akt.!G41</f>
        <v>1272354.3003618817</v>
      </c>
      <c r="H52" s="388" t="str">
        <f>Akt.!H41</f>
        <v/>
      </c>
      <c r="I52" s="388">
        <f>Akt.!I41</f>
        <v>0</v>
      </c>
    </row>
    <row r="53" spans="1:12" ht="13.9" customHeight="1">
      <c r="B53" s="392" t="str">
        <f>CONCATENATE("( + ) "&amp;Akt.!C39)</f>
        <v>( + )  Securities</v>
      </c>
      <c r="D53" s="388">
        <f>Akt.!D39</f>
        <v>0</v>
      </c>
      <c r="E53" s="388">
        <f>Akt.!E39</f>
        <v>0</v>
      </c>
      <c r="F53" s="388">
        <f>Akt.!F39</f>
        <v>0</v>
      </c>
      <c r="G53" s="388">
        <f>Akt.!G39</f>
        <v>0</v>
      </c>
      <c r="H53" s="388">
        <f>Akt.!H39</f>
        <v>0</v>
      </c>
      <c r="I53" s="388">
        <f>Akt.!I39</f>
        <v>0</v>
      </c>
      <c r="K53" s="389" t="s">
        <v>277</v>
      </c>
    </row>
    <row r="54" spans="1:12" ht="13.9" customHeight="1">
      <c r="B54" s="393" t="str">
        <f>CONCATENATE("( + ) "&amp;Akt.!C44)</f>
        <v>( + )  Deferred tax assets</v>
      </c>
      <c r="D54" s="388">
        <f>Akt.!D44</f>
        <v>0</v>
      </c>
      <c r="E54" s="388">
        <f>Akt.!E44</f>
        <v>0</v>
      </c>
      <c r="F54" s="388">
        <f>Akt.!F44</f>
        <v>0</v>
      </c>
      <c r="G54" s="388">
        <f>Akt.!G44</f>
        <v>0</v>
      </c>
      <c r="H54" s="388">
        <f>Akt.!H44</f>
        <v>0</v>
      </c>
      <c r="I54" s="388">
        <f>Akt.!I44</f>
        <v>0</v>
      </c>
      <c r="J54" s="218"/>
    </row>
    <row r="55" spans="1:12" ht="13.9" customHeight="1">
      <c r="B55" s="393"/>
      <c r="D55" s="388"/>
      <c r="E55" s="388"/>
      <c r="F55" s="388"/>
      <c r="G55" s="388"/>
      <c r="H55" s="388"/>
      <c r="I55" s="388"/>
      <c r="J55" s="218"/>
    </row>
    <row r="56" spans="1:12">
      <c r="B56" s="395" t="str">
        <f>Lang.!B246</f>
        <v>(+/-) Operating Capital (offsetting WC as at the reporting date)</v>
      </c>
      <c r="D56" s="388" t="e">
        <f t="shared" ref="D56:I56" si="23">D13-$F$16</f>
        <v>#REF!</v>
      </c>
      <c r="E56" s="388" t="e">
        <f t="shared" si="23"/>
        <v>#REF!</v>
      </c>
      <c r="F56" s="388" t="e">
        <f t="shared" si="23"/>
        <v>#REF!</v>
      </c>
      <c r="G56" s="388" t="e">
        <f t="shared" si="23"/>
        <v>#REF!</v>
      </c>
      <c r="H56" s="388" t="e">
        <f t="shared" si="23"/>
        <v>#VALUE!</v>
      </c>
      <c r="I56" s="388" t="e">
        <f t="shared" si="23"/>
        <v>#REF!</v>
      </c>
      <c r="J56" s="218"/>
    </row>
    <row r="57" spans="1:12">
      <c r="B57" s="393"/>
      <c r="D57" s="391"/>
      <c r="E57" s="391"/>
      <c r="F57" s="391"/>
      <c r="G57" s="383"/>
      <c r="H57" s="384"/>
      <c r="I57" s="384"/>
      <c r="J57" s="218"/>
    </row>
    <row r="58" spans="1:12" ht="13.5" thickBot="1">
      <c r="A58" s="368"/>
      <c r="B58" s="396" t="s">
        <v>274</v>
      </c>
      <c r="C58" s="397"/>
      <c r="D58" s="398" t="e">
        <f t="shared" ref="D58:I58" si="24">SUM(D44:D56)</f>
        <v>#REF!</v>
      </c>
      <c r="E58" s="398" t="e">
        <f t="shared" si="24"/>
        <v>#REF!</v>
      </c>
      <c r="F58" s="398" t="e">
        <f t="shared" si="24"/>
        <v>#REF!</v>
      </c>
      <c r="G58" s="398" t="e">
        <f t="shared" si="24"/>
        <v>#REF!</v>
      </c>
      <c r="H58" s="398" t="e">
        <f t="shared" si="24"/>
        <v>#VALUE!</v>
      </c>
      <c r="I58" s="398" t="e">
        <f t="shared" si="24"/>
        <v>#REF!</v>
      </c>
      <c r="J58" s="6"/>
      <c r="K58" s="368"/>
      <c r="L58" s="368"/>
    </row>
    <row r="59" spans="1:12" ht="13.5" thickTop="1">
      <c r="E59" s="383"/>
      <c r="F59" s="383"/>
      <c r="G59" s="383"/>
      <c r="H59" s="384"/>
      <c r="J59" s="218"/>
    </row>
  </sheetData>
  <sheetProtection formatCells="0" formatColumns="0" formatRows="0" insertRows="0"/>
  <phoneticPr fontId="6" type="noConversion"/>
  <printOptions horizontalCentered="1"/>
  <pageMargins left="0.23622047244094491" right="0.23622047244094491" top="0.74803149606299213" bottom="0.74803149606299213" header="0.31496062992125984" footer="0.31496062992125984"/>
  <pageSetup paperSize="9" scale="55" orientation="portrait" cellComments="asDisplayed"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E9B8-507F-BC46-8F49-2C8A6495B106}">
  <sheetPr codeName="Tabelle13">
    <tabColor rgb="FFFFC000"/>
    <pageSetUpPr fitToPage="1"/>
  </sheetPr>
  <dimension ref="B1:S56"/>
  <sheetViews>
    <sheetView workbookViewId="0"/>
  </sheetViews>
  <sheetFormatPr defaultColWidth="11.42578125" defaultRowHeight="12.75"/>
  <cols>
    <col min="1" max="1" width="5.7109375" style="417" customWidth="1"/>
    <col min="2" max="2" width="3.42578125" style="1277" customWidth="1"/>
    <col min="3" max="3" width="51.42578125" style="417" customWidth="1"/>
    <col min="4" max="4" width="12.7109375" style="417" customWidth="1"/>
    <col min="5" max="7" width="12.42578125" style="416" customWidth="1"/>
    <col min="8" max="12" width="13.7109375" style="417" bestFit="1" customWidth="1"/>
    <col min="13" max="17" width="1.42578125" style="417" customWidth="1"/>
    <col min="18" max="18" width="21.140625" style="417" customWidth="1"/>
    <col min="19" max="19" width="59.42578125" style="417" customWidth="1"/>
    <col min="20" max="16384" width="11.42578125" style="417"/>
  </cols>
  <sheetData>
    <row r="1" spans="2:19" ht="15" customHeight="1"/>
    <row r="2" spans="2:19" ht="18.75">
      <c r="B2" s="1276" t="str">
        <f>Übersicht!C18</f>
        <v>G&amp;V Bereinigungen</v>
      </c>
      <c r="C2" s="329"/>
      <c r="D2" s="329"/>
      <c r="S2" s="418" t="s">
        <v>275</v>
      </c>
    </row>
    <row r="3" spans="2:19">
      <c r="H3" s="965" t="s">
        <v>278</v>
      </c>
      <c r="I3" s="965"/>
      <c r="J3" s="965"/>
      <c r="K3" s="965"/>
      <c r="L3" s="965"/>
      <c r="M3" s="965"/>
      <c r="N3" s="965"/>
      <c r="O3" s="965"/>
      <c r="P3" s="965"/>
      <c r="Q3" s="965"/>
    </row>
    <row r="4" spans="2:19" s="419" customFormat="1">
      <c r="B4" s="1278" t="str">
        <f>Lang.!B244</f>
        <v>Adjustments</v>
      </c>
      <c r="C4" s="816"/>
      <c r="D4" s="144">
        <f>+E4-1</f>
        <v>2021</v>
      </c>
      <c r="E4" s="144">
        <f>+F4-1</f>
        <v>2022</v>
      </c>
      <c r="F4" s="144">
        <f>+G4-1</f>
        <v>2023</v>
      </c>
      <c r="G4" s="1402">
        <f>Eckdaten!C12</f>
        <v>2024</v>
      </c>
      <c r="H4" s="1401">
        <f>+G4+1</f>
        <v>2025</v>
      </c>
      <c r="I4" s="1492">
        <f>IF(Eckdaten!$C$20+Eckdaten!$C$12&gt;H4,H4+1," ")</f>
        <v>2026</v>
      </c>
      <c r="J4" s="1492">
        <f>IF(Eckdaten!$C$20+Eckdaten!$C$12&gt;I4,I4+1," ")</f>
        <v>2027</v>
      </c>
      <c r="K4" s="1492">
        <f>IF(Eckdaten!$C$20+Eckdaten!$C$12&gt;J4,J4+1," ")</f>
        <v>2028</v>
      </c>
      <c r="L4" s="1492">
        <f>IF(Eckdaten!$C$20+Eckdaten!$C$12&gt;K4,K4+1," ")</f>
        <v>2029</v>
      </c>
      <c r="M4" s="1492" t="str">
        <f>IF(Eckdaten!$C$20+Eckdaten!$C$12&gt;L4,L4+1," ")</f>
        <v xml:space="preserve"> </v>
      </c>
      <c r="N4" s="1492" t="str">
        <f>IF(Eckdaten!$C$20+Eckdaten!$C$12&gt;M4,M4+1," ")</f>
        <v xml:space="preserve"> </v>
      </c>
      <c r="O4" s="1492" t="str">
        <f>IF(Eckdaten!$C$20+Eckdaten!$C$12&gt;N4,N4+1," ")</f>
        <v xml:space="preserve"> </v>
      </c>
      <c r="P4" s="1492" t="str">
        <f>IF(Eckdaten!$C$20+Eckdaten!$C$12&gt;O4,O4+1," ")</f>
        <v xml:space="preserve"> </v>
      </c>
      <c r="Q4" s="1492" t="str">
        <f>IF(Eckdaten!$C$20+Eckdaten!$C$12&gt;P4,P4+1," ")</f>
        <v xml:space="preserve"> </v>
      </c>
      <c r="R4" s="417"/>
      <c r="S4" s="419" t="s">
        <v>279</v>
      </c>
    </row>
    <row r="5" spans="2:19" s="419" customFormat="1">
      <c r="B5" s="1279" t="str">
        <f>Eckdaten!C14</f>
        <v>EUR</v>
      </c>
      <c r="C5" s="817"/>
      <c r="D5" s="127" t="s">
        <v>173</v>
      </c>
      <c r="E5" s="127" t="s">
        <v>173</v>
      </c>
      <c r="F5" s="127" t="s">
        <v>173</v>
      </c>
      <c r="G5" s="1053" t="s">
        <v>173</v>
      </c>
      <c r="H5" s="1048" t="s">
        <v>174</v>
      </c>
      <c r="I5" s="1493" t="str">
        <f>IF(I4=" "," ","P")</f>
        <v>P</v>
      </c>
      <c r="J5" s="1493" t="str">
        <f t="shared" ref="J5:Q5" si="0">IF(J4=" "," ","P")</f>
        <v>P</v>
      </c>
      <c r="K5" s="1493" t="str">
        <f t="shared" si="0"/>
        <v>P</v>
      </c>
      <c r="L5" s="1493" t="str">
        <f t="shared" si="0"/>
        <v>P</v>
      </c>
      <c r="M5" s="1493" t="str">
        <f t="shared" si="0"/>
        <v xml:space="preserve"> </v>
      </c>
      <c r="N5" s="1493" t="str">
        <f t="shared" si="0"/>
        <v xml:space="preserve"> </v>
      </c>
      <c r="O5" s="1493" t="str">
        <f t="shared" si="0"/>
        <v xml:space="preserve"> </v>
      </c>
      <c r="P5" s="1493" t="str">
        <f t="shared" si="0"/>
        <v xml:space="preserve"> </v>
      </c>
      <c r="Q5" s="1493" t="str">
        <f t="shared" si="0"/>
        <v xml:space="preserve"> </v>
      </c>
      <c r="S5" s="420" t="s">
        <v>280</v>
      </c>
    </row>
    <row r="6" spans="2:19">
      <c r="B6" s="1280"/>
      <c r="C6" s="421"/>
      <c r="D6" s="421"/>
      <c r="E6" s="422"/>
      <c r="F6" s="422"/>
      <c r="G6" s="1393"/>
      <c r="H6" s="422"/>
      <c r="S6" s="423" t="s">
        <v>281</v>
      </c>
    </row>
    <row r="7" spans="2:19">
      <c r="B7" s="1413" t="str">
        <f>'G&amp;V'!B12</f>
        <v>Adjustments (Total Turnover)</v>
      </c>
      <c r="C7" s="1414"/>
      <c r="D7" s="1415">
        <f>IF(D4=" ", " ", SUM(D8:D16))</f>
        <v>0</v>
      </c>
      <c r="E7" s="1415">
        <f>IF(E4=" ", " ", SUM(E8:E16))</f>
        <v>0</v>
      </c>
      <c r="F7" s="1415">
        <f t="shared" ref="F7:Q7" si="1">IF(F4=" ", " ", SUM(F8:F16))</f>
        <v>0</v>
      </c>
      <c r="G7" s="1416">
        <f t="shared" si="1"/>
        <v>0</v>
      </c>
      <c r="H7" s="1415">
        <f t="shared" si="1"/>
        <v>0</v>
      </c>
      <c r="I7" s="1415">
        <f t="shared" si="1"/>
        <v>0</v>
      </c>
      <c r="J7" s="1415">
        <f t="shared" si="1"/>
        <v>0</v>
      </c>
      <c r="K7" s="1415">
        <f t="shared" si="1"/>
        <v>0</v>
      </c>
      <c r="L7" s="1415">
        <f t="shared" si="1"/>
        <v>0</v>
      </c>
      <c r="M7" s="1415" t="str">
        <f t="shared" si="1"/>
        <v xml:space="preserve"> </v>
      </c>
      <c r="N7" s="1415" t="str">
        <f t="shared" si="1"/>
        <v xml:space="preserve"> </v>
      </c>
      <c r="O7" s="1415" t="str">
        <f t="shared" si="1"/>
        <v xml:space="preserve"> </v>
      </c>
      <c r="P7" s="1415" t="str">
        <f t="shared" si="1"/>
        <v xml:space="preserve"> </v>
      </c>
      <c r="Q7" s="1415" t="str">
        <f t="shared" si="1"/>
        <v xml:space="preserve"> </v>
      </c>
    </row>
    <row r="8" spans="2:19">
      <c r="B8" s="1280">
        <v>1</v>
      </c>
      <c r="C8" s="424" t="s">
        <v>205</v>
      </c>
      <c r="D8" s="425"/>
      <c r="E8" s="425"/>
      <c r="F8" s="425"/>
      <c r="G8" s="1394"/>
      <c r="H8" s="1389"/>
      <c r="I8" s="425"/>
      <c r="J8" s="425"/>
      <c r="K8" s="425"/>
      <c r="L8" s="425"/>
      <c r="M8" s="425"/>
      <c r="N8" s="425"/>
      <c r="O8" s="425"/>
      <c r="P8" s="425"/>
      <c r="Q8" s="425"/>
    </row>
    <row r="9" spans="2:19">
      <c r="B9" s="1280">
        <v>2</v>
      </c>
      <c r="C9" s="421" t="s">
        <v>282</v>
      </c>
      <c r="D9" s="425"/>
      <c r="E9" s="425"/>
      <c r="F9" s="425"/>
      <c r="G9" s="1394"/>
      <c r="H9" s="1389"/>
      <c r="I9" s="425"/>
      <c r="J9" s="425"/>
      <c r="K9" s="425"/>
      <c r="L9" s="425"/>
      <c r="M9" s="425"/>
      <c r="N9" s="425"/>
      <c r="O9" s="425"/>
      <c r="P9" s="425"/>
      <c r="Q9" s="425"/>
    </row>
    <row r="10" spans="2:19">
      <c r="B10" s="1280">
        <v>3</v>
      </c>
      <c r="C10" s="421" t="s">
        <v>283</v>
      </c>
      <c r="D10" s="425"/>
      <c r="E10" s="425"/>
      <c r="F10" s="425"/>
      <c r="G10" s="1394"/>
      <c r="H10" s="1389"/>
      <c r="I10" s="425"/>
      <c r="J10" s="425"/>
      <c r="K10" s="425"/>
      <c r="L10" s="425"/>
      <c r="M10" s="425"/>
      <c r="N10" s="425"/>
      <c r="O10" s="425"/>
      <c r="P10" s="425"/>
      <c r="Q10" s="425"/>
    </row>
    <row r="11" spans="2:19">
      <c r="B11" s="1280">
        <v>4</v>
      </c>
      <c r="C11" s="421" t="s">
        <v>284</v>
      </c>
      <c r="D11" s="426"/>
      <c r="E11" s="426"/>
      <c r="F11" s="426"/>
      <c r="G11" s="1395"/>
      <c r="H11" s="1390"/>
      <c r="I11" s="426"/>
      <c r="J11" s="426"/>
      <c r="K11" s="426"/>
      <c r="L11" s="426"/>
      <c r="M11" s="426"/>
      <c r="N11" s="426"/>
      <c r="O11" s="426"/>
      <c r="P11" s="426"/>
      <c r="Q11" s="426"/>
      <c r="R11" s="427"/>
      <c r="S11" s="427"/>
    </row>
    <row r="12" spans="2:19">
      <c r="B12" s="1280">
        <v>5</v>
      </c>
      <c r="C12" s="421" t="s">
        <v>285</v>
      </c>
      <c r="D12" s="425"/>
      <c r="E12" s="425"/>
      <c r="F12" s="425"/>
      <c r="G12" s="1394"/>
      <c r="H12" s="1389"/>
      <c r="I12" s="425"/>
      <c r="J12" s="425"/>
      <c r="K12" s="425"/>
      <c r="L12" s="425"/>
      <c r="M12" s="425"/>
      <c r="N12" s="425"/>
      <c r="O12" s="425"/>
      <c r="P12" s="425"/>
      <c r="Q12" s="425"/>
    </row>
    <row r="13" spans="2:19">
      <c r="B13" s="1280">
        <v>6</v>
      </c>
      <c r="C13" s="421" t="s">
        <v>284</v>
      </c>
      <c r="D13" s="425"/>
      <c r="E13" s="425"/>
      <c r="F13" s="425"/>
      <c r="G13" s="1394"/>
      <c r="H13" s="1389"/>
      <c r="I13" s="425"/>
      <c r="J13" s="425"/>
      <c r="K13" s="425"/>
      <c r="L13" s="425"/>
      <c r="M13" s="425"/>
      <c r="N13" s="425"/>
      <c r="O13" s="425"/>
      <c r="P13" s="425"/>
      <c r="Q13" s="425"/>
    </row>
    <row r="14" spans="2:19">
      <c r="B14" s="1280">
        <v>7</v>
      </c>
      <c r="C14" s="421" t="s">
        <v>286</v>
      </c>
      <c r="D14" s="425"/>
      <c r="E14" s="425"/>
      <c r="F14" s="425"/>
      <c r="G14" s="1394"/>
      <c r="H14" s="1389"/>
      <c r="I14" s="425"/>
      <c r="J14" s="425"/>
      <c r="K14" s="425"/>
      <c r="L14" s="425"/>
      <c r="M14" s="425"/>
      <c r="N14" s="425"/>
      <c r="O14" s="425"/>
      <c r="P14" s="425"/>
      <c r="Q14" s="425"/>
    </row>
    <row r="15" spans="2:19">
      <c r="B15" s="1280">
        <v>8</v>
      </c>
      <c r="C15" s="421" t="s">
        <v>287</v>
      </c>
      <c r="D15" s="425"/>
      <c r="E15" s="425"/>
      <c r="F15" s="425"/>
      <c r="G15" s="1394"/>
      <c r="H15" s="1389"/>
      <c r="I15" s="425"/>
      <c r="J15" s="425"/>
      <c r="K15" s="425"/>
      <c r="L15" s="425"/>
      <c r="M15" s="425"/>
      <c r="N15" s="425"/>
      <c r="O15" s="425"/>
      <c r="P15" s="425"/>
      <c r="Q15" s="425"/>
    </row>
    <row r="16" spans="2:19">
      <c r="B16" s="1280">
        <v>9</v>
      </c>
      <c r="C16" s="421" t="s">
        <v>288</v>
      </c>
      <c r="D16" s="425"/>
      <c r="E16" s="425"/>
      <c r="F16" s="425"/>
      <c r="G16" s="1394"/>
      <c r="H16" s="1389"/>
      <c r="I16" s="425"/>
      <c r="J16" s="425"/>
      <c r="K16" s="425"/>
      <c r="L16" s="425"/>
      <c r="M16" s="425"/>
      <c r="N16" s="425"/>
      <c r="O16" s="425"/>
      <c r="P16" s="425"/>
      <c r="Q16" s="425"/>
    </row>
    <row r="17" spans="2:19">
      <c r="B17" s="1280"/>
      <c r="C17" s="421"/>
      <c r="D17" s="421"/>
      <c r="E17" s="428"/>
      <c r="F17" s="428"/>
      <c r="G17" s="1396"/>
      <c r="H17" s="428"/>
      <c r="I17" s="428"/>
      <c r="J17" s="428"/>
      <c r="K17" s="428"/>
      <c r="L17" s="428"/>
      <c r="M17" s="428"/>
      <c r="N17" s="428"/>
      <c r="O17" s="428"/>
      <c r="P17" s="428"/>
      <c r="Q17" s="428"/>
    </row>
    <row r="18" spans="2:19">
      <c r="B18" s="1413" t="str">
        <f>'G&amp;V'!B18</f>
        <v>Adjustments (Cost of Material)</v>
      </c>
      <c r="C18" s="1414"/>
      <c r="D18" s="1415">
        <f>IF(D4=" ", " ", SUM(D19:D20))</f>
        <v>0</v>
      </c>
      <c r="E18" s="1415">
        <f>IF(E4=" ", " ", SUM(E19:E20))</f>
        <v>0</v>
      </c>
      <c r="F18" s="1415">
        <f t="shared" ref="F18:Q18" si="2">IF(F4=" ", " ", SUM(F19:F20))</f>
        <v>0</v>
      </c>
      <c r="G18" s="1416">
        <f t="shared" si="2"/>
        <v>0</v>
      </c>
      <c r="H18" s="1415">
        <f t="shared" si="2"/>
        <v>0</v>
      </c>
      <c r="I18" s="1415">
        <f t="shared" si="2"/>
        <v>0</v>
      </c>
      <c r="J18" s="1415">
        <f t="shared" si="2"/>
        <v>0</v>
      </c>
      <c r="K18" s="1415">
        <f t="shared" si="2"/>
        <v>0</v>
      </c>
      <c r="L18" s="1415">
        <f t="shared" si="2"/>
        <v>0</v>
      </c>
      <c r="M18" s="1415" t="str">
        <f t="shared" si="2"/>
        <v xml:space="preserve"> </v>
      </c>
      <c r="N18" s="1415" t="str">
        <f t="shared" si="2"/>
        <v xml:space="preserve"> </v>
      </c>
      <c r="O18" s="1415" t="str">
        <f t="shared" si="2"/>
        <v xml:space="preserve"> </v>
      </c>
      <c r="P18" s="1415" t="str">
        <f t="shared" si="2"/>
        <v xml:space="preserve"> </v>
      </c>
      <c r="Q18" s="1415" t="str">
        <f t="shared" si="2"/>
        <v xml:space="preserve"> </v>
      </c>
    </row>
    <row r="19" spans="2:19">
      <c r="B19" s="1280">
        <v>1</v>
      </c>
      <c r="C19" s="429" t="s">
        <v>289</v>
      </c>
      <c r="D19" s="430"/>
      <c r="E19" s="430"/>
      <c r="F19" s="430"/>
      <c r="G19" s="1397"/>
      <c r="H19" s="1391"/>
      <c r="I19" s="430"/>
      <c r="J19" s="430"/>
      <c r="K19" s="430"/>
      <c r="L19" s="430"/>
      <c r="M19" s="430"/>
      <c r="N19" s="430"/>
      <c r="O19" s="431"/>
      <c r="P19" s="431"/>
      <c r="Q19" s="431"/>
      <c r="R19" s="427"/>
      <c r="S19" s="427"/>
    </row>
    <row r="20" spans="2:19">
      <c r="B20" s="1280">
        <v>2</v>
      </c>
      <c r="C20" s="429" t="s">
        <v>289</v>
      </c>
      <c r="D20" s="430"/>
      <c r="E20" s="430"/>
      <c r="F20" s="430"/>
      <c r="G20" s="1397"/>
      <c r="H20" s="1391"/>
      <c r="I20" s="430"/>
      <c r="J20" s="430"/>
      <c r="K20" s="430"/>
      <c r="L20" s="430"/>
      <c r="M20" s="430"/>
      <c r="N20" s="430"/>
      <c r="O20" s="430"/>
      <c r="P20" s="430"/>
      <c r="Q20" s="430"/>
    </row>
    <row r="21" spans="2:19">
      <c r="B21" s="1280"/>
      <c r="C21" s="421"/>
      <c r="D21" s="432"/>
      <c r="E21" s="432"/>
      <c r="F21" s="432"/>
      <c r="G21" s="1398"/>
      <c r="H21" s="432"/>
      <c r="I21" s="432"/>
      <c r="J21" s="432"/>
      <c r="K21" s="432"/>
      <c r="L21" s="432"/>
      <c r="M21" s="432"/>
      <c r="N21" s="432"/>
      <c r="O21" s="432"/>
      <c r="P21" s="432"/>
      <c r="Q21" s="432"/>
    </row>
    <row r="22" spans="2:19">
      <c r="B22" s="1413" t="str">
        <f>'G&amp;V'!B28</f>
        <v>Adjustments (Personnel Expenses)</v>
      </c>
      <c r="C22" s="1414"/>
      <c r="D22" s="1415">
        <f>IF(D4=" ", " ",SUM(D23:D24))</f>
        <v>0</v>
      </c>
      <c r="E22" s="1415">
        <f>IF(E4=" ", " ",SUM(E23:E24))</f>
        <v>0</v>
      </c>
      <c r="F22" s="1415">
        <f t="shared" ref="F22:Q22" si="3">IF(F4=" ", " ",SUM(F23:F24))</f>
        <v>0</v>
      </c>
      <c r="G22" s="1416">
        <f t="shared" si="3"/>
        <v>0</v>
      </c>
      <c r="H22" s="1415">
        <f t="shared" si="3"/>
        <v>0</v>
      </c>
      <c r="I22" s="1415">
        <f t="shared" si="3"/>
        <v>0</v>
      </c>
      <c r="J22" s="1415">
        <f t="shared" si="3"/>
        <v>0</v>
      </c>
      <c r="K22" s="1415">
        <f t="shared" si="3"/>
        <v>0</v>
      </c>
      <c r="L22" s="1415">
        <f t="shared" si="3"/>
        <v>0</v>
      </c>
      <c r="M22" s="1415" t="str">
        <f t="shared" si="3"/>
        <v xml:space="preserve"> </v>
      </c>
      <c r="N22" s="1415" t="str">
        <f t="shared" si="3"/>
        <v xml:space="preserve"> </v>
      </c>
      <c r="O22" s="1415" t="str">
        <f t="shared" si="3"/>
        <v xml:space="preserve"> </v>
      </c>
      <c r="P22" s="1415" t="str">
        <f t="shared" si="3"/>
        <v xml:space="preserve"> </v>
      </c>
      <c r="Q22" s="1415" t="str">
        <f t="shared" si="3"/>
        <v xml:space="preserve"> </v>
      </c>
    </row>
    <row r="23" spans="2:19">
      <c r="B23" s="1280">
        <v>1</v>
      </c>
      <c r="C23" s="429" t="s">
        <v>289</v>
      </c>
      <c r="D23" s="430"/>
      <c r="E23" s="430"/>
      <c r="F23" s="430"/>
      <c r="G23" s="1397"/>
      <c r="H23" s="1391"/>
      <c r="I23" s="430"/>
      <c r="J23" s="430"/>
      <c r="K23" s="430"/>
      <c r="L23" s="430"/>
      <c r="M23" s="430"/>
      <c r="N23" s="430"/>
      <c r="O23" s="430"/>
      <c r="P23" s="430"/>
      <c r="Q23" s="430"/>
    </row>
    <row r="24" spans="2:19">
      <c r="B24" s="1280">
        <v>2</v>
      </c>
      <c r="C24" s="429" t="s">
        <v>289</v>
      </c>
      <c r="D24" s="430"/>
      <c r="E24" s="430"/>
      <c r="F24" s="430"/>
      <c r="G24" s="1397"/>
      <c r="H24" s="1391"/>
      <c r="I24" s="430"/>
      <c r="J24" s="430"/>
      <c r="K24" s="430"/>
      <c r="L24" s="430"/>
      <c r="M24" s="430"/>
      <c r="N24" s="430"/>
      <c r="O24" s="430"/>
      <c r="P24" s="430"/>
      <c r="Q24" s="430"/>
    </row>
    <row r="25" spans="2:19">
      <c r="B25" s="1280"/>
      <c r="C25" s="429"/>
      <c r="D25" s="433"/>
      <c r="E25" s="433"/>
      <c r="F25" s="433"/>
      <c r="G25" s="1717"/>
      <c r="H25" s="433"/>
      <c r="I25" s="433"/>
      <c r="J25" s="433"/>
      <c r="K25" s="433"/>
      <c r="L25" s="433"/>
      <c r="M25" s="433"/>
      <c r="N25" s="433"/>
      <c r="O25" s="433"/>
      <c r="P25" s="433"/>
      <c r="Q25" s="433"/>
    </row>
    <row r="26" spans="2:19">
      <c r="B26" s="1716" t="str">
        <f>'G&amp;V'!B33</f>
        <v>Adjustments (Other Operating Income)</v>
      </c>
      <c r="C26" s="1417"/>
      <c r="D26" s="1418">
        <f>IF(D4=" ", " ",SUM(D27:D28))</f>
        <v>0</v>
      </c>
      <c r="E26" s="1418">
        <f t="shared" ref="E26:L26" si="4">IF(E4=" ", " ",SUM(E27:E28))</f>
        <v>0</v>
      </c>
      <c r="F26" s="1418">
        <f t="shared" si="4"/>
        <v>0</v>
      </c>
      <c r="G26" s="1419">
        <f t="shared" si="4"/>
        <v>0</v>
      </c>
      <c r="H26" s="1418">
        <f t="shared" si="4"/>
        <v>0</v>
      </c>
      <c r="I26" s="1418">
        <f t="shared" si="4"/>
        <v>0</v>
      </c>
      <c r="J26" s="1418">
        <f t="shared" si="4"/>
        <v>0</v>
      </c>
      <c r="K26" s="1418">
        <f t="shared" si="4"/>
        <v>0</v>
      </c>
      <c r="L26" s="1418">
        <f t="shared" si="4"/>
        <v>0</v>
      </c>
      <c r="M26" s="1418" t="str">
        <f t="shared" ref="M26" si="5">IF(M4=" ", " ",SUM(M27:M28))</f>
        <v xml:space="preserve"> </v>
      </c>
      <c r="N26" s="1418" t="str">
        <f t="shared" ref="N26" si="6">IF(N4=" ", " ",SUM(N27:N28))</f>
        <v xml:space="preserve"> </v>
      </c>
      <c r="O26" s="1418" t="str">
        <f t="shared" ref="O26" si="7">IF(O4=" ", " ",SUM(O27:O28))</f>
        <v xml:space="preserve"> </v>
      </c>
      <c r="P26" s="1418" t="str">
        <f t="shared" ref="P26" si="8">IF(P4=" ", " ",SUM(P27:P28))</f>
        <v xml:space="preserve"> </v>
      </c>
      <c r="Q26" s="1418" t="str">
        <f t="shared" ref="Q26" si="9">IF(Q4=" ", " ",SUM(Q27:Q28))</f>
        <v xml:space="preserve"> </v>
      </c>
    </row>
    <row r="27" spans="2:19">
      <c r="B27" s="1280">
        <v>1</v>
      </c>
      <c r="C27" s="421" t="s">
        <v>289</v>
      </c>
      <c r="D27" s="425"/>
      <c r="E27" s="425"/>
      <c r="F27" s="430"/>
      <c r="G27" s="1394"/>
      <c r="H27" s="1389"/>
      <c r="I27" s="425"/>
      <c r="J27" s="425"/>
      <c r="K27" s="425"/>
      <c r="L27" s="425"/>
      <c r="M27" s="425"/>
      <c r="N27" s="425"/>
      <c r="O27" s="426"/>
      <c r="P27" s="426"/>
      <c r="Q27" s="426"/>
    </row>
    <row r="28" spans="2:19">
      <c r="B28" s="1280">
        <v>2</v>
      </c>
      <c r="C28" s="421" t="s">
        <v>289</v>
      </c>
      <c r="D28" s="425"/>
      <c r="E28" s="425"/>
      <c r="F28" s="425"/>
      <c r="G28" s="1394"/>
      <c r="H28" s="1389"/>
      <c r="I28" s="425"/>
      <c r="J28" s="425"/>
      <c r="K28" s="425"/>
      <c r="L28" s="425"/>
      <c r="M28" s="425"/>
      <c r="N28" s="425"/>
      <c r="O28" s="425"/>
      <c r="P28" s="425"/>
      <c r="Q28" s="425"/>
    </row>
    <row r="29" spans="2:19">
      <c r="B29" s="1280"/>
      <c r="C29" s="429"/>
      <c r="D29" s="433"/>
      <c r="E29" s="433"/>
      <c r="F29" s="433"/>
      <c r="G29" s="1399"/>
      <c r="H29" s="433"/>
      <c r="I29" s="433"/>
      <c r="J29" s="433"/>
      <c r="K29" s="433"/>
      <c r="L29" s="433"/>
      <c r="M29" s="433"/>
      <c r="N29" s="433"/>
      <c r="O29" s="433"/>
      <c r="P29" s="433"/>
      <c r="Q29" s="433"/>
    </row>
    <row r="30" spans="2:19" s="434" customFormat="1">
      <c r="B30" s="1413" t="str">
        <f>'G&amp;V'!B38</f>
        <v>Adjustments (Other Operating Expenses)</v>
      </c>
      <c r="C30" s="1417"/>
      <c r="D30" s="1418">
        <f>IF(D4=" ", " ",SUM(D31:D32))</f>
        <v>0</v>
      </c>
      <c r="E30" s="1418">
        <f t="shared" ref="E30:Q30" si="10">IF(E4=" ", " ",SUM(E31:E32))</f>
        <v>0</v>
      </c>
      <c r="F30" s="1418">
        <f t="shared" si="10"/>
        <v>0</v>
      </c>
      <c r="G30" s="1419">
        <f t="shared" si="10"/>
        <v>0</v>
      </c>
      <c r="H30" s="1418">
        <f t="shared" si="10"/>
        <v>0</v>
      </c>
      <c r="I30" s="1418">
        <f t="shared" si="10"/>
        <v>0</v>
      </c>
      <c r="J30" s="1418">
        <f t="shared" si="10"/>
        <v>0</v>
      </c>
      <c r="K30" s="1418">
        <f t="shared" si="10"/>
        <v>0</v>
      </c>
      <c r="L30" s="1418">
        <f t="shared" si="10"/>
        <v>0</v>
      </c>
      <c r="M30" s="1418" t="str">
        <f t="shared" si="10"/>
        <v xml:space="preserve"> </v>
      </c>
      <c r="N30" s="1418" t="str">
        <f t="shared" si="10"/>
        <v xml:space="preserve"> </v>
      </c>
      <c r="O30" s="1418" t="str">
        <f t="shared" si="10"/>
        <v xml:space="preserve"> </v>
      </c>
      <c r="P30" s="1418" t="str">
        <f t="shared" si="10"/>
        <v xml:space="preserve"> </v>
      </c>
      <c r="Q30" s="1418" t="str">
        <f t="shared" si="10"/>
        <v xml:space="preserve"> </v>
      </c>
    </row>
    <row r="31" spans="2:19">
      <c r="B31" s="1280">
        <v>1</v>
      </c>
      <c r="C31" s="421" t="s">
        <v>289</v>
      </c>
      <c r="D31" s="425"/>
      <c r="E31" s="425"/>
      <c r="F31" s="430"/>
      <c r="G31" s="1394"/>
      <c r="H31" s="1389"/>
      <c r="I31" s="425"/>
      <c r="J31" s="425"/>
      <c r="K31" s="425"/>
      <c r="L31" s="425"/>
      <c r="M31" s="425"/>
      <c r="N31" s="425"/>
      <c r="O31" s="426"/>
      <c r="P31" s="426"/>
      <c r="Q31" s="426"/>
      <c r="R31" s="427"/>
      <c r="S31" s="427"/>
    </row>
    <row r="32" spans="2:19">
      <c r="B32" s="1280">
        <v>2</v>
      </c>
      <c r="C32" s="421" t="s">
        <v>289</v>
      </c>
      <c r="D32" s="425"/>
      <c r="E32" s="425"/>
      <c r="F32" s="425"/>
      <c r="G32" s="1394"/>
      <c r="H32" s="1389"/>
      <c r="I32" s="425"/>
      <c r="J32" s="425"/>
      <c r="K32" s="425"/>
      <c r="L32" s="425"/>
      <c r="M32" s="425"/>
      <c r="N32" s="425"/>
      <c r="O32" s="425"/>
      <c r="P32" s="425"/>
      <c r="Q32" s="425"/>
    </row>
    <row r="33" spans="2:17">
      <c r="B33" s="1280"/>
      <c r="C33" s="421"/>
      <c r="D33" s="432"/>
      <c r="E33" s="432"/>
      <c r="F33" s="432"/>
      <c r="G33" s="1398"/>
      <c r="H33" s="432"/>
      <c r="I33" s="432"/>
      <c r="J33" s="432"/>
      <c r="K33" s="432"/>
      <c r="L33" s="432"/>
      <c r="M33" s="432"/>
      <c r="N33" s="432"/>
      <c r="O33" s="432"/>
      <c r="P33" s="432"/>
      <c r="Q33" s="432"/>
    </row>
    <row r="34" spans="2:17" s="434" customFormat="1">
      <c r="B34" s="1420" t="str">
        <f>'G&amp;V'!B48</f>
        <v>Adjustments (Depreciation and Amortization)</v>
      </c>
      <c r="C34" s="1417"/>
      <c r="D34" s="1418">
        <f t="shared" ref="D34" si="11">IF(D4=" ", " ",SUM(D35:D36))</f>
        <v>0</v>
      </c>
      <c r="E34" s="1418">
        <f t="shared" ref="E34:Q34" si="12">IF(E4=" ", " ",SUM(E35:E36))</f>
        <v>0</v>
      </c>
      <c r="F34" s="1418">
        <f t="shared" si="12"/>
        <v>0</v>
      </c>
      <c r="G34" s="1419">
        <f t="shared" si="12"/>
        <v>0</v>
      </c>
      <c r="H34" s="1418">
        <f t="shared" si="12"/>
        <v>0</v>
      </c>
      <c r="I34" s="1418">
        <f t="shared" si="12"/>
        <v>0</v>
      </c>
      <c r="J34" s="1418">
        <f t="shared" si="12"/>
        <v>0</v>
      </c>
      <c r="K34" s="1418">
        <f t="shared" si="12"/>
        <v>0</v>
      </c>
      <c r="L34" s="1418">
        <f t="shared" si="12"/>
        <v>0</v>
      </c>
      <c r="M34" s="1418" t="str">
        <f t="shared" si="12"/>
        <v xml:space="preserve"> </v>
      </c>
      <c r="N34" s="1418" t="str">
        <f t="shared" si="12"/>
        <v xml:space="preserve"> </v>
      </c>
      <c r="O34" s="1418" t="str">
        <f t="shared" si="12"/>
        <v xml:space="preserve"> </v>
      </c>
      <c r="P34" s="1418" t="str">
        <f t="shared" si="12"/>
        <v xml:space="preserve"> </v>
      </c>
      <c r="Q34" s="1418" t="str">
        <f t="shared" si="12"/>
        <v xml:space="preserve"> </v>
      </c>
    </row>
    <row r="35" spans="2:17">
      <c r="B35" s="1280">
        <v>1</v>
      </c>
      <c r="C35" s="414" t="s">
        <v>289</v>
      </c>
      <c r="D35" s="435"/>
      <c r="E35" s="435"/>
      <c r="F35" s="430"/>
      <c r="G35" s="1400"/>
      <c r="H35" s="1392"/>
      <c r="I35" s="435"/>
      <c r="J35" s="435"/>
      <c r="K35" s="435"/>
      <c r="L35" s="435"/>
      <c r="M35" s="435"/>
      <c r="N35" s="435"/>
      <c r="O35" s="435"/>
      <c r="P35" s="435"/>
      <c r="Q35" s="435"/>
    </row>
    <row r="36" spans="2:17">
      <c r="B36" s="1280">
        <v>2</v>
      </c>
      <c r="C36" s="414" t="s">
        <v>289</v>
      </c>
      <c r="D36" s="435"/>
      <c r="E36" s="435"/>
      <c r="F36" s="435"/>
      <c r="G36" s="1400"/>
      <c r="H36" s="1392"/>
      <c r="I36" s="435"/>
      <c r="J36" s="435"/>
      <c r="K36" s="435"/>
      <c r="L36" s="435"/>
      <c r="M36" s="435"/>
      <c r="N36" s="435"/>
      <c r="O36" s="435"/>
      <c r="P36" s="435"/>
      <c r="Q36" s="435"/>
    </row>
    <row r="37" spans="2:17">
      <c r="B37" s="1280"/>
      <c r="C37" s="421"/>
      <c r="D37" s="432"/>
      <c r="E37" s="432"/>
      <c r="F37" s="432"/>
      <c r="G37" s="1398"/>
      <c r="H37" s="432"/>
      <c r="I37" s="432"/>
      <c r="J37" s="432"/>
      <c r="K37" s="432"/>
      <c r="L37" s="432"/>
      <c r="M37" s="432"/>
      <c r="N37" s="432"/>
      <c r="O37" s="432"/>
      <c r="P37" s="432"/>
      <c r="Q37" s="432"/>
    </row>
    <row r="38" spans="2:17" s="434" customFormat="1">
      <c r="B38" s="1413" t="str">
        <f>'G&amp;V'!B58</f>
        <v>Adjustments (Financial Result)</v>
      </c>
      <c r="C38" s="1417"/>
      <c r="D38" s="1418">
        <f t="shared" ref="D38" si="13">IF(D4=" ", " ",SUM(D39:D40))</f>
        <v>0</v>
      </c>
      <c r="E38" s="1418">
        <f t="shared" ref="E38:Q38" si="14">IF(E4=" ", " ",SUM(E39:E40))</f>
        <v>0</v>
      </c>
      <c r="F38" s="1418">
        <f t="shared" si="14"/>
        <v>0</v>
      </c>
      <c r="G38" s="1419">
        <f t="shared" si="14"/>
        <v>0</v>
      </c>
      <c r="H38" s="1418">
        <f t="shared" si="14"/>
        <v>0</v>
      </c>
      <c r="I38" s="1418">
        <f t="shared" si="14"/>
        <v>0</v>
      </c>
      <c r="J38" s="1418">
        <f t="shared" si="14"/>
        <v>0</v>
      </c>
      <c r="K38" s="1418">
        <f t="shared" si="14"/>
        <v>0</v>
      </c>
      <c r="L38" s="1418">
        <f t="shared" si="14"/>
        <v>0</v>
      </c>
      <c r="M38" s="1418" t="str">
        <f t="shared" si="14"/>
        <v xml:space="preserve"> </v>
      </c>
      <c r="N38" s="1418" t="str">
        <f t="shared" si="14"/>
        <v xml:space="preserve"> </v>
      </c>
      <c r="O38" s="1418" t="str">
        <f t="shared" si="14"/>
        <v xml:space="preserve"> </v>
      </c>
      <c r="P38" s="1418" t="str">
        <f t="shared" si="14"/>
        <v xml:space="preserve"> </v>
      </c>
      <c r="Q38" s="1418" t="str">
        <f t="shared" si="14"/>
        <v xml:space="preserve"> </v>
      </c>
    </row>
    <row r="39" spans="2:17">
      <c r="B39" s="1280">
        <v>1</v>
      </c>
      <c r="C39" s="414" t="s">
        <v>289</v>
      </c>
      <c r="D39" s="435"/>
      <c r="E39" s="435"/>
      <c r="F39" s="430"/>
      <c r="G39" s="1400"/>
      <c r="H39" s="1392"/>
      <c r="I39" s="435"/>
      <c r="J39" s="435"/>
      <c r="K39" s="435"/>
      <c r="L39" s="435"/>
      <c r="M39" s="435"/>
      <c r="N39" s="435"/>
      <c r="O39" s="435"/>
      <c r="P39" s="435"/>
      <c r="Q39" s="435"/>
    </row>
    <row r="40" spans="2:17">
      <c r="B40" s="1280">
        <v>2</v>
      </c>
      <c r="C40" s="414" t="s">
        <v>289</v>
      </c>
      <c r="D40" s="435"/>
      <c r="E40" s="435"/>
      <c r="F40" s="435"/>
      <c r="G40" s="1400"/>
      <c r="H40" s="1392"/>
      <c r="I40" s="435"/>
      <c r="J40" s="435"/>
      <c r="K40" s="435"/>
      <c r="L40" s="435"/>
      <c r="M40" s="435"/>
      <c r="N40" s="435"/>
      <c r="O40" s="435"/>
      <c r="P40" s="435"/>
      <c r="Q40" s="435"/>
    </row>
    <row r="41" spans="2:17">
      <c r="B41" s="1280"/>
      <c r="C41" s="414"/>
      <c r="D41" s="432"/>
      <c r="E41" s="432"/>
      <c r="F41" s="432"/>
      <c r="G41" s="1398"/>
      <c r="H41" s="432"/>
      <c r="I41" s="432"/>
      <c r="J41" s="432"/>
      <c r="K41" s="432"/>
      <c r="L41" s="432"/>
      <c r="M41" s="432"/>
      <c r="N41" s="432"/>
      <c r="O41" s="432"/>
      <c r="P41" s="432"/>
      <c r="Q41" s="432"/>
    </row>
    <row r="42" spans="2:17">
      <c r="B42" s="1413" t="str">
        <f>'G&amp;V'!B63</f>
        <v>Adjustments (Depreciation of current assets and amortisation of financial assets)</v>
      </c>
      <c r="C42" s="1417"/>
      <c r="D42" s="1418">
        <f t="shared" ref="D42" si="15">IF(D4=" ", " ",SUM(D43:D44))</f>
        <v>0</v>
      </c>
      <c r="E42" s="1418">
        <f t="shared" ref="E42:Q42" si="16">IF(E4=" ", " ",SUM(E43:E44))</f>
        <v>0</v>
      </c>
      <c r="F42" s="1418">
        <f t="shared" si="16"/>
        <v>0</v>
      </c>
      <c r="G42" s="1419">
        <f t="shared" si="16"/>
        <v>0</v>
      </c>
      <c r="H42" s="1418">
        <f t="shared" si="16"/>
        <v>0</v>
      </c>
      <c r="I42" s="1418">
        <f t="shared" si="16"/>
        <v>0</v>
      </c>
      <c r="J42" s="1418">
        <f t="shared" si="16"/>
        <v>0</v>
      </c>
      <c r="K42" s="1418">
        <f t="shared" si="16"/>
        <v>0</v>
      </c>
      <c r="L42" s="1418">
        <f t="shared" si="16"/>
        <v>0</v>
      </c>
      <c r="M42" s="1418" t="str">
        <f t="shared" si="16"/>
        <v xml:space="preserve"> </v>
      </c>
      <c r="N42" s="1418" t="str">
        <f t="shared" si="16"/>
        <v xml:space="preserve"> </v>
      </c>
      <c r="O42" s="1418" t="str">
        <f t="shared" si="16"/>
        <v xml:space="preserve"> </v>
      </c>
      <c r="P42" s="1418" t="str">
        <f t="shared" si="16"/>
        <v xml:space="preserve"> </v>
      </c>
      <c r="Q42" s="1418" t="str">
        <f t="shared" si="16"/>
        <v xml:space="preserve"> </v>
      </c>
    </row>
    <row r="43" spans="2:17">
      <c r="B43" s="1280">
        <v>1</v>
      </c>
      <c r="C43" s="415" t="s">
        <v>290</v>
      </c>
      <c r="D43" s="435"/>
      <c r="E43" s="435"/>
      <c r="F43" s="430"/>
      <c r="G43" s="1400"/>
      <c r="H43" s="1392"/>
      <c r="I43" s="435"/>
      <c r="J43" s="435"/>
      <c r="K43" s="435"/>
      <c r="L43" s="435"/>
      <c r="M43" s="435"/>
      <c r="N43" s="435"/>
      <c r="O43" s="435"/>
      <c r="P43" s="435"/>
      <c r="Q43" s="435"/>
    </row>
    <row r="44" spans="2:17">
      <c r="B44" s="1280">
        <v>2</v>
      </c>
      <c r="C44" s="414" t="s">
        <v>290</v>
      </c>
      <c r="D44" s="435"/>
      <c r="E44" s="435"/>
      <c r="F44" s="435"/>
      <c r="G44" s="1400"/>
      <c r="H44" s="1392"/>
      <c r="I44" s="435"/>
      <c r="J44" s="435"/>
      <c r="K44" s="435"/>
      <c r="L44" s="435"/>
      <c r="M44" s="435"/>
      <c r="N44" s="435"/>
      <c r="O44" s="435"/>
      <c r="P44" s="435"/>
      <c r="Q44" s="435"/>
    </row>
    <row r="45" spans="2:17">
      <c r="B45" s="1280"/>
      <c r="C45" s="414"/>
      <c r="D45" s="432"/>
      <c r="E45" s="432"/>
      <c r="F45" s="432"/>
      <c r="G45" s="1398"/>
      <c r="H45" s="432"/>
      <c r="I45" s="432"/>
      <c r="J45" s="432"/>
      <c r="K45" s="432"/>
      <c r="L45" s="432"/>
      <c r="M45" s="432"/>
      <c r="N45" s="432"/>
      <c r="O45" s="432"/>
      <c r="P45" s="432"/>
      <c r="Q45" s="432"/>
    </row>
    <row r="46" spans="2:17">
      <c r="B46" s="1413" t="str">
        <f>'G&amp;V'!B68</f>
        <v>Adjustments (Extraordinary Items)</v>
      </c>
      <c r="C46" s="1417"/>
      <c r="D46" s="1418">
        <f t="shared" ref="D46" si="17">IF(D4=" ", " ",SUM(D47:D48))</f>
        <v>0</v>
      </c>
      <c r="E46" s="1418">
        <f t="shared" ref="E46:Q46" si="18">IF(E4=" ", " ",SUM(E47:E48))</f>
        <v>0</v>
      </c>
      <c r="F46" s="1418">
        <f t="shared" si="18"/>
        <v>0</v>
      </c>
      <c r="G46" s="1419">
        <f t="shared" si="18"/>
        <v>0</v>
      </c>
      <c r="H46" s="1418">
        <f t="shared" si="18"/>
        <v>0</v>
      </c>
      <c r="I46" s="1418">
        <f t="shared" si="18"/>
        <v>0</v>
      </c>
      <c r="J46" s="1418">
        <f t="shared" si="18"/>
        <v>0</v>
      </c>
      <c r="K46" s="1418">
        <f t="shared" si="18"/>
        <v>0</v>
      </c>
      <c r="L46" s="1418">
        <f t="shared" si="18"/>
        <v>0</v>
      </c>
      <c r="M46" s="1418" t="str">
        <f t="shared" si="18"/>
        <v xml:space="preserve"> </v>
      </c>
      <c r="N46" s="1418" t="str">
        <f t="shared" si="18"/>
        <v xml:space="preserve"> </v>
      </c>
      <c r="O46" s="1418" t="str">
        <f t="shared" si="18"/>
        <v xml:space="preserve"> </v>
      </c>
      <c r="P46" s="1418" t="str">
        <f t="shared" si="18"/>
        <v xml:space="preserve"> </v>
      </c>
      <c r="Q46" s="1418" t="str">
        <f t="shared" si="18"/>
        <v xml:space="preserve"> </v>
      </c>
    </row>
    <row r="47" spans="2:17">
      <c r="B47" s="1280">
        <v>1</v>
      </c>
      <c r="C47" s="415" t="s">
        <v>290</v>
      </c>
      <c r="D47" s="435"/>
      <c r="E47" s="435"/>
      <c r="F47" s="430"/>
      <c r="G47" s="1400"/>
      <c r="H47" s="1392"/>
      <c r="I47" s="435"/>
      <c r="J47" s="435"/>
      <c r="K47" s="435"/>
      <c r="L47" s="435"/>
      <c r="M47" s="435"/>
      <c r="N47" s="435"/>
      <c r="O47" s="435"/>
      <c r="P47" s="435"/>
      <c r="Q47" s="435"/>
    </row>
    <row r="48" spans="2:17">
      <c r="B48" s="1280">
        <v>2</v>
      </c>
      <c r="C48" s="414" t="s">
        <v>290</v>
      </c>
      <c r="D48" s="435"/>
      <c r="E48" s="435"/>
      <c r="F48" s="435"/>
      <c r="G48" s="1400"/>
      <c r="H48" s="1392"/>
      <c r="I48" s="435"/>
      <c r="J48" s="435"/>
      <c r="K48" s="435"/>
      <c r="L48" s="435"/>
      <c r="M48" s="435"/>
      <c r="N48" s="435"/>
      <c r="O48" s="435"/>
      <c r="P48" s="435"/>
      <c r="Q48" s="435"/>
    </row>
    <row r="49" spans="2:17">
      <c r="B49" s="1280"/>
      <c r="C49" s="414"/>
      <c r="D49" s="432"/>
      <c r="E49" s="432"/>
      <c r="F49" s="432"/>
      <c r="G49" s="1398"/>
      <c r="H49" s="432"/>
      <c r="I49" s="432"/>
      <c r="J49" s="432"/>
      <c r="K49" s="432"/>
      <c r="L49" s="432"/>
      <c r="M49" s="432"/>
      <c r="N49" s="432"/>
      <c r="O49" s="432"/>
      <c r="P49" s="432"/>
      <c r="Q49" s="432"/>
    </row>
    <row r="50" spans="2:17" s="434" customFormat="1">
      <c r="B50" s="1413" t="str">
        <f>'G&amp;V'!B78</f>
        <v>Adjustments (Taxes)</v>
      </c>
      <c r="C50" s="1417"/>
      <c r="D50" s="1418">
        <f t="shared" ref="D50" si="19">IF(D4=" ", " ",SUM(D51:D52))</f>
        <v>0</v>
      </c>
      <c r="E50" s="1418">
        <f t="shared" ref="E50:Q50" si="20">IF(E4=" ", " ",SUM(E51:E52))</f>
        <v>0</v>
      </c>
      <c r="F50" s="1418">
        <f t="shared" si="20"/>
        <v>0</v>
      </c>
      <c r="G50" s="1419">
        <f t="shared" si="20"/>
        <v>0</v>
      </c>
      <c r="H50" s="1418">
        <f t="shared" si="20"/>
        <v>0</v>
      </c>
      <c r="I50" s="1418">
        <f t="shared" si="20"/>
        <v>0</v>
      </c>
      <c r="J50" s="1418">
        <f t="shared" si="20"/>
        <v>0</v>
      </c>
      <c r="K50" s="1418">
        <f t="shared" si="20"/>
        <v>0</v>
      </c>
      <c r="L50" s="1418">
        <f t="shared" si="20"/>
        <v>0</v>
      </c>
      <c r="M50" s="1418" t="str">
        <f t="shared" si="20"/>
        <v xml:space="preserve"> </v>
      </c>
      <c r="N50" s="1418" t="str">
        <f t="shared" si="20"/>
        <v xml:space="preserve"> </v>
      </c>
      <c r="O50" s="1418" t="str">
        <f t="shared" si="20"/>
        <v xml:space="preserve"> </v>
      </c>
      <c r="P50" s="1418" t="str">
        <f t="shared" si="20"/>
        <v xml:space="preserve"> </v>
      </c>
      <c r="Q50" s="1418" t="str">
        <f t="shared" si="20"/>
        <v xml:space="preserve"> </v>
      </c>
    </row>
    <row r="51" spans="2:17">
      <c r="B51" s="1280">
        <v>1</v>
      </c>
      <c r="C51" s="414" t="s">
        <v>289</v>
      </c>
      <c r="D51" s="425"/>
      <c r="E51" s="425"/>
      <c r="F51" s="430"/>
      <c r="G51" s="1394"/>
      <c r="H51" s="1389"/>
      <c r="I51" s="425"/>
      <c r="J51" s="425"/>
      <c r="K51" s="425"/>
      <c r="L51" s="425"/>
      <c r="M51" s="425"/>
      <c r="N51" s="425"/>
      <c r="O51" s="425"/>
      <c r="P51" s="425"/>
      <c r="Q51" s="425"/>
    </row>
    <row r="52" spans="2:17">
      <c r="B52" s="1280">
        <v>2</v>
      </c>
      <c r="C52" s="414" t="s">
        <v>289</v>
      </c>
      <c r="D52" s="425"/>
      <c r="E52" s="425"/>
      <c r="F52" s="425"/>
      <c r="G52" s="1394"/>
      <c r="H52" s="1389"/>
      <c r="I52" s="425"/>
      <c r="J52" s="425"/>
      <c r="K52" s="425"/>
      <c r="L52" s="425"/>
      <c r="M52" s="425"/>
      <c r="N52" s="425"/>
      <c r="O52" s="425"/>
      <c r="P52" s="425"/>
      <c r="Q52" s="425"/>
    </row>
    <row r="53" spans="2:17">
      <c r="B53" s="1280"/>
      <c r="C53" s="421"/>
      <c r="D53" s="432"/>
      <c r="E53" s="432"/>
      <c r="F53" s="432"/>
      <c r="G53" s="1398"/>
      <c r="H53" s="432"/>
      <c r="I53" s="432"/>
      <c r="J53" s="432"/>
      <c r="K53" s="432"/>
      <c r="L53" s="432"/>
      <c r="M53" s="432"/>
      <c r="N53" s="432"/>
      <c r="O53" s="432"/>
      <c r="P53" s="432"/>
      <c r="Q53" s="432"/>
    </row>
    <row r="54" spans="2:17" ht="13.5" thickBot="1">
      <c r="B54" s="1281"/>
      <c r="C54" s="436"/>
      <c r="D54" s="1403">
        <f>IF(D4=" ", " ",D7+D22+D30+D34+D38+D50+D42+D46+D18+D26)</f>
        <v>0</v>
      </c>
      <c r="E54" s="1403">
        <f t="shared" ref="E54:Q54" si="21">IF(E4=" ", " ",E7+E22+E30+E34+E38+E50+E42+E46+E18+E26)</f>
        <v>0</v>
      </c>
      <c r="F54" s="1403">
        <f t="shared" si="21"/>
        <v>0</v>
      </c>
      <c r="G54" s="1403">
        <f t="shared" si="21"/>
        <v>0</v>
      </c>
      <c r="H54" s="1403">
        <f t="shared" si="21"/>
        <v>0</v>
      </c>
      <c r="I54" s="1403">
        <f t="shared" si="21"/>
        <v>0</v>
      </c>
      <c r="J54" s="1403">
        <f t="shared" si="21"/>
        <v>0</v>
      </c>
      <c r="K54" s="1403">
        <f t="shared" si="21"/>
        <v>0</v>
      </c>
      <c r="L54" s="1403">
        <f t="shared" si="21"/>
        <v>0</v>
      </c>
      <c r="M54" s="1403" t="str">
        <f t="shared" si="21"/>
        <v xml:space="preserve"> </v>
      </c>
      <c r="N54" s="1403" t="str">
        <f t="shared" si="21"/>
        <v xml:space="preserve"> </v>
      </c>
      <c r="O54" s="1403" t="str">
        <f t="shared" si="21"/>
        <v xml:space="preserve"> </v>
      </c>
      <c r="P54" s="1403" t="str">
        <f t="shared" si="21"/>
        <v xml:space="preserve"> </v>
      </c>
      <c r="Q54" s="1403" t="str">
        <f t="shared" si="21"/>
        <v xml:space="preserve"> </v>
      </c>
    </row>
    <row r="55" spans="2:17" ht="13.5" thickTop="1">
      <c r="E55" s="437"/>
      <c r="F55" s="437"/>
      <c r="G55" s="437"/>
      <c r="H55" s="437"/>
      <c r="I55" s="437"/>
      <c r="J55" s="437"/>
      <c r="K55" s="437"/>
      <c r="L55" s="437"/>
      <c r="M55" s="437"/>
      <c r="N55" s="437"/>
      <c r="O55" s="437"/>
      <c r="P55" s="437"/>
      <c r="Q55" s="437"/>
    </row>
    <row r="56" spans="2:17">
      <c r="E56" s="437"/>
      <c r="F56" s="437"/>
      <c r="G56" s="437"/>
    </row>
  </sheetData>
  <sheetProtection formatCells="0" formatColumns="0" formatRows="0" insertRows="0"/>
  <printOptions horizontalCentered="1"/>
  <pageMargins left="0.23622047244094491" right="0.23622047244094491" top="0.74803149606299213" bottom="0.74803149606299213" header="0.31496062992125984" footer="0.31496062992125984"/>
  <pageSetup paperSize="9" scale="64" orientation="portrait" cellComments="asDisplayed" r:id="rId1"/>
  <headerFooter alignWithMargins="0"/>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8F5B2-2070-4230-A69A-FA68897A30B3}">
  <sheetPr>
    <tabColor rgb="FFFFC000"/>
  </sheetPr>
  <dimension ref="B2:O109"/>
  <sheetViews>
    <sheetView showGridLines="0" workbookViewId="0">
      <selection activeCell="L27" sqref="L27"/>
    </sheetView>
  </sheetViews>
  <sheetFormatPr defaultColWidth="8.7109375" defaultRowHeight="12.75" outlineLevelRow="1" outlineLevelCol="1"/>
  <cols>
    <col min="2" max="2" width="56" style="1837" customWidth="1" outlineLevel="1"/>
    <col min="3" max="3" width="15.5703125" style="1837" customWidth="1" outlineLevel="1"/>
    <col min="4" max="4" width="7.5703125" style="1857" customWidth="1" outlineLevel="1"/>
    <col min="5" max="5" width="15.5703125" style="1837" customWidth="1" outlineLevel="1"/>
    <col min="6" max="6" width="7.5703125" style="1857" customWidth="1" outlineLevel="1"/>
    <col min="7" max="7" width="15.5703125" style="1837" customWidth="1" outlineLevel="1"/>
    <col min="8" max="8" width="7.5703125" style="1857" customWidth="1" outlineLevel="1"/>
    <col min="10" max="10" width="11.5703125" bestFit="1" customWidth="1"/>
    <col min="12" max="12" width="11.5703125" bestFit="1" customWidth="1"/>
    <col min="14" max="14" width="11.5703125" bestFit="1" customWidth="1"/>
  </cols>
  <sheetData>
    <row r="2" spans="2:8">
      <c r="B2" s="1834" t="s">
        <v>291</v>
      </c>
      <c r="C2" s="1835" t="s">
        <v>292</v>
      </c>
      <c r="D2" s="1836"/>
      <c r="E2" s="1835"/>
      <c r="F2" s="1836"/>
      <c r="G2" s="1835"/>
      <c r="H2" s="1836"/>
    </row>
    <row r="3" spans="2:8">
      <c r="C3" s="1838" t="s">
        <v>293</v>
      </c>
      <c r="D3" s="1839"/>
      <c r="E3" s="1838" t="s">
        <v>293</v>
      </c>
      <c r="F3" s="1839"/>
      <c r="G3" s="1838" t="s">
        <v>293</v>
      </c>
      <c r="H3" s="1839"/>
    </row>
    <row r="4" spans="2:8">
      <c r="B4" s="1840" t="s">
        <v>294</v>
      </c>
      <c r="C4" s="1841">
        <v>46021</v>
      </c>
      <c r="D4" s="1842"/>
      <c r="E4" s="1841">
        <v>45655</v>
      </c>
      <c r="F4" s="1842"/>
      <c r="G4" s="1841">
        <v>45657</v>
      </c>
      <c r="H4" s="1842"/>
    </row>
    <row r="5" spans="2:8" ht="15">
      <c r="B5"/>
      <c r="C5" s="1843">
        <v>4.9489999999999998</v>
      </c>
      <c r="D5" s="1844"/>
      <c r="E5" s="1843">
        <v>4.9749999999999996</v>
      </c>
      <c r="F5" s="1844"/>
      <c r="G5" s="1843">
        <v>4.9740000000000002</v>
      </c>
      <c r="H5" s="1844"/>
    </row>
    <row r="6" spans="2:8">
      <c r="B6" s="1845"/>
      <c r="C6" s="1846"/>
      <c r="D6" s="1847"/>
      <c r="E6" s="1846"/>
      <c r="F6" s="1847"/>
      <c r="G6" s="1846"/>
      <c r="H6" s="1847"/>
    </row>
    <row r="7" spans="2:8" ht="45">
      <c r="B7" s="1848" t="s">
        <v>295</v>
      </c>
      <c r="C7" s="1849" t="s">
        <v>296</v>
      </c>
      <c r="D7" s="1850"/>
      <c r="E7" s="1849" t="s">
        <v>297</v>
      </c>
      <c r="F7" s="1850"/>
      <c r="G7" s="1849" t="s">
        <v>298</v>
      </c>
      <c r="H7" s="1850"/>
    </row>
    <row r="8" spans="2:8">
      <c r="B8" s="1860" t="s">
        <v>299</v>
      </c>
      <c r="C8" s="1861">
        <f>SUM(C11:C14)</f>
        <v>38216485.956758939</v>
      </c>
      <c r="D8" s="1862">
        <f>C8/C24</f>
        <v>0.9884008046722923</v>
      </c>
      <c r="E8" s="1861">
        <v>37396294.271356784</v>
      </c>
      <c r="F8" s="1862">
        <f>E8/E24</f>
        <v>0.98546718135576294</v>
      </c>
      <c r="G8" s="1861">
        <f>SUM(G11:G14)</f>
        <v>34006908.524326496</v>
      </c>
      <c r="H8" s="1862">
        <f>G8/G24</f>
        <v>0.98263515739983487</v>
      </c>
    </row>
    <row r="9" spans="2:8" outlineLevel="1">
      <c r="B9" s="1853" t="s">
        <v>300</v>
      </c>
      <c r="C9" s="1854">
        <v>0</v>
      </c>
      <c r="D9" s="1855"/>
      <c r="E9" s="1854">
        <v>0</v>
      </c>
      <c r="F9" s="1855"/>
      <c r="G9" s="1854">
        <v>32096156.011258543</v>
      </c>
      <c r="H9" s="1855"/>
    </row>
    <row r="10" spans="2:8" ht="22.5" outlineLevel="1">
      <c r="B10" s="1856" t="s">
        <v>301</v>
      </c>
      <c r="C10" s="1837">
        <v>0</v>
      </c>
      <c r="E10" s="1854">
        <v>0</v>
      </c>
      <c r="G10" s="1854">
        <v>341506.25452352234</v>
      </c>
    </row>
    <row r="11" spans="2:8" outlineLevel="1">
      <c r="B11" s="1853" t="s">
        <v>302</v>
      </c>
      <c r="C11" s="1854">
        <v>36069540.311173975</v>
      </c>
      <c r="D11" s="1852">
        <f>C11/C24</f>
        <v>0.93287390965413464</v>
      </c>
      <c r="E11" s="1854">
        <v>0</v>
      </c>
      <c r="F11" s="1852">
        <f>E11/E24</f>
        <v>0</v>
      </c>
      <c r="G11" s="1854">
        <v>32197889.022919178</v>
      </c>
      <c r="H11" s="1852">
        <f>G11/G24</f>
        <v>0.93036324443740959</v>
      </c>
    </row>
    <row r="12" spans="2:8" outlineLevel="1">
      <c r="B12" s="1853" t="s">
        <v>303</v>
      </c>
      <c r="C12" s="1854">
        <v>2146945.6455849665</v>
      </c>
      <c r="D12" s="1852">
        <f>C12/C24</f>
        <v>5.5526895018157787E-2</v>
      </c>
      <c r="E12" s="1854">
        <v>0</v>
      </c>
      <c r="F12" s="1852">
        <f>E12/E24</f>
        <v>0</v>
      </c>
      <c r="G12" s="1854">
        <v>1809019.5014073181</v>
      </c>
      <c r="H12" s="1852">
        <f>G12/G24</f>
        <v>5.2271912962425213E-2</v>
      </c>
    </row>
    <row r="13" spans="2:8" outlineLevel="1">
      <c r="B13" s="1853" t="s">
        <v>304</v>
      </c>
      <c r="C13" s="1854">
        <v>0</v>
      </c>
      <c r="D13" s="1855"/>
      <c r="E13" s="1854">
        <v>0</v>
      </c>
      <c r="F13" s="1855"/>
      <c r="G13" s="1854">
        <v>0</v>
      </c>
      <c r="H13" s="1855"/>
    </row>
    <row r="14" spans="2:8" outlineLevel="1">
      <c r="B14" s="1858" t="s">
        <v>305</v>
      </c>
      <c r="C14" s="1854">
        <v>0</v>
      </c>
      <c r="D14" s="1855"/>
      <c r="E14" s="1854">
        <v>0</v>
      </c>
      <c r="F14" s="1855"/>
      <c r="G14" s="1854">
        <v>0</v>
      </c>
      <c r="H14" s="1855"/>
    </row>
    <row r="15" spans="2:8">
      <c r="B15" s="1853" t="s">
        <v>306</v>
      </c>
      <c r="C15" s="1854">
        <v>0</v>
      </c>
      <c r="D15" s="1855"/>
      <c r="E15" s="1854">
        <v>0</v>
      </c>
      <c r="F15" s="1855"/>
      <c r="G15" s="1854">
        <v>0</v>
      </c>
      <c r="H15" s="1855"/>
    </row>
    <row r="16" spans="2:8" outlineLevel="1">
      <c r="B16" s="1853" t="s">
        <v>307</v>
      </c>
      <c r="C16" s="1854">
        <v>0</v>
      </c>
      <c r="D16" s="1855"/>
      <c r="E16" s="1854">
        <v>0</v>
      </c>
      <c r="F16" s="1855"/>
      <c r="G16" s="1854">
        <v>0</v>
      </c>
      <c r="H16" s="1855"/>
    </row>
    <row r="17" spans="2:15" ht="22.5">
      <c r="B17" s="1845" t="s">
        <v>308</v>
      </c>
      <c r="C17" s="1854">
        <v>0</v>
      </c>
      <c r="D17" s="1855"/>
      <c r="E17" s="1854">
        <v>0</v>
      </c>
      <c r="F17" s="1855"/>
      <c r="G17" s="1854">
        <v>0</v>
      </c>
      <c r="H17" s="1855"/>
    </row>
    <row r="18" spans="2:15">
      <c r="B18" s="1853" t="s">
        <v>309</v>
      </c>
      <c r="C18" s="1854">
        <v>0</v>
      </c>
      <c r="D18" s="1855"/>
      <c r="E18" s="1854">
        <v>0</v>
      </c>
      <c r="F18" s="1855"/>
      <c r="G18" s="1854">
        <v>0</v>
      </c>
      <c r="H18" s="1855"/>
    </row>
    <row r="19" spans="2:15">
      <c r="B19" s="1853" t="s">
        <v>310</v>
      </c>
      <c r="C19" s="1854">
        <v>0</v>
      </c>
      <c r="D19" s="1855"/>
      <c r="E19" s="1854">
        <v>0</v>
      </c>
      <c r="F19" s="1855"/>
      <c r="G19" s="1854">
        <v>0</v>
      </c>
      <c r="H19" s="1855"/>
    </row>
    <row r="20" spans="2:15">
      <c r="B20" s="1853" t="s">
        <v>311</v>
      </c>
      <c r="C20" s="1837">
        <v>0</v>
      </c>
      <c r="E20" s="1854">
        <v>0</v>
      </c>
      <c r="G20" s="1854">
        <v>0</v>
      </c>
    </row>
    <row r="21" spans="2:15">
      <c r="B21" s="1845" t="s">
        <v>312</v>
      </c>
      <c r="C21" s="1851">
        <v>448482.52172155998</v>
      </c>
      <c r="D21" s="1852">
        <f>C21/C24</f>
        <v>1.1599195327707791E-2</v>
      </c>
      <c r="E21" s="1851">
        <v>551488.24120603024</v>
      </c>
      <c r="F21" s="1852">
        <f>E21/E24</f>
        <v>1.4532818644237175E-2</v>
      </c>
      <c r="G21" s="1851">
        <v>600960.19300361874</v>
      </c>
      <c r="H21" s="1852">
        <f>G21/G24</f>
        <v>1.7364842600165208E-2</v>
      </c>
    </row>
    <row r="22" spans="2:15" outlineLevel="1">
      <c r="B22" s="1859" t="s">
        <v>313</v>
      </c>
      <c r="C22" s="1851">
        <v>6159.6282077187316</v>
      </c>
      <c r="D22" s="1852">
        <f>C22/C24</f>
        <v>1.5930772609182276E-4</v>
      </c>
      <c r="E22" s="1854">
        <v>0</v>
      </c>
      <c r="F22" s="1852"/>
      <c r="G22" s="1854">
        <v>0</v>
      </c>
      <c r="H22" s="1852"/>
    </row>
    <row r="23" spans="2:15" outlineLevel="1">
      <c r="B23" s="1859" t="s">
        <v>314</v>
      </c>
      <c r="C23" s="1854">
        <v>0</v>
      </c>
      <c r="D23" s="1855"/>
      <c r="E23" s="1854">
        <v>0</v>
      </c>
      <c r="F23" s="1855"/>
      <c r="G23" s="1854">
        <v>0</v>
      </c>
      <c r="H23" s="1855"/>
    </row>
    <row r="24" spans="2:15" ht="22.5">
      <c r="B24" s="1860" t="s">
        <v>315</v>
      </c>
      <c r="C24" s="1861">
        <f>SUM(C21,C8)</f>
        <v>38664968.478480496</v>
      </c>
      <c r="D24" s="1862">
        <f>SUM(D11:D23)</f>
        <v>1.000159307726092</v>
      </c>
      <c r="E24" s="1861">
        <f>SUM(E21,E8)</f>
        <v>37947782.512562811</v>
      </c>
      <c r="F24" s="1862">
        <f>SUM(F11:F23)</f>
        <v>1.4532818644237175E-2</v>
      </c>
      <c r="G24" s="1861">
        <f>SUM(G21,G8)</f>
        <v>34607868.717330113</v>
      </c>
      <c r="H24" s="1862">
        <f>SUM(H11:H23)</f>
        <v>1</v>
      </c>
      <c r="I24" s="1895"/>
      <c r="J24" s="1863"/>
      <c r="K24" s="1863"/>
      <c r="L24" s="1863"/>
      <c r="M24" s="1863"/>
      <c r="N24" s="1863"/>
      <c r="O24" s="1863"/>
    </row>
    <row r="25" spans="2:15">
      <c r="B25" s="1864" t="s">
        <v>316</v>
      </c>
      <c r="C25" s="1851"/>
      <c r="D25" s="1852"/>
      <c r="E25" s="1865">
        <f>E24/C24-1</f>
        <v>-1.8548727546922605E-2</v>
      </c>
      <c r="F25" s="1852"/>
      <c r="G25" s="1865">
        <f>G24/E24-1</f>
        <v>-8.8013411432591671E-2</v>
      </c>
      <c r="H25" s="1852"/>
    </row>
    <row r="26" spans="2:15">
      <c r="B26" s="1845" t="s">
        <v>317</v>
      </c>
      <c r="C26" s="1854">
        <v>6764286.9266518494</v>
      </c>
      <c r="D26" s="1855">
        <f>C$26/$C$24</f>
        <v>0.17494613839958523</v>
      </c>
      <c r="E26" s="1854">
        <v>6514435.1758793974</v>
      </c>
      <c r="F26" s="1855">
        <f>E$26/$E$24</f>
        <v>0.17166840180247053</v>
      </c>
      <c r="G26" s="1854">
        <v>5768370.5267390432</v>
      </c>
      <c r="H26" s="1855">
        <f>G$26/$G$24</f>
        <v>0.16667800533612445</v>
      </c>
    </row>
    <row r="27" spans="2:15" outlineLevel="1">
      <c r="B27" s="1853" t="s">
        <v>318</v>
      </c>
      <c r="C27" s="1854">
        <v>30171.751869064457</v>
      </c>
      <c r="D27" s="1855">
        <f>$C27/$C$24</f>
        <v>7.8033819905625813E-4</v>
      </c>
      <c r="E27" s="1854">
        <v>33208.442211055277</v>
      </c>
      <c r="F27" s="1855">
        <f>$E27/$E$24</f>
        <v>8.7510889997489179E-4</v>
      </c>
      <c r="G27" s="1854">
        <v>21910.333735424207</v>
      </c>
      <c r="H27" s="1855">
        <f>$G27/$G$24</f>
        <v>6.33102659813676E-4</v>
      </c>
    </row>
    <row r="28" spans="2:15" outlineLevel="1">
      <c r="B28" s="1853" t="s">
        <v>319</v>
      </c>
      <c r="C28" s="1854">
        <v>86376.439684784811</v>
      </c>
      <c r="D28" s="1855">
        <f>$C28/$C$24</f>
        <v>2.2339715531608092E-3</v>
      </c>
      <c r="E28" s="1854">
        <v>61133.065326633172</v>
      </c>
      <c r="F28" s="1855">
        <f t="shared" ref="F28:F90" si="0">$E28/$E$24</f>
        <v>1.6109785942405132E-3</v>
      </c>
      <c r="G28" s="1854">
        <v>40715.319662243666</v>
      </c>
      <c r="H28" s="1855">
        <f t="shared" ref="H28:H90" si="1">$G28/$G$24</f>
        <v>1.1764757892142375E-3</v>
      </c>
    </row>
    <row r="29" spans="2:15" outlineLevel="1">
      <c r="B29" s="1856" t="s">
        <v>320</v>
      </c>
      <c r="C29" s="1854">
        <v>84990.099009900994</v>
      </c>
      <c r="D29" s="1855">
        <f>$C29/$C$24</f>
        <v>2.1981163403043602E-3</v>
      </c>
      <c r="E29" s="1854">
        <v>58890.452261306535</v>
      </c>
      <c r="F29" s="1855">
        <f t="shared" si="0"/>
        <v>1.5518812526610888E-3</v>
      </c>
      <c r="G29" s="1854">
        <v>37208.484117410531</v>
      </c>
      <c r="H29" s="1855">
        <f t="shared" si="1"/>
        <v>1.0751452053092811E-3</v>
      </c>
    </row>
    <row r="30" spans="2:15" outlineLevel="1">
      <c r="B30" s="1856" t="s">
        <v>321</v>
      </c>
      <c r="C30" s="1854">
        <v>0</v>
      </c>
      <c r="D30" s="1855"/>
      <c r="E30" s="1854">
        <v>0</v>
      </c>
      <c r="F30" s="1855"/>
      <c r="G30" s="1854">
        <v>0</v>
      </c>
      <c r="H30" s="1855"/>
    </row>
    <row r="31" spans="2:15">
      <c r="B31" s="1853" t="s">
        <v>322</v>
      </c>
      <c r="C31" s="1854">
        <v>2145422.1054758537</v>
      </c>
      <c r="D31" s="1855">
        <f>$C31/$C$24</f>
        <v>5.5487491388229553E-2</v>
      </c>
      <c r="E31" s="1854">
        <v>1748810.4522613066</v>
      </c>
      <c r="F31" s="1855">
        <f t="shared" si="0"/>
        <v>4.6084654661503709E-2</v>
      </c>
      <c r="G31" s="1854">
        <v>1808855.6493767591</v>
      </c>
      <c r="H31" s="1855">
        <f t="shared" si="1"/>
        <v>5.2267178431330649E-2</v>
      </c>
    </row>
    <row r="32" spans="2:15" outlineLevel="1">
      <c r="B32" s="1853" t="s">
        <v>323</v>
      </c>
      <c r="C32" s="1854">
        <v>0</v>
      </c>
      <c r="D32" s="1855"/>
      <c r="E32" s="1854">
        <v>0</v>
      </c>
      <c r="F32" s="1855"/>
      <c r="G32" s="1854">
        <v>0</v>
      </c>
      <c r="H32" s="1855"/>
    </row>
    <row r="33" spans="2:9">
      <c r="B33" s="1860" t="s">
        <v>324</v>
      </c>
      <c r="C33" s="1861">
        <f>SUM(C34:C35)</f>
        <v>3420668.4178621946</v>
      </c>
      <c r="D33" s="1862">
        <f>$C33/$C$24</f>
        <v>8.8469447990524377E-2</v>
      </c>
      <c r="E33" s="1861">
        <f>SUM(E34:E35)</f>
        <v>4168543.1155778901</v>
      </c>
      <c r="F33" s="1862">
        <f t="shared" si="0"/>
        <v>0.10984945205158884</v>
      </c>
      <c r="G33" s="1861">
        <f>SUM(G34:G35)</f>
        <v>4283540.6111781262</v>
      </c>
      <c r="H33" s="1862">
        <f t="shared" si="1"/>
        <v>0.12377360322778605</v>
      </c>
      <c r="I33" s="1895"/>
    </row>
    <row r="34" spans="2:9">
      <c r="B34" s="1853" t="s">
        <v>325</v>
      </c>
      <c r="C34" s="1854">
        <v>3347551.6265912307</v>
      </c>
      <c r="D34" s="1855">
        <f t="shared" ref="D34:D98" si="2">$C34/$C$24</f>
        <v>8.6578413440433946E-2</v>
      </c>
      <c r="E34" s="1854">
        <v>4079188.7437185934</v>
      </c>
      <c r="F34" s="1855">
        <f t="shared" si="0"/>
        <v>0.10749478556140024</v>
      </c>
      <c r="G34" s="1854">
        <v>4188603.7394451145</v>
      </c>
      <c r="H34" s="1855">
        <f t="shared" si="1"/>
        <v>0.12103038686539065</v>
      </c>
    </row>
    <row r="35" spans="2:9">
      <c r="B35" s="1853" t="s">
        <v>326</v>
      </c>
      <c r="C35" s="1854">
        <v>73116.791270963833</v>
      </c>
      <c r="D35" s="1855">
        <f t="shared" si="2"/>
        <v>1.891034550090425E-3</v>
      </c>
      <c r="E35" s="1854">
        <v>89354.371859296487</v>
      </c>
      <c r="F35" s="1855">
        <f t="shared" si="0"/>
        <v>2.3546664901885968E-3</v>
      </c>
      <c r="G35" s="1854">
        <v>94936.871733011663</v>
      </c>
      <c r="H35" s="1855">
        <f t="shared" si="1"/>
        <v>2.7432163623953942E-3</v>
      </c>
    </row>
    <row r="36" spans="2:9">
      <c r="B36" s="1845" t="s">
        <v>327</v>
      </c>
      <c r="C36" s="1851">
        <f>SUM(C37:C39)</f>
        <v>2860043.2410587999</v>
      </c>
      <c r="D36" s="1852">
        <f t="shared" si="2"/>
        <v>7.3969884202817734E-2</v>
      </c>
      <c r="E36" s="1851">
        <f>SUM(E37:E39)</f>
        <v>2910385.1256281408</v>
      </c>
      <c r="F36" s="1852">
        <f t="shared" si="0"/>
        <v>7.6694471532418068E-2</v>
      </c>
      <c r="G36" s="1851">
        <f>SUM(G37:G39)</f>
        <v>2502104.1415359871</v>
      </c>
      <c r="H36" s="1852">
        <f t="shared" si="1"/>
        <v>7.2298706458136852E-2</v>
      </c>
    </row>
    <row r="37" spans="2:9">
      <c r="B37" s="1853" t="s">
        <v>328</v>
      </c>
      <c r="C37" s="1854">
        <v>2860043.2410587999</v>
      </c>
      <c r="D37" s="1855">
        <f t="shared" si="2"/>
        <v>7.3969884202817734E-2</v>
      </c>
      <c r="E37" s="1854">
        <v>2910385.1256281408</v>
      </c>
      <c r="F37" s="1855">
        <f t="shared" si="0"/>
        <v>7.6694471532418068E-2</v>
      </c>
      <c r="G37" s="1854">
        <v>2502104.1415359871</v>
      </c>
      <c r="H37" s="1855">
        <f t="shared" si="1"/>
        <v>7.2298706458136852E-2</v>
      </c>
    </row>
    <row r="38" spans="2:9" outlineLevel="1">
      <c r="B38" s="1853" t="s">
        <v>329</v>
      </c>
      <c r="C38" s="1854">
        <v>0</v>
      </c>
      <c r="D38" s="1855"/>
      <c r="E38" s="1854">
        <v>0</v>
      </c>
      <c r="F38" s="1855"/>
      <c r="G38" s="1854">
        <v>0</v>
      </c>
      <c r="H38" s="1855"/>
    </row>
    <row r="39" spans="2:9" outlineLevel="1">
      <c r="B39" s="1853" t="s">
        <v>330</v>
      </c>
      <c r="C39" s="1854">
        <v>0</v>
      </c>
      <c r="D39" s="1855"/>
      <c r="E39" s="1854">
        <v>0</v>
      </c>
      <c r="F39" s="1855"/>
      <c r="G39" s="1854">
        <v>0</v>
      </c>
      <c r="H39" s="1855"/>
    </row>
    <row r="40" spans="2:9">
      <c r="B40" s="1845" t="s">
        <v>331</v>
      </c>
      <c r="C40" s="1851">
        <f>C41-C42</f>
        <v>1497.2721761972061</v>
      </c>
      <c r="D40" s="1852">
        <f t="shared" si="2"/>
        <v>3.87242569984386E-5</v>
      </c>
      <c r="E40" s="1851">
        <f>E41-E42</f>
        <v>-6619.2964824120609</v>
      </c>
      <c r="F40" s="1852">
        <f t="shared" si="0"/>
        <v>-1.7443170704956761E-4</v>
      </c>
      <c r="G40" s="1851">
        <f>G41-G42</f>
        <v>36502.010454362688</v>
      </c>
      <c r="H40" s="1852">
        <f t="shared" si="1"/>
        <v>1.0547315338168765E-3</v>
      </c>
    </row>
    <row r="41" spans="2:9" outlineLevel="1">
      <c r="B41" s="1853" t="s">
        <v>332</v>
      </c>
      <c r="C41" s="1854">
        <v>60289.351384118003</v>
      </c>
      <c r="D41" s="1855">
        <f t="shared" si="2"/>
        <v>1.5592758446880113E-3</v>
      </c>
      <c r="E41" s="1854">
        <v>8057.2864321608049</v>
      </c>
      <c r="F41" s="1855">
        <f t="shared" si="0"/>
        <v>2.1232561954030905E-4</v>
      </c>
      <c r="G41" s="1854">
        <v>48636.710896662647</v>
      </c>
      <c r="H41" s="1855">
        <f t="shared" si="1"/>
        <v>1.405365678363993E-3</v>
      </c>
    </row>
    <row r="42" spans="2:9" outlineLevel="1">
      <c r="B42" s="1853" t="s">
        <v>333</v>
      </c>
      <c r="C42" s="1854">
        <v>58792.079207920797</v>
      </c>
      <c r="D42" s="1855">
        <f t="shared" si="2"/>
        <v>1.5205515876895725E-3</v>
      </c>
      <c r="E42" s="1854">
        <v>14676.582914572866</v>
      </c>
      <c r="F42" s="1855">
        <f t="shared" si="0"/>
        <v>3.8675732658987667E-4</v>
      </c>
      <c r="G42" s="1854">
        <v>12134.70044229996</v>
      </c>
      <c r="H42" s="1855">
        <f t="shared" si="1"/>
        <v>3.5063414454711652E-4</v>
      </c>
    </row>
    <row r="43" spans="2:9">
      <c r="B43" s="1860" t="s">
        <v>334</v>
      </c>
      <c r="C43" s="1861">
        <f>SUM(C44:C59)-C50-C52-C54-C45</f>
        <v>20860356.839765608</v>
      </c>
      <c r="D43" s="1862">
        <f>SUM(D44:D59)</f>
        <v>0.53951992550895322</v>
      </c>
      <c r="E43" s="1861">
        <f>SUM(E44:E59)-E50-E52-E54-E45</f>
        <v>20773837.989949752</v>
      </c>
      <c r="F43" s="1862">
        <f t="shared" si="0"/>
        <v>0.54743219799661458</v>
      </c>
      <c r="G43" s="1861">
        <f>SUM(G44:G59)-G50-G52-G54-G45</f>
        <v>19593998.592681941</v>
      </c>
      <c r="H43" s="1862">
        <f t="shared" si="1"/>
        <v>0.56617177881486014</v>
      </c>
    </row>
    <row r="44" spans="2:9">
      <c r="B44" s="1853" t="s">
        <v>335</v>
      </c>
      <c r="C44" s="1854">
        <v>20609083.653263286</v>
      </c>
      <c r="D44" s="1855">
        <f t="shared" si="2"/>
        <v>0.53301695214709788</v>
      </c>
      <c r="E44" s="1854">
        <v>20097554.572864324</v>
      </c>
      <c r="F44" s="1855">
        <f t="shared" si="0"/>
        <v>0.5296107767617495</v>
      </c>
      <c r="G44" s="1854">
        <v>19154839.565741856</v>
      </c>
      <c r="H44" s="1855">
        <f t="shared" si="1"/>
        <v>0.55348220724583208</v>
      </c>
    </row>
    <row r="45" spans="2:9" outlineLevel="1">
      <c r="B45" s="1853" t="s">
        <v>336</v>
      </c>
      <c r="C45" s="1854">
        <v>164.07355021216406</v>
      </c>
      <c r="D45" s="1855">
        <f t="shared" si="2"/>
        <v>4.2434678384254051E-6</v>
      </c>
      <c r="E45" s="1854">
        <v>35171.45728643216</v>
      </c>
      <c r="F45" s="1855">
        <f t="shared" si="0"/>
        <v>9.2683827506359466E-4</v>
      </c>
      <c r="G45" s="1854">
        <v>85481.302774427022</v>
      </c>
      <c r="H45" s="1855">
        <f t="shared" si="1"/>
        <v>2.4699961581749097E-3</v>
      </c>
    </row>
    <row r="46" spans="2:9" outlineLevel="1">
      <c r="B46" s="1856" t="s">
        <v>337</v>
      </c>
      <c r="C46" s="1854">
        <v>0</v>
      </c>
      <c r="D46" s="1855"/>
      <c r="E46" s="1854">
        <v>0</v>
      </c>
      <c r="F46" s="1855"/>
      <c r="G46" s="1854">
        <v>0</v>
      </c>
      <c r="H46" s="1855"/>
    </row>
    <row r="47" spans="2:9" outlineLevel="1">
      <c r="B47" s="1856" t="s">
        <v>338</v>
      </c>
      <c r="C47" s="1854">
        <v>0</v>
      </c>
      <c r="D47" s="1855"/>
      <c r="E47" s="1854">
        <v>0</v>
      </c>
      <c r="F47" s="1855"/>
      <c r="G47" s="1854">
        <v>0</v>
      </c>
      <c r="H47" s="1855"/>
    </row>
    <row r="48" spans="2:9" outlineLevel="1">
      <c r="B48" s="1856" t="s">
        <v>339</v>
      </c>
      <c r="C48" s="1854">
        <v>164.07355021216406</v>
      </c>
      <c r="D48" s="1855">
        <f t="shared" si="2"/>
        <v>4.2434678384254051E-6</v>
      </c>
      <c r="E48" s="1854">
        <v>35171.45728643216</v>
      </c>
      <c r="F48" s="1855">
        <f t="shared" si="0"/>
        <v>9.2683827506359466E-4</v>
      </c>
      <c r="G48" s="1854">
        <v>85481.302774427022</v>
      </c>
      <c r="H48" s="1855">
        <f t="shared" si="1"/>
        <v>2.4699961581749097E-3</v>
      </c>
    </row>
    <row r="49" spans="2:8" outlineLevel="1">
      <c r="B49" s="1853" t="s">
        <v>340</v>
      </c>
      <c r="C49" s="1854">
        <v>0</v>
      </c>
      <c r="D49" s="1855"/>
      <c r="E49" s="1854">
        <v>0</v>
      </c>
      <c r="F49" s="1855"/>
      <c r="G49" s="1854">
        <v>0</v>
      </c>
      <c r="H49" s="1855"/>
    </row>
    <row r="50" spans="2:8" outlineLevel="1">
      <c r="B50" s="1853" t="s">
        <v>341</v>
      </c>
      <c r="C50" s="1854">
        <v>0</v>
      </c>
      <c r="D50" s="1855"/>
      <c r="E50" s="1854">
        <v>0</v>
      </c>
      <c r="F50" s="1855"/>
      <c r="G50" s="1854">
        <v>0</v>
      </c>
      <c r="H50" s="1855"/>
    </row>
    <row r="51" spans="2:8" outlineLevel="1">
      <c r="B51" s="1853" t="s">
        <v>342</v>
      </c>
      <c r="C51" s="1854">
        <v>0</v>
      </c>
      <c r="D51" s="1855"/>
      <c r="E51" s="1854">
        <v>0</v>
      </c>
      <c r="F51" s="1855"/>
      <c r="G51" s="1854">
        <v>0</v>
      </c>
      <c r="H51" s="1855"/>
    </row>
    <row r="52" spans="2:8" outlineLevel="1">
      <c r="B52" s="1853" t="s">
        <v>341</v>
      </c>
      <c r="C52" s="1854">
        <v>0</v>
      </c>
      <c r="D52" s="1855"/>
      <c r="E52" s="1854">
        <v>0</v>
      </c>
      <c r="F52" s="1855"/>
      <c r="G52" s="1854">
        <v>0</v>
      </c>
      <c r="H52" s="1855"/>
    </row>
    <row r="53" spans="2:8" outlineLevel="1">
      <c r="B53" s="1853" t="s">
        <v>343</v>
      </c>
      <c r="C53" s="1854">
        <v>0</v>
      </c>
      <c r="D53" s="1855"/>
      <c r="E53" s="1854">
        <v>0</v>
      </c>
      <c r="F53" s="1855"/>
      <c r="G53" s="1854">
        <v>0</v>
      </c>
      <c r="H53" s="1855"/>
    </row>
    <row r="54" spans="2:8" outlineLevel="1">
      <c r="B54" s="1853" t="s">
        <v>341</v>
      </c>
      <c r="C54" s="1854">
        <v>0</v>
      </c>
      <c r="D54" s="1855"/>
      <c r="E54" s="1854">
        <v>0</v>
      </c>
      <c r="F54" s="1855"/>
      <c r="G54" s="1854">
        <v>0</v>
      </c>
      <c r="H54" s="1855"/>
    </row>
    <row r="55" spans="2:8" ht="22.5" outlineLevel="1">
      <c r="B55" s="1853" t="s">
        <v>344</v>
      </c>
      <c r="C55" s="1854">
        <v>101415.23540109114</v>
      </c>
      <c r="D55" s="1855">
        <f t="shared" si="2"/>
        <v>2.6229230073609175E-3</v>
      </c>
      <c r="E55" s="1854">
        <v>107909.34673366835</v>
      </c>
      <c r="F55" s="1855">
        <f t="shared" si="0"/>
        <v>2.8436272053036144E-3</v>
      </c>
      <c r="G55" s="1854">
        <v>126989.1435464415</v>
      </c>
      <c r="H55" s="1855">
        <f t="shared" si="1"/>
        <v>3.6693719738612757E-3</v>
      </c>
    </row>
    <row r="56" spans="2:8" outlineLevel="1">
      <c r="B56" s="1853" t="s">
        <v>345</v>
      </c>
      <c r="C56" s="1854">
        <v>0</v>
      </c>
      <c r="D56" s="1855"/>
      <c r="E56" s="1854">
        <v>0</v>
      </c>
      <c r="F56" s="1855"/>
      <c r="G56" s="1854">
        <v>0</v>
      </c>
      <c r="H56" s="1855"/>
    </row>
    <row r="57" spans="2:8" outlineLevel="1">
      <c r="B57" s="1853" t="s">
        <v>346</v>
      </c>
      <c r="C57" s="1854">
        <v>0</v>
      </c>
      <c r="D57" s="1855"/>
      <c r="E57" s="1854">
        <v>0</v>
      </c>
      <c r="F57" s="1855"/>
      <c r="G57" s="1854">
        <v>0</v>
      </c>
      <c r="H57" s="1855"/>
    </row>
    <row r="58" spans="2:8" outlineLevel="1">
      <c r="B58" s="1853" t="s">
        <v>347</v>
      </c>
      <c r="C58" s="1854">
        <v>0</v>
      </c>
      <c r="D58" s="1855"/>
      <c r="E58" s="1854">
        <v>0</v>
      </c>
      <c r="F58" s="1855"/>
      <c r="G58" s="1854">
        <v>0</v>
      </c>
      <c r="H58" s="1855"/>
    </row>
    <row r="59" spans="2:8" outlineLevel="1">
      <c r="B59" s="1853" t="s">
        <v>348</v>
      </c>
      <c r="C59" s="1854">
        <v>149693.87755102041</v>
      </c>
      <c r="D59" s="1855">
        <f t="shared" si="2"/>
        <v>3.8715634188175932E-3</v>
      </c>
      <c r="E59" s="1854">
        <v>533202.6130653267</v>
      </c>
      <c r="F59" s="1855">
        <f t="shared" si="0"/>
        <v>1.4050955754497834E-2</v>
      </c>
      <c r="G59" s="1854">
        <v>226688.58061921992</v>
      </c>
      <c r="H59" s="1855">
        <f t="shared" si="1"/>
        <v>6.5502034369918933E-3</v>
      </c>
    </row>
    <row r="60" spans="2:8">
      <c r="B60" s="1845" t="s">
        <v>349</v>
      </c>
      <c r="C60" s="1851">
        <v>0</v>
      </c>
      <c r="D60" s="1852"/>
      <c r="E60" s="1851">
        <v>0</v>
      </c>
      <c r="F60" s="1852"/>
      <c r="G60" s="1851">
        <v>0</v>
      </c>
      <c r="H60" s="1852">
        <f t="shared" si="1"/>
        <v>0</v>
      </c>
    </row>
    <row r="61" spans="2:8" outlineLevel="1">
      <c r="B61" s="1853" t="s">
        <v>350</v>
      </c>
      <c r="C61" s="1854">
        <v>0</v>
      </c>
      <c r="D61" s="1855"/>
      <c r="E61" s="1854">
        <v>0</v>
      </c>
      <c r="F61" s="1855"/>
      <c r="G61" s="1854">
        <v>0</v>
      </c>
      <c r="H61" s="1855"/>
    </row>
    <row r="62" spans="2:8" outlineLevel="1">
      <c r="B62" s="1853" t="s">
        <v>351</v>
      </c>
      <c r="C62" s="1854">
        <v>0</v>
      </c>
      <c r="D62" s="1855"/>
      <c r="E62" s="1854">
        <v>0</v>
      </c>
      <c r="F62" s="1855"/>
      <c r="G62" s="1854">
        <v>0</v>
      </c>
      <c r="H62" s="1855"/>
    </row>
    <row r="63" spans="2:8" ht="22.5">
      <c r="B63" s="1860" t="s">
        <v>352</v>
      </c>
      <c r="C63" s="1861">
        <f>C26+C27+C28+C31+C32+C33+C36+C40+C43+C60</f>
        <v>36168822.99454435</v>
      </c>
      <c r="D63" s="1862">
        <f t="shared" si="2"/>
        <v>0.93544167803148714</v>
      </c>
      <c r="E63" s="1861">
        <f>E26+E27+E28+E31+E32+E33+E36+E40+E43+E60</f>
        <v>36203734.070351765</v>
      </c>
      <c r="F63" s="1862">
        <f t="shared" si="0"/>
        <v>0.95404083383176153</v>
      </c>
      <c r="G63" s="1861">
        <f>G26+G27+G28+G31+G32+G33+G36+G40+G43+G60</f>
        <v>34055997.185363889</v>
      </c>
      <c r="H63" s="1862">
        <f t="shared" si="1"/>
        <v>0.98405358225108297</v>
      </c>
    </row>
    <row r="64" spans="2:8" outlineLevel="1">
      <c r="B64" s="1866" t="s">
        <v>353</v>
      </c>
      <c r="C64" s="1851">
        <v>0</v>
      </c>
      <c r="D64" s="1852"/>
      <c r="E64" s="1851">
        <v>0</v>
      </c>
      <c r="F64" s="1852"/>
      <c r="G64" s="1851">
        <v>0</v>
      </c>
      <c r="H64" s="1852"/>
    </row>
    <row r="65" spans="2:8">
      <c r="B65" s="1845" t="s">
        <v>354</v>
      </c>
      <c r="C65" s="1851">
        <f>IF(C24&gt;C63,C24-C63,0)</f>
        <v>2496145.4839361459</v>
      </c>
      <c r="D65" s="1852">
        <f t="shared" si="2"/>
        <v>6.4558321968512897E-2</v>
      </c>
      <c r="E65" s="1851">
        <f>IF(E24&gt;E63,E24-E63,0)</f>
        <v>1744048.4422110468</v>
      </c>
      <c r="F65" s="1852">
        <f t="shared" si="0"/>
        <v>4.5959166168238433E-2</v>
      </c>
      <c r="G65" s="1851">
        <f>IF(G24&gt;G63,G24-G63,0)</f>
        <v>551871.53196622431</v>
      </c>
      <c r="H65" s="1852">
        <f t="shared" si="1"/>
        <v>1.5946417748917058E-2</v>
      </c>
    </row>
    <row r="66" spans="2:8" outlineLevel="1">
      <c r="B66" s="1845" t="s">
        <v>355</v>
      </c>
      <c r="C66" s="1851">
        <v>0</v>
      </c>
      <c r="D66" s="1852"/>
      <c r="E66" s="1851">
        <v>0</v>
      </c>
      <c r="F66" s="1852"/>
      <c r="G66" s="1851">
        <v>0</v>
      </c>
      <c r="H66" s="1852"/>
    </row>
    <row r="67" spans="2:8" outlineLevel="1">
      <c r="B67" s="1853" t="s">
        <v>356</v>
      </c>
      <c r="C67" s="1854">
        <v>0</v>
      </c>
      <c r="D67" s="1855"/>
      <c r="E67" s="1854">
        <v>0</v>
      </c>
      <c r="F67" s="1855"/>
      <c r="G67" s="1854">
        <v>0</v>
      </c>
      <c r="H67" s="1855"/>
    </row>
    <row r="68" spans="2:8" outlineLevel="1">
      <c r="B68" s="1856" t="s">
        <v>357</v>
      </c>
      <c r="C68" s="1867">
        <v>0</v>
      </c>
      <c r="D68" s="1868"/>
      <c r="E68" s="1867">
        <v>0</v>
      </c>
      <c r="F68" s="1868"/>
      <c r="G68" s="1867">
        <v>0</v>
      </c>
      <c r="H68" s="1868"/>
    </row>
    <row r="69" spans="2:8">
      <c r="B69" s="1864" t="s">
        <v>316</v>
      </c>
      <c r="C69" s="1851"/>
      <c r="D69" s="1852"/>
      <c r="E69" s="1865">
        <f>E65/C65-1</f>
        <v>-0.30130336815910463</v>
      </c>
      <c r="F69" s="1852"/>
      <c r="G69" s="1865">
        <f>G65/E65-1</f>
        <v>-0.68356869074887627</v>
      </c>
      <c r="H69" s="1852"/>
    </row>
    <row r="70" spans="2:8">
      <c r="B70" s="1853" t="s">
        <v>358</v>
      </c>
      <c r="C70" s="1854">
        <v>73234.18872499495</v>
      </c>
      <c r="D70" s="1855">
        <f t="shared" si="2"/>
        <v>1.8940708244920572E-3</v>
      </c>
      <c r="E70" s="1854">
        <v>232947.53768844221</v>
      </c>
      <c r="F70" s="1855">
        <f t="shared" si="0"/>
        <v>6.1386337294234176E-3</v>
      </c>
      <c r="G70" s="1854">
        <v>228424.40691596299</v>
      </c>
      <c r="H70" s="1855">
        <f t="shared" si="1"/>
        <v>6.6003604203912734E-3</v>
      </c>
    </row>
    <row r="71" spans="2:8">
      <c r="B71" s="1856" t="s">
        <v>359</v>
      </c>
      <c r="C71" s="1867">
        <v>21972.396443726007</v>
      </c>
      <c r="D71" s="1868">
        <f t="shared" si="2"/>
        <v>5.6827659011166758E-4</v>
      </c>
      <c r="E71" s="1867">
        <v>209530.25125628142</v>
      </c>
      <c r="F71" s="1868">
        <f t="shared" si="0"/>
        <v>5.5215413756236047E-3</v>
      </c>
      <c r="G71" s="1867">
        <v>195674.1053478086</v>
      </c>
      <c r="H71" s="1868">
        <f t="shared" si="1"/>
        <v>5.6540351255384737E-3</v>
      </c>
    </row>
    <row r="72" spans="2:8" ht="22.5">
      <c r="B72" s="1853" t="s">
        <v>360</v>
      </c>
      <c r="C72" s="1854">
        <v>0</v>
      </c>
      <c r="D72" s="1855"/>
      <c r="E72" s="1854">
        <v>0</v>
      </c>
      <c r="F72" s="1855"/>
      <c r="G72" s="1854">
        <v>0</v>
      </c>
      <c r="H72" s="1855"/>
    </row>
    <row r="73" spans="2:8">
      <c r="B73" s="1853" t="s">
        <v>361</v>
      </c>
      <c r="C73" s="1854">
        <v>506588.4016973126</v>
      </c>
      <c r="D73" s="1855">
        <f t="shared" si="2"/>
        <v>1.3101999604092814E-2</v>
      </c>
      <c r="E73" s="1854">
        <v>541952.96482412063</v>
      </c>
      <c r="F73" s="1855">
        <f t="shared" si="0"/>
        <v>1.4281545032168988E-2</v>
      </c>
      <c r="G73" s="1854">
        <v>182803.3775633293</v>
      </c>
      <c r="H73" s="1855">
        <f t="shared" si="1"/>
        <v>5.2821333511297482E-3</v>
      </c>
    </row>
    <row r="74" spans="2:8" outlineLevel="1">
      <c r="B74" s="1856" t="s">
        <v>362</v>
      </c>
      <c r="C74" s="1854">
        <v>0</v>
      </c>
      <c r="D74" s="1855"/>
      <c r="E74" s="1854">
        <v>0</v>
      </c>
      <c r="F74" s="1855"/>
      <c r="G74" s="1854">
        <v>0</v>
      </c>
      <c r="H74" s="1855"/>
    </row>
    <row r="75" spans="2:8">
      <c r="B75" s="1860" t="s">
        <v>363</v>
      </c>
      <c r="C75" s="1861">
        <f>SUM(C67,C72,C73,C70)</f>
        <v>579822.59042230761</v>
      </c>
      <c r="D75" s="1862">
        <f t="shared" si="2"/>
        <v>1.4996070428584873E-2</v>
      </c>
      <c r="E75" s="1861">
        <f>SUM(E67,E72,E73,E70)</f>
        <v>774900.50251256279</v>
      </c>
      <c r="F75" s="1862">
        <f t="shared" si="0"/>
        <v>2.0420178761592404E-2</v>
      </c>
      <c r="G75" s="1861">
        <f>SUM(G67,G72,G73,G70)</f>
        <v>411227.78447929228</v>
      </c>
      <c r="H75" s="1862">
        <f t="shared" si="1"/>
        <v>1.1882493771521022E-2</v>
      </c>
    </row>
    <row r="76" spans="2:8" ht="22.5">
      <c r="B76" s="1853" t="s">
        <v>364</v>
      </c>
      <c r="C76" s="1854">
        <v>0</v>
      </c>
      <c r="D76" s="1855"/>
      <c r="E76" s="1854">
        <v>0</v>
      </c>
      <c r="F76" s="1855"/>
      <c r="G76" s="1854">
        <v>0</v>
      </c>
      <c r="H76" s="1855">
        <f t="shared" si="1"/>
        <v>0</v>
      </c>
    </row>
    <row r="77" spans="2:8" outlineLevel="1">
      <c r="B77" s="1853" t="s">
        <v>365</v>
      </c>
      <c r="C77" s="1854">
        <v>0</v>
      </c>
      <c r="D77" s="1855"/>
      <c r="E77" s="1854">
        <v>0</v>
      </c>
      <c r="F77" s="1855"/>
      <c r="G77" s="1854">
        <v>0</v>
      </c>
      <c r="H77" s="1855"/>
    </row>
    <row r="78" spans="2:8" outlineLevel="1">
      <c r="B78" s="1853" t="s">
        <v>366</v>
      </c>
      <c r="C78" s="1854">
        <v>0</v>
      </c>
      <c r="D78" s="1855"/>
      <c r="E78" s="1854">
        <v>0</v>
      </c>
      <c r="F78" s="1855"/>
      <c r="G78" s="1854">
        <v>0</v>
      </c>
      <c r="H78" s="1855"/>
    </row>
    <row r="79" spans="2:8">
      <c r="B79" s="1853" t="s">
        <v>367</v>
      </c>
      <c r="C79" s="1854">
        <v>281040.00808244088</v>
      </c>
      <c r="D79" s="1855">
        <f t="shared" si="2"/>
        <v>7.2685952980630891E-3</v>
      </c>
      <c r="E79" s="1854">
        <v>407228.74371859297</v>
      </c>
      <c r="F79" s="1855">
        <f t="shared" si="0"/>
        <v>1.0731292232524463E-2</v>
      </c>
      <c r="G79" s="1854">
        <v>333678.52834740648</v>
      </c>
      <c r="H79" s="1855">
        <f t="shared" si="1"/>
        <v>9.6416953922480297E-3</v>
      </c>
    </row>
    <row r="80" spans="2:8" outlineLevel="1">
      <c r="B80" s="1853" t="s">
        <v>341</v>
      </c>
      <c r="C80" s="1867">
        <v>465.34653465346537</v>
      </c>
      <c r="D80" s="1868">
        <f t="shared" si="2"/>
        <v>1.2035352748637574E-5</v>
      </c>
      <c r="E80" s="1867">
        <v>0</v>
      </c>
      <c r="F80" s="1868"/>
      <c r="G80" s="1867">
        <v>0</v>
      </c>
      <c r="H80" s="1868"/>
    </row>
    <row r="81" spans="2:9">
      <c r="B81" s="1853" t="s">
        <v>368</v>
      </c>
      <c r="C81" s="1854">
        <v>455423.11578096589</v>
      </c>
      <c r="D81" s="1855">
        <f t="shared" si="2"/>
        <v>1.1778701333597045E-2</v>
      </c>
      <c r="E81" s="1854">
        <v>549921.00502512569</v>
      </c>
      <c r="F81" s="1855">
        <f t="shared" si="0"/>
        <v>1.449151883494303E-2</v>
      </c>
      <c r="G81" s="1854">
        <v>137559.10735826296</v>
      </c>
      <c r="H81" s="1855">
        <f t="shared" si="1"/>
        <v>3.9747927987654249E-3</v>
      </c>
    </row>
    <row r="82" spans="2:9">
      <c r="B82" s="1860" t="s">
        <v>369</v>
      </c>
      <c r="C82" s="1861">
        <f>SUM(C81,C79,C76)</f>
        <v>736463.12386340671</v>
      </c>
      <c r="D82" s="1862">
        <f t="shared" si="2"/>
        <v>1.9047296631660132E-2</v>
      </c>
      <c r="E82" s="1861">
        <f>SUM(E81,E79,E76)</f>
        <v>957149.74874371872</v>
      </c>
      <c r="F82" s="1862">
        <f t="shared" si="0"/>
        <v>2.5222811067467495E-2</v>
      </c>
      <c r="G82" s="1861">
        <f>SUM(G81,G79,G76)</f>
        <v>471237.63570566941</v>
      </c>
      <c r="H82" s="1862">
        <f t="shared" si="1"/>
        <v>1.3616488191013455E-2</v>
      </c>
    </row>
    <row r="83" spans="2:9" outlineLevel="1">
      <c r="B83" s="1853" t="s">
        <v>354</v>
      </c>
      <c r="C83" s="1851">
        <v>0</v>
      </c>
      <c r="D83" s="1852"/>
      <c r="E83" s="1851">
        <v>0</v>
      </c>
      <c r="F83" s="1852"/>
      <c r="G83" s="1851">
        <v>0</v>
      </c>
      <c r="H83" s="1852"/>
    </row>
    <row r="84" spans="2:9" outlineLevel="1">
      <c r="B84" s="1853" t="s">
        <v>355</v>
      </c>
      <c r="C84" s="1854">
        <v>156640.53344109922</v>
      </c>
      <c r="D84" s="1855">
        <f t="shared" si="2"/>
        <v>4.0512262030752621E-3</v>
      </c>
      <c r="E84" s="1854">
        <v>182249.24623115579</v>
      </c>
      <c r="F84" s="1855">
        <f t="shared" si="0"/>
        <v>4.8026323058750859E-3</v>
      </c>
      <c r="G84" s="1854">
        <v>60009.851226377155</v>
      </c>
      <c r="H84" s="1855">
        <f t="shared" si="1"/>
        <v>1.7339944194924327E-3</v>
      </c>
    </row>
    <row r="85" spans="2:9">
      <c r="B85" s="1860" t="s">
        <v>370</v>
      </c>
      <c r="C85" s="1861">
        <f>C24+C75</f>
        <v>39244791.068902805</v>
      </c>
      <c r="D85" s="1862">
        <f>$C85/$C$24</f>
        <v>1.014996070428585</v>
      </c>
      <c r="E85" s="1861">
        <f>E24+E75</f>
        <v>38722683.015075371</v>
      </c>
      <c r="F85" s="1862">
        <f t="shared" si="0"/>
        <v>1.0204201787615923</v>
      </c>
      <c r="G85" s="1861">
        <f>G24+G75</f>
        <v>35019096.501809403</v>
      </c>
      <c r="H85" s="1862">
        <f t="shared" si="1"/>
        <v>1.011882493771521</v>
      </c>
    </row>
    <row r="86" spans="2:9">
      <c r="B86" s="1860" t="s">
        <v>371</v>
      </c>
      <c r="C86" s="1861">
        <f>C63+C82</f>
        <v>36905286.118407756</v>
      </c>
      <c r="D86" s="1862">
        <f t="shared" si="2"/>
        <v>0.95448897466314719</v>
      </c>
      <c r="E86" s="1861">
        <f>E63+E82</f>
        <v>37160883.819095485</v>
      </c>
      <c r="F86" s="1862">
        <f t="shared" si="0"/>
        <v>0.97926364489922912</v>
      </c>
      <c r="G86" s="1861">
        <f>G63+G82</f>
        <v>34527234.821069561</v>
      </c>
      <c r="H86" s="1862">
        <f t="shared" si="1"/>
        <v>0.99767007044209643</v>
      </c>
      <c r="I86" s="1895"/>
    </row>
    <row r="87" spans="2:9" outlineLevel="1">
      <c r="B87" s="1866" t="s">
        <v>372</v>
      </c>
      <c r="C87" s="1854">
        <v>0</v>
      </c>
      <c r="D87" s="1855"/>
      <c r="E87" s="1854">
        <v>0</v>
      </c>
      <c r="F87" s="1855"/>
      <c r="G87" s="1854">
        <v>0</v>
      </c>
      <c r="H87" s="1855"/>
    </row>
    <row r="88" spans="2:9">
      <c r="B88" s="1853" t="s">
        <v>354</v>
      </c>
      <c r="C88" s="1854">
        <v>2339504.9504950494</v>
      </c>
      <c r="D88" s="1855">
        <f t="shared" si="2"/>
        <v>6.0507095765437703E-2</v>
      </c>
      <c r="E88" s="1854">
        <v>1561799.1959798995</v>
      </c>
      <c r="F88" s="1855">
        <f t="shared" si="0"/>
        <v>4.1156533862363572E-2</v>
      </c>
      <c r="G88" s="1854">
        <v>491861.68073984719</v>
      </c>
      <c r="H88" s="1855">
        <f t="shared" si="1"/>
        <v>1.4212423329424625E-2</v>
      </c>
    </row>
    <row r="89" spans="2:9" outlineLevel="1">
      <c r="B89" s="1853" t="s">
        <v>355</v>
      </c>
      <c r="C89" s="1854">
        <v>0</v>
      </c>
      <c r="D89" s="1855"/>
      <c r="E89" s="1854">
        <v>0</v>
      </c>
      <c r="F89" s="1855"/>
      <c r="G89" s="1854">
        <v>0</v>
      </c>
      <c r="H89" s="1855"/>
    </row>
    <row r="90" spans="2:9">
      <c r="B90" s="1860" t="s">
        <v>373</v>
      </c>
      <c r="C90" s="1861">
        <v>364367.75106082001</v>
      </c>
      <c r="D90" s="1862">
        <f t="shared" si="2"/>
        <v>9.4237177838025071E-3</v>
      </c>
      <c r="E90" s="1861">
        <v>270599.79899497487</v>
      </c>
      <c r="F90" s="1862">
        <f t="shared" si="0"/>
        <v>7.130846154327763E-3</v>
      </c>
      <c r="G90" s="1861">
        <v>132156.41334941695</v>
      </c>
      <c r="H90" s="1862">
        <f t="shared" si="1"/>
        <v>3.8186810759380505E-3</v>
      </c>
    </row>
    <row r="91" spans="2:9" outlineLevel="1">
      <c r="B91" s="1869"/>
      <c r="C91" s="1851">
        <v>0</v>
      </c>
      <c r="D91" s="1852"/>
      <c r="E91" s="1851">
        <v>0</v>
      </c>
      <c r="F91" s="1852"/>
      <c r="G91" s="1851">
        <v>0</v>
      </c>
      <c r="H91" s="1852"/>
    </row>
    <row r="92" spans="2:9" ht="22.5" outlineLevel="1">
      <c r="B92" s="1853" t="s">
        <v>374</v>
      </c>
      <c r="C92" s="1851">
        <v>0</v>
      </c>
      <c r="D92" s="1852"/>
      <c r="E92" s="1851">
        <v>0</v>
      </c>
      <c r="F92" s="1852"/>
      <c r="G92" s="1851">
        <v>0</v>
      </c>
      <c r="H92" s="1852"/>
    </row>
    <row r="93" spans="2:9" outlineLevel="1">
      <c r="B93" s="1853"/>
      <c r="C93" s="1851">
        <v>0</v>
      </c>
      <c r="D93" s="1852"/>
      <c r="E93" s="1851">
        <v>0</v>
      </c>
      <c r="F93" s="1852"/>
      <c r="G93" s="1851">
        <v>0</v>
      </c>
      <c r="H93" s="1852"/>
    </row>
    <row r="94" spans="2:9" ht="22.5" outlineLevel="1">
      <c r="B94" s="1853" t="s">
        <v>375</v>
      </c>
      <c r="C94" s="1851">
        <v>0</v>
      </c>
      <c r="D94" s="1852"/>
      <c r="E94" s="1851">
        <v>0</v>
      </c>
      <c r="F94" s="1852"/>
      <c r="G94" s="1851">
        <v>0</v>
      </c>
      <c r="H94" s="1852"/>
    </row>
    <row r="95" spans="2:9" outlineLevel="1">
      <c r="B95" s="1845"/>
      <c r="C95" s="1851">
        <v>0</v>
      </c>
      <c r="D95" s="1852"/>
      <c r="E95" s="1851">
        <v>0</v>
      </c>
      <c r="F95" s="1852"/>
      <c r="G95" s="1851">
        <v>0</v>
      </c>
      <c r="H95" s="1852"/>
    </row>
    <row r="96" spans="2:9" ht="22.5">
      <c r="B96" s="1845" t="s">
        <v>376</v>
      </c>
      <c r="C96" s="1851">
        <v>0</v>
      </c>
      <c r="D96" s="1852"/>
      <c r="E96" s="1851">
        <v>0</v>
      </c>
      <c r="F96" s="1852"/>
      <c r="G96" s="1851">
        <v>0</v>
      </c>
      <c r="H96" s="1852"/>
    </row>
    <row r="97" spans="2:8">
      <c r="B97" s="1845" t="s">
        <v>377</v>
      </c>
      <c r="C97" s="1851">
        <v>0</v>
      </c>
      <c r="D97" s="1852"/>
      <c r="E97" s="1851">
        <v>0</v>
      </c>
      <c r="F97" s="1852"/>
      <c r="G97" s="1851">
        <v>0</v>
      </c>
      <c r="H97" s="1852"/>
    </row>
    <row r="98" spans="2:8" ht="22.5">
      <c r="B98" s="1900" t="s">
        <v>378</v>
      </c>
      <c r="C98" s="1861">
        <f>IF(C88-C90-C96-C97&gt;0,C88-C90-C96-C97)</f>
        <v>1975137.1994342294</v>
      </c>
      <c r="D98" s="1862">
        <f t="shared" si="2"/>
        <v>5.1083377981635196E-2</v>
      </c>
      <c r="E98" s="1861">
        <f>IF(E88-E90-E96-E97&gt;0,E88-E90-E96-E97)</f>
        <v>1291199.3969849246</v>
      </c>
      <c r="F98" s="1862">
        <f t="shared" ref="F98" si="3">$E98/$E$24</f>
        <v>3.4025687708035803E-2</v>
      </c>
      <c r="G98" s="1861">
        <f>IF(G88-G90-G96-G97&gt;0,G88-G90-G96-G97)</f>
        <v>359705.26739043021</v>
      </c>
      <c r="H98" s="1862">
        <f t="shared" ref="H98" si="4">$G98/$G$24</f>
        <v>1.0393742253486575E-2</v>
      </c>
    </row>
    <row r="99" spans="2:8" outlineLevel="1">
      <c r="B99" s="1856" t="s">
        <v>379</v>
      </c>
      <c r="C99" s="1851">
        <v>0</v>
      </c>
      <c r="D99" s="1852"/>
      <c r="E99" s="1851">
        <v>0</v>
      </c>
      <c r="F99" s="1852"/>
      <c r="G99" s="1851">
        <v>0</v>
      </c>
      <c r="H99" s="1852"/>
    </row>
    <row r="100" spans="2:8">
      <c r="B100" s="1864" t="s">
        <v>316</v>
      </c>
      <c r="C100" s="1851"/>
      <c r="D100" s="1852"/>
      <c r="E100" s="1865">
        <f>E98/C98-1</f>
        <v>-0.34627356653766439</v>
      </c>
      <c r="F100" s="1852"/>
      <c r="G100" s="1865">
        <f>G98/E98-1</f>
        <v>-0.72141772352869993</v>
      </c>
      <c r="H100" s="1852"/>
    </row>
    <row r="101" spans="2:8">
      <c r="B101" s="1870"/>
      <c r="C101" s="1867"/>
      <c r="D101" s="1868"/>
      <c r="E101" s="1867"/>
      <c r="F101" s="1868"/>
      <c r="G101" s="1867"/>
      <c r="H101" s="1868"/>
    </row>
    <row r="102" spans="2:8">
      <c r="C102" s="1871"/>
    </row>
    <row r="104" spans="2:8">
      <c r="B104" s="1872" t="s">
        <v>380</v>
      </c>
      <c r="C104" s="1873">
        <f>C98+C90+C82-C75</f>
        <v>2496145.4839361482</v>
      </c>
      <c r="D104" s="1873"/>
      <c r="E104" s="1873">
        <f t="shared" ref="E104:G104" si="5">E98+E90+E82-E75</f>
        <v>1744048.4422110554</v>
      </c>
      <c r="F104" s="1873"/>
      <c r="G104" s="1873">
        <f t="shared" si="5"/>
        <v>551871.53196622431</v>
      </c>
      <c r="H104" s="1871"/>
    </row>
    <row r="105" spans="2:8">
      <c r="C105" s="1874">
        <f>C104/C24</f>
        <v>6.4558321968512952E-2</v>
      </c>
      <c r="D105" s="1874"/>
      <c r="E105" s="1874">
        <f t="shared" ref="E105:G105" si="6">E104/E24</f>
        <v>4.5959166168238662E-2</v>
      </c>
      <c r="F105" s="1874"/>
      <c r="G105" s="1874">
        <f t="shared" si="6"/>
        <v>1.5946417748917058E-2</v>
      </c>
      <c r="H105" s="1871"/>
    </row>
    <row r="106" spans="2:8">
      <c r="B106" s="1872" t="s">
        <v>381</v>
      </c>
      <c r="C106" s="1873">
        <f>C104+C37</f>
        <v>5356188.7249949481</v>
      </c>
      <c r="D106" s="1873"/>
      <c r="E106" s="1873">
        <f>E104+E37</f>
        <v>4654433.567839196</v>
      </c>
      <c r="F106" s="1873"/>
      <c r="G106" s="1873">
        <f>G104+G37</f>
        <v>3053975.6735022115</v>
      </c>
    </row>
    <row r="107" spans="2:8">
      <c r="C107" s="1874">
        <f>C106/C24</f>
        <v>0.13852820617133069</v>
      </c>
      <c r="D107" s="1874"/>
      <c r="E107" s="1874">
        <f t="shared" ref="E107:G107" si="7">E106/E24</f>
        <v>0.12265363770065672</v>
      </c>
      <c r="F107" s="1874"/>
      <c r="G107" s="1874">
        <f t="shared" si="7"/>
        <v>8.824512420705391E-2</v>
      </c>
    </row>
    <row r="109" spans="2:8">
      <c r="B109" s="1837" t="s">
        <v>382</v>
      </c>
      <c r="G109" s="1873">
        <v>1000000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FE58-1A6D-457C-9C08-10B5326741E3}">
  <sheetPr>
    <tabColor rgb="FFFFC000"/>
  </sheetPr>
  <dimension ref="B1:M145"/>
  <sheetViews>
    <sheetView workbookViewId="0">
      <selection activeCell="O43" sqref="O43"/>
    </sheetView>
  </sheetViews>
  <sheetFormatPr defaultColWidth="11.42578125" defaultRowHeight="12.75" outlineLevelRow="1" outlineLevelCol="1"/>
  <cols>
    <col min="2" max="2" width="59.140625" style="1837" customWidth="1" outlineLevel="1"/>
    <col min="3" max="3" width="15.5703125" style="1837" customWidth="1" outlineLevel="1"/>
    <col min="4" max="4" width="7.5703125" style="1894" customWidth="1" outlineLevel="1"/>
    <col min="5" max="5" width="15.5703125" style="1837" customWidth="1" outlineLevel="1"/>
    <col min="6" max="6" width="6" style="1894" customWidth="1" outlineLevel="1"/>
    <col min="7" max="7" width="15.5703125" style="1837" customWidth="1" outlineLevel="1"/>
    <col min="8" max="8" width="7.5703125" style="1894" customWidth="1" outlineLevel="1"/>
    <col min="10" max="10" width="11.5703125" bestFit="1" customWidth="1"/>
  </cols>
  <sheetData>
    <row r="1" spans="2:8">
      <c r="D1" s="1857"/>
      <c r="F1" s="1857"/>
      <c r="H1" s="1857"/>
    </row>
    <row r="2" spans="2:8">
      <c r="B2" s="1834" t="s">
        <v>291</v>
      </c>
      <c r="C2" s="1835" t="s">
        <v>292</v>
      </c>
      <c r="D2" s="1836"/>
      <c r="E2" s="1835"/>
      <c r="F2" s="1836"/>
      <c r="G2" s="1835"/>
      <c r="H2" s="1836"/>
    </row>
    <row r="3" spans="2:8">
      <c r="B3" s="1875"/>
      <c r="C3" s="1838" t="s">
        <v>293</v>
      </c>
      <c r="D3" s="1839"/>
      <c r="E3" s="1838" t="s">
        <v>293</v>
      </c>
      <c r="F3" s="1839"/>
      <c r="G3" s="1838" t="s">
        <v>293</v>
      </c>
      <c r="H3" s="1839"/>
    </row>
    <row r="4" spans="2:8">
      <c r="B4" s="1840" t="s">
        <v>294</v>
      </c>
      <c r="C4" s="1841">
        <v>46021</v>
      </c>
      <c r="D4" s="1842"/>
      <c r="E4" s="1841">
        <v>45655</v>
      </c>
      <c r="F4" s="1842"/>
      <c r="G4" s="1841">
        <v>45657</v>
      </c>
      <c r="H4" s="1842"/>
    </row>
    <row r="5" spans="2:8" ht="15">
      <c r="B5" s="1875"/>
      <c r="C5" s="1843">
        <v>4.9489999999999998</v>
      </c>
      <c r="D5" s="1844"/>
      <c r="E5" s="1843">
        <v>4.9749999999999996</v>
      </c>
      <c r="F5" s="1844"/>
      <c r="G5" s="1843">
        <v>4.9740000000000002</v>
      </c>
      <c r="H5" s="1844"/>
    </row>
    <row r="6" spans="2:8" ht="15">
      <c r="B6" s="1875"/>
      <c r="C6" s="1843"/>
      <c r="D6" s="1844"/>
      <c r="E6" s="1838"/>
      <c r="F6" s="1844"/>
      <c r="G6" s="1838"/>
      <c r="H6" s="1844"/>
    </row>
    <row r="7" spans="2:8" ht="33.75">
      <c r="B7" s="1848" t="s">
        <v>295</v>
      </c>
      <c r="C7" s="1849" t="s">
        <v>383</v>
      </c>
      <c r="D7" s="1876"/>
      <c r="E7" s="1849" t="s">
        <v>384</v>
      </c>
      <c r="F7" s="1876"/>
      <c r="G7" s="1849" t="s">
        <v>385</v>
      </c>
      <c r="H7" s="1876"/>
    </row>
    <row r="8" spans="2:8">
      <c r="B8" s="1845" t="s">
        <v>386</v>
      </c>
      <c r="C8" s="1877"/>
      <c r="D8" s="1878"/>
      <c r="E8" s="1877"/>
      <c r="F8" s="1878"/>
      <c r="G8" s="1877"/>
      <c r="H8" s="1878"/>
    </row>
    <row r="9" spans="2:8">
      <c r="B9" s="1845" t="s">
        <v>387</v>
      </c>
      <c r="C9" s="1877"/>
      <c r="D9" s="1878"/>
      <c r="E9" s="1877"/>
      <c r="F9" s="1878"/>
      <c r="G9" s="1877"/>
      <c r="H9" s="1878"/>
    </row>
    <row r="10" spans="2:8" outlineLevel="1">
      <c r="B10" s="1853" t="s">
        <v>388</v>
      </c>
      <c r="C10" s="1879">
        <v>0</v>
      </c>
      <c r="D10" s="1880"/>
      <c r="E10" s="1879">
        <v>0</v>
      </c>
      <c r="F10" s="1880"/>
      <c r="G10" s="1879">
        <v>0</v>
      </c>
      <c r="H10" s="1880"/>
    </row>
    <row r="11" spans="2:8" outlineLevel="1">
      <c r="B11" s="1853" t="s">
        <v>389</v>
      </c>
      <c r="C11" s="1879">
        <v>0</v>
      </c>
      <c r="D11" s="1880"/>
      <c r="E11" s="1879">
        <v>0</v>
      </c>
      <c r="F11" s="1880"/>
      <c r="G11" s="1879">
        <v>0</v>
      </c>
      <c r="H11" s="1880"/>
    </row>
    <row r="12" spans="2:8" ht="22.5" outlineLevel="1">
      <c r="B12" s="1853" t="s">
        <v>390</v>
      </c>
      <c r="C12" s="1879">
        <v>4011.3154172560116</v>
      </c>
      <c r="D12" s="1881">
        <f>C12/C37</f>
        <v>4.1856633944401819E-4</v>
      </c>
      <c r="E12" s="1879">
        <v>25585.527638190957</v>
      </c>
      <c r="F12" s="1881">
        <f>E12/E37</f>
        <v>3.445176618757055E-3</v>
      </c>
      <c r="G12" s="1879">
        <v>19983.514274225974</v>
      </c>
      <c r="H12" s="1881">
        <f>G12/G37</f>
        <v>3.8357812657676847E-3</v>
      </c>
    </row>
    <row r="13" spans="2:8" outlineLevel="1">
      <c r="B13" s="1853" t="s">
        <v>391</v>
      </c>
      <c r="C13" s="1879">
        <v>0</v>
      </c>
      <c r="D13" s="1880"/>
      <c r="E13" s="1879">
        <v>0</v>
      </c>
      <c r="F13" s="1880"/>
      <c r="G13" s="1879">
        <v>0</v>
      </c>
      <c r="H13" s="1880"/>
    </row>
    <row r="14" spans="2:8" outlineLevel="1">
      <c r="B14" s="1853" t="s">
        <v>392</v>
      </c>
      <c r="C14" s="1879">
        <v>0</v>
      </c>
      <c r="D14" s="1880"/>
      <c r="E14" s="1879">
        <v>0</v>
      </c>
      <c r="F14" s="1880"/>
      <c r="G14" s="1879">
        <v>0</v>
      </c>
      <c r="H14" s="1880"/>
    </row>
    <row r="15" spans="2:8" outlineLevel="1">
      <c r="B15" s="1853" t="s">
        <v>393</v>
      </c>
      <c r="C15" s="1879">
        <v>0</v>
      </c>
      <c r="D15" s="1880"/>
      <c r="E15" s="1879">
        <v>0</v>
      </c>
      <c r="F15" s="1880"/>
      <c r="G15" s="1879">
        <v>0</v>
      </c>
      <c r="H15" s="1880"/>
    </row>
    <row r="16" spans="2:8">
      <c r="B16" s="1860" t="s">
        <v>394</v>
      </c>
      <c r="C16" s="1882">
        <f>SUM(C10:C15)</f>
        <v>4011.3154172560116</v>
      </c>
      <c r="D16" s="1883">
        <f>C16/C66</f>
        <v>1.9013008596663076E-4</v>
      </c>
      <c r="E16" s="1882">
        <f>SUM(E10:E15)</f>
        <v>25585.527638190957</v>
      </c>
      <c r="F16" s="1883">
        <f>E16/E66</f>
        <v>1.3602633008435573E-3</v>
      </c>
      <c r="G16" s="1882">
        <f>SUM(G10:G15)</f>
        <v>19983.514274225974</v>
      </c>
      <c r="H16" s="1883">
        <f>G16/G66</f>
        <v>1.2980412920205577E-3</v>
      </c>
    </row>
    <row r="17" spans="2:9">
      <c r="B17" s="1845" t="s">
        <v>395</v>
      </c>
      <c r="C17" s="1879">
        <v>0</v>
      </c>
      <c r="D17" s="1880"/>
      <c r="E17" s="1879">
        <v>0</v>
      </c>
      <c r="F17" s="1880"/>
      <c r="G17" s="1879">
        <v>0</v>
      </c>
      <c r="H17" s="1880"/>
    </row>
    <row r="18" spans="2:9">
      <c r="B18" s="1853" t="s">
        <v>396</v>
      </c>
      <c r="C18" s="1879">
        <v>1523198.8280460699</v>
      </c>
      <c r="D18" s="1880">
        <f>$C18/$C$66</f>
        <v>7.2197245540660801E-2</v>
      </c>
      <c r="E18" s="1879">
        <v>1452865.5276381911</v>
      </c>
      <c r="F18" s="1880">
        <f>$E18/$E$66</f>
        <v>7.7242091163951337E-2</v>
      </c>
      <c r="G18" s="1879">
        <v>1370667.6718938479</v>
      </c>
      <c r="H18" s="1880">
        <f>$G18/$G$66</f>
        <v>8.9032550098088969E-2</v>
      </c>
    </row>
    <row r="19" spans="2:9">
      <c r="B19" s="1853" t="s">
        <v>397</v>
      </c>
      <c r="C19" s="1879">
        <v>7850724.7928874521</v>
      </c>
      <c r="D19" s="1880">
        <f>$C19/$C$66</f>
        <v>0.37211209404049356</v>
      </c>
      <c r="E19" s="1879">
        <v>5860386.3316582916</v>
      </c>
      <c r="F19" s="1880">
        <f t="shared" ref="F19:F63" si="0">$E19/$E$66</f>
        <v>0.31156943755269051</v>
      </c>
      <c r="G19" s="1879">
        <v>3554067.9533574586</v>
      </c>
      <c r="H19" s="1880">
        <f t="shared" ref="H19:H63" si="1">$G19/$G$66</f>
        <v>0.23085663986814769</v>
      </c>
      <c r="I19" s="1895"/>
    </row>
    <row r="20" spans="2:9" outlineLevel="1">
      <c r="B20" s="1853" t="s">
        <v>398</v>
      </c>
      <c r="C20" s="1879">
        <v>76867.447969286732</v>
      </c>
      <c r="D20" s="1880">
        <f t="shared" ref="D20:D63" si="2">$C20/$C$66</f>
        <v>3.643396983335068E-3</v>
      </c>
      <c r="E20" s="1879">
        <v>77261.708542713575</v>
      </c>
      <c r="F20" s="1880">
        <f t="shared" si="0"/>
        <v>4.1076450787846776E-3</v>
      </c>
      <c r="G20" s="1879">
        <v>154964.817048653</v>
      </c>
      <c r="H20" s="1880">
        <f t="shared" si="1"/>
        <v>1.006583369567784E-2</v>
      </c>
    </row>
    <row r="21" spans="2:9" outlineLevel="1">
      <c r="B21" s="1853" t="s">
        <v>399</v>
      </c>
      <c r="C21" s="1879">
        <v>0</v>
      </c>
      <c r="D21" s="1880"/>
      <c r="E21" s="1879">
        <v>0</v>
      </c>
      <c r="F21" s="1880"/>
      <c r="G21" s="1879">
        <v>0</v>
      </c>
      <c r="H21" s="1880"/>
    </row>
    <row r="22" spans="2:9" outlineLevel="1">
      <c r="B22" s="1853" t="s">
        <v>400</v>
      </c>
      <c r="C22" s="1879">
        <v>4992.5237421701358</v>
      </c>
      <c r="D22" s="1880">
        <f t="shared" si="2"/>
        <v>2.3663782813134759E-4</v>
      </c>
      <c r="E22" s="1879">
        <v>0</v>
      </c>
      <c r="F22" s="1880"/>
      <c r="G22" s="1879">
        <v>0</v>
      </c>
      <c r="H22" s="1880"/>
    </row>
    <row r="23" spans="2:9" outlineLevel="1">
      <c r="B23" s="1853" t="s">
        <v>401</v>
      </c>
      <c r="C23" s="1879">
        <v>0</v>
      </c>
      <c r="D23" s="1880"/>
      <c r="E23" s="1879">
        <v>0</v>
      </c>
      <c r="F23" s="1880"/>
      <c r="G23" s="1879">
        <v>0</v>
      </c>
      <c r="H23" s="1880"/>
    </row>
    <row r="24" spans="2:9" outlineLevel="1">
      <c r="B24" s="1853" t="s">
        <v>402</v>
      </c>
      <c r="C24" s="1879">
        <v>0</v>
      </c>
      <c r="D24" s="1880"/>
      <c r="E24" s="1879">
        <v>0</v>
      </c>
      <c r="F24" s="1880"/>
      <c r="G24" s="1879">
        <v>0</v>
      </c>
      <c r="H24" s="1880"/>
    </row>
    <row r="25" spans="2:9" outlineLevel="1">
      <c r="B25" s="1853" t="s">
        <v>403</v>
      </c>
      <c r="C25" s="1879">
        <v>0</v>
      </c>
      <c r="D25" s="1880"/>
      <c r="E25" s="1879">
        <v>0</v>
      </c>
      <c r="F25" s="1880"/>
      <c r="G25" s="1879">
        <v>0</v>
      </c>
      <c r="H25" s="1880"/>
    </row>
    <row r="26" spans="2:9" outlineLevel="1">
      <c r="B26" s="1853" t="s">
        <v>404</v>
      </c>
      <c r="C26" s="1879">
        <v>120859.56758941201</v>
      </c>
      <c r="D26" s="1880">
        <f t="shared" si="2"/>
        <v>5.7285547471068263E-3</v>
      </c>
      <c r="E26" s="1879">
        <v>0</v>
      </c>
      <c r="F26" s="1880"/>
      <c r="G26" s="1879">
        <v>100002.01045436268</v>
      </c>
      <c r="H26" s="1880">
        <f t="shared" si="1"/>
        <v>6.4956912519763535E-3</v>
      </c>
    </row>
    <row r="27" spans="2:9">
      <c r="B27" s="1860" t="s">
        <v>394</v>
      </c>
      <c r="C27" s="1882">
        <f>SUM(C18:C26)</f>
        <v>9576643.1602343917</v>
      </c>
      <c r="D27" s="1883">
        <f>$C27/$C$66</f>
        <v>0.45391792913972762</v>
      </c>
      <c r="E27" s="1882">
        <f>SUM(E18:E26)</f>
        <v>7390513.5678391969</v>
      </c>
      <c r="F27" s="1883">
        <f t="shared" si="0"/>
        <v>0.39291917379542657</v>
      </c>
      <c r="G27" s="1882">
        <f>SUM(G18:G26)</f>
        <v>5179702.4527543215</v>
      </c>
      <c r="H27" s="1883">
        <f t="shared" si="1"/>
        <v>0.33645071491389084</v>
      </c>
      <c r="I27" s="1863"/>
    </row>
    <row r="28" spans="2:9">
      <c r="B28" s="1845" t="s">
        <v>405</v>
      </c>
      <c r="C28" s="1879">
        <v>0</v>
      </c>
      <c r="D28" s="1880"/>
      <c r="E28" s="1879">
        <v>0</v>
      </c>
      <c r="F28" s="1880"/>
      <c r="G28" s="1879">
        <v>0</v>
      </c>
      <c r="H28" s="1880"/>
    </row>
    <row r="29" spans="2:9" outlineLevel="1">
      <c r="B29" s="1853" t="s">
        <v>406</v>
      </c>
      <c r="C29" s="1879">
        <v>0</v>
      </c>
      <c r="D29" s="1880"/>
      <c r="E29" s="1879">
        <v>0</v>
      </c>
      <c r="F29" s="1880"/>
      <c r="G29" s="1879">
        <v>0</v>
      </c>
      <c r="H29" s="1880"/>
    </row>
    <row r="30" spans="2:9" outlineLevel="1">
      <c r="B30" s="1853" t="s">
        <v>407</v>
      </c>
      <c r="C30" s="1879">
        <v>0</v>
      </c>
      <c r="D30" s="1880"/>
      <c r="E30" s="1879">
        <v>0</v>
      </c>
      <c r="F30" s="1880"/>
      <c r="G30" s="1879">
        <v>0</v>
      </c>
      <c r="H30" s="1880"/>
    </row>
    <row r="31" spans="2:9" outlineLevel="1">
      <c r="B31" s="1853" t="s">
        <v>408</v>
      </c>
      <c r="C31" s="1879">
        <v>0</v>
      </c>
      <c r="D31" s="1880"/>
      <c r="E31" s="1879">
        <v>0</v>
      </c>
      <c r="F31" s="1880"/>
      <c r="G31" s="1879">
        <v>0</v>
      </c>
      <c r="H31" s="1880"/>
    </row>
    <row r="32" spans="2:9" outlineLevel="1">
      <c r="B32" s="1853" t="s">
        <v>409</v>
      </c>
      <c r="C32" s="1879">
        <v>0</v>
      </c>
      <c r="D32" s="1880"/>
      <c r="E32" s="1879">
        <v>0</v>
      </c>
      <c r="F32" s="1880"/>
      <c r="G32" s="1879">
        <v>0</v>
      </c>
      <c r="H32" s="1880"/>
    </row>
    <row r="33" spans="2:10" outlineLevel="1">
      <c r="B33" s="1853" t="s">
        <v>410</v>
      </c>
      <c r="C33" s="1879">
        <v>0</v>
      </c>
      <c r="D33" s="1880"/>
      <c r="E33" s="1879">
        <v>0</v>
      </c>
      <c r="F33" s="1880"/>
      <c r="G33" s="1879">
        <v>0</v>
      </c>
      <c r="H33" s="1880"/>
    </row>
    <row r="34" spans="2:10" outlineLevel="1">
      <c r="B34" s="1853" t="s">
        <v>411</v>
      </c>
      <c r="C34" s="1879">
        <v>2809.4564558496668</v>
      </c>
      <c r="D34" s="1880">
        <f t="shared" si="2"/>
        <v>1.3316384824098499E-4</v>
      </c>
      <c r="E34" s="1879">
        <v>10378.693467336685</v>
      </c>
      <c r="F34" s="1880">
        <f t="shared" si="0"/>
        <v>5.5178677703912582E-4</v>
      </c>
      <c r="G34" s="1879">
        <v>10077.804583835947</v>
      </c>
      <c r="H34" s="1880">
        <f t="shared" si="1"/>
        <v>6.5460991011000722E-4</v>
      </c>
    </row>
    <row r="35" spans="2:10">
      <c r="B35" s="1860" t="s">
        <v>394</v>
      </c>
      <c r="C35" s="1882">
        <f>SUM(C29:C34)</f>
        <v>2809.4564558496668</v>
      </c>
      <c r="D35" s="1883">
        <f t="shared" si="2"/>
        <v>1.3316384824098499E-4</v>
      </c>
      <c r="E35" s="1882">
        <f>SUM(E29:E34)</f>
        <v>10378.693467336685</v>
      </c>
      <c r="F35" s="1883">
        <f t="shared" si="0"/>
        <v>5.5178677703912582E-4</v>
      </c>
      <c r="G35" s="1882">
        <f>SUM(G29:G34)</f>
        <v>10077.804583835947</v>
      </c>
      <c r="H35" s="1883">
        <f t="shared" si="1"/>
        <v>6.5460991011000722E-4</v>
      </c>
    </row>
    <row r="36" spans="2:10">
      <c r="B36" s="1845"/>
      <c r="C36" s="1884"/>
      <c r="D36" s="1885"/>
      <c r="E36" s="1884"/>
      <c r="F36" s="1885"/>
      <c r="G36" s="1884"/>
      <c r="H36" s="1885"/>
    </row>
    <row r="37" spans="2:10">
      <c r="B37" s="1860" t="s">
        <v>412</v>
      </c>
      <c r="C37" s="1882">
        <f>SUM(C35,C27,C16)</f>
        <v>9583463.932107497</v>
      </c>
      <c r="D37" s="1883">
        <f t="shared" si="2"/>
        <v>0.45424122307393522</v>
      </c>
      <c r="E37" s="1882">
        <f>SUM(E35,E27,E16)</f>
        <v>7426477.7889447249</v>
      </c>
      <c r="F37" s="1883">
        <f t="shared" si="0"/>
        <v>0.39483122387330927</v>
      </c>
      <c r="G37" s="1882">
        <f>SUM(G35,G27,G16)</f>
        <v>5209763.7716123834</v>
      </c>
      <c r="H37" s="1883">
        <f t="shared" si="1"/>
        <v>0.3384033661160214</v>
      </c>
      <c r="J37" s="1863"/>
    </row>
    <row r="38" spans="2:10">
      <c r="B38" s="1845"/>
      <c r="C38" s="1879"/>
      <c r="D38" s="1880"/>
      <c r="E38" s="1879"/>
      <c r="F38" s="1880"/>
      <c r="G38" s="1879"/>
      <c r="H38" s="1880"/>
    </row>
    <row r="39" spans="2:10">
      <c r="B39" s="1845" t="s">
        <v>413</v>
      </c>
      <c r="C39" s="1879">
        <v>0</v>
      </c>
      <c r="D39" s="1880"/>
      <c r="E39" s="1879">
        <v>0</v>
      </c>
      <c r="F39" s="1880"/>
      <c r="G39" s="1879">
        <v>0</v>
      </c>
      <c r="H39" s="1880"/>
    </row>
    <row r="40" spans="2:10">
      <c r="B40" s="1845" t="s">
        <v>414</v>
      </c>
      <c r="C40" s="1879">
        <v>0</v>
      </c>
      <c r="D40" s="1880"/>
      <c r="E40" s="1879">
        <v>0</v>
      </c>
      <c r="F40" s="1880"/>
      <c r="G40" s="1879">
        <v>0</v>
      </c>
      <c r="H40" s="1880"/>
    </row>
    <row r="41" spans="2:10" outlineLevel="1">
      <c r="B41" s="1886" t="s">
        <v>415</v>
      </c>
      <c r="C41" s="1879">
        <v>144370.78197615681</v>
      </c>
      <c r="D41" s="1880">
        <f t="shared" si="2"/>
        <v>6.8429495895821063E-3</v>
      </c>
      <c r="E41" s="1879">
        <v>133187.53768844221</v>
      </c>
      <c r="F41" s="1880">
        <f t="shared" si="0"/>
        <v>7.080960854482338E-3</v>
      </c>
      <c r="G41" s="1879">
        <v>141271.21029352632</v>
      </c>
      <c r="H41" s="1880">
        <f t="shared" si="1"/>
        <v>9.1763571621248062E-3</v>
      </c>
    </row>
    <row r="42" spans="2:10" outlineLevel="1">
      <c r="B42" s="1886" t="s">
        <v>416</v>
      </c>
      <c r="C42" s="1879">
        <v>0</v>
      </c>
      <c r="D42" s="1880"/>
      <c r="E42" s="1879">
        <v>0</v>
      </c>
      <c r="F42" s="1880"/>
      <c r="G42" s="1879">
        <v>0</v>
      </c>
      <c r="H42" s="1880"/>
    </row>
    <row r="43" spans="2:10" outlineLevel="1">
      <c r="B43" s="1886" t="s">
        <v>417</v>
      </c>
      <c r="C43" s="1879">
        <v>0</v>
      </c>
      <c r="D43" s="1880"/>
      <c r="E43" s="1879">
        <v>0</v>
      </c>
      <c r="F43" s="1880"/>
      <c r="G43" s="1879">
        <v>0</v>
      </c>
      <c r="H43" s="1880"/>
    </row>
    <row r="44" spans="2:10" outlineLevel="1">
      <c r="B44" s="1859" t="s">
        <v>418</v>
      </c>
      <c r="C44" s="1879">
        <v>0</v>
      </c>
      <c r="D44" s="1880"/>
      <c r="E44" s="1879">
        <v>0</v>
      </c>
      <c r="F44" s="1880"/>
      <c r="G44" s="1879">
        <v>0</v>
      </c>
      <c r="H44" s="1880"/>
    </row>
    <row r="45" spans="2:10">
      <c r="B45" s="1860" t="s">
        <v>394</v>
      </c>
      <c r="C45" s="1882">
        <f>SUM(C41:C44)</f>
        <v>144370.78197615681</v>
      </c>
      <c r="D45" s="1883">
        <f t="shared" si="2"/>
        <v>6.8429495895821063E-3</v>
      </c>
      <c r="E45" s="1882">
        <f>SUM(E41:E44)</f>
        <v>133187.53768844221</v>
      </c>
      <c r="F45" s="1883">
        <f t="shared" si="0"/>
        <v>7.080960854482338E-3</v>
      </c>
      <c r="G45" s="1882">
        <f>SUM(G41:G44)</f>
        <v>141271.21029352632</v>
      </c>
      <c r="H45" s="1883">
        <f t="shared" si="1"/>
        <v>9.1763571621248062E-3</v>
      </c>
    </row>
    <row r="46" spans="2:10">
      <c r="B46" s="1845" t="s">
        <v>419</v>
      </c>
      <c r="C46" s="1879">
        <v>0</v>
      </c>
      <c r="D46" s="1880"/>
      <c r="E46" s="1879">
        <v>0</v>
      </c>
      <c r="F46" s="1880"/>
      <c r="G46" s="1879">
        <v>0</v>
      </c>
      <c r="H46" s="1880"/>
    </row>
    <row r="47" spans="2:10">
      <c r="B47" s="1886" t="s">
        <v>420</v>
      </c>
      <c r="C47" s="1879">
        <v>6410442.7157001421</v>
      </c>
      <c r="D47" s="1880">
        <f t="shared" si="2"/>
        <v>0.30384497299241975</v>
      </c>
      <c r="E47" s="1879">
        <v>5777055.6783919604</v>
      </c>
      <c r="F47" s="1880">
        <f t="shared" si="0"/>
        <v>0.30713913495833195</v>
      </c>
      <c r="G47" s="1879">
        <v>5051499.1958182547</v>
      </c>
      <c r="H47" s="1880">
        <f t="shared" si="1"/>
        <v>0.32812319458934164</v>
      </c>
      <c r="I47" s="1895"/>
    </row>
    <row r="48" spans="2:10">
      <c r="B48" s="1853" t="s">
        <v>421</v>
      </c>
      <c r="C48" s="1879">
        <v>508999.7979389776</v>
      </c>
      <c r="D48" s="1880">
        <f t="shared" si="2"/>
        <v>2.4125795474177991E-2</v>
      </c>
      <c r="E48" s="1879">
        <v>3977135.2763819098</v>
      </c>
      <c r="F48" s="1880">
        <f t="shared" si="0"/>
        <v>0.21144575306226224</v>
      </c>
      <c r="G48" s="1879">
        <v>1379248.6932046642</v>
      </c>
      <c r="H48" s="1880">
        <f t="shared" si="1"/>
        <v>8.9589935542725901E-2</v>
      </c>
      <c r="I48" s="1895"/>
    </row>
    <row r="49" spans="2:13" outlineLevel="1">
      <c r="B49" s="1853" t="s">
        <v>422</v>
      </c>
      <c r="C49" s="1879">
        <v>0</v>
      </c>
      <c r="D49" s="1880"/>
      <c r="E49" s="1879">
        <v>0</v>
      </c>
      <c r="F49" s="1880"/>
      <c r="G49" s="1879">
        <v>0</v>
      </c>
      <c r="H49" s="1880"/>
    </row>
    <row r="50" spans="2:13">
      <c r="B50" s="1886" t="s">
        <v>423</v>
      </c>
      <c r="C50" s="1879">
        <v>982636.69428167306</v>
      </c>
      <c r="D50" s="1880">
        <f t="shared" si="2"/>
        <v>4.6575444641933153E-2</v>
      </c>
      <c r="E50" s="1879">
        <v>234281.60804020101</v>
      </c>
      <c r="F50" s="1880">
        <f t="shared" si="0"/>
        <v>1.2455661575022854E-2</v>
      </c>
      <c r="G50" s="1879">
        <v>322052.87494973862</v>
      </c>
      <c r="H50" s="1880">
        <f t="shared" si="1"/>
        <v>2.0919139855088666E-2</v>
      </c>
    </row>
    <row r="51" spans="2:13" outlineLevel="1">
      <c r="B51" s="1859" t="s">
        <v>424</v>
      </c>
      <c r="C51" s="1879">
        <v>0</v>
      </c>
      <c r="D51" s="1880"/>
      <c r="E51" s="1879">
        <v>0</v>
      </c>
      <c r="F51" s="1880"/>
      <c r="G51" s="1879">
        <v>0</v>
      </c>
      <c r="H51" s="1880"/>
    </row>
    <row r="52" spans="2:13" outlineLevel="1">
      <c r="B52" s="1859" t="s">
        <v>425</v>
      </c>
      <c r="C52" s="1879">
        <v>0</v>
      </c>
      <c r="D52" s="1880"/>
      <c r="E52" s="1879">
        <v>0</v>
      </c>
      <c r="F52" s="1880"/>
      <c r="G52" s="1879">
        <v>0</v>
      </c>
      <c r="H52" s="1880"/>
    </row>
    <row r="53" spans="2:13">
      <c r="B53" s="1860" t="s">
        <v>394</v>
      </c>
      <c r="C53" s="1882">
        <f>SUM(C47:C52)</f>
        <v>7902079.2079207925</v>
      </c>
      <c r="D53" s="1883">
        <f t="shared" si="2"/>
        <v>0.37454621310853092</v>
      </c>
      <c r="E53" s="1882">
        <f>SUM(E47:E52)</f>
        <v>9988472.5628140699</v>
      </c>
      <c r="F53" s="1883">
        <f t="shared" si="0"/>
        <v>0.53104054959561697</v>
      </c>
      <c r="G53" s="1882">
        <f>SUM(G47:G52)</f>
        <v>6752800.7639726568</v>
      </c>
      <c r="H53" s="1883">
        <f t="shared" si="1"/>
        <v>0.43863226998715615</v>
      </c>
    </row>
    <row r="54" spans="2:13">
      <c r="B54" s="1845" t="s">
        <v>426</v>
      </c>
      <c r="C54" s="1879">
        <v>0</v>
      </c>
      <c r="D54" s="1880"/>
      <c r="E54" s="1879">
        <v>0</v>
      </c>
      <c r="F54" s="1880"/>
      <c r="G54" s="1879">
        <v>0</v>
      </c>
      <c r="H54" s="1880"/>
    </row>
    <row r="55" spans="2:13" outlineLevel="1">
      <c r="B55" s="1853" t="s">
        <v>427</v>
      </c>
      <c r="C55" s="1879">
        <v>0</v>
      </c>
      <c r="D55" s="1880"/>
      <c r="E55" s="1879">
        <v>0</v>
      </c>
      <c r="F55" s="1880"/>
      <c r="G55" s="1879">
        <v>0</v>
      </c>
      <c r="H55" s="1880"/>
    </row>
    <row r="56" spans="2:13" outlineLevel="1">
      <c r="B56" s="1886" t="s">
        <v>428</v>
      </c>
      <c r="C56" s="1879">
        <v>0</v>
      </c>
      <c r="D56" s="1880"/>
      <c r="E56" s="1879">
        <v>0</v>
      </c>
      <c r="F56" s="1880"/>
      <c r="G56" s="1879">
        <v>0</v>
      </c>
      <c r="H56" s="1880"/>
    </row>
    <row r="57" spans="2:13">
      <c r="B57" s="1845" t="s">
        <v>394</v>
      </c>
      <c r="C57" s="1879">
        <v>0</v>
      </c>
      <c r="D57" s="1880"/>
      <c r="E57" s="1879">
        <v>0</v>
      </c>
      <c r="F57" s="1880"/>
      <c r="G57" s="1879">
        <v>0</v>
      </c>
      <c r="H57" s="1880"/>
    </row>
    <row r="58" spans="2:13">
      <c r="B58" s="1845" t="s">
        <v>429</v>
      </c>
      <c r="C58" s="1884">
        <v>3309318.044049303</v>
      </c>
      <c r="D58" s="1885">
        <f t="shared" si="2"/>
        <v>0.15685650684543495</v>
      </c>
      <c r="E58" s="1884">
        <v>1087263.7185929648</v>
      </c>
      <c r="F58" s="1885">
        <f t="shared" si="0"/>
        <v>5.7804746325930301E-2</v>
      </c>
      <c r="G58" s="1884">
        <v>1272354.3003618817</v>
      </c>
      <c r="H58" s="1885">
        <f t="shared" si="1"/>
        <v>8.2646545411673863E-2</v>
      </c>
      <c r="I58" s="1895"/>
    </row>
    <row r="59" spans="2:13">
      <c r="B59" s="1845"/>
      <c r="C59" s="1884"/>
      <c r="D59" s="1885"/>
      <c r="E59" s="1884"/>
      <c r="F59" s="1885"/>
      <c r="G59" s="1884"/>
      <c r="H59" s="1885"/>
    </row>
    <row r="60" spans="2:13">
      <c r="B60" s="1860" t="s">
        <v>430</v>
      </c>
      <c r="C60" s="1882">
        <f>SUM(C58,C53,C45)</f>
        <v>11355768.033946251</v>
      </c>
      <c r="D60" s="1883">
        <f t="shared" si="2"/>
        <v>0.53824566954354791</v>
      </c>
      <c r="E60" s="1882">
        <f>SUM(E58,E53,E45)</f>
        <v>11208923.819095476</v>
      </c>
      <c r="F60" s="1883">
        <f t="shared" si="0"/>
        <v>0.59592625677602951</v>
      </c>
      <c r="G60" s="1896">
        <v>9990197.2255729791</v>
      </c>
      <c r="H60" s="1883">
        <f t="shared" si="1"/>
        <v>0.64891932100992888</v>
      </c>
      <c r="I60" s="1897" t="s">
        <v>431</v>
      </c>
      <c r="J60" s="1898"/>
      <c r="K60" s="1898"/>
      <c r="L60" s="1895"/>
      <c r="M60" s="1895"/>
    </row>
    <row r="61" spans="2:13">
      <c r="B61" s="1845"/>
      <c r="C61" s="1884"/>
      <c r="D61" s="1885"/>
      <c r="E61" s="1884"/>
      <c r="F61" s="1885"/>
      <c r="G61" s="1884"/>
      <c r="H61" s="1885"/>
    </row>
    <row r="62" spans="2:13">
      <c r="B62" s="1860" t="s">
        <v>432</v>
      </c>
      <c r="C62" s="1882">
        <v>158509.59789856538</v>
      </c>
      <c r="D62" s="1883">
        <f t="shared" si="2"/>
        <v>7.5131073825169762E-3</v>
      </c>
      <c r="E62" s="1882">
        <v>173844.82412060304</v>
      </c>
      <c r="F62" s="1883">
        <f t="shared" si="0"/>
        <v>9.2425193506612893E-3</v>
      </c>
      <c r="G62" s="1882">
        <v>195168.87816646561</v>
      </c>
      <c r="H62" s="1883">
        <f t="shared" si="1"/>
        <v>1.2677312874049747E-2</v>
      </c>
    </row>
    <row r="63" spans="2:13" outlineLevel="1">
      <c r="B63" s="1853" t="s">
        <v>433</v>
      </c>
      <c r="C63" s="1879">
        <v>158509.59789856538</v>
      </c>
      <c r="D63" s="1880">
        <f t="shared" si="2"/>
        <v>7.5131073825169762E-3</v>
      </c>
      <c r="E63" s="1879">
        <v>173844.82412060304</v>
      </c>
      <c r="F63" s="1880">
        <f t="shared" si="0"/>
        <v>9.2425193506612893E-3</v>
      </c>
      <c r="G63" s="1879">
        <v>0</v>
      </c>
      <c r="H63" s="1880">
        <f t="shared" si="1"/>
        <v>0</v>
      </c>
    </row>
    <row r="64" spans="2:13" outlineLevel="1">
      <c r="B64" s="1853" t="s">
        <v>434</v>
      </c>
      <c r="C64" s="1879">
        <v>0</v>
      </c>
      <c r="D64" s="1880"/>
      <c r="E64" s="1879">
        <v>0</v>
      </c>
      <c r="F64" s="1880"/>
      <c r="G64" s="1879">
        <v>0</v>
      </c>
      <c r="H64" s="1880"/>
    </row>
    <row r="65" spans="2:10">
      <c r="B65" s="1853"/>
      <c r="C65" s="1879"/>
      <c r="D65" s="1880"/>
      <c r="E65" s="1879"/>
      <c r="F65" s="1880"/>
      <c r="G65" s="1879"/>
      <c r="H65" s="1880"/>
    </row>
    <row r="66" spans="2:10">
      <c r="B66" s="1887" t="s">
        <v>435</v>
      </c>
      <c r="C66" s="1888">
        <f>SUM(C62,C60,C37)</f>
        <v>21097741.563952312</v>
      </c>
      <c r="D66" s="1889">
        <v>1</v>
      </c>
      <c r="E66" s="1888">
        <f>SUM(E62,E60,E37)</f>
        <v>18809246.432160802</v>
      </c>
      <c r="F66" s="1889">
        <v>1</v>
      </c>
      <c r="G66" s="1888">
        <f>SUM(G62,G60,G37)</f>
        <v>15395129.875351828</v>
      </c>
      <c r="H66" s="1889">
        <v>1</v>
      </c>
      <c r="I66" s="1863"/>
    </row>
    <row r="67" spans="2:10">
      <c r="B67" s="1864" t="s">
        <v>316</v>
      </c>
      <c r="C67" s="1879"/>
      <c r="D67" s="1880"/>
      <c r="E67" s="1890">
        <f>E66/C66-1</f>
        <v>-0.10847109511008712</v>
      </c>
      <c r="F67" s="1880"/>
      <c r="G67" s="1890">
        <f>G66/E66-1</f>
        <v>-0.18151267086231493</v>
      </c>
      <c r="H67" s="1880"/>
    </row>
    <row r="68" spans="2:10">
      <c r="B68" s="1845" t="s">
        <v>436</v>
      </c>
      <c r="C68" s="1884">
        <v>0</v>
      </c>
      <c r="D68" s="1885"/>
      <c r="E68" s="1884">
        <v>0</v>
      </c>
      <c r="F68" s="1885"/>
      <c r="G68" s="1884">
        <v>0</v>
      </c>
      <c r="H68" s="1885"/>
    </row>
    <row r="69" spans="2:10" ht="22.5" outlineLevel="1">
      <c r="B69" s="1886" t="s">
        <v>437</v>
      </c>
      <c r="C69" s="1879">
        <v>0</v>
      </c>
      <c r="D69" s="1880"/>
      <c r="E69" s="1879">
        <v>0</v>
      </c>
      <c r="F69" s="1880"/>
      <c r="G69" s="1879">
        <v>0</v>
      </c>
      <c r="H69" s="1880"/>
    </row>
    <row r="70" spans="2:10">
      <c r="B70" s="1886" t="s">
        <v>438</v>
      </c>
      <c r="C70" s="1879">
        <v>3183827.8440088909</v>
      </c>
      <c r="D70" s="1880">
        <f>$C70/$C$143</f>
        <v>0.15090846879750777</v>
      </c>
      <c r="E70" s="1879">
        <v>3054053.4673366835</v>
      </c>
      <c r="F70" s="1880">
        <f>$E70/$E$143</f>
        <v>0.16236979220377465</v>
      </c>
      <c r="G70" s="1879">
        <v>3063751.708886208</v>
      </c>
      <c r="H70" s="1880">
        <f>$G70/$G$143</f>
        <v>0.19900785077437946</v>
      </c>
    </row>
    <row r="71" spans="2:10" outlineLevel="1">
      <c r="B71" s="1886" t="s">
        <v>439</v>
      </c>
      <c r="C71" s="1879">
        <v>11448.979591836734</v>
      </c>
      <c r="D71" s="1880">
        <f t="shared" ref="D71:D134" si="3">$C71/$C$143</f>
        <v>5.4266375700845601E-4</v>
      </c>
      <c r="E71" s="1879">
        <v>12302.914572864322</v>
      </c>
      <c r="F71" s="1880">
        <f t="shared" ref="F71:F134" si="4">$E71/$E$143</f>
        <v>6.5408864123090024E-4</v>
      </c>
      <c r="G71" s="1879">
        <v>9797.5472456775224</v>
      </c>
      <c r="H71" s="1880">
        <f t="shared" ref="H71:H134" si="5">$G71/$G$143</f>
        <v>6.3640562470107878E-4</v>
      </c>
    </row>
    <row r="72" spans="2:10">
      <c r="B72" s="1859" t="s">
        <v>440</v>
      </c>
      <c r="C72" s="1879">
        <v>3341737.7247928875</v>
      </c>
      <c r="D72" s="1880">
        <f t="shared" si="3"/>
        <v>0.15839315059710679</v>
      </c>
      <c r="E72" s="1879">
        <v>3288470.5527638192</v>
      </c>
      <c r="F72" s="1880">
        <f t="shared" si="4"/>
        <v>0.17483265634708353</v>
      </c>
      <c r="G72" s="1879">
        <v>2804518.8982710093</v>
      </c>
      <c r="H72" s="1880">
        <f t="shared" si="5"/>
        <v>0.18216922630585583</v>
      </c>
    </row>
    <row r="73" spans="2:10" outlineLevel="1">
      <c r="B73" s="1859" t="s">
        <v>441</v>
      </c>
      <c r="C73" s="1879">
        <v>0</v>
      </c>
      <c r="D73" s="1880">
        <f t="shared" si="3"/>
        <v>0</v>
      </c>
      <c r="E73" s="1879">
        <v>0</v>
      </c>
      <c r="F73" s="1880">
        <f t="shared" si="4"/>
        <v>0</v>
      </c>
      <c r="G73" s="1879">
        <v>0</v>
      </c>
      <c r="H73" s="1880"/>
    </row>
    <row r="74" spans="2:10" outlineLevel="1">
      <c r="B74" s="1886" t="s">
        <v>442</v>
      </c>
      <c r="C74" s="1879">
        <v>0</v>
      </c>
      <c r="D74" s="1880">
        <f t="shared" si="3"/>
        <v>0</v>
      </c>
      <c r="E74" s="1879">
        <v>0</v>
      </c>
      <c r="F74" s="1880">
        <f t="shared" si="4"/>
        <v>0</v>
      </c>
      <c r="G74" s="1879">
        <v>0</v>
      </c>
      <c r="H74" s="1880"/>
    </row>
    <row r="75" spans="2:10" outlineLevel="1">
      <c r="B75" s="1886" t="s">
        <v>443</v>
      </c>
      <c r="C75" s="1879">
        <v>899709.03212770261</v>
      </c>
      <c r="D75" s="1880">
        <f t="shared" si="3"/>
        <v>4.2644803379419206E-2</v>
      </c>
      <c r="E75" s="1879">
        <v>0</v>
      </c>
      <c r="F75" s="1880">
        <f t="shared" si="4"/>
        <v>0</v>
      </c>
      <c r="G75" s="1879">
        <v>0</v>
      </c>
      <c r="H75" s="1880"/>
    </row>
    <row r="76" spans="2:10">
      <c r="B76" s="1886" t="s">
        <v>444</v>
      </c>
      <c r="C76" s="1879">
        <v>868891.08910891088</v>
      </c>
      <c r="D76" s="1880">
        <f t="shared" si="3"/>
        <v>4.1184080997332485E-2</v>
      </c>
      <c r="E76" s="1879">
        <v>890634.77386934683</v>
      </c>
      <c r="F76" s="1880">
        <f t="shared" si="4"/>
        <v>4.7350900928637668E-2</v>
      </c>
      <c r="G76" s="1879">
        <v>849510.45436268591</v>
      </c>
      <c r="H76" s="1880">
        <f t="shared" si="5"/>
        <v>5.5180466890557611E-2</v>
      </c>
    </row>
    <row r="77" spans="2:10" s="1892" customFormat="1" ht="15">
      <c r="B77" s="1860" t="s">
        <v>394</v>
      </c>
      <c r="C77" s="1882">
        <f>SUM(C69:C76)</f>
        <v>8305614.6696302276</v>
      </c>
      <c r="D77" s="1883">
        <f t="shared" si="3"/>
        <v>0.39367316752837467</v>
      </c>
      <c r="E77" s="1882">
        <f>SUM(E69:E76)</f>
        <v>7245461.7085427139</v>
      </c>
      <c r="F77" s="1883">
        <f t="shared" si="4"/>
        <v>0.38520743812072672</v>
      </c>
      <c r="G77" s="1882">
        <f>SUM(G69:G76)</f>
        <v>6727578.6087655807</v>
      </c>
      <c r="H77" s="1883">
        <f t="shared" si="5"/>
        <v>0.43699394959549398</v>
      </c>
      <c r="I77" s="1891"/>
    </row>
    <row r="78" spans="2:10" s="1892" customFormat="1" ht="15">
      <c r="B78" s="1845"/>
      <c r="C78" s="1884"/>
      <c r="D78" s="1885"/>
      <c r="E78" s="1884"/>
      <c r="F78" s="1885"/>
      <c r="G78" s="1884"/>
      <c r="H78" s="1885"/>
    </row>
    <row r="79" spans="2:10" ht="22.5" outlineLevel="1">
      <c r="B79" s="1845" t="s">
        <v>445</v>
      </c>
      <c r="C79" s="1884">
        <v>3208662.9622145891</v>
      </c>
      <c r="D79" s="1885">
        <f t="shared" si="3"/>
        <v>0.15208561462462258</v>
      </c>
      <c r="E79" s="1884">
        <v>4137306.9346733671</v>
      </c>
      <c r="F79" s="1885">
        <f t="shared" si="4"/>
        <v>0.21996133153882769</v>
      </c>
      <c r="G79" s="1884">
        <v>3457787.4949738639</v>
      </c>
      <c r="H79" s="1885">
        <f t="shared" si="5"/>
        <v>0.22460268428848459</v>
      </c>
      <c r="J79" s="1863"/>
    </row>
    <row r="80" spans="2:10">
      <c r="B80" s="1845"/>
      <c r="C80" s="1884"/>
      <c r="D80" s="1885"/>
      <c r="E80" s="1884"/>
      <c r="F80" s="1885"/>
      <c r="G80" s="1884"/>
      <c r="H80" s="1885"/>
    </row>
    <row r="81" spans="2:9" ht="22.5" outlineLevel="1">
      <c r="B81" s="1845" t="s">
        <v>446</v>
      </c>
      <c r="C81" s="1884">
        <v>12792126.894322086</v>
      </c>
      <c r="D81" s="1885">
        <f t="shared" si="3"/>
        <v>0.6063268420489929</v>
      </c>
      <c r="E81" s="1884">
        <v>11563784.723618092</v>
      </c>
      <c r="F81" s="1885">
        <f t="shared" si="4"/>
        <v>0.61479255119277276</v>
      </c>
      <c r="G81" s="1884">
        <v>8667551.2665862478</v>
      </c>
      <c r="H81" s="1885">
        <f t="shared" si="5"/>
        <v>0.56300605040450602</v>
      </c>
    </row>
    <row r="82" spans="2:9">
      <c r="B82" s="1845"/>
      <c r="C82" s="1884"/>
      <c r="D82" s="1885"/>
      <c r="E82" s="1884"/>
      <c r="F82" s="1885"/>
      <c r="G82" s="1884"/>
      <c r="H82" s="1885"/>
    </row>
    <row r="83" spans="2:9">
      <c r="B83" s="1845" t="s">
        <v>447</v>
      </c>
      <c r="C83" s="1884">
        <v>0</v>
      </c>
      <c r="D83" s="1885"/>
      <c r="E83" s="1884">
        <v>0</v>
      </c>
      <c r="F83" s="1885"/>
      <c r="G83" s="1884">
        <v>0</v>
      </c>
      <c r="H83" s="1885"/>
    </row>
    <row r="84" spans="2:9" ht="22.5" outlineLevel="1">
      <c r="B84" s="1886" t="s">
        <v>437</v>
      </c>
      <c r="C84" s="1879">
        <v>0</v>
      </c>
      <c r="D84" s="1880"/>
      <c r="E84" s="1879">
        <v>0</v>
      </c>
      <c r="F84" s="1880"/>
      <c r="G84" s="1879">
        <v>0</v>
      </c>
      <c r="H84" s="1880"/>
    </row>
    <row r="85" spans="2:9">
      <c r="B85" s="1886" t="s">
        <v>438</v>
      </c>
      <c r="C85" s="1879">
        <v>10841984.643362295</v>
      </c>
      <c r="D85" s="1880">
        <f t="shared" si="3"/>
        <v>0.51389314417068344</v>
      </c>
      <c r="E85" s="1879">
        <v>8609126.6331658289</v>
      </c>
      <c r="F85" s="1880">
        <f t="shared" si="4"/>
        <v>0.45770714803566837</v>
      </c>
      <c r="G85" s="1879">
        <v>5545072.577402493</v>
      </c>
      <c r="H85" s="1880">
        <f t="shared" si="5"/>
        <v>0.36018355300011845</v>
      </c>
      <c r="I85" s="1895"/>
    </row>
    <row r="86" spans="2:9" outlineLevel="1">
      <c r="B86" s="1886" t="s">
        <v>439</v>
      </c>
      <c r="C86" s="1879">
        <v>0</v>
      </c>
      <c r="D86" s="1880"/>
      <c r="E86" s="1879">
        <v>0</v>
      </c>
      <c r="F86" s="1880"/>
      <c r="G86" s="1879">
        <v>0</v>
      </c>
      <c r="H86" s="1880"/>
    </row>
    <row r="87" spans="2:9" outlineLevel="1">
      <c r="B87" s="1859" t="s">
        <v>440</v>
      </c>
      <c r="C87" s="1879">
        <v>0</v>
      </c>
      <c r="D87" s="1880"/>
      <c r="E87" s="1879">
        <v>0</v>
      </c>
      <c r="F87" s="1880"/>
      <c r="G87" s="1879">
        <v>0</v>
      </c>
      <c r="H87" s="1880"/>
    </row>
    <row r="88" spans="2:9" outlineLevel="1">
      <c r="B88" s="1859" t="s">
        <v>441</v>
      </c>
      <c r="C88" s="1879">
        <v>0</v>
      </c>
      <c r="D88" s="1880"/>
      <c r="E88" s="1879">
        <v>0</v>
      </c>
      <c r="F88" s="1880"/>
      <c r="G88" s="1879">
        <v>0</v>
      </c>
      <c r="H88" s="1880"/>
    </row>
    <row r="89" spans="2:9" outlineLevel="1">
      <c r="B89" s="1886" t="s">
        <v>442</v>
      </c>
      <c r="C89" s="1879">
        <v>0</v>
      </c>
      <c r="D89" s="1880"/>
      <c r="E89" s="1879">
        <v>0</v>
      </c>
      <c r="F89" s="1880"/>
      <c r="G89" s="1879">
        <v>0</v>
      </c>
      <c r="H89" s="1880"/>
    </row>
    <row r="90" spans="2:9" ht="19.5" customHeight="1" outlineLevel="1">
      <c r="B90" s="1886" t="s">
        <v>443</v>
      </c>
      <c r="C90" s="1879">
        <v>0</v>
      </c>
      <c r="D90" s="1880"/>
      <c r="E90" s="1879">
        <v>0</v>
      </c>
      <c r="F90" s="1880"/>
      <c r="G90" s="1879">
        <v>0</v>
      </c>
      <c r="H90" s="1880"/>
    </row>
    <row r="91" spans="2:9">
      <c r="B91" s="1886" t="s">
        <v>444</v>
      </c>
      <c r="C91" s="1879">
        <v>342841.78621943831</v>
      </c>
      <c r="D91" s="1880">
        <f t="shared" si="3"/>
        <v>1.6250165377356834E-2</v>
      </c>
      <c r="E91" s="1879">
        <v>403857.48743718595</v>
      </c>
      <c r="F91" s="1880">
        <f t="shared" si="4"/>
        <v>2.1471220794408379E-2</v>
      </c>
      <c r="G91" s="1879">
        <v>211459.79091274628</v>
      </c>
      <c r="H91" s="1880">
        <f t="shared" si="5"/>
        <v>1.3735498993827989E-2</v>
      </c>
    </row>
    <row r="92" spans="2:9">
      <c r="B92" s="1860" t="s">
        <v>394</v>
      </c>
      <c r="C92" s="1882">
        <f>SUM(C84:C91)</f>
        <v>11184826.429581733</v>
      </c>
      <c r="D92" s="1883">
        <f t="shared" si="3"/>
        <v>0.53014330954804034</v>
      </c>
      <c r="E92" s="1882">
        <f>SUM(E84:E91)</f>
        <v>9012984.1206030156</v>
      </c>
      <c r="F92" s="1883">
        <f t="shared" si="4"/>
        <v>0.47917836883007681</v>
      </c>
      <c r="G92" s="1882">
        <f>SUM(G84:G91)</f>
        <v>5756532.3683152394</v>
      </c>
      <c r="H92" s="1883">
        <f t="shared" si="5"/>
        <v>0.37391905199394648</v>
      </c>
    </row>
    <row r="93" spans="2:9">
      <c r="B93" s="1845"/>
      <c r="C93" s="1879"/>
      <c r="D93" s="1880"/>
      <c r="E93" s="1879"/>
      <c r="F93" s="1880"/>
      <c r="G93" s="1879"/>
      <c r="H93" s="1880"/>
    </row>
    <row r="94" spans="2:9">
      <c r="B94" s="1845" t="s">
        <v>448</v>
      </c>
      <c r="C94" s="1879">
        <v>0</v>
      </c>
      <c r="D94" s="1880"/>
      <c r="E94" s="1879">
        <v>0</v>
      </c>
      <c r="F94" s="1880"/>
      <c r="G94" s="1879">
        <v>0</v>
      </c>
      <c r="H94" s="1880"/>
    </row>
    <row r="95" spans="2:9" outlineLevel="1">
      <c r="B95" s="1859" t="s">
        <v>449</v>
      </c>
      <c r="C95" s="1879">
        <v>0</v>
      </c>
      <c r="D95" s="1880"/>
      <c r="E95" s="1879">
        <v>0</v>
      </c>
      <c r="F95" s="1880"/>
      <c r="G95" s="1879">
        <v>0</v>
      </c>
      <c r="H95" s="1880"/>
    </row>
    <row r="96" spans="2:9" outlineLevel="1">
      <c r="B96" s="1859" t="s">
        <v>450</v>
      </c>
      <c r="C96" s="1879">
        <v>0</v>
      </c>
      <c r="D96" s="1880"/>
      <c r="E96" s="1879">
        <v>0</v>
      </c>
      <c r="F96" s="1880"/>
      <c r="G96" s="1879">
        <v>0</v>
      </c>
      <c r="H96" s="1880"/>
    </row>
    <row r="97" spans="2:8" outlineLevel="1">
      <c r="B97" s="1859" t="s">
        <v>451</v>
      </c>
      <c r="C97" s="1879">
        <v>0</v>
      </c>
      <c r="D97" s="1880"/>
      <c r="E97" s="1879">
        <v>0</v>
      </c>
      <c r="F97" s="1880"/>
      <c r="G97" s="1879">
        <v>0</v>
      </c>
      <c r="H97" s="1880"/>
    </row>
    <row r="98" spans="2:8">
      <c r="B98" s="1860" t="s">
        <v>452</v>
      </c>
      <c r="C98" s="1882">
        <v>0</v>
      </c>
      <c r="D98" s="1883"/>
      <c r="E98" s="1882">
        <v>0</v>
      </c>
      <c r="F98" s="1883"/>
      <c r="G98" s="1882">
        <v>0</v>
      </c>
      <c r="H98" s="1883"/>
    </row>
    <row r="99" spans="2:8">
      <c r="B99" s="1845" t="s">
        <v>453</v>
      </c>
      <c r="C99" s="1884">
        <v>0</v>
      </c>
      <c r="D99" s="1885"/>
      <c r="E99" s="1884">
        <v>0</v>
      </c>
      <c r="F99" s="1885"/>
      <c r="G99" s="1884">
        <v>0</v>
      </c>
      <c r="H99" s="1885"/>
    </row>
    <row r="100" spans="2:8" outlineLevel="1">
      <c r="B100" s="1853" t="s">
        <v>454</v>
      </c>
      <c r="C100" s="1879">
        <v>0</v>
      </c>
      <c r="D100" s="1880"/>
      <c r="E100" s="1879">
        <v>0</v>
      </c>
      <c r="F100" s="1880"/>
      <c r="G100" s="1879">
        <v>0</v>
      </c>
      <c r="H100" s="1880"/>
    </row>
    <row r="101" spans="2:8" outlineLevel="1">
      <c r="B101" s="1859" t="s">
        <v>455</v>
      </c>
      <c r="C101" s="1879">
        <v>0</v>
      </c>
      <c r="D101" s="1880"/>
      <c r="E101" s="1879">
        <v>0</v>
      </c>
      <c r="F101" s="1880"/>
      <c r="G101" s="1879">
        <v>0</v>
      </c>
      <c r="H101" s="1880"/>
    </row>
    <row r="102" spans="2:8" outlineLevel="1">
      <c r="B102" s="1859" t="s">
        <v>456</v>
      </c>
      <c r="C102" s="1879">
        <v>0</v>
      </c>
      <c r="D102" s="1880"/>
      <c r="E102" s="1879">
        <v>0</v>
      </c>
      <c r="F102" s="1880"/>
      <c r="G102" s="1879">
        <v>0</v>
      </c>
      <c r="H102" s="1880"/>
    </row>
    <row r="103" spans="2:8" outlineLevel="1">
      <c r="B103" s="1853" t="s">
        <v>457</v>
      </c>
      <c r="C103" s="1879">
        <v>0</v>
      </c>
      <c r="D103" s="1880"/>
      <c r="E103" s="1879">
        <v>0</v>
      </c>
      <c r="F103" s="1880"/>
      <c r="G103" s="1879">
        <v>0</v>
      </c>
      <c r="H103" s="1880"/>
    </row>
    <row r="104" spans="2:8" outlineLevel="1">
      <c r="B104" s="1859" t="s">
        <v>455</v>
      </c>
      <c r="C104" s="1879">
        <v>0</v>
      </c>
      <c r="D104" s="1880"/>
      <c r="E104" s="1879">
        <v>0</v>
      </c>
      <c r="F104" s="1880"/>
      <c r="G104" s="1879">
        <v>0</v>
      </c>
      <c r="H104" s="1880"/>
    </row>
    <row r="105" spans="2:8" outlineLevel="1">
      <c r="B105" s="1859" t="s">
        <v>456</v>
      </c>
      <c r="C105" s="1879">
        <v>0</v>
      </c>
      <c r="D105" s="1880"/>
      <c r="E105" s="1879">
        <v>0</v>
      </c>
      <c r="F105" s="1880"/>
      <c r="G105" s="1879">
        <v>0</v>
      </c>
      <c r="H105" s="1880"/>
    </row>
    <row r="106" spans="2:8" outlineLevel="1">
      <c r="B106" s="1853" t="s">
        <v>458</v>
      </c>
      <c r="C106" s="1879">
        <v>0</v>
      </c>
      <c r="D106" s="1880"/>
      <c r="E106" s="1879">
        <v>0</v>
      </c>
      <c r="F106" s="1880"/>
      <c r="G106" s="1879">
        <v>0</v>
      </c>
      <c r="H106" s="1880"/>
    </row>
    <row r="107" spans="2:8" outlineLevel="1">
      <c r="B107" s="1859" t="s">
        <v>455</v>
      </c>
      <c r="C107" s="1879">
        <v>0</v>
      </c>
      <c r="D107" s="1880"/>
      <c r="E107" s="1879">
        <v>0</v>
      </c>
      <c r="F107" s="1880"/>
      <c r="G107" s="1879">
        <v>0</v>
      </c>
      <c r="H107" s="1880"/>
    </row>
    <row r="108" spans="2:8" outlineLevel="1">
      <c r="B108" s="1859" t="s">
        <v>456</v>
      </c>
      <c r="C108" s="1879">
        <v>0</v>
      </c>
      <c r="D108" s="1880"/>
      <c r="E108" s="1879">
        <v>0</v>
      </c>
      <c r="F108" s="1880"/>
      <c r="G108" s="1879">
        <v>0</v>
      </c>
      <c r="H108" s="1880"/>
    </row>
    <row r="109" spans="2:8" outlineLevel="1">
      <c r="B109" s="1859" t="s">
        <v>459</v>
      </c>
      <c r="C109" s="1879">
        <v>0</v>
      </c>
      <c r="D109" s="1880"/>
      <c r="E109" s="1879">
        <v>0</v>
      </c>
      <c r="F109" s="1880"/>
      <c r="G109" s="1879">
        <v>0</v>
      </c>
      <c r="H109" s="1880"/>
    </row>
    <row r="110" spans="2:8">
      <c r="B110" s="1860" t="s">
        <v>394</v>
      </c>
      <c r="C110" s="1882">
        <v>0</v>
      </c>
      <c r="D110" s="1883"/>
      <c r="E110" s="1882">
        <v>0</v>
      </c>
      <c r="F110" s="1883"/>
      <c r="G110" s="1882">
        <v>0</v>
      </c>
      <c r="H110" s="1883"/>
    </row>
    <row r="111" spans="2:8">
      <c r="B111" s="1845" t="s">
        <v>460</v>
      </c>
      <c r="C111" s="1884">
        <v>0</v>
      </c>
      <c r="D111" s="1885"/>
      <c r="E111" s="1884">
        <v>0</v>
      </c>
      <c r="F111" s="1885"/>
      <c r="G111" s="1884">
        <v>0</v>
      </c>
      <c r="H111" s="1885"/>
    </row>
    <row r="112" spans="2:8">
      <c r="B112" s="1853" t="s">
        <v>461</v>
      </c>
      <c r="C112" s="1879">
        <v>2020.610224287735</v>
      </c>
      <c r="D112" s="1880">
        <f t="shared" si="3"/>
        <v>9.5773769790235969E-5</v>
      </c>
      <c r="E112" s="1879">
        <v>2010.0502512562816</v>
      </c>
      <c r="F112" s="1880">
        <f t="shared" si="4"/>
        <v>1.0686500583771468E-4</v>
      </c>
      <c r="G112" s="1879">
        <v>2010.454362685967</v>
      </c>
      <c r="H112" s="1880">
        <f t="shared" si="5"/>
        <v>1.3059028270393343E-4</v>
      </c>
    </row>
    <row r="113" spans="2:9" outlineLevel="1">
      <c r="B113" s="1853" t="s">
        <v>462</v>
      </c>
      <c r="C113" s="1879">
        <v>0</v>
      </c>
      <c r="D113" s="1880"/>
      <c r="E113" s="1879">
        <v>0</v>
      </c>
      <c r="F113" s="1880"/>
      <c r="G113" s="1879">
        <v>0</v>
      </c>
      <c r="H113" s="1880"/>
    </row>
    <row r="114" spans="2:9" outlineLevel="1">
      <c r="B114" s="1853" t="s">
        <v>463</v>
      </c>
      <c r="C114" s="1879">
        <v>0</v>
      </c>
      <c r="D114" s="1880"/>
      <c r="E114" s="1879">
        <v>0</v>
      </c>
      <c r="F114" s="1880"/>
      <c r="G114" s="1879">
        <v>0</v>
      </c>
      <c r="H114" s="1880"/>
    </row>
    <row r="115" spans="2:9" outlineLevel="1">
      <c r="B115" s="1853" t="s">
        <v>464</v>
      </c>
      <c r="C115" s="1879">
        <v>0</v>
      </c>
      <c r="D115" s="1880"/>
      <c r="E115" s="1879">
        <v>0</v>
      </c>
      <c r="F115" s="1880"/>
      <c r="G115" s="1879">
        <v>0</v>
      </c>
      <c r="H115" s="1880"/>
    </row>
    <row r="116" spans="2:9" outlineLevel="1">
      <c r="B116" s="1853" t="s">
        <v>465</v>
      </c>
      <c r="C116" s="1879">
        <v>0</v>
      </c>
      <c r="D116" s="1880"/>
      <c r="E116" s="1879">
        <v>0</v>
      </c>
      <c r="F116" s="1880"/>
      <c r="G116" s="1879">
        <v>0</v>
      </c>
      <c r="H116" s="1880"/>
    </row>
    <row r="117" spans="2:9">
      <c r="B117" s="1860" t="s">
        <v>394</v>
      </c>
      <c r="C117" s="1882">
        <f>SUM(C112:C116)</f>
        <v>2020.610224287735</v>
      </c>
      <c r="D117" s="1883">
        <f t="shared" si="3"/>
        <v>9.5773769790235969E-5</v>
      </c>
      <c r="E117" s="1882">
        <f>SUM(E112:E116)</f>
        <v>2010.0502512562816</v>
      </c>
      <c r="F117" s="1883">
        <f t="shared" si="4"/>
        <v>1.0686500583771468E-4</v>
      </c>
      <c r="G117" s="1882">
        <f>SUM(G112:G116)</f>
        <v>2010.454362685967</v>
      </c>
      <c r="H117" s="1883">
        <f t="shared" si="5"/>
        <v>1.3059028270393343E-4</v>
      </c>
    </row>
    <row r="118" spans="2:9">
      <c r="B118" s="1845"/>
      <c r="C118" s="1879"/>
      <c r="D118" s="1880"/>
      <c r="E118" s="1879"/>
      <c r="F118" s="1880"/>
      <c r="G118" s="1879"/>
      <c r="H118" s="1880"/>
    </row>
    <row r="119" spans="2:9">
      <c r="B119" s="1845" t="s">
        <v>466</v>
      </c>
      <c r="C119" s="1879">
        <v>0</v>
      </c>
      <c r="D119" s="1880"/>
      <c r="E119" s="1879">
        <v>0</v>
      </c>
      <c r="F119" s="1880"/>
      <c r="G119" s="1879">
        <v>0</v>
      </c>
      <c r="H119" s="1880"/>
    </row>
    <row r="120" spans="2:9">
      <c r="B120" s="1845" t="s">
        <v>467</v>
      </c>
      <c r="C120" s="1879">
        <v>15232.572236815518</v>
      </c>
      <c r="D120" s="1880">
        <f t="shared" si="3"/>
        <v>7.2200014094067286E-4</v>
      </c>
      <c r="E120" s="1879">
        <v>15152.964824120603</v>
      </c>
      <c r="F120" s="1880">
        <f t="shared" si="4"/>
        <v>8.0561253300819589E-4</v>
      </c>
      <c r="G120" s="1879">
        <v>15156.011258544431</v>
      </c>
      <c r="H120" s="1880">
        <f t="shared" si="5"/>
        <v>9.8446790519187257E-4</v>
      </c>
    </row>
    <row r="121" spans="2:9">
      <c r="B121" s="1845" t="s">
        <v>468</v>
      </c>
      <c r="C121" s="1879"/>
      <c r="D121" s="1880"/>
      <c r="E121" s="1879"/>
      <c r="F121" s="1880"/>
      <c r="G121" s="1879"/>
      <c r="H121" s="1880"/>
    </row>
    <row r="122" spans="2:9" outlineLevel="1">
      <c r="B122" s="1859" t="s">
        <v>469</v>
      </c>
      <c r="C122" s="1879">
        <v>404.122044857547</v>
      </c>
      <c r="D122" s="1880">
        <f t="shared" si="3"/>
        <v>1.9154753958047192E-5</v>
      </c>
      <c r="E122" s="1879">
        <v>402.0100502512563</v>
      </c>
      <c r="F122" s="1880">
        <f t="shared" si="4"/>
        <v>2.1373001167542937E-5</v>
      </c>
      <c r="G122" s="1879">
        <v>402.09087253719338</v>
      </c>
      <c r="H122" s="1880">
        <f t="shared" si="5"/>
        <v>2.6118056540786687E-5</v>
      </c>
    </row>
    <row r="123" spans="2:9" outlineLevel="1">
      <c r="B123" s="1859" t="s">
        <v>470</v>
      </c>
      <c r="C123" s="1879">
        <v>0</v>
      </c>
      <c r="D123" s="1880"/>
      <c r="E123" s="1879">
        <v>0</v>
      </c>
      <c r="F123" s="1880"/>
      <c r="G123" s="1879">
        <v>0</v>
      </c>
      <c r="H123" s="1880"/>
    </row>
    <row r="124" spans="2:9" outlineLevel="1">
      <c r="B124" s="1859" t="s">
        <v>471</v>
      </c>
      <c r="C124" s="1879">
        <v>24014.548393614874</v>
      </c>
      <c r="D124" s="1880">
        <f t="shared" si="3"/>
        <v>1.1382520992029965E-3</v>
      </c>
      <c r="E124" s="1879">
        <v>23889.045226130656</v>
      </c>
      <c r="F124" s="1880">
        <f t="shared" si="4"/>
        <v>1.2700692213800716E-3</v>
      </c>
      <c r="G124" s="1879">
        <v>23893.848009650181</v>
      </c>
      <c r="H124" s="1880">
        <f t="shared" si="5"/>
        <v>1.5520393918797082E-3</v>
      </c>
    </row>
    <row r="125" spans="2:9">
      <c r="B125" s="1860" t="s">
        <v>394</v>
      </c>
      <c r="C125" s="1882">
        <f>SUM(C122:C124)</f>
        <v>24418.670438472422</v>
      </c>
      <c r="D125" s="1883">
        <f t="shared" si="3"/>
        <v>1.1574068531610437E-3</v>
      </c>
      <c r="E125" s="1882">
        <f>SUM(E122:E124)</f>
        <v>24291.055276381914</v>
      </c>
      <c r="F125" s="1883">
        <f t="shared" si="4"/>
        <v>1.2914422225476145E-3</v>
      </c>
      <c r="G125" s="1882">
        <f>SUM(G122:G124)</f>
        <v>24295.938882187373</v>
      </c>
      <c r="H125" s="1883">
        <f t="shared" si="5"/>
        <v>1.5781574484204947E-3</v>
      </c>
      <c r="I125" s="1863"/>
    </row>
    <row r="126" spans="2:9">
      <c r="B126" s="1845"/>
      <c r="C126" s="1879"/>
      <c r="D126" s="1880"/>
      <c r="E126" s="1879"/>
      <c r="F126" s="1880"/>
      <c r="G126" s="1879"/>
      <c r="H126" s="1880"/>
    </row>
    <row r="127" spans="2:9">
      <c r="B127" s="1859" t="s">
        <v>472</v>
      </c>
      <c r="C127" s="1879">
        <v>0</v>
      </c>
      <c r="D127" s="1880"/>
      <c r="E127" s="1879">
        <v>0</v>
      </c>
      <c r="F127" s="1880"/>
      <c r="G127" s="1879">
        <v>0</v>
      </c>
      <c r="H127" s="1880"/>
    </row>
    <row r="128" spans="2:9">
      <c r="B128" s="1859" t="s">
        <v>473</v>
      </c>
      <c r="C128" s="1879">
        <v>0</v>
      </c>
      <c r="D128" s="1880"/>
      <c r="E128" s="1879">
        <v>0</v>
      </c>
      <c r="F128" s="1880"/>
      <c r="G128" s="1879">
        <v>0</v>
      </c>
      <c r="H128" s="1880"/>
    </row>
    <row r="129" spans="2:9">
      <c r="B129" s="1859" t="s">
        <v>474</v>
      </c>
      <c r="C129" s="1879">
        <v>409508.78965447564</v>
      </c>
      <c r="D129" s="1880">
        <f t="shared" si="3"/>
        <v>1.9410077250930982E-2</v>
      </c>
      <c r="E129" s="1879">
        <v>0</v>
      </c>
      <c r="F129" s="1880"/>
      <c r="G129" s="1879">
        <v>0</v>
      </c>
      <c r="H129" s="1880"/>
    </row>
    <row r="130" spans="2:9">
      <c r="B130" s="1893" t="s">
        <v>475</v>
      </c>
      <c r="C130" s="1879">
        <v>0</v>
      </c>
      <c r="D130" s="1880"/>
      <c r="E130" s="1879">
        <v>0</v>
      </c>
      <c r="F130" s="1880"/>
      <c r="G130" s="1879">
        <v>0</v>
      </c>
      <c r="H130" s="1880"/>
    </row>
    <row r="131" spans="2:9">
      <c r="B131" s="1845" t="s">
        <v>476</v>
      </c>
      <c r="C131" s="1879">
        <v>0</v>
      </c>
      <c r="D131" s="1880"/>
      <c r="E131" s="1879">
        <v>1218147.3366834172</v>
      </c>
      <c r="F131" s="1880">
        <f t="shared" si="4"/>
        <v>6.4763217817320307E-2</v>
      </c>
      <c r="G131" s="1879">
        <v>2509851.2263771612</v>
      </c>
      <c r="H131" s="1880">
        <f t="shared" si="5"/>
        <v>0.1630289089275905</v>
      </c>
    </row>
    <row r="132" spans="2:9" outlineLevel="1">
      <c r="B132" s="1845" t="s">
        <v>477</v>
      </c>
      <c r="C132" s="1879">
        <v>0</v>
      </c>
      <c r="D132" s="1880"/>
      <c r="E132" s="1879">
        <v>0</v>
      </c>
      <c r="F132" s="1880"/>
      <c r="G132" s="1879">
        <v>0</v>
      </c>
      <c r="H132" s="1880"/>
    </row>
    <row r="133" spans="2:9">
      <c r="B133" s="1845" t="s">
        <v>478</v>
      </c>
      <c r="C133" s="1879">
        <v>0</v>
      </c>
      <c r="D133" s="1880"/>
      <c r="E133" s="1879">
        <v>0</v>
      </c>
      <c r="F133" s="1880"/>
      <c r="G133" s="1879">
        <v>0</v>
      </c>
      <c r="H133" s="1880"/>
    </row>
    <row r="134" spans="2:9">
      <c r="B134" s="1845" t="s">
        <v>476</v>
      </c>
      <c r="C134" s="1879">
        <v>1975137.1994344301</v>
      </c>
      <c r="D134" s="1880">
        <f t="shared" si="3"/>
        <v>9.361841941062414E-2</v>
      </c>
      <c r="E134" s="1879">
        <v>1291199.3969849248</v>
      </c>
      <c r="F134" s="1880">
        <f t="shared" si="4"/>
        <v>6.8647055470482707E-2</v>
      </c>
      <c r="G134" s="1879">
        <v>359705.26739043021</v>
      </c>
      <c r="H134" s="1880">
        <f t="shared" si="5"/>
        <v>2.3364873846652739E-2</v>
      </c>
    </row>
    <row r="135" spans="2:9">
      <c r="B135" s="1845" t="s">
        <v>477</v>
      </c>
      <c r="C135" s="1879">
        <v>0</v>
      </c>
      <c r="D135" s="1880"/>
      <c r="E135" s="1879">
        <v>0</v>
      </c>
      <c r="F135" s="1880"/>
      <c r="G135" s="1879">
        <v>0</v>
      </c>
      <c r="H135" s="1880"/>
    </row>
    <row r="136" spans="2:9" outlineLevel="1">
      <c r="B136" s="1853" t="s">
        <v>479</v>
      </c>
      <c r="C136" s="1879">
        <v>0</v>
      </c>
      <c r="D136" s="1880"/>
      <c r="E136" s="1879">
        <v>0</v>
      </c>
      <c r="F136" s="1880"/>
      <c r="G136" s="1879">
        <v>0</v>
      </c>
      <c r="H136" s="1880"/>
    </row>
    <row r="137" spans="2:9" ht="22.5">
      <c r="B137" s="1860" t="s">
        <v>480</v>
      </c>
      <c r="C137" s="1882">
        <f>C117+C119+C120+C125-C127+C128-C129+C131-C132+C134-C135-C136</f>
        <v>1607300.2626795301</v>
      </c>
      <c r="D137" s="1883">
        <f t="shared" ref="D137:D143" si="6">$C137/$C$143</f>
        <v>7.6183522923585115E-2</v>
      </c>
      <c r="E137" s="1882">
        <f>E117+E119+E120+E125-E127+E128-E129+E131-E132+E134-E135-E136</f>
        <v>2550800.8040201007</v>
      </c>
      <c r="F137" s="1883">
        <f t="shared" ref="F137:F143" si="7">$E137/$E$143</f>
        <v>0.13561419304919653</v>
      </c>
      <c r="G137" s="1882">
        <f>G117+G119+G120+G125-G127+G128-G129+G131-G132+G134-G135-G136</f>
        <v>2911018.8982710093</v>
      </c>
      <c r="H137" s="1883">
        <f t="shared" ref="H137:H143" si="8">$G137/$G$143</f>
        <v>0.18908699841055956</v>
      </c>
      <c r="I137" s="1863"/>
    </row>
    <row r="138" spans="2:9" outlineLevel="1">
      <c r="B138" s="1853" t="s">
        <v>481</v>
      </c>
      <c r="C138" s="1879">
        <v>0</v>
      </c>
      <c r="D138" s="1880"/>
      <c r="E138" s="1879">
        <v>0</v>
      </c>
      <c r="F138" s="1880"/>
      <c r="G138" s="1879">
        <v>0</v>
      </c>
      <c r="H138" s="1880"/>
    </row>
    <row r="139" spans="2:9" outlineLevel="1">
      <c r="B139" s="1853" t="s">
        <v>482</v>
      </c>
      <c r="C139" s="1879">
        <v>0</v>
      </c>
      <c r="D139" s="1880"/>
      <c r="E139" s="1879">
        <v>0</v>
      </c>
      <c r="F139" s="1880"/>
      <c r="G139" s="1879">
        <v>0</v>
      </c>
      <c r="H139" s="1880"/>
    </row>
    <row r="140" spans="2:9" outlineLevel="1">
      <c r="B140" s="1853"/>
      <c r="C140" s="1879"/>
      <c r="D140" s="1880"/>
      <c r="E140" s="1879"/>
      <c r="F140" s="1880"/>
      <c r="G140" s="1879"/>
      <c r="H140" s="1880"/>
    </row>
    <row r="141" spans="2:9">
      <c r="B141" s="1860" t="s">
        <v>483</v>
      </c>
      <c r="C141" s="1882">
        <f>SUM(C137:C140)</f>
        <v>1607300.2626795301</v>
      </c>
      <c r="D141" s="1883">
        <f t="shared" si="6"/>
        <v>7.6183522923585115E-2</v>
      </c>
      <c r="E141" s="1882">
        <f>SUM(E137:E140)</f>
        <v>2550800.8040201007</v>
      </c>
      <c r="F141" s="1883">
        <f t="shared" si="7"/>
        <v>0.13561419304919653</v>
      </c>
      <c r="G141" s="1882">
        <f>SUM(G137:G140)</f>
        <v>2911018.8982710093</v>
      </c>
      <c r="H141" s="1883">
        <f t="shared" si="8"/>
        <v>0.18908699841055956</v>
      </c>
    </row>
    <row r="143" spans="2:9">
      <c r="B143" s="1887" t="s">
        <v>484</v>
      </c>
      <c r="C143" s="1888">
        <f>C77+C92+C137</f>
        <v>21097741.361891489</v>
      </c>
      <c r="D143" s="1889">
        <f t="shared" si="6"/>
        <v>1</v>
      </c>
      <c r="E143" s="1888">
        <f>E77+E92+E137</f>
        <v>18809246.633165829</v>
      </c>
      <c r="F143" s="1889">
        <f t="shared" si="7"/>
        <v>1</v>
      </c>
      <c r="G143" s="1888">
        <f>G77+G92+G137</f>
        <v>15395129.875351829</v>
      </c>
      <c r="H143" s="1889">
        <f t="shared" si="8"/>
        <v>1</v>
      </c>
    </row>
    <row r="145" spans="2:9">
      <c r="B145" s="1837" t="s">
        <v>182</v>
      </c>
      <c r="C145" s="1871">
        <f>C143-C66</f>
        <v>-0.20206082239747047</v>
      </c>
      <c r="D145" s="1871"/>
      <c r="E145" s="1871">
        <f>E143-E66</f>
        <v>0.20100502669811249</v>
      </c>
      <c r="F145" s="1871"/>
      <c r="G145" s="1871">
        <f>G143-G66</f>
        <v>0</v>
      </c>
      <c r="H145" s="1871"/>
      <c r="I145" s="186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2E42C-2976-4F98-A448-6BDE91AE9D1A}">
  <dimension ref="A1:A9"/>
  <sheetViews>
    <sheetView workbookViewId="0"/>
  </sheetViews>
  <sheetFormatPr defaultRowHeight="12.75"/>
  <sheetData>
    <row r="1" spans="1:1">
      <c r="A1" t="s">
        <v>485</v>
      </c>
    </row>
    <row r="2" spans="1:1">
      <c r="A2" t="s">
        <v>486</v>
      </c>
    </row>
    <row r="3" spans="1:1">
      <c r="A3" t="s">
        <v>487</v>
      </c>
    </row>
    <row r="4" spans="1:1">
      <c r="A4" t="s">
        <v>488</v>
      </c>
    </row>
    <row r="5" spans="1:1">
      <c r="A5" t="s">
        <v>489</v>
      </c>
    </row>
    <row r="6" spans="1:1">
      <c r="A6" t="s">
        <v>490</v>
      </c>
    </row>
    <row r="7" spans="1:1">
      <c r="A7" t="s">
        <v>491</v>
      </c>
    </row>
    <row r="8" spans="1:1">
      <c r="A8" t="s">
        <v>492</v>
      </c>
    </row>
    <row r="9" spans="1:1">
      <c r="A9" t="s">
        <v>493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B61E4-52E7-0145-8794-AF6F5A48A3E7}">
  <sheetPr codeName="Sheet15">
    <tabColor rgb="FF0000FF"/>
  </sheetPr>
  <dimension ref="A1:BF248"/>
  <sheetViews>
    <sheetView topLeftCell="A2" workbookViewId="0">
      <selection activeCell="I33" sqref="I33"/>
    </sheetView>
  </sheetViews>
  <sheetFormatPr defaultColWidth="9.140625" defaultRowHeight="12.75"/>
  <cols>
    <col min="1" max="1" width="5.7109375" style="438" customWidth="1"/>
    <col min="2" max="2" width="4.7109375" style="438" customWidth="1"/>
    <col min="3" max="3" width="10" style="438" customWidth="1"/>
    <col min="4" max="4" width="8" style="438" customWidth="1"/>
    <col min="5" max="5" width="22.7109375" style="438" bestFit="1" customWidth="1"/>
    <col min="6" max="6" width="18" style="438" customWidth="1"/>
    <col min="7" max="7" width="12.7109375" style="438" customWidth="1"/>
    <col min="8" max="10" width="17.42578125" style="438" customWidth="1"/>
    <col min="11" max="11" width="8.42578125" style="438" customWidth="1"/>
    <col min="12" max="12" width="12.7109375" style="438" bestFit="1" customWidth="1"/>
    <col min="13" max="13" width="2.42578125" style="438" customWidth="1"/>
    <col min="14" max="14" width="10.7109375" style="1640" customWidth="1"/>
    <col min="15" max="15" width="11" style="1640" bestFit="1" customWidth="1"/>
    <col min="16" max="16" width="12" style="1640" bestFit="1" customWidth="1"/>
    <col min="17" max="17" width="8.7109375" style="1640" customWidth="1"/>
    <col min="18" max="18" width="8.140625" style="1640" bestFit="1" customWidth="1"/>
    <col min="19" max="19" width="10" style="1654" bestFit="1" customWidth="1"/>
    <col min="20" max="20" width="13.140625" style="1654" bestFit="1" customWidth="1"/>
    <col min="21" max="21" width="14.7109375" style="1654" bestFit="1" customWidth="1"/>
    <col min="22" max="22" width="17.28515625" style="1654" bestFit="1" customWidth="1"/>
    <col min="23" max="23" width="8" style="1654" bestFit="1" customWidth="1"/>
    <col min="24" max="24" width="13.140625" style="1654" bestFit="1" customWidth="1"/>
    <col min="25" max="25" width="12.7109375" style="1654" bestFit="1" customWidth="1"/>
    <col min="26" max="26" width="10.28515625" style="1654" bestFit="1" customWidth="1"/>
    <col min="27" max="27" width="13.7109375" style="1640" bestFit="1" customWidth="1"/>
    <col min="28" max="28" width="8" style="1640" bestFit="1" customWidth="1"/>
    <col min="29" max="29" width="10.140625" style="1649" bestFit="1" customWidth="1"/>
    <col min="30" max="30" width="9" style="1649" bestFit="1" customWidth="1"/>
    <col min="31" max="31" width="8" style="1649" bestFit="1" customWidth="1"/>
    <col min="32" max="32" width="7.7109375" style="1649" bestFit="1" customWidth="1"/>
    <col min="33" max="33" width="10.140625" style="1649" bestFit="1" customWidth="1"/>
    <col min="34" max="34" width="9" style="1649" bestFit="1" customWidth="1"/>
    <col min="35" max="35" width="8.7109375" style="1649" bestFit="1" customWidth="1"/>
    <col min="36" max="36" width="9.140625" style="1640"/>
    <col min="37" max="37" width="12.42578125" style="1640" bestFit="1" customWidth="1"/>
    <col min="38" max="38" width="14.7109375" style="1640" bestFit="1" customWidth="1"/>
    <col min="39" max="39" width="8" style="1640" bestFit="1" customWidth="1"/>
    <col min="40" max="40" width="7.42578125" style="1640" bestFit="1" customWidth="1"/>
    <col min="41" max="41" width="11.5703125" style="1640" customWidth="1"/>
    <col min="42" max="42" width="12" style="1640" bestFit="1" customWidth="1"/>
    <col min="43" max="43" width="11.7109375" style="1640" bestFit="1" customWidth="1"/>
    <col min="44" max="44" width="7.140625" style="1640" bestFit="1" customWidth="1"/>
    <col min="45" max="45" width="5.28515625" style="1640" bestFit="1" customWidth="1"/>
    <col min="46" max="46" width="9.140625" style="1640" bestFit="1" customWidth="1"/>
    <col min="47" max="47" width="11.42578125" style="1640" bestFit="1" customWidth="1"/>
    <col min="48" max="48" width="11.42578125" style="1640" customWidth="1"/>
    <col min="49" max="49" width="7.7109375" style="1640" bestFit="1" customWidth="1"/>
    <col min="50" max="50" width="9.7109375" style="1640" bestFit="1" customWidth="1"/>
    <col min="51" max="16384" width="9.140625" style="1640"/>
  </cols>
  <sheetData>
    <row r="1" spans="2:56" s="438" customFormat="1" ht="15" customHeight="1"/>
    <row r="2" spans="2:56" s="438" customFormat="1" ht="18.75">
      <c r="B2" s="109" t="str">
        <f>Übersicht!C20</f>
        <v>PB Multiple Analyse</v>
      </c>
    </row>
    <row r="3" spans="2:56" s="438" customFormat="1"/>
    <row r="4" spans="2:56" s="438" customFormat="1">
      <c r="B4" s="1623" t="s">
        <v>494</v>
      </c>
      <c r="C4" s="1624"/>
      <c r="D4" s="1624"/>
      <c r="E4" s="1624"/>
      <c r="F4" s="1624"/>
      <c r="G4" s="1625"/>
    </row>
    <row r="5" spans="2:56" s="438" customFormat="1">
      <c r="B5" s="439" t="s">
        <v>495</v>
      </c>
      <c r="C5" s="440"/>
      <c r="D5" s="440"/>
      <c r="E5" s="440"/>
      <c r="F5" s="440"/>
      <c r="G5" s="441"/>
    </row>
    <row r="6" spans="2:56" s="438" customFormat="1">
      <c r="B6" s="439" t="s">
        <v>496</v>
      </c>
      <c r="C6" s="440"/>
      <c r="D6" s="440"/>
      <c r="E6" s="440"/>
      <c r="F6" s="440"/>
      <c r="G6" s="441"/>
    </row>
    <row r="7" spans="2:56" s="438" customFormat="1">
      <c r="B7" s="442" t="s">
        <v>497</v>
      </c>
      <c r="C7" s="443"/>
      <c r="D7" s="443"/>
      <c r="E7" s="443"/>
      <c r="F7" s="443"/>
      <c r="G7" s="444"/>
    </row>
    <row r="8" spans="2:56" s="438" customFormat="1">
      <c r="J8" s="450"/>
    </row>
    <row r="9" spans="2:56" s="438" customFormat="1" ht="25.9" customHeight="1">
      <c r="B9" s="1921" t="s">
        <v>498</v>
      </c>
      <c r="C9" s="1921"/>
      <c r="D9" s="1921"/>
      <c r="E9" s="1921"/>
      <c r="F9" s="1921"/>
      <c r="G9" s="1921"/>
      <c r="H9" s="1921"/>
      <c r="I9" s="1921"/>
      <c r="J9" s="1921"/>
      <c r="K9" s="1575"/>
      <c r="L9" s="1921" t="s">
        <v>499</v>
      </c>
      <c r="M9" s="1921"/>
      <c r="N9" s="1921"/>
      <c r="O9" s="1921"/>
      <c r="P9" s="1921"/>
      <c r="Q9" s="1921"/>
      <c r="R9" s="1921"/>
      <c r="S9" s="1921"/>
      <c r="T9" s="1921"/>
      <c r="U9" s="1921"/>
      <c r="V9" s="1921"/>
      <c r="W9" s="1921"/>
      <c r="X9" s="1921"/>
      <c r="Y9" s="1921"/>
      <c r="Z9" s="1921"/>
      <c r="AA9" s="1921"/>
      <c r="AB9" s="1921"/>
      <c r="AC9" s="1921"/>
      <c r="AD9" s="1921"/>
      <c r="AE9" s="1921"/>
      <c r="AF9" s="1921"/>
      <c r="AG9" s="1921"/>
      <c r="AH9" s="1921"/>
      <c r="AI9" s="1921"/>
      <c r="AK9" s="1921" t="s">
        <v>500</v>
      </c>
      <c r="AL9" s="1921"/>
      <c r="AM9" s="1921"/>
      <c r="AN9" s="1921"/>
      <c r="AO9" s="1921"/>
      <c r="AP9" s="1921"/>
      <c r="AQ9" s="1921"/>
      <c r="AR9" s="1921"/>
      <c r="AS9" s="1921"/>
      <c r="AT9" s="1921"/>
      <c r="AU9" s="1921"/>
      <c r="AV9" s="1921"/>
      <c r="AW9" s="1921"/>
      <c r="AX9" s="1921"/>
      <c r="AY9" s="1921"/>
      <c r="AZ9" s="1921"/>
      <c r="BA9" s="1921"/>
      <c r="BB9" s="1921"/>
      <c r="BC9" s="1921"/>
      <c r="BD9" s="1921"/>
    </row>
    <row r="10" spans="2:56" s="438" customFormat="1" ht="9" customHeight="1">
      <c r="B10" s="1574"/>
      <c r="C10" s="1574"/>
      <c r="D10" s="1574"/>
      <c r="E10" s="1574"/>
      <c r="F10" s="1574"/>
      <c r="G10" s="1574"/>
      <c r="H10" s="1574"/>
      <c r="I10" s="1574"/>
      <c r="J10" s="1574"/>
      <c r="L10" s="1575"/>
      <c r="M10" s="1575"/>
    </row>
    <row r="11" spans="2:56" s="438" customFormat="1" ht="19.149999999999999" customHeight="1">
      <c r="B11" s="1638" t="s">
        <v>498</v>
      </c>
      <c r="C11" s="1576" t="s">
        <v>501</v>
      </c>
      <c r="D11" s="1576"/>
      <c r="E11" s="100" t="s">
        <v>502</v>
      </c>
      <c r="F11" s="100" t="s">
        <v>503</v>
      </c>
      <c r="G11" s="100" t="s">
        <v>504</v>
      </c>
      <c r="H11" s="100" t="s">
        <v>53</v>
      </c>
      <c r="I11" s="1596" t="s">
        <v>505</v>
      </c>
      <c r="J11" s="1596" t="s">
        <v>505</v>
      </c>
      <c r="L11" s="450" t="s">
        <v>506</v>
      </c>
      <c r="N11" s="1639">
        <f ca="1">WORKDAY(TODAY(),0)</f>
        <v>46040</v>
      </c>
      <c r="S11" s="1684"/>
      <c r="T11" s="1684" t="s">
        <v>507</v>
      </c>
      <c r="U11" s="1684"/>
      <c r="V11" s="455"/>
      <c r="W11" s="455"/>
      <c r="X11" s="1684"/>
      <c r="Y11" s="1684" t="s">
        <v>508</v>
      </c>
      <c r="Z11" s="1684"/>
      <c r="AA11" s="1684"/>
      <c r="AB11" s="455"/>
      <c r="AC11" s="1684"/>
      <c r="AD11" s="1684" t="str">
        <f ca="1">AD13</f>
        <v>2025Y</v>
      </c>
      <c r="AE11" s="1684"/>
      <c r="AF11" s="445"/>
      <c r="AG11" s="1684"/>
      <c r="AH11" s="1684" t="s">
        <v>509</v>
      </c>
      <c r="AI11" s="1684"/>
      <c r="AK11" s="450"/>
      <c r="AN11" s="1639"/>
      <c r="AT11" s="1576"/>
      <c r="AU11" s="1576"/>
      <c r="AV11" s="1576"/>
      <c r="AW11" s="1576"/>
      <c r="AX11" s="1576"/>
      <c r="AY11" s="1576"/>
      <c r="AZ11" s="457"/>
      <c r="BA11" s="447"/>
      <c r="BB11" s="457"/>
      <c r="BC11" s="457"/>
      <c r="BD11" s="457"/>
    </row>
    <row r="12" spans="2:56" s="438" customFormat="1" ht="25.5">
      <c r="B12" s="1638"/>
      <c r="C12" s="1597" t="s">
        <v>510</v>
      </c>
      <c r="D12" s="1597"/>
      <c r="E12" s="1702" t="s">
        <v>511</v>
      </c>
      <c r="F12" s="1702" t="s">
        <v>512</v>
      </c>
      <c r="G12" s="1702" t="s">
        <v>513</v>
      </c>
      <c r="H12" s="1704" t="s">
        <v>514</v>
      </c>
      <c r="I12" s="456" t="s">
        <v>149</v>
      </c>
      <c r="J12" s="456" t="s">
        <v>149</v>
      </c>
      <c r="L12" s="450"/>
      <c r="N12" s="457"/>
      <c r="O12" s="457"/>
      <c r="P12" s="457"/>
      <c r="Q12" s="457"/>
      <c r="R12" s="457"/>
      <c r="S12" s="1643" t="s">
        <v>515</v>
      </c>
      <c r="T12" s="1643" t="s">
        <v>516</v>
      </c>
      <c r="U12" s="1643" t="s">
        <v>517</v>
      </c>
      <c r="V12" s="1643" t="s">
        <v>518</v>
      </c>
      <c r="W12" s="1643"/>
      <c r="X12" s="1644" t="s">
        <v>519</v>
      </c>
      <c r="Y12" s="1644" t="s">
        <v>520</v>
      </c>
      <c r="Z12" s="1644" t="s">
        <v>521</v>
      </c>
      <c r="AA12" s="1643" t="s">
        <v>522</v>
      </c>
      <c r="AB12" s="1644"/>
      <c r="AC12" s="1644" t="s">
        <v>523</v>
      </c>
      <c r="AD12" s="1644" t="s">
        <v>524</v>
      </c>
      <c r="AE12" s="1644" t="s">
        <v>525</v>
      </c>
      <c r="AG12" s="1644" t="s">
        <v>523</v>
      </c>
      <c r="AH12" s="1644" t="s">
        <v>524</v>
      </c>
      <c r="AI12" s="1644" t="s">
        <v>525</v>
      </c>
      <c r="AK12" s="450"/>
      <c r="AN12" s="457"/>
      <c r="AO12" s="457"/>
      <c r="AP12" s="457"/>
      <c r="AQ12" s="457"/>
      <c r="AR12" s="457"/>
      <c r="AS12" s="457"/>
      <c r="AT12" s="1643"/>
      <c r="AU12" s="1643"/>
      <c r="AV12" s="1643"/>
      <c r="AW12" s="1643"/>
      <c r="AX12" s="1643" t="s">
        <v>526</v>
      </c>
      <c r="AY12" s="1643" t="s">
        <v>527</v>
      </c>
      <c r="AZ12" s="1644" t="s">
        <v>528</v>
      </c>
      <c r="BA12" s="1644"/>
      <c r="BB12" s="1644" t="s">
        <v>523</v>
      </c>
      <c r="BC12" s="1644" t="s">
        <v>524</v>
      </c>
      <c r="BD12" s="1644" t="s">
        <v>525</v>
      </c>
    </row>
    <row r="13" spans="2:56" s="438" customFormat="1" ht="13.9" customHeight="1">
      <c r="B13" s="1638"/>
      <c r="C13" s="1577" t="s">
        <v>529</v>
      </c>
      <c r="D13" s="1577"/>
      <c r="E13" s="1703" t="s">
        <v>530</v>
      </c>
      <c r="F13" s="1598"/>
      <c r="G13" s="100"/>
      <c r="K13" s="446"/>
      <c r="L13" s="502"/>
      <c r="M13" s="448"/>
      <c r="N13" s="1647"/>
      <c r="O13" s="1647"/>
      <c r="P13" s="1647"/>
      <c r="Q13" s="1647"/>
      <c r="R13" s="1647"/>
      <c r="S13" s="1683">
        <f ca="1">$N$11</f>
        <v>46040</v>
      </c>
      <c r="T13" s="1683">
        <f t="shared" ref="T13:U13" ca="1" si="0">$N$11</f>
        <v>46040</v>
      </c>
      <c r="U13" s="1683">
        <f t="shared" ca="1" si="0"/>
        <v>46040</v>
      </c>
      <c r="V13" s="1683">
        <f ca="1">N11</f>
        <v>46040</v>
      </c>
      <c r="W13" s="1683"/>
      <c r="X13" s="1647" t="str">
        <f ca="1">YEAR($N$11)-1&amp;"Y"</f>
        <v>2025Y</v>
      </c>
      <c r="Y13" s="1647" t="str">
        <f t="shared" ref="Y13:AE13" ca="1" si="1">YEAR($N$11)-1&amp;"Y"</f>
        <v>2025Y</v>
      </c>
      <c r="Z13" s="1647" t="str">
        <f t="shared" ca="1" si="1"/>
        <v>2025Y</v>
      </c>
      <c r="AA13" s="1647" t="str">
        <f t="shared" ca="1" si="1"/>
        <v>2025Y</v>
      </c>
      <c r="AB13" s="1647"/>
      <c r="AC13" s="1647" t="str">
        <f t="shared" ca="1" si="1"/>
        <v>2025Y</v>
      </c>
      <c r="AD13" s="1647" t="str">
        <f t="shared" ca="1" si="1"/>
        <v>2025Y</v>
      </c>
      <c r="AE13" s="1647" t="str">
        <f t="shared" ca="1" si="1"/>
        <v>2025Y</v>
      </c>
      <c r="AF13" s="448"/>
      <c r="AG13" s="1683">
        <f ca="1">$N$11</f>
        <v>46040</v>
      </c>
      <c r="AH13" s="1683">
        <f t="shared" ref="AH13:AI13" ca="1" si="2">$N$11</f>
        <v>46040</v>
      </c>
      <c r="AI13" s="1683">
        <f t="shared" ca="1" si="2"/>
        <v>46040</v>
      </c>
      <c r="AK13" s="502"/>
      <c r="AL13" s="448"/>
      <c r="AM13" s="448"/>
      <c r="AN13" s="1647"/>
      <c r="AO13" s="1647"/>
      <c r="AP13" s="1647"/>
      <c r="AQ13" s="1647"/>
      <c r="AR13" s="1647"/>
      <c r="AS13" s="1647"/>
      <c r="AT13" s="1683"/>
      <c r="AU13" s="1683"/>
      <c r="AV13" s="1683"/>
      <c r="AW13" s="1683"/>
      <c r="AX13" s="1691" t="s">
        <v>531</v>
      </c>
      <c r="AY13" s="1691" t="s">
        <v>531</v>
      </c>
      <c r="AZ13" s="1692"/>
      <c r="BA13" s="1692"/>
      <c r="BB13" s="1692"/>
      <c r="BC13" s="1692"/>
      <c r="BD13" s="1692"/>
    </row>
    <row r="14" spans="2:56" s="438" customFormat="1" ht="13.9" customHeight="1">
      <c r="B14" s="1638"/>
      <c r="C14" s="1601" t="s">
        <v>532</v>
      </c>
      <c r="D14" s="1601"/>
      <c r="E14" s="1602" t="s">
        <v>533</v>
      </c>
      <c r="F14" s="1602" t="s">
        <v>534</v>
      </c>
      <c r="G14" s="1602" t="s">
        <v>534</v>
      </c>
      <c r="H14" s="100" t="s">
        <v>533</v>
      </c>
      <c r="I14" s="1599"/>
      <c r="J14" s="446"/>
      <c r="L14" s="450" t="s">
        <v>146</v>
      </c>
      <c r="N14" s="457"/>
      <c r="O14" s="457"/>
      <c r="P14" s="457"/>
      <c r="Q14" s="457"/>
      <c r="R14" s="457"/>
      <c r="S14" s="1084">
        <f t="shared" ref="S14:V14" ca="1" si="3">MAX(S22:S122)</f>
        <v>0</v>
      </c>
      <c r="T14" s="1084">
        <f t="shared" ca="1" si="3"/>
        <v>0</v>
      </c>
      <c r="U14" s="1084">
        <f t="shared" ca="1" si="3"/>
        <v>0</v>
      </c>
      <c r="V14" s="1681">
        <f t="shared" ca="1" si="3"/>
        <v>0</v>
      </c>
      <c r="W14" s="1084"/>
      <c r="X14" s="1084">
        <f ca="1">MAX(X22:X122)</f>
        <v>0</v>
      </c>
      <c r="Y14" s="1084">
        <f t="shared" ref="Y14:AI14" ca="1" si="4">MAX(Y22:Y122)</f>
        <v>0</v>
      </c>
      <c r="Z14" s="1084">
        <f t="shared" ca="1" si="4"/>
        <v>0</v>
      </c>
      <c r="AA14" s="1681">
        <f t="shared" ref="AA14" ca="1" si="5">MAX(AA22:AA122)</f>
        <v>0</v>
      </c>
      <c r="AB14" s="1084"/>
      <c r="AC14" s="1682">
        <f t="shared" ca="1" si="4"/>
        <v>0</v>
      </c>
      <c r="AD14" s="1682">
        <f t="shared" ca="1" si="4"/>
        <v>0</v>
      </c>
      <c r="AE14" s="1682">
        <f t="shared" ca="1" si="4"/>
        <v>0</v>
      </c>
      <c r="AF14" s="1682"/>
      <c r="AG14" s="1682">
        <f t="shared" ca="1" si="4"/>
        <v>0</v>
      </c>
      <c r="AH14" s="1682">
        <f t="shared" ca="1" si="4"/>
        <v>0</v>
      </c>
      <c r="AI14" s="1682">
        <f t="shared" ca="1" si="4"/>
        <v>0</v>
      </c>
      <c r="AK14" s="450" t="s">
        <v>146</v>
      </c>
      <c r="AN14" s="457"/>
      <c r="AO14" s="457"/>
      <c r="AP14" s="457"/>
      <c r="AQ14" s="457"/>
      <c r="AR14" s="457"/>
      <c r="AS14" s="457"/>
      <c r="AT14" s="1084"/>
      <c r="AU14" s="1084"/>
      <c r="AV14" s="1084"/>
      <c r="AW14" s="1084"/>
      <c r="AX14" s="1084">
        <f t="shared" ref="AX14:AZ14" si="6">MAX(AX22:AX122)</f>
        <v>845</v>
      </c>
      <c r="AY14" s="1084">
        <f t="shared" si="6"/>
        <v>829.62</v>
      </c>
      <c r="AZ14" s="1697">
        <f t="shared" si="6"/>
        <v>1</v>
      </c>
      <c r="BA14" s="1084"/>
      <c r="BB14" s="1682">
        <f t="shared" ref="BB14:BD14" si="7">MAX(BB22:BB122)</f>
        <v>5.140874313864586</v>
      </c>
      <c r="BC14" s="1682">
        <f t="shared" si="7"/>
        <v>76.472898118562526</v>
      </c>
      <c r="BD14" s="1682">
        <f t="shared" si="7"/>
        <v>76.472899739863834</v>
      </c>
    </row>
    <row r="15" spans="2:56" s="438" customFormat="1" ht="13.9" customHeight="1">
      <c r="B15" s="1638"/>
      <c r="C15" s="1597" t="s">
        <v>535</v>
      </c>
      <c r="D15" s="1597"/>
      <c r="E15" s="100" t="s">
        <v>536</v>
      </c>
      <c r="F15" s="100" t="s">
        <v>537</v>
      </c>
      <c r="G15" s="100" t="s">
        <v>537</v>
      </c>
      <c r="H15" s="100" t="s">
        <v>536</v>
      </c>
      <c r="I15" s="678"/>
      <c r="J15" s="446"/>
      <c r="L15" s="1658" t="s">
        <v>145</v>
      </c>
      <c r="M15" s="1659"/>
      <c r="N15" s="1660"/>
      <c r="O15" s="1660"/>
      <c r="P15" s="1660"/>
      <c r="Q15" s="1660"/>
      <c r="R15" s="1660"/>
      <c r="S15" s="1662" t="e">
        <f t="shared" ref="S15:V15" ca="1" si="8">_xlfn.QUARTILE.INC(S22:S122,3)</f>
        <v>#NUM!</v>
      </c>
      <c r="T15" s="1662" t="e">
        <f t="shared" ca="1" si="8"/>
        <v>#NUM!</v>
      </c>
      <c r="U15" s="1662" t="e">
        <f t="shared" ca="1" si="8"/>
        <v>#NUM!</v>
      </c>
      <c r="V15" s="1678" t="e">
        <f t="shared" ca="1" si="8"/>
        <v>#NUM!</v>
      </c>
      <c r="W15" s="1662"/>
      <c r="X15" s="1662" t="e">
        <f ca="1">_xlfn.QUARTILE.INC(X22:X122,3)</f>
        <v>#NUM!</v>
      </c>
      <c r="Y15" s="1662" t="e">
        <f t="shared" ref="Y15:AI15" ca="1" si="9">_xlfn.QUARTILE.INC(Y22:Y122,3)</f>
        <v>#NUM!</v>
      </c>
      <c r="Z15" s="1662" t="e">
        <f t="shared" ca="1" si="9"/>
        <v>#NUM!</v>
      </c>
      <c r="AA15" s="1678" t="e">
        <f t="shared" ref="AA15" ca="1" si="10">_xlfn.QUARTILE.INC(AA22:AA122,3)</f>
        <v>#NUM!</v>
      </c>
      <c r="AB15" s="1662"/>
      <c r="AC15" s="1663" t="e">
        <f t="shared" ca="1" si="9"/>
        <v>#NUM!</v>
      </c>
      <c r="AD15" s="1663" t="e">
        <f t="shared" ca="1" si="9"/>
        <v>#NUM!</v>
      </c>
      <c r="AE15" s="1663" t="e">
        <f t="shared" ca="1" si="9"/>
        <v>#NUM!</v>
      </c>
      <c r="AF15" s="1663"/>
      <c r="AG15" s="1663" t="e">
        <f t="shared" ca="1" si="9"/>
        <v>#NUM!</v>
      </c>
      <c r="AH15" s="1663" t="e">
        <f t="shared" ca="1" si="9"/>
        <v>#NUM!</v>
      </c>
      <c r="AI15" s="1663" t="e">
        <f t="shared" ca="1" si="9"/>
        <v>#NUM!</v>
      </c>
      <c r="AK15" s="1658" t="s">
        <v>145</v>
      </c>
      <c r="AL15" s="1659"/>
      <c r="AM15" s="1659"/>
      <c r="AN15" s="1660"/>
      <c r="AO15" s="1660"/>
      <c r="AP15" s="1660"/>
      <c r="AQ15" s="1660"/>
      <c r="AR15" s="1660"/>
      <c r="AS15" s="1660"/>
      <c r="AT15" s="1662"/>
      <c r="AU15" s="1662"/>
      <c r="AV15" s="1662"/>
      <c r="AW15" s="1662"/>
      <c r="AX15" s="1662">
        <f t="shared" ref="AX15:AZ15" si="11">_xlfn.QUARTILE.INC(AX22:AX122,3)</f>
        <v>93</v>
      </c>
      <c r="AY15" s="1662">
        <f t="shared" si="11"/>
        <v>97.48</v>
      </c>
      <c r="AZ15" s="1698">
        <f t="shared" si="11"/>
        <v>1</v>
      </c>
      <c r="BA15" s="1662"/>
      <c r="BB15" s="1663">
        <f t="shared" ref="BB15:BD15" si="12">_xlfn.QUARTILE.INC(BB22:BB122,3)</f>
        <v>0.94051031040583477</v>
      </c>
      <c r="BC15" s="1663">
        <f t="shared" si="12"/>
        <v>6.2186044625197834</v>
      </c>
      <c r="BD15" s="1663">
        <f t="shared" si="12"/>
        <v>15.251778307007154</v>
      </c>
    </row>
    <row r="16" spans="2:56" s="438" customFormat="1" ht="13.9" customHeight="1">
      <c r="B16" s="1638"/>
      <c r="C16" s="1597" t="s">
        <v>506</v>
      </c>
      <c r="D16" s="1597"/>
      <c r="E16" s="1603" t="str">
        <f>'Mult.Aggr.'!C5</f>
        <v>Ausgabe 04/2025</v>
      </c>
      <c r="F16" s="1603" t="str">
        <f>'Mult.Aggr.'!AD5</f>
        <v>05. Jan 25</v>
      </c>
      <c r="G16" s="1603" t="str">
        <f>'Mult.Aggr.'!AM5</f>
        <v>30/6/2023</v>
      </c>
      <c r="H16" s="1603" t="str">
        <f>'Mult.Aggr.'!AV5</f>
        <v>Q1/2024</v>
      </c>
      <c r="I16" s="1600"/>
      <c r="L16" s="1637" t="s">
        <v>144</v>
      </c>
      <c r="M16" s="440"/>
      <c r="N16" s="1657"/>
      <c r="O16" s="1657"/>
      <c r="P16" s="1657"/>
      <c r="Q16" s="1657"/>
      <c r="R16" s="1657"/>
      <c r="S16" s="1664" t="e">
        <f t="shared" ref="S16:V16" ca="1" si="13">_xlfn.QUARTILE.INC(S22:S122,2)</f>
        <v>#NUM!</v>
      </c>
      <c r="T16" s="1664" t="e">
        <f t="shared" ca="1" si="13"/>
        <v>#NUM!</v>
      </c>
      <c r="U16" s="1664" t="e">
        <f t="shared" ca="1" si="13"/>
        <v>#NUM!</v>
      </c>
      <c r="V16" s="1679" t="e">
        <f t="shared" ca="1" si="13"/>
        <v>#NUM!</v>
      </c>
      <c r="W16" s="1664"/>
      <c r="X16" s="1664" t="e">
        <f ca="1">_xlfn.QUARTILE.INC(X22:X122,2)</f>
        <v>#NUM!</v>
      </c>
      <c r="Y16" s="1664" t="e">
        <f t="shared" ref="Y16:AI16" ca="1" si="14">_xlfn.QUARTILE.INC(Y22:Y122,2)</f>
        <v>#NUM!</v>
      </c>
      <c r="Z16" s="1664" t="e">
        <f t="shared" ca="1" si="14"/>
        <v>#NUM!</v>
      </c>
      <c r="AA16" s="1679" t="e">
        <f t="shared" ref="AA16" ca="1" si="15">_xlfn.QUARTILE.INC(AA22:AA122,2)</f>
        <v>#NUM!</v>
      </c>
      <c r="AB16" s="1664"/>
      <c r="AC16" s="1665" t="e">
        <f t="shared" ca="1" si="14"/>
        <v>#NUM!</v>
      </c>
      <c r="AD16" s="1665" t="e">
        <f t="shared" ca="1" si="14"/>
        <v>#NUM!</v>
      </c>
      <c r="AE16" s="1665" t="e">
        <f t="shared" ca="1" si="14"/>
        <v>#NUM!</v>
      </c>
      <c r="AF16" s="1665"/>
      <c r="AG16" s="1665" t="e">
        <f t="shared" ca="1" si="14"/>
        <v>#NUM!</v>
      </c>
      <c r="AH16" s="1665" t="e">
        <f t="shared" ca="1" si="14"/>
        <v>#NUM!</v>
      </c>
      <c r="AI16" s="1665" t="e">
        <f t="shared" ca="1" si="14"/>
        <v>#NUM!</v>
      </c>
      <c r="AK16" s="1637" t="s">
        <v>144</v>
      </c>
      <c r="AL16" s="440"/>
      <c r="AM16" s="440"/>
      <c r="AN16" s="1657"/>
      <c r="AO16" s="1657"/>
      <c r="AP16" s="1657"/>
      <c r="AQ16" s="1657"/>
      <c r="AR16" s="1657"/>
      <c r="AS16" s="1657"/>
      <c r="AT16" s="1664"/>
      <c r="AU16" s="1664"/>
      <c r="AV16" s="1664"/>
      <c r="AW16" s="1664"/>
      <c r="AX16" s="1664">
        <f t="shared" ref="AX16:AZ16" si="16">_xlfn.QUARTILE.INC(AX22:AX122,2)</f>
        <v>77.965554070593129</v>
      </c>
      <c r="AY16" s="1664">
        <f t="shared" si="16"/>
        <v>73.909615317362835</v>
      </c>
      <c r="AZ16" s="1699">
        <f t="shared" si="16"/>
        <v>1</v>
      </c>
      <c r="BA16" s="1664"/>
      <c r="BB16" s="1665">
        <f t="shared" ref="BB16:BD16" si="17">_xlfn.QUARTILE.INC(BB22:BB122,2)</f>
        <v>0.85261225517930994</v>
      </c>
      <c r="BC16" s="1665">
        <f t="shared" si="17"/>
        <v>4.8054157778527609</v>
      </c>
      <c r="BD16" s="1665">
        <f t="shared" si="17"/>
        <v>9.0807968906214267</v>
      </c>
    </row>
    <row r="17" spans="2:58" s="438" customFormat="1" ht="13.9" customHeight="1">
      <c r="B17" s="1638"/>
      <c r="C17" s="1611"/>
      <c r="D17" s="1611" t="s">
        <v>142</v>
      </c>
      <c r="E17" s="1612" cm="1">
        <f t="array" ref="E17">IFERROR(INDEX('Mult.Aggr.'!C5:AA28,MATCH(E12,'Mult.Aggr.'!C5:C28,0),MATCH(E13,'Mult.Aggr.'!C5:AA5,0)+4),"")</f>
        <v>0.51</v>
      </c>
      <c r="F17" s="1612" t="s">
        <v>149</v>
      </c>
      <c r="G17" s="1612" t="s">
        <v>149</v>
      </c>
      <c r="H17" s="1612" t="s">
        <v>149</v>
      </c>
      <c r="I17" s="1613"/>
      <c r="J17" s="1613"/>
      <c r="L17" s="1658" t="s">
        <v>143</v>
      </c>
      <c r="M17" s="1659"/>
      <c r="N17" s="1660"/>
      <c r="O17" s="1660"/>
      <c r="P17" s="1660"/>
      <c r="Q17" s="1660"/>
      <c r="R17" s="1660"/>
      <c r="S17" s="1662" t="e">
        <f t="shared" ref="S17:V17" ca="1" si="18">_xlfn.QUARTILE.INC(S22:S122,1)</f>
        <v>#NUM!</v>
      </c>
      <c r="T17" s="1662" t="e">
        <f t="shared" ca="1" si="18"/>
        <v>#NUM!</v>
      </c>
      <c r="U17" s="1662" t="e">
        <f t="shared" ca="1" si="18"/>
        <v>#NUM!</v>
      </c>
      <c r="V17" s="1678" t="e">
        <f t="shared" ca="1" si="18"/>
        <v>#NUM!</v>
      </c>
      <c r="W17" s="1662"/>
      <c r="X17" s="1662" t="e">
        <f ca="1">_xlfn.QUARTILE.INC(X22:X122,1)</f>
        <v>#NUM!</v>
      </c>
      <c r="Y17" s="1662" t="e">
        <f t="shared" ref="Y17:AI17" ca="1" si="19">_xlfn.QUARTILE.INC(Y22:Y122,1)</f>
        <v>#NUM!</v>
      </c>
      <c r="Z17" s="1662" t="e">
        <f t="shared" ca="1" si="19"/>
        <v>#NUM!</v>
      </c>
      <c r="AA17" s="1678" t="e">
        <f t="shared" ref="AA17" ca="1" si="20">_xlfn.QUARTILE.INC(AA22:AA122,1)</f>
        <v>#NUM!</v>
      </c>
      <c r="AB17" s="1662"/>
      <c r="AC17" s="1663" t="e">
        <f t="shared" ca="1" si="19"/>
        <v>#NUM!</v>
      </c>
      <c r="AD17" s="1663" t="e">
        <f t="shared" ca="1" si="19"/>
        <v>#NUM!</v>
      </c>
      <c r="AE17" s="1663" t="e">
        <f t="shared" ca="1" si="19"/>
        <v>#NUM!</v>
      </c>
      <c r="AF17" s="1663"/>
      <c r="AG17" s="1663" t="e">
        <f t="shared" ca="1" si="19"/>
        <v>#NUM!</v>
      </c>
      <c r="AH17" s="1663" t="e">
        <f t="shared" ca="1" si="19"/>
        <v>#NUM!</v>
      </c>
      <c r="AI17" s="1663" t="e">
        <f t="shared" ca="1" si="19"/>
        <v>#NUM!</v>
      </c>
      <c r="AK17" s="1658" t="s">
        <v>143</v>
      </c>
      <c r="AL17" s="1659"/>
      <c r="AM17" s="1659"/>
      <c r="AN17" s="1660"/>
      <c r="AO17" s="1660"/>
      <c r="AP17" s="1660"/>
      <c r="AQ17" s="1660"/>
      <c r="AR17" s="1660"/>
      <c r="AS17" s="1660"/>
      <c r="AT17" s="1662"/>
      <c r="AU17" s="1662"/>
      <c r="AV17" s="1662"/>
      <c r="AW17" s="1662"/>
      <c r="AX17" s="1662">
        <f t="shared" ref="AX17:AZ17" si="21">_xlfn.QUARTILE.INC(AX22:AX122,1)</f>
        <v>24.014204034350509</v>
      </c>
      <c r="AY17" s="1662">
        <f t="shared" si="21"/>
        <v>23.872874846149415</v>
      </c>
      <c r="AZ17" s="1698">
        <f t="shared" si="21"/>
        <v>0.82499999999999996</v>
      </c>
      <c r="BA17" s="1662"/>
      <c r="BB17" s="1663">
        <f t="shared" ref="BB17:BD17" si="22">_xlfn.QUARTILE.INC(BB22:BB122,1)</f>
        <v>0.38478038591052593</v>
      </c>
      <c r="BC17" s="1663">
        <f t="shared" si="22"/>
        <v>3.9978812658972944</v>
      </c>
      <c r="BD17" s="1663">
        <f t="shared" si="22"/>
        <v>4.7145929845174539</v>
      </c>
    </row>
    <row r="18" spans="2:58" s="445" customFormat="1" ht="13.9" customHeight="1">
      <c r="B18" s="1638"/>
      <c r="C18" s="1597" t="s">
        <v>523</v>
      </c>
      <c r="D18" s="1597" t="s">
        <v>144</v>
      </c>
      <c r="E18" s="1609" t="s">
        <v>149</v>
      </c>
      <c r="F18" s="1609">
        <f>IFERROR(INDEX('Mult.Aggr.'!AD7:AJ102,MATCH(F12,'Mult.Aggr.'!AD7:AD102,0),3),"")</f>
        <v>0.69</v>
      </c>
      <c r="G18" s="1609">
        <f>IFERROR(INDEX('Mult.Aggr.'!AM7:AQ36,MATCH(G12,'Mult.Aggr.'!AM7:AM36,0),3),"")</f>
        <v>1</v>
      </c>
      <c r="H18" s="1609" t="s">
        <v>149</v>
      </c>
      <c r="I18" s="1610"/>
      <c r="J18" s="1610"/>
      <c r="K18" s="438"/>
      <c r="L18" s="502" t="s">
        <v>142</v>
      </c>
      <c r="M18" s="448"/>
      <c r="N18" s="1647"/>
      <c r="O18" s="1647"/>
      <c r="P18" s="1647"/>
      <c r="Q18" s="1647"/>
      <c r="R18" s="1647"/>
      <c r="S18" s="1676">
        <f t="shared" ref="S18:V18" ca="1" si="23">MIN(S22:S122)</f>
        <v>0</v>
      </c>
      <c r="T18" s="1676">
        <f t="shared" ca="1" si="23"/>
        <v>0</v>
      </c>
      <c r="U18" s="1676">
        <f t="shared" ca="1" si="23"/>
        <v>0</v>
      </c>
      <c r="V18" s="1680">
        <f t="shared" ca="1" si="23"/>
        <v>0</v>
      </c>
      <c r="W18" s="1676"/>
      <c r="X18" s="1676">
        <f ca="1">MIN(X22:X122)</f>
        <v>0</v>
      </c>
      <c r="Y18" s="1676">
        <f t="shared" ref="Y18:AI18" ca="1" si="24">MIN(Y22:Y122)</f>
        <v>0</v>
      </c>
      <c r="Z18" s="1676">
        <f t="shared" ca="1" si="24"/>
        <v>0</v>
      </c>
      <c r="AA18" s="1680">
        <f t="shared" ref="AA18" ca="1" si="25">MIN(AA22:AA122)</f>
        <v>0</v>
      </c>
      <c r="AB18" s="1676"/>
      <c r="AC18" s="1685">
        <f t="shared" ca="1" si="24"/>
        <v>0</v>
      </c>
      <c r="AD18" s="1685">
        <f t="shared" ca="1" si="24"/>
        <v>0</v>
      </c>
      <c r="AE18" s="1685">
        <f t="shared" ca="1" si="24"/>
        <v>0</v>
      </c>
      <c r="AF18" s="1685"/>
      <c r="AG18" s="1685">
        <f t="shared" ca="1" si="24"/>
        <v>0</v>
      </c>
      <c r="AH18" s="1685">
        <f t="shared" ca="1" si="24"/>
        <v>0</v>
      </c>
      <c r="AI18" s="1685">
        <f t="shared" ca="1" si="24"/>
        <v>0</v>
      </c>
      <c r="AK18" s="502" t="s">
        <v>142</v>
      </c>
      <c r="AL18" s="448"/>
      <c r="AM18" s="448"/>
      <c r="AN18" s="1647"/>
      <c r="AO18" s="1647"/>
      <c r="AP18" s="1647"/>
      <c r="AQ18" s="1647"/>
      <c r="AR18" s="1647"/>
      <c r="AS18" s="1647"/>
      <c r="AT18" s="1676"/>
      <c r="AU18" s="1676"/>
      <c r="AV18" s="1676"/>
      <c r="AW18" s="1676"/>
      <c r="AX18" s="1676">
        <f t="shared" ref="AX18:AZ18" si="26">MIN(AX22:AX122)</f>
        <v>3.7168301977283567</v>
      </c>
      <c r="AY18" s="1676">
        <f t="shared" si="26"/>
        <v>4.25</v>
      </c>
      <c r="AZ18" s="1700">
        <f t="shared" si="26"/>
        <v>0.25</v>
      </c>
      <c r="BA18" s="1676"/>
      <c r="BB18" s="1685">
        <f t="shared" ref="BB18:BD18" si="27">MIN(BB22:BB122)</f>
        <v>0.22984649231499016</v>
      </c>
      <c r="BC18" s="1685">
        <f t="shared" si="27"/>
        <v>1.8584007369006321</v>
      </c>
      <c r="BD18" s="1685">
        <f t="shared" si="27"/>
        <v>-1.5722003567529352</v>
      </c>
    </row>
    <row r="19" spans="2:58" s="445" customFormat="1" ht="13.9" customHeight="1">
      <c r="B19" s="1638"/>
      <c r="C19" s="1614"/>
      <c r="D19" s="1614" t="s">
        <v>146</v>
      </c>
      <c r="E19" s="1615" cm="1">
        <f t="array" ref="E19">IFERROR(INDEX('Mult.Aggr.'!C5:AA28,MATCH(E12,'Mult.Aggr.'!C5:C28,0),MATCH(E13,'Mult.Aggr.'!C5:AA5,0)+5),"")</f>
        <v>0.82</v>
      </c>
      <c r="F19" s="1615" t="s">
        <v>149</v>
      </c>
      <c r="G19" s="1615" t="s">
        <v>149</v>
      </c>
      <c r="H19" s="1615" t="s">
        <v>149</v>
      </c>
      <c r="I19" s="1616"/>
      <c r="J19" s="1616"/>
      <c r="K19" s="438"/>
      <c r="L19" s="438"/>
      <c r="M19" s="438"/>
      <c r="N19" s="457"/>
      <c r="O19" s="457"/>
      <c r="P19" s="457"/>
      <c r="Q19" s="457"/>
      <c r="R19" s="457"/>
      <c r="S19" s="1684"/>
      <c r="T19" s="1684" t="s">
        <v>507</v>
      </c>
      <c r="U19" s="1684"/>
      <c r="V19" s="455"/>
      <c r="W19" s="455"/>
      <c r="X19" s="1684"/>
      <c r="Y19" s="1684" t="s">
        <v>508</v>
      </c>
      <c r="Z19" s="1684"/>
      <c r="AA19" s="455"/>
      <c r="AB19" s="455"/>
      <c r="AC19" s="1684"/>
      <c r="AD19" s="1684" t="str">
        <f ca="1">AD21</f>
        <v>2025Y</v>
      </c>
      <c r="AE19" s="1684"/>
      <c r="AG19" s="1684"/>
      <c r="AH19" s="1684" t="s">
        <v>509</v>
      </c>
      <c r="AI19" s="1684"/>
      <c r="AK19" s="438"/>
      <c r="AL19" s="438"/>
      <c r="AM19" s="438"/>
      <c r="AN19" s="457"/>
      <c r="AO19" s="457"/>
      <c r="AP19" s="457"/>
      <c r="AQ19" s="457"/>
      <c r="AR19" s="457"/>
      <c r="AS19" s="457"/>
      <c r="AT19" s="455"/>
      <c r="AU19" s="455"/>
      <c r="AV19" s="455"/>
      <c r="AW19" s="455"/>
      <c r="AX19" s="455"/>
      <c r="AY19" s="455"/>
      <c r="AZ19" s="455"/>
      <c r="BA19" s="455"/>
      <c r="BB19" s="455"/>
      <c r="BC19" s="455"/>
      <c r="BD19" s="455"/>
    </row>
    <row r="20" spans="2:58" s="438" customFormat="1" ht="13.9" customHeight="1">
      <c r="B20" s="1638"/>
      <c r="C20" s="1597"/>
      <c r="D20" s="1597"/>
      <c r="E20" s="1609"/>
      <c r="F20" s="1609"/>
      <c r="G20" s="1609"/>
      <c r="H20" s="1609"/>
      <c r="I20" s="1610"/>
      <c r="J20" s="1610"/>
      <c r="L20" s="1576" t="s">
        <v>538</v>
      </c>
      <c r="M20" s="1576"/>
      <c r="N20" s="1577" t="s">
        <v>539</v>
      </c>
      <c r="O20" s="1577" t="s">
        <v>510</v>
      </c>
      <c r="P20" s="1577" t="s">
        <v>540</v>
      </c>
      <c r="Q20" s="1577" t="s">
        <v>541</v>
      </c>
      <c r="R20" s="1577"/>
      <c r="S20" s="1667" t="s">
        <v>515</v>
      </c>
      <c r="T20" s="1667" t="s">
        <v>516</v>
      </c>
      <c r="U20" s="1667" t="s">
        <v>517</v>
      </c>
      <c r="V20" s="1675" t="s">
        <v>518</v>
      </c>
      <c r="W20" s="1667"/>
      <c r="X20" s="957" t="s">
        <v>519</v>
      </c>
      <c r="Y20" s="957" t="s">
        <v>520</v>
      </c>
      <c r="Z20" s="957" t="s">
        <v>521</v>
      </c>
      <c r="AA20" s="1675" t="s">
        <v>522</v>
      </c>
      <c r="AB20" s="1667"/>
      <c r="AC20" s="957" t="s">
        <v>523</v>
      </c>
      <c r="AD20" s="957" t="s">
        <v>524</v>
      </c>
      <c r="AE20" s="957" t="s">
        <v>525</v>
      </c>
      <c r="AF20" s="947"/>
      <c r="AG20" s="957" t="s">
        <v>523</v>
      </c>
      <c r="AH20" s="957" t="s">
        <v>524</v>
      </c>
      <c r="AI20" s="957" t="s">
        <v>525</v>
      </c>
      <c r="AJ20" s="457"/>
      <c r="AK20" s="1576" t="s">
        <v>542</v>
      </c>
      <c r="AL20" s="1578" t="s">
        <v>543</v>
      </c>
      <c r="AM20" s="1578" t="s">
        <v>544</v>
      </c>
      <c r="AN20" s="1578" t="s">
        <v>545</v>
      </c>
      <c r="AO20" s="1576" t="s">
        <v>546</v>
      </c>
      <c r="AP20" s="1576" t="s">
        <v>547</v>
      </c>
      <c r="AQ20" s="1576" t="s">
        <v>548</v>
      </c>
      <c r="AR20" s="1576" t="s">
        <v>549</v>
      </c>
      <c r="AS20" s="1576" t="s">
        <v>550</v>
      </c>
      <c r="AT20" s="1576" t="s">
        <v>551</v>
      </c>
      <c r="AU20" s="1578" t="s">
        <v>552</v>
      </c>
      <c r="AV20" s="1578" t="s">
        <v>553</v>
      </c>
      <c r="AW20" s="1667"/>
      <c r="AX20" s="1667" t="s">
        <v>526</v>
      </c>
      <c r="AY20" s="1667" t="s">
        <v>527</v>
      </c>
      <c r="AZ20" s="957" t="s">
        <v>528</v>
      </c>
      <c r="BA20" s="957"/>
      <c r="BB20" s="957" t="s">
        <v>523</v>
      </c>
      <c r="BC20" s="957" t="s">
        <v>524</v>
      </c>
      <c r="BD20" s="957" t="s">
        <v>525</v>
      </c>
      <c r="BF20" s="1578" t="s">
        <v>554</v>
      </c>
    </row>
    <row r="21" spans="2:58" s="438" customFormat="1" ht="13.9" customHeight="1">
      <c r="B21" s="1638"/>
      <c r="C21" s="1611"/>
      <c r="D21" s="1611" t="s">
        <v>142</v>
      </c>
      <c r="E21" s="1612" cm="1">
        <f t="array" ref="E21">IFERROR(INDEX('Mult.Aggr.'!C5:AA28,MATCH(E12,'Mult.Aggr.'!C5:C28,0),MATCH(E13,'Mult.Aggr.'!C5:AA5,0)+2),"")</f>
        <v>4.4000000000000004</v>
      </c>
      <c r="F21" s="1612" t="s">
        <v>149</v>
      </c>
      <c r="G21" s="1612" t="s">
        <v>149</v>
      </c>
      <c r="H21" s="1612" t="s">
        <v>149</v>
      </c>
      <c r="I21" s="1613"/>
      <c r="J21" s="1613"/>
      <c r="K21" s="1593"/>
      <c r="L21" s="1655" t="s">
        <v>555</v>
      </c>
      <c r="M21" s="1583"/>
      <c r="N21" s="446"/>
      <c r="O21" s="446"/>
      <c r="P21" s="446"/>
      <c r="Q21" s="446"/>
      <c r="R21" s="446"/>
      <c r="S21" s="1668">
        <f ca="1">N11</f>
        <v>46040</v>
      </c>
      <c r="T21" s="1668">
        <f ca="1">N11</f>
        <v>46040</v>
      </c>
      <c r="U21" s="1668">
        <f ca="1">N11</f>
        <v>46040</v>
      </c>
      <c r="V21" s="1668">
        <f ca="1">N11</f>
        <v>46040</v>
      </c>
      <c r="W21" s="1668"/>
      <c r="X21" s="947" t="str">
        <f ca="1">YEAR($N$11)-1&amp;"Y"</f>
        <v>2025Y</v>
      </c>
      <c r="Y21" s="947" t="str">
        <f t="shared" ref="Y21:AE21" ca="1" si="28">YEAR($N$11)-1&amp;"Y"</f>
        <v>2025Y</v>
      </c>
      <c r="Z21" s="947" t="str">
        <f t="shared" ca="1" si="28"/>
        <v>2025Y</v>
      </c>
      <c r="AA21" s="947" t="str">
        <f t="shared" ca="1" si="28"/>
        <v>2025Y</v>
      </c>
      <c r="AB21" s="1668"/>
      <c r="AC21" s="947" t="str">
        <f t="shared" ca="1" si="28"/>
        <v>2025Y</v>
      </c>
      <c r="AD21" s="947" t="str">
        <f t="shared" ca="1" si="28"/>
        <v>2025Y</v>
      </c>
      <c r="AE21" s="947" t="str">
        <f t="shared" ca="1" si="28"/>
        <v>2025Y</v>
      </c>
      <c r="AF21" s="947"/>
      <c r="AG21" s="1668">
        <f ca="1">$N$11</f>
        <v>46040</v>
      </c>
      <c r="AH21" s="1668">
        <f t="shared" ref="AH21:AI21" ca="1" si="29">$N$11</f>
        <v>46040</v>
      </c>
      <c r="AI21" s="1668">
        <f t="shared" ca="1" si="29"/>
        <v>46040</v>
      </c>
      <c r="AJ21" s="457"/>
      <c r="AK21" s="1655" t="s">
        <v>555</v>
      </c>
      <c r="AL21" s="1689"/>
      <c r="AM21" s="1689"/>
      <c r="AN21" s="1689"/>
      <c r="AO21" s="1690"/>
      <c r="AP21" s="1690"/>
      <c r="AQ21" s="1690"/>
      <c r="AR21" s="1690"/>
      <c r="AS21" s="1690"/>
      <c r="AT21" s="1690"/>
      <c r="AU21" s="1691"/>
      <c r="AV21" s="1691"/>
      <c r="AW21" s="1691"/>
      <c r="AX21" s="1691" t="s">
        <v>531</v>
      </c>
      <c r="AY21" s="1691" t="s">
        <v>531</v>
      </c>
      <c r="AZ21" s="1692"/>
      <c r="BA21" s="1692"/>
      <c r="BB21" s="1692"/>
      <c r="BC21" s="1692"/>
      <c r="BD21" s="1692"/>
    </row>
    <row r="22" spans="2:58" ht="13.9" customHeight="1">
      <c r="B22" s="1638"/>
      <c r="C22" s="1597" t="s">
        <v>524</v>
      </c>
      <c r="D22" s="1597" t="s">
        <v>144</v>
      </c>
      <c r="E22" s="1609" t="s">
        <v>149</v>
      </c>
      <c r="F22" s="1617">
        <f>IFERROR(INDEX('Mult.Aggr.'!AD7:AJ102,MATCH(F12,'Mult.Aggr.'!AD7:AD102,0),5),"")</f>
        <v>8.6</v>
      </c>
      <c r="G22" s="1617">
        <f>IFERROR(INDEX('Mult.Aggr.'!AM7:AQ36,MATCH(G12,'Mult.Aggr.'!AM7:AM36,0),5),"")</f>
        <v>4.4000000000000004</v>
      </c>
      <c r="H22" s="1617" t="s">
        <v>149</v>
      </c>
      <c r="I22" s="1618"/>
      <c r="J22" s="1618"/>
      <c r="K22" s="1593"/>
      <c r="L22" s="1707"/>
      <c r="M22" s="1636"/>
      <c r="N22" s="1642"/>
      <c r="O22" s="1642"/>
      <c r="P22" s="1642"/>
      <c r="Q22" s="1642"/>
      <c r="R22" s="1642"/>
      <c r="S22" s="1669"/>
      <c r="T22" s="1669"/>
      <c r="U22" s="1669"/>
      <c r="V22" s="1669"/>
      <c r="W22" s="1666"/>
      <c r="X22" s="1669"/>
      <c r="Y22" s="1669"/>
      <c r="Z22" s="1669"/>
      <c r="AA22" s="1669"/>
      <c r="AB22" s="1666"/>
      <c r="AC22" s="1671"/>
      <c r="AD22" s="1671"/>
      <c r="AE22" s="1671"/>
      <c r="AF22" s="1672"/>
      <c r="AG22" s="1671"/>
      <c r="AH22" s="1671"/>
      <c r="AI22" s="1671"/>
      <c r="AJ22" s="1650"/>
      <c r="AK22" s="1707"/>
    </row>
    <row r="23" spans="2:58" ht="13.9" customHeight="1">
      <c r="B23" s="1638"/>
      <c r="C23" s="1614"/>
      <c r="D23" s="1614" t="s">
        <v>146</v>
      </c>
      <c r="E23" s="1615" cm="1">
        <f t="array" ref="E23">IFERROR(INDEX('Mult.Aggr.'!C5:AA28,MATCH(E12,'Mult.Aggr.'!C5:C28,0),MATCH(E13,'Mult.Aggr.'!C5:AA5,0)+3),"")</f>
        <v>6</v>
      </c>
      <c r="F23" s="1619" t="s">
        <v>149</v>
      </c>
      <c r="G23" s="1619" t="s">
        <v>149</v>
      </c>
      <c r="H23" s="1619" t="s">
        <v>149</v>
      </c>
      <c r="I23" s="1620"/>
      <c r="J23" s="1620"/>
      <c r="K23" s="1593"/>
      <c r="L23" s="1705" t="s">
        <v>556</v>
      </c>
      <c r="M23" s="1583"/>
      <c r="N23" s="1640" t="str" cm="1">
        <f t="array" ref="N23">IFERROR(IF($L23&lt;&gt;"",_xll.PBD($L23,"Name","","USD",""),""),"")</f>
        <v>NTG Nordic Transport Group</v>
      </c>
      <c r="O23" s="1640" t="str" cm="1">
        <f t="array" ref="O23">IFERROR(IF($L23&lt;&gt;"",_xll.PBD($L23,"Primary Industry Code","","",""),""),"")</f>
        <v>Logistics</v>
      </c>
      <c r="P23" s="1640" t="str" cm="1">
        <f t="array" ref="P23">IFERROR(IF($L23&lt;&gt;"",_xll.PBD($L23,"HQ Country","","",""),""),"")</f>
        <v>Denmark</v>
      </c>
      <c r="Q23" s="1640" t="str" cm="1">
        <f t="array" ref="Q23">IFERROR(IF($L23&lt;&gt;"",_xll.PBD($L23,"HQ City","","EUR",""),""),"")</f>
        <v>Hvidovre</v>
      </c>
      <c r="S23" s="1666" t="str" cm="1">
        <f t="array" aca="1" ref="S23" ca="1">IFERROR(IF($L23&lt;&gt;"",_xll.PBF($L23,"EV","TTM",$N$11,"","EUR","")/1000000,""),"")</f>
        <v/>
      </c>
      <c r="T23" s="1666" t="str" cm="1">
        <f t="array" aca="1" ref="T23" ca="1">IFERROR(IF($L23&lt;&gt;"",_xll.PBF($L23,"NET Debt","TTM",$N$11,"","EUR","")/1000000,""),"")</f>
        <v/>
      </c>
      <c r="U23" s="1666" t="str" cm="1">
        <f t="array" aca="1" ref="U23" ca="1">IFERROR(IF($L23&lt;&gt;"",_xll.PBF($L23,"Market Cap","TTM",$N$11,"","EUR","")/1000000,""),"")</f>
        <v/>
      </c>
      <c r="V23" s="1677" t="str" cm="1">
        <f t="array" aca="1" ref="V23" ca="1">IFERROR(IF($L23&lt;&gt;"",_xll.PBF($L23,"Total Debt to Equity","TTM",$V$21,"","EUR",""),""),"")</f>
        <v/>
      </c>
      <c r="W23" s="1677"/>
      <c r="X23" s="1666" t="str" cm="1">
        <f t="array" aca="1" ref="X23" ca="1">IFERROR(IF($L23&lt;&gt;"",_xll.PBF($L23,"Total Revenue","FY",$X$21,"","EUR","")/1000000,""),"")</f>
        <v/>
      </c>
      <c r="Y23" s="1666" t="str" cm="1">
        <f t="array" aca="1" ref="Y23" ca="1">IFERROR(IF($L23&lt;&gt;"",_xll.PBF($L23,"EBITDA","FY",$N$11,"","EUR","")/1000000,""),"")</f>
        <v/>
      </c>
      <c r="Z23" s="1666" t="str" cm="1">
        <f t="array" aca="1" ref="Z23" ca="1">IFERROR(IF($L23&lt;&gt;"",_xll.PBF($L23,"EBIT","FY",$N$11,"","EUR","")/1000000,""),"")</f>
        <v/>
      </c>
      <c r="AA23" s="1677" t="str" cm="1">
        <f t="array" aca="1" ref="AA23" ca="1">IFERROR(IF($L23&lt;&gt;"",_xll.PBF($L23,"Total Debt to EBITDA","FY",$AA$21,"","EUR",""),""),"")</f>
        <v/>
      </c>
      <c r="AB23" s="1670"/>
      <c r="AC23" s="1672" t="str" cm="1">
        <f t="array" aca="1" ref="AC23" ca="1">IFERROR(IF($L23&lt;&gt;"",_xll.PBF($L23,"EV to Revenue","FY",$N$11,"","EUR",""),""),"")</f>
        <v/>
      </c>
      <c r="AD23" s="1672" t="str" cm="1">
        <f t="array" aca="1" ref="AD23" ca="1">IFERROR(IF($L23&lt;&gt;"",_xll.PBF($L23,"EV to EBITDA","FY",$AD$21,"","EUR",""),""),"")</f>
        <v/>
      </c>
      <c r="AE23" s="1672" t="str" cm="1">
        <f t="array" aca="1" ref="AE23" ca="1">IFERROR(IF($L23&lt;&gt;"",_xll.PBF($L23,"EV to EBIT","FY",$AE$21,"","EUR",""),""),"")</f>
        <v/>
      </c>
      <c r="AF23" s="1672"/>
      <c r="AG23" s="1672" t="str" cm="1">
        <f t="array" aca="1" ref="AG23" ca="1">IFERROR(IF($L23&lt;&gt;"",_xll.PBF($L23,"EV to Forward Revenue","FY",$AG$21,"","EUR",""),""),"")</f>
        <v/>
      </c>
      <c r="AH23" s="1672" t="str" cm="1">
        <f t="array" aca="1" ref="AH23" ca="1">IFERROR(IF($L23&lt;&gt;"",_xll.PBF($L23,"EV to Forward EBITDA","FY",$AH$21,"","EUR",""),""),"")</f>
        <v/>
      </c>
      <c r="AI23" s="1672" t="str" cm="1">
        <f t="array" aca="1" ref="AI23" ca="1">IFERROR(IF($L23&lt;&gt;"",_xll.PBF($L23,"EV to Forward EBIT","FY",$AI$21,"","EUR",""),""),"")</f>
        <v/>
      </c>
      <c r="AJ23" s="1650"/>
      <c r="AK23" s="1907" t="s">
        <v>557</v>
      </c>
      <c r="AL23" s="1693" cm="1">
        <f t="array" ref="AL23">IFERROR(IF(AK23&lt;&gt;"",_xll.PBD(AK23,"Deal Date","","EUR",""),""),"")</f>
        <v>45784</v>
      </c>
      <c r="AM23" s="1693" t="str" cm="1">
        <f t="array" ref="AM23">IFERROR(IF(AK23&lt;&gt;"",_xll.PBD(AK23,"Limit1.Deal Type 1","","EUR",""),""),"")</f>
        <v>Merger/Acquisition</v>
      </c>
      <c r="AN23" s="1693" t="str" cm="1">
        <f t="array" ref="AN23">IFERROR(IF(AK23&lt;&gt;"",_xll.PBD(AK23,"Limit1.Company Id","","EUR",""),""),"")</f>
        <v>438525-19</v>
      </c>
      <c r="AO23" s="1640" t="str" cm="1">
        <f t="array" ref="AO23">IFERROR(IF(AN23&lt;&gt;"",_xll.PBD(AN23,"Name","","EUR",""),""),"")</f>
        <v>DTK Group</v>
      </c>
      <c r="AP23" s="1640" t="str" cm="1">
        <f t="array" ref="AP23">IFERROR(IF(AN23&lt;&gt;"",_xll.PBD(AN23,"Primary Industry Code","","EUR",""),""),"")</f>
        <v>Holding Companies</v>
      </c>
      <c r="AQ23" s="1640" t="str" cm="1">
        <f t="array" ref="AQ23">IFERROR(IF(AN23&lt;&gt;"",_xll.PBD(AN23,"HQ Country","","EUR",""),""),"")</f>
        <v>Denmark</v>
      </c>
      <c r="AR23" s="1640" t="str" cm="1">
        <f t="array" ref="AR23">IFERROR(IF(AK23&lt;&gt;"",_xll.PBD(AK23,"Limit1.Investors Ids","","EUR",""),""),"")</f>
        <v>111959-20</v>
      </c>
      <c r="AS23" s="1640" t="str" cm="1">
        <f t="array" ref="AS23">IFERROR(IF(AR23&lt;&gt;"",_xll.PBD(AR23,"Name","","EUR",""),""),"")</f>
        <v>NTG Nordic Transport Group</v>
      </c>
      <c r="AT23" s="1640" t="str" cm="1">
        <f t="array" ref="AT23">IFERROR(IF(AR23&lt;&gt;"",_xll.PBD(AR23,"Primary Industry Code","","EUR",""),""),"")</f>
        <v>Logistics</v>
      </c>
      <c r="AU23" s="1640" t="str" cm="1">
        <f t="array" ref="AU23">IFERROR(IF(AR23&lt;&gt;"",_xll.PBD(AR23,"Limit2.Entity Types","","EUR",""),""),"")</f>
        <v>Public Company, Acquirer</v>
      </c>
      <c r="AV23" s="1640" t="str" cm="1">
        <f t="array" ref="AV23">IFERROR(IF(AR23&lt;&gt;"",_xll.PBD(AR23,"HQ Country","","EUR",""),""),"")</f>
        <v>Denmark</v>
      </c>
      <c r="AX23" s="1641" cm="1">
        <f t="array" ref="AX23">IFERROR(IF(AK23&lt;&gt;"",_xll.PBD(AK23,"Limit1.Deal Amount","","EUR","")/1000000,""),"")</f>
        <v>75.931108141186272</v>
      </c>
      <c r="AY23" s="1641" cm="1">
        <f t="array" ref="AY23">IFERROR(IF(AK23&lt;&gt;"",_xll.PBD(AK23,"Limit1.Implied EV ","","EUR","")/1000000,""),"")</f>
        <v>60.088691751235054</v>
      </c>
      <c r="AZ23" s="1694" cm="1">
        <f t="array" ref="AZ23">IFERROR(IF(AK23&lt;&gt;"",_xll.PBD(AK23,"Limit1.% Acquired ","","EUR",""),""),"")</f>
        <v>1</v>
      </c>
      <c r="BB23" s="1695" cm="1">
        <f t="array" ref="BB23">IFERROR(IF(AK23&lt;&gt;"",_xll.PBD(AK23,"Implied EV / Revenue","","EUR",""),""),"")</f>
        <v>0.38478038591052593</v>
      </c>
      <c r="BC23" s="1695" cm="1">
        <f t="array" ref="BC23">IFERROR(IF(AK23&lt;&gt;"",_xll.PBD(AK23,"Implied EV / EBITDA","","EUR",""),""),"")</f>
        <v>4.6090838705776322</v>
      </c>
      <c r="BD23" s="1695" cm="1">
        <f t="array" ref="BD23">IFERROR(IF(AK23&lt;&gt;"",_xll.PBD(AK23,"Implied EV / EBIT","","EUR",""),""),"")</f>
        <v>4.6925072946949271</v>
      </c>
      <c r="BF23" s="1640" t="str" cm="1">
        <f t="array" ref="BF23">IFERROR(IF(AR23&lt;&gt;"",_xll.PBD(AR23,"Brief Description","","EUR",""),""),"")</f>
        <v>Provider of logistics and transportation services catering to securing vital supplies across the globe.</v>
      </c>
    </row>
    <row r="24" spans="2:58" ht="13.9" customHeight="1">
      <c r="B24" s="1638"/>
      <c r="C24" s="1597"/>
      <c r="D24" s="1597"/>
      <c r="E24" s="1617"/>
      <c r="F24" s="1617"/>
      <c r="G24" s="1617"/>
      <c r="H24" s="1617"/>
      <c r="I24" s="1618"/>
      <c r="J24" s="1618"/>
      <c r="K24" s="1593"/>
      <c r="L24" s="1705" t="s">
        <v>558</v>
      </c>
      <c r="M24" s="1583"/>
      <c r="N24" s="1640" t="str" cm="1">
        <f t="array" ref="N24">IFERROR(IF($L24&lt;&gt;"",_xll.PBD($L24,"Name","","USD",""),""),"")</f>
        <v>DSV</v>
      </c>
      <c r="O24" s="1640" t="str" cm="1">
        <f t="array" ref="O24">IFERROR(IF($L24&lt;&gt;"",_xll.PBD($L24,"Primary Industry Code","","",""),""),"")</f>
        <v>Logistics</v>
      </c>
      <c r="P24" s="1640" t="str" cm="1">
        <f t="array" ref="P24">IFERROR(IF($L24&lt;&gt;"",_xll.PBD($L24,"HQ Country","","",""),""),"")</f>
        <v>Denmark</v>
      </c>
      <c r="Q24" s="1640" t="str" cm="1">
        <f t="array" ref="Q24">IFERROR(IF($L24&lt;&gt;"",_xll.PBD($L24,"HQ City","","EUR",""),""),"")</f>
        <v>Hedehusene</v>
      </c>
      <c r="S24" s="1666" t="str" cm="1">
        <f t="array" aca="1" ref="S24" ca="1">IFERROR(IF($L24&lt;&gt;"",_xll.PBF($L24,"EV","TTM",$N$11,"","EUR","")/1000000,""),"")</f>
        <v/>
      </c>
      <c r="T24" s="1666" t="str" cm="1">
        <f t="array" aca="1" ref="T24" ca="1">IFERROR(IF($L24&lt;&gt;"",_xll.PBF($L24,"NET Debt","TTM",$N$11,"","EUR","")/1000000,""),"")</f>
        <v/>
      </c>
      <c r="U24" s="1666" t="str" cm="1">
        <f t="array" aca="1" ref="U24" ca="1">IFERROR(IF($L24&lt;&gt;"",_xll.PBF($L24,"Market Cap","TTM",$N$11,"","EUR","")/1000000,""),"")</f>
        <v/>
      </c>
      <c r="V24" s="1677" t="str" cm="1">
        <f t="array" aca="1" ref="V24" ca="1">IFERROR(IF($L24&lt;&gt;"",_xll.PBF($L24,"Total Debt to Equity","TTM",$V$21,"","EUR",""),""),"")</f>
        <v/>
      </c>
      <c r="W24" s="1677"/>
      <c r="X24" s="1666" t="str" cm="1">
        <f t="array" aca="1" ref="X24" ca="1">IFERROR(IF($L24&lt;&gt;"",_xll.PBF($L24,"Total Revenue","FY",$X$21,"","EUR","")/1000000,""),"")</f>
        <v/>
      </c>
      <c r="Y24" s="1666" t="str" cm="1">
        <f t="array" aca="1" ref="Y24" ca="1">IFERROR(IF($L24&lt;&gt;"",_xll.PBF($L24,"EBITDA","FY",$N$11,"","EUR","")/1000000,""),"")</f>
        <v/>
      </c>
      <c r="Z24" s="1666" t="str" cm="1">
        <f t="array" aca="1" ref="Z24" ca="1">IFERROR(IF($L24&lt;&gt;"",_xll.PBF($L24,"EBIT","FY",$N$11,"","EUR","")/1000000,""),"")</f>
        <v/>
      </c>
      <c r="AA24" s="1677" t="str" cm="1">
        <f t="array" aca="1" ref="AA24" ca="1">IFERROR(IF($L24&lt;&gt;"",_xll.PBF($L24,"Total Debt to EBITDA","FY",$AA$21,"","EUR",""),""),"")</f>
        <v/>
      </c>
      <c r="AB24" s="1670"/>
      <c r="AC24" s="1672" t="str" cm="1">
        <f t="array" aca="1" ref="AC24" ca="1">IFERROR(IF($L24&lt;&gt;"",_xll.PBF($L24,"EV to Revenue","FY",$N$11,"","EUR",""),""),"")</f>
        <v/>
      </c>
      <c r="AD24" s="1672" t="str" cm="1">
        <f t="array" aca="1" ref="AD24" ca="1">IFERROR(IF($L24&lt;&gt;"",_xll.PBF($L24,"EV to EBITDA","FY",$AD$21,"","EUR",""),""),"")</f>
        <v/>
      </c>
      <c r="AE24" s="1672" t="str" cm="1">
        <f t="array" aca="1" ref="AE24" ca="1">IFERROR(IF($L24&lt;&gt;"",_xll.PBF($L24,"EV to EBIT","FY",$AE$21,"","EUR",""),""),"")</f>
        <v/>
      </c>
      <c r="AF24" s="1672"/>
      <c r="AG24" s="1672" t="str" cm="1">
        <f t="array" aca="1" ref="AG24" ca="1">IFERROR(IF($L24&lt;&gt;"",_xll.PBF($L24,"EV to Forward Revenue","FY",$AG$21,"","EUR",""),""),"")</f>
        <v/>
      </c>
      <c r="AH24" s="1672" t="str" cm="1">
        <f t="array" aca="1" ref="AH24" ca="1">IFERROR(IF($L24&lt;&gt;"",_xll.PBF($L24,"EV to Forward EBITDA","FY",$AH$21,"","EUR",""),""),"")</f>
        <v/>
      </c>
      <c r="AI24" s="1672" t="str" cm="1">
        <f t="array" aca="1" ref="AI24" ca="1">IFERROR(IF($L24&lt;&gt;"",_xll.PBF($L24,"EV to Forward EBIT","FY",$AI$21,"","EUR",""),""),"")</f>
        <v/>
      </c>
      <c r="AJ24" s="1650"/>
      <c r="AK24" s="1907" t="s">
        <v>559</v>
      </c>
      <c r="AL24" s="1693" cm="1">
        <f t="array" ref="AL24">IFERROR(IF(AK24&lt;&gt;"",_xll.PBD(AK24,"Deal Date","","EUR",""),""),"")</f>
        <v>45714</v>
      </c>
      <c r="AM24" s="1693" t="str" cm="1">
        <f t="array" ref="AM24">IFERROR(IF(AK24&lt;&gt;"",_xll.PBD(AK24,"Limit1.Deal Type 1","","EUR",""),""),"")</f>
        <v>Merger/Acquisition</v>
      </c>
      <c r="AN24" s="1693" t="str" cm="1">
        <f t="array" ref="AN24">IFERROR(IF(AK24&lt;&gt;"",_xll.PBD(AK24,"Limit1.Company Id","","EUR",""),""),"")</f>
        <v>755533-18</v>
      </c>
      <c r="AO24" s="1640" t="str" cm="1">
        <f t="array" ref="AO24">IFERROR(IF(AN24&lt;&gt;"",_xll.PBD(AN24,"Name","","EUR",""),""),"")</f>
        <v>Delletrans</v>
      </c>
      <c r="AP24" s="1640" t="str" cm="1">
        <f t="array" ref="AP24">IFERROR(IF(AN24&lt;&gt;"",_xll.PBD(AN24,"Primary Industry Code","","EUR",""),""),"")</f>
        <v>Road</v>
      </c>
      <c r="AQ24" s="1640" t="str" cm="1">
        <f t="array" ref="AQ24">IFERROR(IF(AN24&lt;&gt;"",_xll.PBD(AN24,"HQ Country","","EUR",""),""),"")</f>
        <v>Belgium</v>
      </c>
      <c r="AR24" s="1640" t="str" cm="1">
        <f t="array" ref="AR24">IFERROR(IF(AK24&lt;&gt;"",_xll.PBD(AK24,"Limit1.Investors Ids","","EUR",""),""),"")</f>
        <v>327305-44</v>
      </c>
      <c r="AS24" s="1640" t="str" cm="1">
        <f t="array" ref="AS24">IFERROR(IF(AR24&lt;&gt;"",_xll.PBD(AR24,"Name","","EUR",""),""),"")</f>
        <v>Xwift</v>
      </c>
      <c r="AT24" s="1640" t="str" cm="1">
        <f t="array" ref="AT24">IFERROR(IF(AR24&lt;&gt;"",_xll.PBD(AR24,"Primary Industry Code","","EUR",""),""),"")</f>
        <v/>
      </c>
      <c r="AU24" s="1640" t="str" cm="1">
        <f t="array" ref="AU24">IFERROR(IF(AR24&lt;&gt;"",_xll.PBD(AR24,"Limit2.Entity Types","","EUR",""),""),"")</f>
        <v>Acquirer</v>
      </c>
      <c r="AV24" s="1640" t="str" cm="1">
        <f t="array" ref="AV24">IFERROR(IF(AR24&lt;&gt;"",_xll.PBD(AR24,"HQ Country","","EUR",""),""),"")</f>
        <v/>
      </c>
      <c r="AX24" s="1641" t="str" cm="1">
        <f t="array" ref="AX24">IFERROR(IF(AK24&lt;&gt;"",_xll.PBD(AK24,"Limit1.Deal Amount","","EUR","")/1000000,""),"")</f>
        <v/>
      </c>
      <c r="AY24" s="1641" t="str" cm="1">
        <f t="array" ref="AY24">IFERROR(IF(AK24&lt;&gt;"",_xll.PBD(AK24,"Limit1.Implied EV ","","EUR","")/1000000,""),"")</f>
        <v/>
      </c>
      <c r="AZ24" s="1694" cm="1">
        <f t="array" ref="AZ24">IFERROR(IF(AK24&lt;&gt;"",_xll.PBD(AK24,"Limit1.% Acquired ","","EUR",""),""),"")</f>
        <v>1</v>
      </c>
      <c r="BB24" s="1695" t="str" cm="1">
        <f t="array" ref="BB24">IFERROR(IF(AK24&lt;&gt;"",_xll.PBD(AK24,"Implied EV / Revenue","","EUR",""),""),"")</f>
        <v/>
      </c>
      <c r="BC24" s="1695" t="str" cm="1">
        <f t="array" ref="BC24">IFERROR(IF(AK24&lt;&gt;"",_xll.PBD(AK24,"Implied EV / EBITDA","","EUR",""),""),"")</f>
        <v/>
      </c>
      <c r="BD24" s="1695" t="str" cm="1">
        <f t="array" ref="BD24">IFERROR(IF(AK24&lt;&gt;"",_xll.PBD(AK24,"Implied EV / EBIT","","EUR",""),""),"")</f>
        <v/>
      </c>
      <c r="BF24" s="1640" t="str" cm="1">
        <f t="array" ref="BF24">IFERROR(IF(AR24&lt;&gt;"",_xll.PBD(AR24,"Brief Description","","EUR",""),""),"")</f>
        <v/>
      </c>
    </row>
    <row r="25" spans="2:58" ht="13.9" customHeight="1">
      <c r="B25" s="1638"/>
      <c r="C25" s="1611"/>
      <c r="D25" s="1611" t="s">
        <v>142</v>
      </c>
      <c r="E25" s="1621">
        <f>IFERROR(INDEX('Mult.Aggr.'!C5:AA28,MATCH(E12,'Mult.Aggr.'!C5:C28,0),MATCH(E13,'Mult.Aggr.'!C5:AA5,0)),"")</f>
        <v>5.6</v>
      </c>
      <c r="F25" s="1621" t="s">
        <v>149</v>
      </c>
      <c r="G25" s="1621" t="s">
        <v>149</v>
      </c>
      <c r="H25" s="1621">
        <f>IFERROR(INDEX('Mult.Aggr.'!AV7:AY23,MATCH(H12,'Mult.Aggr.'!AV7:AV23,0),4),"")</f>
        <v>4.7</v>
      </c>
      <c r="I25" s="1622"/>
      <c r="J25" s="1622"/>
      <c r="K25" s="1593"/>
      <c r="L25" s="1705" t="s">
        <v>560</v>
      </c>
      <c r="M25" s="1583"/>
      <c r="N25" s="1640" t="str" cm="1">
        <f t="array" ref="N25">IFERROR(IF($L25&lt;&gt;"",_xll.PBD($L25,"Name","","USD",""),""),"")</f>
        <v>TFI International</v>
      </c>
      <c r="O25" s="1640" t="str" cm="1">
        <f t="array" ref="O25">IFERROR(IF($L25&lt;&gt;"",_xll.PBD($L25,"Primary Industry Code","","",""),""),"")</f>
        <v>Road</v>
      </c>
      <c r="P25" s="1640" t="str" cm="1">
        <f t="array" ref="P25">IFERROR(IF($L25&lt;&gt;"",_xll.PBD($L25,"HQ Country","","",""),""),"")</f>
        <v>Canada</v>
      </c>
      <c r="Q25" s="1640" t="str" cm="1">
        <f t="array" ref="Q25">IFERROR(IF($L25&lt;&gt;"",_xll.PBD($L25,"HQ City","","EUR",""),""),"")</f>
        <v>Saint-Laurent</v>
      </c>
      <c r="S25" s="1666" t="str" cm="1">
        <f t="array" aca="1" ref="S25" ca="1">IFERROR(IF($L25&lt;&gt;"",_xll.PBF($L25,"EV","TTM",$N$11,"","EUR","")/1000000,""),"")</f>
        <v/>
      </c>
      <c r="T25" s="1666" t="str" cm="1">
        <f t="array" aca="1" ref="T25" ca="1">IFERROR(IF($L25&lt;&gt;"",_xll.PBF($L25,"NET Debt","TTM",$N$11,"","EUR","")/1000000,""),"")</f>
        <v/>
      </c>
      <c r="U25" s="1666" t="str" cm="1">
        <f t="array" aca="1" ref="U25" ca="1">IFERROR(IF($L25&lt;&gt;"",_xll.PBF($L25,"Market Cap","TTM",$N$11,"","EUR","")/1000000,""),"")</f>
        <v/>
      </c>
      <c r="V25" s="1677" t="str" cm="1">
        <f t="array" aca="1" ref="V25" ca="1">IFERROR(IF($L25&lt;&gt;"",_xll.PBF($L25,"Total Debt to Equity","TTM",$V$21,"","EUR",""),""),"")</f>
        <v/>
      </c>
      <c r="W25" s="1677"/>
      <c r="X25" s="1666" t="str" cm="1">
        <f t="array" aca="1" ref="X25" ca="1">IFERROR(IF($L25&lt;&gt;"",_xll.PBF($L25,"Total Revenue","FY",$X$21,"","EUR","")/1000000,""),"")</f>
        <v/>
      </c>
      <c r="Y25" s="1666" t="str" cm="1">
        <f t="array" aca="1" ref="Y25" ca="1">IFERROR(IF($L25&lt;&gt;"",_xll.PBF($L25,"EBITDA","FY",$N$11,"","EUR","")/1000000,""),"")</f>
        <v/>
      </c>
      <c r="Z25" s="1666" t="str" cm="1">
        <f t="array" aca="1" ref="Z25" ca="1">IFERROR(IF($L25&lt;&gt;"",_xll.PBF($L25,"EBIT","FY",$N$11,"","EUR","")/1000000,""),"")</f>
        <v/>
      </c>
      <c r="AA25" s="1677" t="str" cm="1">
        <f t="array" aca="1" ref="AA25" ca="1">IFERROR(IF($L25&lt;&gt;"",_xll.PBF($L25,"Total Debt to EBITDA","FY",$AA$21,"","EUR",""),""),"")</f>
        <v/>
      </c>
      <c r="AB25" s="1670"/>
      <c r="AC25" s="1672" t="str" cm="1">
        <f t="array" aca="1" ref="AC25" ca="1">IFERROR(IF($L25&lt;&gt;"",_xll.PBF($L25,"EV to Revenue","FY",$N$11,"","EUR",""),""),"")</f>
        <v/>
      </c>
      <c r="AD25" s="1672" t="str" cm="1">
        <f t="array" aca="1" ref="AD25" ca="1">IFERROR(IF($L25&lt;&gt;"",_xll.PBF($L25,"EV to EBITDA","FY",$AD$21,"","EUR",""),""),"")</f>
        <v/>
      </c>
      <c r="AE25" s="1672" t="str" cm="1">
        <f t="array" aca="1" ref="AE25" ca="1">IFERROR(IF($L25&lt;&gt;"",_xll.PBF($L25,"EV to EBIT","FY",$AE$21,"","EUR",""),""),"")</f>
        <v/>
      </c>
      <c r="AF25" s="1672"/>
      <c r="AG25" s="1672" t="str" cm="1">
        <f t="array" aca="1" ref="AG25" ca="1">IFERROR(IF($L25&lt;&gt;"",_xll.PBF($L25,"EV to Forward Revenue","FY",$AG$21,"","EUR",""),""),"")</f>
        <v/>
      </c>
      <c r="AH25" s="1672" t="str" cm="1">
        <f t="array" aca="1" ref="AH25" ca="1">IFERROR(IF($L25&lt;&gt;"",_xll.PBF($L25,"EV to Forward EBITDA","FY",$AH$21,"","EUR",""),""),"")</f>
        <v/>
      </c>
      <c r="AI25" s="1672" t="str" cm="1">
        <f t="array" aca="1" ref="AI25" ca="1">IFERROR(IF($L25&lt;&gt;"",_xll.PBF($L25,"EV to Forward EBIT","FY",$AI$21,"","EUR",""),""),"")</f>
        <v/>
      </c>
      <c r="AJ25" s="1650"/>
      <c r="AK25" s="1907" t="s">
        <v>561</v>
      </c>
      <c r="AL25" s="1693" cm="1">
        <f t="array" ref="AL25">IFERROR(IF(AK25&lt;&gt;"",_xll.PBD(AK25,"Deal Date","","EUR",""),""),"")</f>
        <v>44546</v>
      </c>
      <c r="AM25" s="1693" t="str" cm="1">
        <f t="array" ref="AM25">IFERROR(IF(AK25&lt;&gt;"",_xll.PBD(AK25,"Limit1.Deal Type 1","","EUR",""),""),"")</f>
        <v>Merger/Acquisition</v>
      </c>
      <c r="AN25" s="1693" t="str" cm="1">
        <f t="array" ref="AN25">IFERROR(IF(AK25&lt;&gt;"",_xll.PBD(AK25,"Limit1.Company Id","","EUR",""),""),"")</f>
        <v>484841-53</v>
      </c>
      <c r="AO25" s="1640" t="str" cm="1">
        <f t="array" ref="AO25">IFERROR(IF(AN25&lt;&gt;"",_xll.PBD(AN25,"Name","","EUR",""),""),"")</f>
        <v>ID-Logistics</v>
      </c>
      <c r="AP25" s="1640" t="str" cm="1">
        <f t="array" ref="AP25">IFERROR(IF(AN25&lt;&gt;"",_xll.PBD(AN25,"Primary Industry Code","","EUR",""),""),"")</f>
        <v>Logistics</v>
      </c>
      <c r="AQ25" s="1640" t="str" cm="1">
        <f t="array" ref="AQ25">IFERROR(IF(AN25&lt;&gt;"",_xll.PBD(AN25,"HQ Country","","EUR",""),""),"")</f>
        <v>Netherlands</v>
      </c>
      <c r="AR25" s="1640" t="str" cm="1">
        <f t="array" ref="AR25">IFERROR(IF(AK25&lt;&gt;"",_xll.PBD(AK25,"Limit1.Investors Ids","","EUR",""),""),"")</f>
        <v>61419-25</v>
      </c>
      <c r="AS25" s="1640" t="str" cm="1">
        <f t="array" ref="AS25">IFERROR(IF(AR25&lt;&gt;"",_xll.PBD(AR25,"Name","","EUR",""),""),"")</f>
        <v>ID Logistics Group</v>
      </c>
      <c r="AT25" s="1640" t="str" cm="1">
        <f t="array" ref="AT25">IFERROR(IF(AR25&lt;&gt;"",_xll.PBD(AR25,"Primary Industry Code","","EUR",""),""),"")</f>
        <v>Logistics</v>
      </c>
      <c r="AU25" s="1640" t="str" cm="1">
        <f t="array" ref="AU25">IFERROR(IF(AR25&lt;&gt;"",_xll.PBD(AR25,"Limit2.Entity Types","","EUR",""),""),"")</f>
        <v>Public Company, Acquirer</v>
      </c>
      <c r="AV25" s="1640" t="str" cm="1">
        <f t="array" ref="AV25">IFERROR(IF(AR25&lt;&gt;"",_xll.PBD(AR25,"HQ Country","","EUR",""),""),"")</f>
        <v>France</v>
      </c>
      <c r="AX25" s="1641" cm="1">
        <f t="array" ref="AX25">IFERROR(IF(AK25&lt;&gt;"",_xll.PBD(AK25,"Limit1.Deal Amount","","EUR","")/1000000,""),"")</f>
        <v>80</v>
      </c>
      <c r="AY25" s="1641" cm="1">
        <f t="array" ref="AY25">IFERROR(IF(AK25&lt;&gt;"",_xll.PBD(AK25,"Limit1.Implied EV ","","EUR","")/1000000,""),"")</f>
        <v>77.14</v>
      </c>
      <c r="AZ25" s="1694" cm="1">
        <f t="array" ref="AZ25">IFERROR(IF(AK25&lt;&gt;"",_xll.PBD(AK25,"Limit1.% Acquired ","","EUR",""),""),"")</f>
        <v>1</v>
      </c>
      <c r="BB25" s="1695" cm="1">
        <f t="array" ref="BB25">IFERROR(IF(AK25&lt;&gt;"",_xll.PBD(AK25,"Implied EV / Revenue","","EUR",""),""),"")</f>
        <v>0.85261225517930994</v>
      </c>
      <c r="BC25" s="1695" cm="1">
        <f t="array" ref="BC25">IFERROR(IF(AK25&lt;&gt;"",_xll.PBD(AK25,"Implied EV / EBITDA","","EUR",""),""),"")</f>
        <v>12.255826800414162</v>
      </c>
      <c r="BD25" s="1695" cm="1">
        <f t="array" ref="BD25">IFERROR(IF(AK25&lt;&gt;"",_xll.PBD(AK25,"Implied EV / EBIT","","EUR",""),""),"")</f>
        <v>20.061484783933334</v>
      </c>
      <c r="BF25" s="1640" t="str" cm="1">
        <f t="array" ref="BF25">IFERROR(IF(AR25&lt;&gt;"",_xll.PBD(AR25,"Brief Description","","EUR",""),""),"")</f>
        <v>Operator of a logistics company intended to offer supply chain management, transportation, warehousing, and fulfillment services.</v>
      </c>
    </row>
    <row r="26" spans="2:58" ht="13.9" customHeight="1">
      <c r="B26" s="1638"/>
      <c r="C26" s="1597" t="s">
        <v>525</v>
      </c>
      <c r="D26" s="1597" t="s">
        <v>144</v>
      </c>
      <c r="E26" s="1617" t="s">
        <v>149</v>
      </c>
      <c r="F26" s="1617">
        <f>IFERROR(INDEX('Mult.Aggr.'!AD7:AJ102,MATCH(F12,'Mult.Aggr.'!AD7:AD102,0),7),"")</f>
        <v>12.66</v>
      </c>
      <c r="G26" s="1617" t="s">
        <v>149</v>
      </c>
      <c r="H26" s="1617" t="str">
        <f>IFERROR(INDEX('Mult.Aggr.'!AV7:AY23,MATCH(H12,'Mult.Aggr.'!AV7:AV23,0),5),"")</f>
        <v/>
      </c>
      <c r="I26" s="1618"/>
      <c r="J26" s="1618"/>
      <c r="K26" s="1593"/>
      <c r="L26" s="1705" t="s">
        <v>562</v>
      </c>
      <c r="M26" s="456"/>
      <c r="N26" s="1640" t="str" cm="1">
        <f t="array" ref="N26">IFERROR(IF($L26&lt;&gt;"",_xll.PBD($L26,"Name","","USD",""),""),"")</f>
        <v>Kuehne + Nagel</v>
      </c>
      <c r="O26" s="1640" t="str" cm="1">
        <f t="array" ref="O26">IFERROR(IF($L26&lt;&gt;"",_xll.PBD($L26,"Primary Industry Code","","",""),""),"")</f>
        <v>Logistics</v>
      </c>
      <c r="P26" s="1640" t="str" cm="1">
        <f t="array" ref="P26">IFERROR(IF($L26&lt;&gt;"",_xll.PBD($L26,"HQ Country","","",""),""),"")</f>
        <v>Switzerland</v>
      </c>
      <c r="Q26" s="1640" t="str" cm="1">
        <f t="array" ref="Q26">IFERROR(IF($L26&lt;&gt;"",_xll.PBD($L26,"HQ City","","EUR",""),""),"")</f>
        <v>Schindellegi</v>
      </c>
      <c r="S26" s="1666" t="str" cm="1">
        <f t="array" aca="1" ref="S26" ca="1">IFERROR(IF($L26&lt;&gt;"",_xll.PBF($L26,"EV","TTM",$N$11,"","EUR","")/1000000,""),"")</f>
        <v/>
      </c>
      <c r="T26" s="1666" t="str" cm="1">
        <f t="array" aca="1" ref="T26" ca="1">IFERROR(IF($L26&lt;&gt;"",_xll.PBF($L26,"NET Debt","TTM",$N$11,"","EUR","")/1000000,""),"")</f>
        <v/>
      </c>
      <c r="U26" s="1666" t="str" cm="1">
        <f t="array" aca="1" ref="U26" ca="1">IFERROR(IF($L26&lt;&gt;"",_xll.PBF($L26,"Market Cap","TTM",$N$11,"","EUR","")/1000000,""),"")</f>
        <v/>
      </c>
      <c r="V26" s="1677" t="str" cm="1">
        <f t="array" aca="1" ref="V26" ca="1">IFERROR(IF($L26&lt;&gt;"",_xll.PBF($L26,"Total Debt to Equity","TTM",$V$21,"","EUR",""),""),"")</f>
        <v/>
      </c>
      <c r="W26" s="1677"/>
      <c r="X26" s="1666" t="str" cm="1">
        <f t="array" aca="1" ref="X26" ca="1">IFERROR(IF($L26&lt;&gt;"",_xll.PBF($L26,"Total Revenue","FY",$X$21,"","EUR","")/1000000,""),"")</f>
        <v/>
      </c>
      <c r="Y26" s="1666" t="str" cm="1">
        <f t="array" aca="1" ref="Y26" ca="1">IFERROR(IF($L26&lt;&gt;"",_xll.PBF($L26,"EBITDA","FY",$N$11,"","EUR","")/1000000,""),"")</f>
        <v/>
      </c>
      <c r="Z26" s="1666" t="str" cm="1">
        <f t="array" aca="1" ref="Z26" ca="1">IFERROR(IF($L26&lt;&gt;"",_xll.PBF($L26,"EBIT","FY",$N$11,"","EUR","")/1000000,""),"")</f>
        <v/>
      </c>
      <c r="AA26" s="1677" t="str" cm="1">
        <f t="array" aca="1" ref="AA26" ca="1">IFERROR(IF($L26&lt;&gt;"",_xll.PBF($L26,"Total Debt to EBITDA","FY",$AA$21,"","EUR",""),""),"")</f>
        <v/>
      </c>
      <c r="AB26" s="1670"/>
      <c r="AC26" s="1672" t="str" cm="1">
        <f t="array" aca="1" ref="AC26" ca="1">IFERROR(IF($L26&lt;&gt;"",_xll.PBF($L26,"EV to Revenue","FY",$N$11,"","EUR",""),""),"")</f>
        <v/>
      </c>
      <c r="AD26" s="1672" t="str" cm="1">
        <f t="array" aca="1" ref="AD26" ca="1">IFERROR(IF($L26&lt;&gt;"",_xll.PBF($L26,"EV to EBITDA","FY",$AD$21,"","EUR",""),""),"")</f>
        <v/>
      </c>
      <c r="AE26" s="1672" t="str" cm="1">
        <f t="array" aca="1" ref="AE26" ca="1">IFERROR(IF($L26&lt;&gt;"",_xll.PBF($L26,"EV to EBIT","FY",$AE$21,"","EUR",""),""),"")</f>
        <v/>
      </c>
      <c r="AF26" s="1672"/>
      <c r="AG26" s="1672" t="str" cm="1">
        <f t="array" aca="1" ref="AG26" ca="1">IFERROR(IF($L26&lt;&gt;"",_xll.PBF($L26,"EV to Forward Revenue","FY",$AG$21,"","EUR",""),""),"")</f>
        <v/>
      </c>
      <c r="AH26" s="1672" t="str" cm="1">
        <f t="array" aca="1" ref="AH26" ca="1">IFERROR(IF($L26&lt;&gt;"",_xll.PBF($L26,"EV to Forward EBITDA","FY",$AH$21,"","EUR",""),""),"")</f>
        <v/>
      </c>
      <c r="AI26" s="1672" t="str" cm="1">
        <f t="array" aca="1" ref="AI26" ca="1">IFERROR(IF($L26&lt;&gt;"",_xll.PBF($L26,"EV to Forward EBIT","FY",$AI$21,"","EUR",""),""),"")</f>
        <v/>
      </c>
      <c r="AJ26" s="1650"/>
      <c r="AK26" s="1907" t="s">
        <v>563</v>
      </c>
      <c r="AL26" s="1693" cm="1">
        <f t="array" ref="AL26">IFERROR(IF(AK26&lt;&gt;"",_xll.PBD(AK26,"Deal Date","","EUR",""),""),"")</f>
        <v>44328</v>
      </c>
      <c r="AM26" s="1693" t="str" cm="1">
        <f t="array" ref="AM26">IFERROR(IF(AK26&lt;&gt;"",_xll.PBD(AK26,"Limit1.Deal Type 1","","EUR",""),""),"")</f>
        <v>Merger/Acquisition</v>
      </c>
      <c r="AN26" s="1693" t="str" cm="1">
        <f t="array" ref="AN26">IFERROR(IF(AK26&lt;&gt;"",_xll.PBD(AK26,"Limit1.Company Id","","EUR",""),""),"")</f>
        <v>466124-32</v>
      </c>
      <c r="AO26" s="1640" t="str" cm="1">
        <f t="array" ref="AO26">IFERROR(IF(AN26&lt;&gt;"",_xll.PBD(AN26,"Name","","EUR",""),""),"")</f>
        <v>Combinex Holding</v>
      </c>
      <c r="AP26" s="1640" t="str" cm="1">
        <f t="array" ref="AP26">IFERROR(IF(AN26&lt;&gt;"",_xll.PBD(AN26,"Primary Industry Code","","EUR",""),""),"")</f>
        <v>Logistics</v>
      </c>
      <c r="AQ26" s="1640" t="str" cm="1">
        <f t="array" ref="AQ26">IFERROR(IF(AN26&lt;&gt;"",_xll.PBD(AN26,"HQ Country","","EUR",""),""),"")</f>
        <v>Netherlands</v>
      </c>
      <c r="AR26" s="1640" t="str" cm="1">
        <f t="array" ref="AR26">IFERROR(IF(AK26&lt;&gt;"",_xll.PBD(AK26,"Limit1.Investors Ids","","EUR",""),""),"")</f>
        <v>41091-13</v>
      </c>
      <c r="AS26" s="1640" t="str" cm="1">
        <f t="array" ref="AS26">IFERROR(IF(AR26&lt;&gt;"",_xll.PBD(AR26,"Name","","EUR",""),""),"")</f>
        <v>C.H. Robinson Worldwide</v>
      </c>
      <c r="AT26" s="1640" t="str" cm="1">
        <f t="array" ref="AT26">IFERROR(IF(AR26&lt;&gt;"",_xll.PBD(AR26,"Primary Industry Code","","EUR",""),""),"")</f>
        <v>Logistics</v>
      </c>
      <c r="AU26" s="1640" t="str" cm="1">
        <f t="array" ref="AU26">IFERROR(IF(AR26&lt;&gt;"",_xll.PBD(AR26,"Limit2.Entity Types","","EUR",""),""),"")</f>
        <v>Public Company, Acquirer</v>
      </c>
      <c r="AV26" s="1640" t="str" cm="1">
        <f t="array" ref="AV26">IFERROR(IF(AR26&lt;&gt;"",_xll.PBD(AR26,"HQ Country","","EUR",""),""),"")</f>
        <v>United States</v>
      </c>
      <c r="AX26" s="1641" cm="1">
        <f t="array" ref="AX26">IFERROR(IF(AK26&lt;&gt;"",_xll.PBD(AK26,"Limit1.Deal Amount","","EUR","")/1000000,""),"")</f>
        <v>12.1972956</v>
      </c>
      <c r="AY26" s="1641" cm="1">
        <f t="array" ref="AY26">IFERROR(IF(AK26&lt;&gt;"",_xll.PBD(AK26,"Limit1.Implied EV ","","EUR","")/1000000,""),"")</f>
        <v>9.8822986799999999</v>
      </c>
      <c r="AZ26" s="1694" cm="1">
        <f t="array" ref="AZ26">IFERROR(IF(AK26&lt;&gt;"",_xll.PBD(AK26,"Limit1.% Acquired ","","EUR",""),""),"")</f>
        <v>1</v>
      </c>
      <c r="BB26" s="1695" t="str" cm="1">
        <f t="array" ref="BB26">IFERROR(IF(AK26&lt;&gt;"",_xll.PBD(AK26,"Implied EV / Revenue","","EUR",""),""),"")</f>
        <v/>
      </c>
      <c r="BC26" s="1695" cm="1">
        <f t="array" ref="BC26">IFERROR(IF(AK26&lt;&gt;"",_xll.PBD(AK26,"Implied EV / EBITDA","","EUR",""),""),"")</f>
        <v>6.4573221153657663</v>
      </c>
      <c r="BD26" s="1695" cm="1">
        <f t="array" ref="BD26">IFERROR(IF(AK26&lt;&gt;"",_xll.PBD(AK26,"Implied EV / EBIT","","EUR",""),""),"")</f>
        <v>11.203048470255343</v>
      </c>
      <c r="BF26" s="1640" t="str" cm="1">
        <f t="array" ref="BF26">IFERROR(IF(AR26&lt;&gt;"",_xll.PBD(AR26,"Brief Description","","EUR",""),""),"")</f>
        <v>Provider of freight transportation and logistic services with a focus on domestic, air and ocean freight intended to solve logistics problems for companies across the globe.</v>
      </c>
    </row>
    <row r="27" spans="2:58" ht="13.9" customHeight="1">
      <c r="B27" s="1638"/>
      <c r="C27" s="1614"/>
      <c r="D27" s="1614" t="s">
        <v>146</v>
      </c>
      <c r="E27" s="1619" cm="1">
        <f t="array" ref="E27">IFERROR(INDEX('Mult.Aggr.'!C5:AA28,MATCH(E12,'Mult.Aggr.'!C5:C28,0),MATCH(E13,'Mult.Aggr.'!C5:AA5,0)+1),"")</f>
        <v>7</v>
      </c>
      <c r="F27" s="1619" t="s">
        <v>149</v>
      </c>
      <c r="G27" s="1619" t="s">
        <v>149</v>
      </c>
      <c r="H27" s="1619" t="str">
        <f>IFERROR(INDEX('Mult.Aggr.'!AV7:AY23,MATCH(H12,'Mult.Aggr.'!AV7:AV23,0),6),"")</f>
        <v/>
      </c>
      <c r="I27" s="1620"/>
      <c r="J27" s="1620"/>
      <c r="K27" s="1593"/>
      <c r="L27" s="1705" t="s">
        <v>564</v>
      </c>
      <c r="M27" s="1626"/>
      <c r="N27" s="1640" t="str" cm="1">
        <f t="array" ref="N27">IFERROR(IF($L27&lt;&gt;"",_xll.PBD($L27,"Name","","USD",""),""),"")</f>
        <v>Expeditors International of Washington</v>
      </c>
      <c r="O27" s="1640" t="str" cm="1">
        <f t="array" ref="O27">IFERROR(IF($L27&lt;&gt;"",_xll.PBD($L27,"Primary Industry Code","","",""),""),"")</f>
        <v>Logistics</v>
      </c>
      <c r="P27" s="1640" t="str" cm="1">
        <f t="array" ref="P27">IFERROR(IF($L27&lt;&gt;"",_xll.PBD($L27,"HQ Country","","",""),""),"")</f>
        <v>United States</v>
      </c>
      <c r="Q27" s="1640" t="str" cm="1">
        <f t="array" ref="Q27">IFERROR(IF($L27&lt;&gt;"",_xll.PBD($L27,"HQ City","","EUR",""),""),"")</f>
        <v>Bellevue</v>
      </c>
      <c r="S27" s="1666" t="str" cm="1">
        <f t="array" aca="1" ref="S27" ca="1">IFERROR(IF($L27&lt;&gt;"",_xll.PBF($L27,"EV","TTM",$N$11,"","EUR","")/1000000,""),"")</f>
        <v/>
      </c>
      <c r="T27" s="1666" t="str" cm="1">
        <f t="array" aca="1" ref="T27" ca="1">IFERROR(IF($L27&lt;&gt;"",_xll.PBF($L27,"NET Debt","TTM",$N$11,"","EUR","")/1000000,""),"")</f>
        <v/>
      </c>
      <c r="U27" s="1666" t="str" cm="1">
        <f t="array" aca="1" ref="U27" ca="1">IFERROR(IF($L27&lt;&gt;"",_xll.PBF($L27,"Market Cap","TTM",$N$11,"","EUR","")/1000000,""),"")</f>
        <v/>
      </c>
      <c r="V27" s="1677" t="str" cm="1">
        <f t="array" aca="1" ref="V27" ca="1">IFERROR(IF($L27&lt;&gt;"",_xll.PBF($L27,"Total Debt to Equity","TTM",$V$21,"","EUR",""),""),"")</f>
        <v/>
      </c>
      <c r="W27" s="1677"/>
      <c r="X27" s="1666" t="str" cm="1">
        <f t="array" aca="1" ref="X27" ca="1">IFERROR(IF($L27&lt;&gt;"",_xll.PBF($L27,"Total Revenue","FY",$X$21,"","EUR","")/1000000,""),"")</f>
        <v/>
      </c>
      <c r="Y27" s="1666" t="str" cm="1">
        <f t="array" aca="1" ref="Y27" ca="1">IFERROR(IF($L27&lt;&gt;"",_xll.PBF($L27,"EBITDA","FY",$N$11,"","EUR","")/1000000,""),"")</f>
        <v/>
      </c>
      <c r="Z27" s="1666" t="str" cm="1">
        <f t="array" aca="1" ref="Z27" ca="1">IFERROR(IF($L27&lt;&gt;"",_xll.PBF($L27,"EBIT","FY",$N$11,"","EUR","")/1000000,""),"")</f>
        <v/>
      </c>
      <c r="AA27" s="1677" t="str" cm="1">
        <f t="array" aca="1" ref="AA27" ca="1">IFERROR(IF($L27&lt;&gt;"",_xll.PBF($L27,"Total Debt to EBITDA","FY",$AA$21,"","EUR",""),""),"")</f>
        <v/>
      </c>
      <c r="AB27" s="1670"/>
      <c r="AC27" s="1672" t="str" cm="1">
        <f t="array" aca="1" ref="AC27" ca="1">IFERROR(IF($L27&lt;&gt;"",_xll.PBF($L27,"EV to Revenue","FY",$N$11,"","EUR",""),""),"")</f>
        <v/>
      </c>
      <c r="AD27" s="1672" t="str" cm="1">
        <f t="array" aca="1" ref="AD27" ca="1">IFERROR(IF($L27&lt;&gt;"",_xll.PBF($L27,"EV to EBITDA","FY",$AD$21,"","EUR",""),""),"")</f>
        <v/>
      </c>
      <c r="AE27" s="1672" t="str" cm="1">
        <f t="array" aca="1" ref="AE27" ca="1">IFERROR(IF($L27&lt;&gt;"",_xll.PBF($L27,"EV to EBIT","FY",$AE$21,"","EUR",""),""),"")</f>
        <v/>
      </c>
      <c r="AF27" s="1672"/>
      <c r="AG27" s="1672" t="str" cm="1">
        <f t="array" aca="1" ref="AG27" ca="1">IFERROR(IF($L27&lt;&gt;"",_xll.PBF($L27,"EV to Forward Revenue","FY",$AG$21,"","EUR",""),""),"")</f>
        <v/>
      </c>
      <c r="AH27" s="1672" t="str" cm="1">
        <f t="array" aca="1" ref="AH27" ca="1">IFERROR(IF($L27&lt;&gt;"",_xll.PBF($L27,"EV to Forward EBITDA","FY",$AH$21,"","EUR",""),""),"")</f>
        <v/>
      </c>
      <c r="AI27" s="1672" t="str" cm="1">
        <f t="array" aca="1" ref="AI27" ca="1">IFERROR(IF($L27&lt;&gt;"",_xll.PBF($L27,"EV to Forward EBIT","FY",$AI$21,"","EUR",""),""),"")</f>
        <v/>
      </c>
      <c r="AJ27" s="1650"/>
      <c r="AK27" s="1907" t="s">
        <v>565</v>
      </c>
      <c r="AL27" s="1693" cm="1">
        <f t="array" ref="AL27">IFERROR(IF(AK27&lt;&gt;"",_xll.PBD(AK27,"Deal Date","","EUR",""),""),"")</f>
        <v>45057</v>
      </c>
      <c r="AM27" s="1693" t="str" cm="1">
        <f t="array" ref="AM27">IFERROR(IF(AK27&lt;&gt;"",_xll.PBD(AK27,"Limit1.Deal Type 1","","EUR",""),""),"")</f>
        <v>Merger/Acquisition</v>
      </c>
      <c r="AN27" s="1693" t="str" cm="1">
        <f t="array" ref="AN27">IFERROR(IF(AK27&lt;&gt;"",_xll.PBD(AK27,"Limit1.Company Id","","EUR",""),""),"")</f>
        <v>527479-30</v>
      </c>
      <c r="AO27" s="1640" t="str" cm="1">
        <f t="array" ref="AO27">IFERROR(IF(AN27&lt;&gt;"",_xll.PBD(AN27,"Name","","EUR",""),""),"")</f>
        <v>Hirsch Transports</v>
      </c>
      <c r="AP27" s="1640" t="str" cm="1">
        <f t="array" ref="AP27">IFERROR(IF(AN27&lt;&gt;"",_xll.PBD(AN27,"Primary Industry Code","","EUR",""),""),"")</f>
        <v>Logistics</v>
      </c>
      <c r="AQ27" s="1640" t="str" cm="1">
        <f t="array" ref="AQ27">IFERROR(IF(AN27&lt;&gt;"",_xll.PBD(AN27,"HQ Country","","EUR",""),""),"")</f>
        <v>France</v>
      </c>
      <c r="AR27" s="1640" t="str" cm="1">
        <f t="array" ref="AR27">IFERROR(IF(AK27&lt;&gt;"",_xll.PBD(AK27,"Limit1.Investors Ids","","EUR",""),""),"")</f>
        <v>527480-92</v>
      </c>
      <c r="AS27" s="1640" t="str" cm="1">
        <f t="array" ref="AS27">IFERROR(IF(AR27&lt;&gt;"",_xll.PBD(AR27,"Name","","EUR",""),""),"")</f>
        <v>Groupe Vallée(logistics)</v>
      </c>
      <c r="AT27" s="1640" t="str" cm="1">
        <f t="array" ref="AT27">IFERROR(IF(AR27&lt;&gt;"",_xll.PBD(AR27,"Primary Industry Code","","EUR",""),""),"")</f>
        <v>Logistics</v>
      </c>
      <c r="AU27" s="1640" t="str" cm="1">
        <f t="array" ref="AU27">IFERROR(IF(AR27&lt;&gt;"",_xll.PBD(AR27,"Limit2.Entity Types","","EUR",""),""),"")</f>
        <v>Private Company, Acquirer</v>
      </c>
      <c r="AV27" s="1640" t="str" cm="1">
        <f t="array" ref="AV27">IFERROR(IF(AR27&lt;&gt;"",_xll.PBD(AR27,"HQ Country","","EUR",""),""),"")</f>
        <v>France</v>
      </c>
      <c r="AX27" s="1641" cm="1">
        <f t="array" ref="AX27">IFERROR(IF(AK27&lt;&gt;"",_xll.PBD(AK27,"Limit1.Deal Amount","","EUR","")/1000000,""),"")</f>
        <v>5</v>
      </c>
      <c r="AY27" s="1641" cm="1">
        <f t="array" ref="AY27">IFERROR(IF(AK27&lt;&gt;"",_xll.PBD(AK27,"Limit1.Implied EV ","","EUR","")/1000000,""),"")</f>
        <v>4.25</v>
      </c>
      <c r="AZ27" s="1694" cm="1">
        <f t="array" ref="AZ27">IFERROR(IF(AK27&lt;&gt;"",_xll.PBD(AK27,"Limit1.% Acquired ","","EUR",""),""),"")</f>
        <v>1</v>
      </c>
      <c r="BB27" s="1695" cm="1">
        <f t="array" ref="BB27">IFERROR(IF(AK27&lt;&gt;"",_xll.PBD(AK27,"Implied EV / Revenue","","EUR",""),""),"")</f>
        <v>0.75611191950841694</v>
      </c>
      <c r="BC27" s="1695" cm="1">
        <f t="array" ref="BC27">IFERROR(IF(AK27&lt;&gt;"",_xll.PBD(AK27,"Implied EV / EBITDA","","EUR",""),""),"")</f>
        <v>5.5024515039818329</v>
      </c>
      <c r="BD27" s="1695" cm="1">
        <f t="array" ref="BD27">IFERROR(IF(AK27&lt;&gt;"",_xll.PBD(AK27,"Implied EV / EBIT","","EUR",""),""),"")</f>
        <v>16.27728839525086</v>
      </c>
      <c r="BF27" s="1640" t="str" cm="1">
        <f t="array" ref="BF27">IFERROR(IF(AR27&lt;&gt;"",_xll.PBD(AR27,"Brief Description","","EUR",""),""),"")</f>
        <v>Operator of a transport and logistics company intended to provide clients with tailor-made solutions adapted to all transport needs, both nationally and internationally.</v>
      </c>
    </row>
    <row r="28" spans="2:58" ht="13.9" customHeight="1">
      <c r="B28" s="1592"/>
      <c r="C28" s="1597"/>
      <c r="D28" s="1597"/>
      <c r="E28" s="1594"/>
      <c r="F28" s="1594"/>
      <c r="G28" s="1594"/>
      <c r="H28" s="1594"/>
      <c r="I28" s="1595"/>
      <c r="J28" s="1595"/>
      <c r="K28" s="1593"/>
      <c r="L28" s="1705" t="s">
        <v>566</v>
      </c>
      <c r="M28" s="1627"/>
      <c r="N28" s="1640" t="str" cm="1">
        <f t="array" ref="N28">IFERROR(IF($L28&lt;&gt;"",_xll.PBD($L28,"Name","","USD",""),""),"")</f>
        <v>RXO (Logistics)</v>
      </c>
      <c r="O28" s="1640" t="str" cm="1">
        <f t="array" ref="O28">IFERROR(IF($L28&lt;&gt;"",_xll.PBD($L28,"Primary Industry Code","","",""),""),"")</f>
        <v>Logistics</v>
      </c>
      <c r="P28" s="1640" t="str" cm="1">
        <f t="array" ref="P28">IFERROR(IF($L28&lt;&gt;"",_xll.PBD($L28,"HQ Country","","",""),""),"")</f>
        <v>United States</v>
      </c>
      <c r="Q28" s="1640" t="str" cm="1">
        <f t="array" ref="Q28">IFERROR(IF($L28&lt;&gt;"",_xll.PBD($L28,"HQ City","","EUR",""),""),"")</f>
        <v>Charlotte</v>
      </c>
      <c r="S28" s="1666" t="str" cm="1">
        <f t="array" aca="1" ref="S28" ca="1">IFERROR(IF($L28&lt;&gt;"",_xll.PBF($L28,"EV","TTM",$N$11,"","EUR","")/1000000,""),"")</f>
        <v/>
      </c>
      <c r="T28" s="1666" t="str" cm="1">
        <f t="array" aca="1" ref="T28" ca="1">IFERROR(IF($L28&lt;&gt;"",_xll.PBF($L28,"NET Debt","TTM",$N$11,"","EUR","")/1000000,""),"")</f>
        <v/>
      </c>
      <c r="U28" s="1666" t="str" cm="1">
        <f t="array" aca="1" ref="U28" ca="1">IFERROR(IF($L28&lt;&gt;"",_xll.PBF($L28,"Market Cap","TTM",$N$11,"","EUR","")/1000000,""),"")</f>
        <v/>
      </c>
      <c r="V28" s="1677" t="str" cm="1">
        <f t="array" aca="1" ref="V28" ca="1">IFERROR(IF($L28&lt;&gt;"",_xll.PBF($L28,"Total Debt to Equity","TTM",$V$21,"","EUR",""),""),"")</f>
        <v/>
      </c>
      <c r="W28" s="1677"/>
      <c r="X28" s="1666" t="str" cm="1">
        <f t="array" aca="1" ref="X28" ca="1">IFERROR(IF($L28&lt;&gt;"",_xll.PBF($L28,"Total Revenue","FY",$X$21,"","EUR","")/1000000,""),"")</f>
        <v/>
      </c>
      <c r="Y28" s="1666" t="str" cm="1">
        <f t="array" aca="1" ref="Y28" ca="1">IFERROR(IF($L28&lt;&gt;"",_xll.PBF($L28,"EBITDA","FY",$N$11,"","EUR","")/1000000,""),"")</f>
        <v/>
      </c>
      <c r="Z28" s="1666" t="str" cm="1">
        <f t="array" aca="1" ref="Z28" ca="1">IFERROR(IF($L28&lt;&gt;"",_xll.PBF($L28,"EBIT","FY",$N$11,"","EUR","")/1000000,""),"")</f>
        <v/>
      </c>
      <c r="AA28" s="1677" t="str" cm="1">
        <f t="array" aca="1" ref="AA28" ca="1">IFERROR(IF($L28&lt;&gt;"",_xll.PBF($L28,"Total Debt to EBITDA","FY",$AA$21,"","EUR",""),""),"")</f>
        <v/>
      </c>
      <c r="AB28" s="1670"/>
      <c r="AC28" s="1672" t="str" cm="1">
        <f t="array" aca="1" ref="AC28" ca="1">IFERROR(IF($L28&lt;&gt;"",_xll.PBF($L28,"EV to Revenue","FY",$N$11,"","EUR",""),""),"")</f>
        <v/>
      </c>
      <c r="AD28" s="1672" t="str" cm="1">
        <f t="array" aca="1" ref="AD28" ca="1">IFERROR(IF($L28&lt;&gt;"",_xll.PBF($L28,"EV to EBITDA","FY",$AD$21,"","EUR",""),""),"")</f>
        <v/>
      </c>
      <c r="AE28" s="1672" t="str" cm="1">
        <f t="array" aca="1" ref="AE28" ca="1">IFERROR(IF($L28&lt;&gt;"",_xll.PBF($L28,"EV to EBIT","FY",$AE$21,"","EUR",""),""),"")</f>
        <v/>
      </c>
      <c r="AF28" s="1672"/>
      <c r="AG28" s="1672" t="str" cm="1">
        <f t="array" aca="1" ref="AG28" ca="1">IFERROR(IF($L28&lt;&gt;"",_xll.PBF($L28,"EV to Forward Revenue","FY",$AG$21,"","EUR",""),""),"")</f>
        <v/>
      </c>
      <c r="AH28" s="1672" t="str" cm="1">
        <f t="array" aca="1" ref="AH28" ca="1">IFERROR(IF($L28&lt;&gt;"",_xll.PBF($L28,"EV to Forward EBITDA","FY",$AH$21,"","EUR",""),""),"")</f>
        <v/>
      </c>
      <c r="AI28" s="1672" t="str" cm="1">
        <f t="array" aca="1" ref="AI28" ca="1">IFERROR(IF($L28&lt;&gt;"",_xll.PBF($L28,"EV to Forward EBIT","FY",$AI$21,"","EUR",""),""),"")</f>
        <v/>
      </c>
      <c r="AJ28" s="1650"/>
      <c r="AK28" s="1907" t="s">
        <v>567</v>
      </c>
      <c r="AL28" s="1693" cm="1">
        <f t="array" ref="AL28">IFERROR(IF(AK28&lt;&gt;"",_xll.PBD(AK28,"Deal Date","","EUR",""),""),"")</f>
        <v>45202</v>
      </c>
      <c r="AM28" s="1693" t="str" cm="1">
        <f t="array" ref="AM28">IFERROR(IF(AK28&lt;&gt;"",_xll.PBD(AK28,"Limit1.Deal Type 1","","EUR",""),""),"")</f>
        <v>Merger/Acquisition</v>
      </c>
      <c r="AN28" s="1693" t="str" cm="1">
        <f t="array" ref="AN28">IFERROR(IF(AK28&lt;&gt;"",_xll.PBD(AK28,"Limit1.Company Id","","EUR",""),""),"")</f>
        <v>342667-18</v>
      </c>
      <c r="AO28" s="1640" t="str" cm="1">
        <f t="array" ref="AO28">IFERROR(IF(AN28&lt;&gt;"",_xll.PBD(AN28,"Name","","EUR",""),""),"")</f>
        <v>Sese Autologistics</v>
      </c>
      <c r="AP28" s="1640" t="str" cm="1">
        <f t="array" ref="AP28">IFERROR(IF(AN28&lt;&gt;"",_xll.PBD(AN28,"Primary Industry Code","","EUR",""),""),"")</f>
        <v>Logistics</v>
      </c>
      <c r="AQ28" s="1640" t="str" cm="1">
        <f t="array" ref="AQ28">IFERROR(IF(AN28&lt;&gt;"",_xll.PBD(AN28,"HQ Country","","EUR",""),""),"")</f>
        <v>Spain</v>
      </c>
      <c r="AR28" s="1640" t="str" cm="1">
        <f t="array" ref="AR28">IFERROR(IF(AK28&lt;&gt;"",_xll.PBD(AK28,"Limit1.Investors Ids","","EUR",""),""),"")</f>
        <v>57690-28</v>
      </c>
      <c r="AS28" s="1640" t="str" cm="1">
        <f t="array" ref="AS28">IFERROR(IF(AR28&lt;&gt;"",_xll.PBD(AR28,"Name","","EUR",""),""),"")</f>
        <v>Noatum Ports</v>
      </c>
      <c r="AT28" s="1640" t="str" cm="1">
        <f t="array" ref="AT28">IFERROR(IF(AR28&lt;&gt;"",_xll.PBD(AR28,"Primary Industry Code","","EUR",""),""),"")</f>
        <v>Logistics</v>
      </c>
      <c r="AU28" s="1640" t="str" cm="1">
        <f t="array" ref="AU28">IFERROR(IF(AR28&lt;&gt;"",_xll.PBD(AR28,"Limit2.Entity Types","","EUR",""),""),"")</f>
        <v>Private Company, Acquirer</v>
      </c>
      <c r="AV28" s="1640" t="str" cm="1">
        <f t="array" ref="AV28">IFERROR(IF(AR28&lt;&gt;"",_xll.PBD(AR28,"HQ Country","","EUR",""),""),"")</f>
        <v>Spain</v>
      </c>
      <c r="AX28" s="1641" cm="1">
        <f t="array" ref="AX28">IFERROR(IF(AK28&lt;&gt;"",_xll.PBD(AK28,"Limit1.Deal Amount","","EUR","")/1000000,""),"")</f>
        <v>81</v>
      </c>
      <c r="AY28" s="1641" cm="1">
        <f t="array" ref="AY28">IFERROR(IF(AK28&lt;&gt;"",_xll.PBD(AK28,"Limit1.Implied EV ","","EUR","")/1000000,""),"")</f>
        <v>74.989999999999995</v>
      </c>
      <c r="AZ28" s="1694" cm="1">
        <f t="array" ref="AZ28">IFERROR(IF(AK28&lt;&gt;"",_xll.PBD(AK28,"Limit1.% Acquired ","","EUR",""),""),"")</f>
        <v>1</v>
      </c>
      <c r="BB28" s="1695" cm="1">
        <f t="array" ref="BB28">IFERROR(IF(AK28&lt;&gt;"",_xll.PBD(AK28,"Implied EV / Revenue","","EUR",""),""),"")</f>
        <v>0.90791685644371822</v>
      </c>
      <c r="BC28" s="1695" cm="1">
        <f t="array" ref="BC28">IFERROR(IF(AK28&lt;&gt;"",_xll.PBD(AK28,"Implied EV / EBITDA","","EUR",""),""),"")</f>
        <v>4.7808500539850352</v>
      </c>
      <c r="BD28" s="1695" cm="1">
        <f t="array" ref="BD28">IFERROR(IF(AK28&lt;&gt;"",_xll.PBD(AK28,"Implied EV / EBIT","","EUR",""),""),"")</f>
        <v>4.7808500539850352</v>
      </c>
      <c r="BF28" s="1640" t="str" cm="1">
        <f t="array" ref="BF28">IFERROR(IF(AR28&lt;&gt;"",_xll.PBD(AR28,"Brief Description","","EUR",""),""),"")</f>
        <v>Provider of logistics services operating port operations on an international scale.</v>
      </c>
    </row>
    <row r="29" spans="2:58" ht="13.9" customHeight="1">
      <c r="B29" s="1592"/>
      <c r="C29" s="1597"/>
      <c r="D29" s="1597"/>
      <c r="E29" s="1594"/>
      <c r="F29" s="1594"/>
      <c r="G29" s="1594"/>
      <c r="H29" s="1595"/>
      <c r="I29" s="1595"/>
      <c r="J29" s="1595"/>
      <c r="K29" s="1593"/>
      <c r="L29" s="1705" t="s">
        <v>568</v>
      </c>
      <c r="M29" s="1628"/>
      <c r="N29" s="1640" t="str" cm="1">
        <f t="array" ref="N29">IFERROR(IF($L29&lt;&gt;"",_xll.PBD($L29,"Name","","USD",""),""),"")</f>
        <v>XPO</v>
      </c>
      <c r="O29" s="1640" t="str" cm="1">
        <f t="array" ref="O29">IFERROR(IF($L29&lt;&gt;"",_xll.PBD($L29,"Primary Industry Code","","",""),""),"")</f>
        <v>Logistics</v>
      </c>
      <c r="P29" s="1640" t="str" cm="1">
        <f t="array" ref="P29">IFERROR(IF($L29&lt;&gt;"",_xll.PBD($L29,"HQ Country","","",""),""),"")</f>
        <v>United States</v>
      </c>
      <c r="Q29" s="1640" t="str" cm="1">
        <f t="array" ref="Q29">IFERROR(IF($L29&lt;&gt;"",_xll.PBD($L29,"HQ City","","EUR",""),""),"")</f>
        <v>Greenwich</v>
      </c>
      <c r="S29" s="1666" t="str" cm="1">
        <f t="array" aca="1" ref="S29" ca="1">IFERROR(IF($L29&lt;&gt;"",_xll.PBF($L29,"EV","TTM",$N$11,"","EUR","")/1000000,""),"")</f>
        <v/>
      </c>
      <c r="T29" s="1666" t="str" cm="1">
        <f t="array" aca="1" ref="T29" ca="1">IFERROR(IF($L29&lt;&gt;"",_xll.PBF($L29,"NET Debt","TTM",$N$11,"","EUR","")/1000000,""),"")</f>
        <v/>
      </c>
      <c r="U29" s="1666" t="str" cm="1">
        <f t="array" aca="1" ref="U29" ca="1">IFERROR(IF($L29&lt;&gt;"",_xll.PBF($L29,"Market Cap","TTM",$N$11,"","EUR","")/1000000,""),"")</f>
        <v/>
      </c>
      <c r="V29" s="1677" t="str" cm="1">
        <f t="array" aca="1" ref="V29" ca="1">IFERROR(IF($L29&lt;&gt;"",_xll.PBF($L29,"Total Debt to Equity","TTM",$V$21,"","EUR",""),""),"")</f>
        <v/>
      </c>
      <c r="W29" s="1677"/>
      <c r="X29" s="1666" t="str" cm="1">
        <f t="array" aca="1" ref="X29" ca="1">IFERROR(IF($L29&lt;&gt;"",_xll.PBF($L29,"Total Revenue","FY",$X$21,"","EUR","")/1000000,""),"")</f>
        <v/>
      </c>
      <c r="Y29" s="1666" t="str" cm="1">
        <f t="array" aca="1" ref="Y29" ca="1">IFERROR(IF($L29&lt;&gt;"",_xll.PBF($L29,"EBITDA","FY",$N$11,"","EUR","")/1000000,""),"")</f>
        <v/>
      </c>
      <c r="Z29" s="1666" t="str" cm="1">
        <f t="array" aca="1" ref="Z29" ca="1">IFERROR(IF($L29&lt;&gt;"",_xll.PBF($L29,"EBIT","FY",$N$11,"","EUR","")/1000000,""),"")</f>
        <v/>
      </c>
      <c r="AA29" s="1677" t="str" cm="1">
        <f t="array" aca="1" ref="AA29" ca="1">IFERROR(IF($L29&lt;&gt;"",_xll.PBF($L29,"Total Debt to EBITDA","FY",$AA$21,"","EUR",""),""),"")</f>
        <v/>
      </c>
      <c r="AB29" s="1670"/>
      <c r="AC29" s="1672" t="str" cm="1">
        <f t="array" aca="1" ref="AC29" ca="1">IFERROR(IF($L29&lt;&gt;"",_xll.PBF($L29,"EV to Revenue","FY",$N$11,"","EUR",""),""),"")</f>
        <v/>
      </c>
      <c r="AD29" s="1672" t="str" cm="1">
        <f t="array" aca="1" ref="AD29" ca="1">IFERROR(IF($L29&lt;&gt;"",_xll.PBF($L29,"EV to EBITDA","FY",$AD$21,"","EUR",""),""),"")</f>
        <v/>
      </c>
      <c r="AE29" s="1672" t="str" cm="1">
        <f t="array" aca="1" ref="AE29" ca="1">IFERROR(IF($L29&lt;&gt;"",_xll.PBF($L29,"EV to EBIT","FY",$AE$21,"","EUR",""),""),"")</f>
        <v/>
      </c>
      <c r="AF29" s="1672"/>
      <c r="AG29" s="1672" t="str" cm="1">
        <f t="array" aca="1" ref="AG29" ca="1">IFERROR(IF($L29&lt;&gt;"",_xll.PBF($L29,"EV to Forward Revenue","FY",$AG$21,"","EUR",""),""),"")</f>
        <v/>
      </c>
      <c r="AH29" s="1672" t="str" cm="1">
        <f t="array" aca="1" ref="AH29" ca="1">IFERROR(IF($L29&lt;&gt;"",_xll.PBF($L29,"EV to Forward EBITDA","FY",$AH$21,"","EUR",""),""),"")</f>
        <v/>
      </c>
      <c r="AI29" s="1672" t="str" cm="1">
        <f t="array" aca="1" ref="AI29" ca="1">IFERROR(IF($L29&lt;&gt;"",_xll.PBF($L29,"EV to Forward EBIT","FY",$AI$21,"","EUR",""),""),"")</f>
        <v/>
      </c>
      <c r="AJ29" s="1650"/>
      <c r="AK29" s="1907" t="s">
        <v>569</v>
      </c>
      <c r="AL29" s="1693" cm="1">
        <f t="array" ref="AL29">IFERROR(IF(AK29&lt;&gt;"",_xll.PBD(AK29,"Deal Date","","EUR",""),""),"")</f>
        <v>45295</v>
      </c>
      <c r="AM29" s="1693" t="str" cm="1">
        <f t="array" ref="AM29">IFERROR(IF(AK29&lt;&gt;"",_xll.PBD(AK29,"Limit1.Deal Type 1","","EUR",""),""),"")</f>
        <v>Merger/Acquisition</v>
      </c>
      <c r="AN29" s="1693" t="str" cm="1">
        <f t="array" ref="AN29">IFERROR(IF(AK29&lt;&gt;"",_xll.PBD(AK29,"Limit1.Company Id","","EUR",""),""),"")</f>
        <v>121791-07</v>
      </c>
      <c r="AO29" s="1640" t="str" cm="1">
        <f t="array" ref="AO29">IFERROR(IF(AN29&lt;&gt;"",_xll.PBD(AN29,"Name","","EUR",""),""),"")</f>
        <v>Cargo-Partner (Logistics)</v>
      </c>
      <c r="AP29" s="1640" t="str" cm="1">
        <f t="array" ref="AP29">IFERROR(IF(AN29&lt;&gt;"",_xll.PBD(AN29,"Primary Industry Code","","EUR",""),""),"")</f>
        <v>Logistics</v>
      </c>
      <c r="AQ29" s="1640" t="str" cm="1">
        <f t="array" ref="AQ29">IFERROR(IF(AN29&lt;&gt;"",_xll.PBD(AN29,"HQ Country","","EUR",""),""),"")</f>
        <v>Austria</v>
      </c>
      <c r="AR29" s="1640" t="str" cm="1">
        <f t="array" ref="AR29">IFERROR(IF(AK29&lt;&gt;"",_xll.PBD(AK29,"Limit1.Investors Ids","","EUR",""),""),"")</f>
        <v>484730-74</v>
      </c>
      <c r="AS29" s="1640" t="str" cm="1">
        <f t="array" ref="AS29">IFERROR(IF(AR29&lt;&gt;"",_xll.PBD(AR29,"Name","","EUR",""),""),"")</f>
        <v>Nippon Express Holdings</v>
      </c>
      <c r="AT29" s="1640" t="str" cm="1">
        <f t="array" ref="AT29">IFERROR(IF(AR29&lt;&gt;"",_xll.PBD(AR29,"Primary Industry Code","","EUR",""),""),"")</f>
        <v>Logistics</v>
      </c>
      <c r="AU29" s="1640" t="str" cm="1">
        <f t="array" ref="AU29">IFERROR(IF(AR29&lt;&gt;"",_xll.PBD(AR29,"Limit2.Entity Types","","EUR",""),""),"")</f>
        <v>Public Company, Acquirer</v>
      </c>
      <c r="AV29" s="1640" t="str" cm="1">
        <f t="array" ref="AV29">IFERROR(IF(AR29&lt;&gt;"",_xll.PBD(AR29,"HQ Country","","EUR",""),""),"")</f>
        <v>Japan</v>
      </c>
      <c r="AX29" s="1641" cm="1">
        <f t="array" ref="AX29">IFERROR(IF(AK29&lt;&gt;"",_xll.PBD(AK29,"Limit1.Deal Amount","","EUR","")/1000000,""),"")</f>
        <v>845</v>
      </c>
      <c r="AY29" s="1641" cm="1">
        <f t="array" ref="AY29">IFERROR(IF(AK29&lt;&gt;"",_xll.PBD(AK29,"Limit1.Implied EV ","","EUR","")/1000000,""),"")</f>
        <v>829.62</v>
      </c>
      <c r="AZ29" s="1694" cm="1">
        <f t="array" ref="AZ29">IFERROR(IF(AK29&lt;&gt;"",_xll.PBD(AK29,"Limit1.% Acquired ","","EUR",""),""),"")</f>
        <v>1</v>
      </c>
      <c r="BB29" s="1695" cm="1">
        <f t="array" ref="BB29">IFERROR(IF(AK29&lt;&gt;"",_xll.PBD(AK29,"Implied EV / Revenue","","EUR",""),""),"")</f>
        <v>5.140874313864586</v>
      </c>
      <c r="BC29" s="1695" cm="1">
        <f t="array" ref="BC29">IFERROR(IF(AK29&lt;&gt;"",_xll.PBD(AK29,"Implied EV / EBITDA","","EUR",""),""),"")</f>
        <v>76.472898118562526</v>
      </c>
      <c r="BD29" s="1695" cm="1">
        <f t="array" ref="BD29">IFERROR(IF(AK29&lt;&gt;"",_xll.PBD(AK29,"Implied EV / EBIT","","EUR",""),""),"")</f>
        <v>76.472899739863834</v>
      </c>
      <c r="BF29" s="1640" t="str" cm="1">
        <f t="array" ref="BF29">IFERROR(IF(AR29&lt;&gt;"",_xll.PBD(AR29,"Brief Description","","EUR",""),""),"")</f>
        <v>Operator of a logistics holding company based in Tokyo, Japan.</v>
      </c>
    </row>
    <row r="30" spans="2:58" ht="13.9" customHeight="1">
      <c r="B30" s="1592"/>
      <c r="C30" s="1597"/>
      <c r="D30" s="1597"/>
      <c r="E30" s="1594"/>
      <c r="F30" s="1594"/>
      <c r="G30" s="1594"/>
      <c r="H30" s="1594"/>
      <c r="I30" s="1595"/>
      <c r="J30" s="1595"/>
      <c r="K30" s="1593"/>
      <c r="L30" s="1705" t="s">
        <v>570</v>
      </c>
      <c r="M30" s="1629"/>
      <c r="N30" s="1640" t="str" cm="1">
        <f t="array" ref="N30">IFERROR(IF($L30&lt;&gt;"",_xll.PBD($L30,"Name","","USD",""),""),"")</f>
        <v>Radiant Logistics</v>
      </c>
      <c r="O30" s="1640" t="str" cm="1">
        <f t="array" ref="O30">IFERROR(IF($L30&lt;&gt;"",_xll.PBD($L30,"Primary Industry Code","","",""),""),"")</f>
        <v>Logistics</v>
      </c>
      <c r="P30" s="1640" t="str" cm="1">
        <f t="array" ref="P30">IFERROR(IF($L30&lt;&gt;"",_xll.PBD($L30,"HQ Country","","",""),""),"")</f>
        <v>United States</v>
      </c>
      <c r="Q30" s="1640" t="str" cm="1">
        <f t="array" ref="Q30">IFERROR(IF($L30&lt;&gt;"",_xll.PBD($L30,"HQ City","","EUR",""),""),"")</f>
        <v>Renton</v>
      </c>
      <c r="S30" s="1666" t="str" cm="1">
        <f t="array" aca="1" ref="S30" ca="1">IFERROR(IF($L30&lt;&gt;"",_xll.PBF($L30,"EV","TTM",$N$11,"","EUR","")/1000000,""),"")</f>
        <v/>
      </c>
      <c r="T30" s="1666" t="str" cm="1">
        <f t="array" aca="1" ref="T30" ca="1">IFERROR(IF($L30&lt;&gt;"",_xll.PBF($L30,"NET Debt","TTM",$N$11,"","EUR","")/1000000,""),"")</f>
        <v/>
      </c>
      <c r="U30" s="1666" t="str" cm="1">
        <f t="array" aca="1" ref="U30" ca="1">IFERROR(IF($L30&lt;&gt;"",_xll.PBF($L30,"Market Cap","TTM",$N$11,"","EUR","")/1000000,""),"")</f>
        <v/>
      </c>
      <c r="V30" s="1677" t="str" cm="1">
        <f t="array" aca="1" ref="V30" ca="1">IFERROR(IF($L30&lt;&gt;"",_xll.PBF($L30,"Total Debt to Equity","TTM",$V$21,"","EUR",""),""),"")</f>
        <v/>
      </c>
      <c r="W30" s="1677"/>
      <c r="X30" s="1666" t="str" cm="1">
        <f t="array" aca="1" ref="X30" ca="1">IFERROR(IF($L30&lt;&gt;"",_xll.PBF($L30,"Total Revenue","FY",$X$21,"","EUR","")/1000000,""),"")</f>
        <v/>
      </c>
      <c r="Y30" s="1666" t="str" cm="1">
        <f t="array" aca="1" ref="Y30" ca="1">IFERROR(IF($L30&lt;&gt;"",_xll.PBF($L30,"EBITDA","FY",$N$11,"","EUR","")/1000000,""),"")</f>
        <v/>
      </c>
      <c r="Z30" s="1666" t="str" cm="1">
        <f t="array" aca="1" ref="Z30" ca="1">IFERROR(IF($L30&lt;&gt;"",_xll.PBF($L30,"EBIT","FY",$N$11,"","EUR","")/1000000,""),"")</f>
        <v/>
      </c>
      <c r="AA30" s="1677" t="str" cm="1">
        <f t="array" aca="1" ref="AA30" ca="1">IFERROR(IF($L30&lt;&gt;"",_xll.PBF($L30,"Total Debt to EBITDA","FY",$AA$21,"","EUR",""),""),"")</f>
        <v/>
      </c>
      <c r="AB30" s="1670"/>
      <c r="AC30" s="1672" t="str" cm="1">
        <f t="array" aca="1" ref="AC30" ca="1">IFERROR(IF($L30&lt;&gt;"",_xll.PBF($L30,"EV to Revenue","FY",$N$11,"","EUR",""),""),"")</f>
        <v/>
      </c>
      <c r="AD30" s="1672" t="str" cm="1">
        <f t="array" aca="1" ref="AD30" ca="1">IFERROR(IF($L30&lt;&gt;"",_xll.PBF($L30,"EV to EBITDA","FY",$AD$21,"","EUR",""),""),"")</f>
        <v/>
      </c>
      <c r="AE30" s="1672" t="str" cm="1">
        <f t="array" aca="1" ref="AE30" ca="1">IFERROR(IF($L30&lt;&gt;"",_xll.PBF($L30,"EV to EBIT","FY",$AE$21,"","EUR",""),""),"")</f>
        <v/>
      </c>
      <c r="AF30" s="1672"/>
      <c r="AG30" s="1672" t="str" cm="1">
        <f t="array" aca="1" ref="AG30" ca="1">IFERROR(IF($L30&lt;&gt;"",_xll.PBF($L30,"EV to Forward Revenue","FY",$AG$21,"","EUR",""),""),"")</f>
        <v/>
      </c>
      <c r="AH30" s="1672" t="str" cm="1">
        <f t="array" aca="1" ref="AH30" ca="1">IFERROR(IF($L30&lt;&gt;"",_xll.PBF($L30,"EV to Forward EBITDA","FY",$AH$21,"","EUR",""),""),"")</f>
        <v/>
      </c>
      <c r="AI30" s="1672" t="str" cm="1">
        <f t="array" aca="1" ref="AI30" ca="1">IFERROR(IF($L30&lt;&gt;"",_xll.PBF($L30,"EV to Forward EBIT","FY",$AI$21,"","EUR",""),""),"")</f>
        <v/>
      </c>
      <c r="AJ30" s="1650"/>
      <c r="AK30" s="1907" t="s">
        <v>571</v>
      </c>
      <c r="AL30" s="1693" cm="1">
        <f t="array" ref="AL30">IFERROR(IF(AK30&lt;&gt;"",_xll.PBD(AK30,"Deal Date","","EUR",""),""),"")</f>
        <v>45425</v>
      </c>
      <c r="AM30" s="1693" t="str" cm="1">
        <f t="array" ref="AM30">IFERROR(IF(AK30&lt;&gt;"",_xll.PBD(AK30,"Limit1.Deal Type 1","","EUR",""),""),"")</f>
        <v>Merger/Acquisition</v>
      </c>
      <c r="AN30" s="1693" t="str" cm="1">
        <f t="array" ref="AN30">IFERROR(IF(AK30&lt;&gt;"",_xll.PBD(AK30,"Limit1.Company Id","","EUR",""),""),"")</f>
        <v>98782-30</v>
      </c>
      <c r="AO30" s="1640" t="str" cm="1">
        <f t="array" ref="AO30">IFERROR(IF(AN30&lt;&gt;"",_xll.PBD(AN30,"Name","","EUR",""),""),"")</f>
        <v>Tangenziale Esterna</v>
      </c>
      <c r="AP30" s="1640" t="str" cm="1">
        <f t="array" ref="AP30">IFERROR(IF(AN30&lt;&gt;"",_xll.PBD(AN30,"Primary Industry Code","","EUR",""),""),"")</f>
        <v>Construction and Engineering</v>
      </c>
      <c r="AQ30" s="1640" t="str" cm="1">
        <f t="array" ref="AQ30">IFERROR(IF(AN30&lt;&gt;"",_xll.PBD(AN30,"HQ Country","","EUR",""),""),"")</f>
        <v>Italy</v>
      </c>
      <c r="AR30" s="1640" t="str" cm="1">
        <f t="array" ref="AR30">IFERROR(IF(AK30&lt;&gt;"",_xll.PBD(AK30,"Limit1.Investors Ids","","EUR",""),""),"")</f>
        <v>59328-55</v>
      </c>
      <c r="AS30" s="1640" t="str" cm="1">
        <f t="array" ref="AS30">IFERROR(IF(AR30&lt;&gt;"",_xll.PBD(AR30,"Name","","EUR",""),""),"")</f>
        <v>ASTM</v>
      </c>
      <c r="AT30" s="1640" t="str" cm="1">
        <f t="array" ref="AT30">IFERROR(IF(AR30&lt;&gt;"",_xll.PBD(AR30,"Primary Industry Code","","EUR",""),""),"")</f>
        <v>Infrastructure</v>
      </c>
      <c r="AU30" s="1640" t="str" cm="1">
        <f t="array" ref="AU30">IFERROR(IF(AR30&lt;&gt;"",_xll.PBD(AR30,"Limit2.Entity Types","","EUR",""),""),"")</f>
        <v>Private Company, Acquirer</v>
      </c>
      <c r="AV30" s="1640" t="str" cm="1">
        <f t="array" ref="AV30">IFERROR(IF(AR30&lt;&gt;"",_xll.PBD(AR30,"HQ Country","","EUR",""),""),"")</f>
        <v>Italy</v>
      </c>
      <c r="AX30" s="1641" cm="1">
        <f t="array" ref="AX30">IFERROR(IF(AK30&lt;&gt;"",_xll.PBD(AK30,"Limit1.Deal Amount","","EUR","")/1000000,""),"")</f>
        <v>97</v>
      </c>
      <c r="AY30" s="1641" cm="1">
        <f t="array" ref="AY30">IFERROR(IF(AK30&lt;&gt;"",_xll.PBD(AK30,"Limit1.Implied EV ","","EUR","")/1000000,""),"")</f>
        <v>104.26</v>
      </c>
      <c r="AZ30" s="1694" cm="1">
        <f t="array" ref="AZ30">IFERROR(IF(AK30&lt;&gt;"",_xll.PBD(AK30,"Limit1.% Acquired ","","EUR",""),""),"")</f>
        <v>0.65</v>
      </c>
      <c r="BB30" s="1695" cm="1">
        <f t="array" ref="BB30">IFERROR(IF(AK30&lt;&gt;"",_xll.PBD(AK30,"Implied EV / Revenue","","EUR",""),""),"")</f>
        <v>1.2313895535458161</v>
      </c>
      <c r="BC30" s="1695" cm="1">
        <f t="array" ref="BC30">IFERROR(IF(AK30&lt;&gt;"",_xll.PBD(AK30,"Implied EV / EBITDA","","EUR",""),""),"")</f>
        <v>1.8584007369006321</v>
      </c>
      <c r="BD30" s="1695" cm="1">
        <f t="array" ref="BD30">IFERROR(IF(AK30&lt;&gt;"",_xll.PBD(AK30,"Implied EV / EBIT","","EUR",""),""),"")</f>
        <v>1.9868916225895361</v>
      </c>
      <c r="BF30" s="1640" t="str" cm="1">
        <f t="array" ref="BF30">IFERROR(IF(AR30&lt;&gt;"",_xll.PBD(AR30,"Brief Description","","EUR",""),""),"")</f>
        <v>Operator of an industrial holding company involved in planning, constructing and managing infrastructure networks, particularly in the motorway sector.</v>
      </c>
    </row>
    <row r="31" spans="2:58" ht="13.9" customHeight="1">
      <c r="B31" s="1592"/>
      <c r="C31" s="450"/>
      <c r="D31" s="450"/>
      <c r="E31" s="1594"/>
      <c r="F31" s="1594"/>
      <c r="G31" s="1594"/>
      <c r="H31" s="1594"/>
      <c r="I31" s="1595"/>
      <c r="J31" s="1595"/>
      <c r="K31" s="1593"/>
      <c r="L31" s="1705" t="s">
        <v>572</v>
      </c>
      <c r="M31" s="1630"/>
      <c r="N31" s="1640" t="str" cm="1">
        <f t="array" ref="N31">IFERROR(IF($L31&lt;&gt;"",_xll.PBD($L31,"Name","","USD",""),""),"")</f>
        <v>RZ Inter-Transsped</v>
      </c>
      <c r="O31" s="1640" t="str" cm="1">
        <f t="array" ref="O31">IFERROR(IF($L31&lt;&gt;"",_xll.PBD($L31,"Primary Industry Code","","",""),""),"")</f>
        <v>Logistics</v>
      </c>
      <c r="P31" s="1640" t="str" cm="1">
        <f t="array" ref="P31">IFERROR(IF($L31&lt;&gt;"",_xll.PBD($L31,"HQ Country","","",""),""),"")</f>
        <v>North Macedonia</v>
      </c>
      <c r="Q31" s="1640" t="str" cm="1">
        <f t="array" ref="Q31">IFERROR(IF($L31&lt;&gt;"",_xll.PBD($L31,"HQ City","","EUR",""),""),"")</f>
        <v>Skopje</v>
      </c>
      <c r="S31" s="1666" t="str" cm="1">
        <f t="array" aca="1" ref="S31" ca="1">IFERROR(IF($L31&lt;&gt;"",_xll.PBF($L31,"EV","TTM",$N$11,"","EUR","")/1000000,""),"")</f>
        <v/>
      </c>
      <c r="T31" s="1666" t="str" cm="1">
        <f t="array" aca="1" ref="T31" ca="1">IFERROR(IF($L31&lt;&gt;"",_xll.PBF($L31,"NET Debt","TTM",$N$11,"","EUR","")/1000000,""),"")</f>
        <v/>
      </c>
      <c r="U31" s="1666" t="str" cm="1">
        <f t="array" aca="1" ref="U31" ca="1">IFERROR(IF($L31&lt;&gt;"",_xll.PBF($L31,"Market Cap","TTM",$N$11,"","EUR","")/1000000,""),"")</f>
        <v/>
      </c>
      <c r="V31" s="1677" t="str" cm="1">
        <f t="array" aca="1" ref="V31" ca="1">IFERROR(IF($L31&lt;&gt;"",_xll.PBF($L31,"Total Debt to Equity","TTM",$V$21,"","EUR",""),""),"")</f>
        <v/>
      </c>
      <c r="W31" s="1677"/>
      <c r="X31" s="1666" t="str" cm="1">
        <f t="array" aca="1" ref="X31" ca="1">IFERROR(IF($L31&lt;&gt;"",_xll.PBF($L31,"Total Revenue","FY",$X$21,"","EUR","")/1000000,""),"")</f>
        <v/>
      </c>
      <c r="Y31" s="1666" t="str" cm="1">
        <f t="array" aca="1" ref="Y31" ca="1">IFERROR(IF($L31&lt;&gt;"",_xll.PBF($L31,"EBITDA","FY",$N$11,"","EUR","")/1000000,""),"")</f>
        <v/>
      </c>
      <c r="Z31" s="1666" t="str" cm="1">
        <f t="array" aca="1" ref="Z31" ca="1">IFERROR(IF($L31&lt;&gt;"",_xll.PBF($L31,"EBIT","FY",$N$11,"","EUR","")/1000000,""),"")</f>
        <v/>
      </c>
      <c r="AA31" s="1677" t="str" cm="1">
        <f t="array" aca="1" ref="AA31" ca="1">IFERROR(IF($L31&lt;&gt;"",_xll.PBF($L31,"Total Debt to EBITDA","FY",$AA$21,"","EUR",""),""),"")</f>
        <v/>
      </c>
      <c r="AB31" s="1670"/>
      <c r="AC31" s="1672" t="str" cm="1">
        <f t="array" aca="1" ref="AC31" ca="1">IFERROR(IF($L31&lt;&gt;"",_xll.PBF($L31,"EV to Revenue","FY",$N$11,"","EUR",""),""),"")</f>
        <v/>
      </c>
      <c r="AD31" s="1672" t="str" cm="1">
        <f t="array" aca="1" ref="AD31" ca="1">IFERROR(IF($L31&lt;&gt;"",_xll.PBF($L31,"EV to EBITDA","FY",$AD$21,"","EUR",""),""),"")</f>
        <v/>
      </c>
      <c r="AE31" s="1672" t="str" cm="1">
        <f t="array" aca="1" ref="AE31" ca="1">IFERROR(IF($L31&lt;&gt;"",_xll.PBF($L31,"EV to EBIT","FY",$AE$21,"","EUR",""),""),"")</f>
        <v/>
      </c>
      <c r="AF31" s="1672"/>
      <c r="AG31" s="1672" t="str" cm="1">
        <f t="array" aca="1" ref="AG31" ca="1">IFERROR(IF($L31&lt;&gt;"",_xll.PBF($L31,"EV to Forward Revenue","FY",$AG$21,"","EUR",""),""),"")</f>
        <v/>
      </c>
      <c r="AH31" s="1672" t="str" cm="1">
        <f t="array" aca="1" ref="AH31" ca="1">IFERROR(IF($L31&lt;&gt;"",_xll.PBF($L31,"EV to Forward EBITDA","FY",$AH$21,"","EUR",""),""),"")</f>
        <v/>
      </c>
      <c r="AI31" s="1672" t="str" cm="1">
        <f t="array" aca="1" ref="AI31" ca="1">IFERROR(IF($L31&lt;&gt;"",_xll.PBF($L31,"EV to Forward EBIT","FY",$AI$21,"","EUR",""),""),"")</f>
        <v/>
      </c>
      <c r="AJ31" s="1650"/>
      <c r="AK31" s="1907" t="s">
        <v>573</v>
      </c>
      <c r="AL31" s="1693" cm="1">
        <f t="array" ref="AL31">IFERROR(IF(AK31&lt;&gt;"",_xll.PBD(AK31,"Deal Date","","EUR",""),""),"")</f>
        <v>45342</v>
      </c>
      <c r="AM31" s="1693" t="str" cm="1">
        <f t="array" ref="AM31">IFERROR(IF(AK31&lt;&gt;"",_xll.PBD(AK31,"Limit1.Deal Type 1","","EUR",""),""),"")</f>
        <v>Merger/Acquisition</v>
      </c>
      <c r="AN31" s="1693" t="str" cm="1">
        <f t="array" ref="AN31">IFERROR(IF(AK31&lt;&gt;"",_xll.PBD(AK31,"Limit1.Company Id","","EUR",""),""),"")</f>
        <v>159494-05</v>
      </c>
      <c r="AO31" s="1640" t="str" cm="1">
        <f t="array" ref="AO31">IFERROR(IF(AN31&lt;&gt;"",_xll.PBD(AN31,"Name","","EUR",""),""),"")</f>
        <v>Atlantska Plovidba</v>
      </c>
      <c r="AP31" s="1640" t="str" cm="1">
        <f t="array" ref="AP31">IFERROR(IF(AN31&lt;&gt;"",_xll.PBD(AN31,"Primary Industry Code","","EUR",""),""),"")</f>
        <v>Marine</v>
      </c>
      <c r="AQ31" s="1640" t="str" cm="1">
        <f t="array" ref="AQ31">IFERROR(IF(AN31&lt;&gt;"",_xll.PBD(AN31,"HQ Country","","EUR",""),""),"")</f>
        <v>Croatia</v>
      </c>
      <c r="AR31" s="1640" t="str" cm="1">
        <f t="array" ref="AR31">IFERROR(IF(AK31&lt;&gt;"",_xll.PBD(AK31,"Limit1.Investors Ids","","EUR",""),""),"")</f>
        <v>58010-05</v>
      </c>
      <c r="AS31" s="1640" t="str" cm="1">
        <f t="array" ref="AS31">IFERROR(IF(AR31&lt;&gt;"",_xll.PBD(AR31,"Name","","EUR",""),""),"")</f>
        <v>Tankerska Plovidba</v>
      </c>
      <c r="AT31" s="1640" t="str" cm="1">
        <f t="array" ref="AT31">IFERROR(IF(AR31&lt;&gt;"",_xll.PBD(AR31,"Primary Industry Code","","EUR",""),""),"")</f>
        <v>Energy Transportation</v>
      </c>
      <c r="AU31" s="1640" t="str" cm="1">
        <f t="array" ref="AU31">IFERROR(IF(AR31&lt;&gt;"",_xll.PBD(AR31,"Limit2.Entity Types","","EUR",""),""),"")</f>
        <v>Private Company, Acquirer</v>
      </c>
      <c r="AV31" s="1640" t="str" cm="1">
        <f t="array" ref="AV31">IFERROR(IF(AR31&lt;&gt;"",_xll.PBD(AR31,"HQ Country","","EUR",""),""),"")</f>
        <v>Croatia</v>
      </c>
      <c r="AX31" s="1641" cm="1">
        <f t="array" ref="AX31">IFERROR(IF(AK31&lt;&gt;"",_xll.PBD(AK31,"Limit1.Deal Amount","","EUR","")/1000000,""),"")</f>
        <v>3.7168301977283567</v>
      </c>
      <c r="AY31" s="1641" cm="1">
        <f t="array" ref="AY31">IFERROR(IF(AK31&lt;&gt;"",_xll.PBD(AK31,"Limit1.Implied EV ","","EUR","")/1000000,""),"")</f>
        <v>11.800935877787532</v>
      </c>
      <c r="AZ31" s="1694" cm="1">
        <f t="array" ref="AZ31">IFERROR(IF(AK31&lt;&gt;"",_xll.PBD(AK31,"Limit1.% Acquired ","","EUR",""),""),"")</f>
        <v>0.25</v>
      </c>
      <c r="BB31" s="1695" cm="1">
        <f t="array" ref="BB31">IFERROR(IF(AK31&lt;&gt;"",_xll.PBD(AK31,"Implied EV / Revenue","","EUR",""),""),"")</f>
        <v>0.25416070896141657</v>
      </c>
      <c r="BC31" s="1695" cm="1">
        <f t="array" ref="BC31">IFERROR(IF(AK31&lt;&gt;"",_xll.PBD(AK31,"Implied EV / EBITDA","","EUR",""),""),"")</f>
        <v>3.7487089827787585</v>
      </c>
      <c r="BD31" s="1695" cm="1">
        <f t="array" ref="BD31">IFERROR(IF(AK31&lt;&gt;"",_xll.PBD(AK31,"Implied EV / EBIT","","EUR",""),""),"")</f>
        <v>-1.5722003567529352</v>
      </c>
      <c r="BF31" s="1640" t="str" cm="1">
        <f t="array" ref="BF31">IFERROR(IF(AR31&lt;&gt;"",_xll.PBD(AR31,"Brief Description","","EUR",""),""),"")</f>
        <v>Provider of transportation and shipping services.</v>
      </c>
    </row>
    <row r="32" spans="2:58" ht="13.9" customHeight="1">
      <c r="B32" s="1592"/>
      <c r="C32" s="1578"/>
      <c r="D32" s="1578"/>
      <c r="E32" s="1594"/>
      <c r="F32" s="1594"/>
      <c r="G32" s="1594"/>
      <c r="H32" s="1594"/>
      <c r="I32" s="1595"/>
      <c r="J32" s="1595"/>
      <c r="L32" s="1705" t="s">
        <v>574</v>
      </c>
      <c r="M32" s="1631"/>
      <c r="N32" s="1640" t="str" cm="1">
        <f t="array" ref="N32">IFERROR(IF($L32&lt;&gt;"",_xll.PBD($L32,"Name","","USD",""),""),"")</f>
        <v>United Parcel Service of America</v>
      </c>
      <c r="O32" s="1640" t="str" cm="1">
        <f t="array" ref="O32">IFERROR(IF($L32&lt;&gt;"",_xll.PBD($L32,"Primary Industry Code","","",""),""),"")</f>
        <v>Logistics</v>
      </c>
      <c r="P32" s="1640" t="str" cm="1">
        <f t="array" ref="P32">IFERROR(IF($L32&lt;&gt;"",_xll.PBD($L32,"HQ Country","","",""),""),"")</f>
        <v>United States</v>
      </c>
      <c r="Q32" s="1640" t="str" cm="1">
        <f t="array" ref="Q32">IFERROR(IF($L32&lt;&gt;"",_xll.PBD($L32,"HQ City","","EUR",""),""),"")</f>
        <v>Atlanta</v>
      </c>
      <c r="S32" s="1666" t="str" cm="1">
        <f t="array" aca="1" ref="S32" ca="1">IFERROR(IF($L32&lt;&gt;"",_xll.PBF($L32,"EV","TTM",$N$11,"","EUR","")/1000000,""),"")</f>
        <v/>
      </c>
      <c r="T32" s="1666" t="str" cm="1">
        <f t="array" aca="1" ref="T32" ca="1">IFERROR(IF($L32&lt;&gt;"",_xll.PBF($L32,"NET Debt","TTM",$N$11,"","EUR","")/1000000,""),"")</f>
        <v/>
      </c>
      <c r="U32" s="1666" t="str" cm="1">
        <f t="array" aca="1" ref="U32" ca="1">IFERROR(IF($L32&lt;&gt;"",_xll.PBF($L32,"Market Cap","TTM",$N$11,"","EUR","")/1000000,""),"")</f>
        <v/>
      </c>
      <c r="V32" s="1677" t="str" cm="1">
        <f t="array" aca="1" ref="V32" ca="1">IFERROR(IF($L32&lt;&gt;"",_xll.PBF($L32,"Total Debt to Equity","TTM",$V$21,"","EUR",""),""),"")</f>
        <v/>
      </c>
      <c r="W32" s="1677"/>
      <c r="X32" s="1666" t="str" cm="1">
        <f t="array" aca="1" ref="X32" ca="1">IFERROR(IF($L32&lt;&gt;"",_xll.PBF($L32,"Total Revenue","FY",$X$21,"","EUR","")/1000000,""),"")</f>
        <v/>
      </c>
      <c r="Y32" s="1666" t="str" cm="1">
        <f t="array" aca="1" ref="Y32" ca="1">IFERROR(IF($L32&lt;&gt;"",_xll.PBF($L32,"EBITDA","FY",$N$11,"","EUR","")/1000000,""),"")</f>
        <v/>
      </c>
      <c r="Z32" s="1666" t="str" cm="1">
        <f t="array" aca="1" ref="Z32" ca="1">IFERROR(IF($L32&lt;&gt;"",_xll.PBF($L32,"EBIT","FY",$N$11,"","EUR","")/1000000,""),"")</f>
        <v/>
      </c>
      <c r="AA32" s="1677" t="str" cm="1">
        <f t="array" aca="1" ref="AA32" ca="1">IFERROR(IF($L32&lt;&gt;"",_xll.PBF($L32,"Total Debt to EBITDA","FY",$AA$21,"","EUR",""),""),"")</f>
        <v/>
      </c>
      <c r="AB32" s="1670"/>
      <c r="AC32" s="1672" t="str" cm="1">
        <f t="array" aca="1" ref="AC32" ca="1">IFERROR(IF($L32&lt;&gt;"",_xll.PBF($L32,"EV to Revenue","FY",$N$11,"","EUR",""),""),"")</f>
        <v/>
      </c>
      <c r="AD32" s="1672" t="str" cm="1">
        <f t="array" aca="1" ref="AD32" ca="1">IFERROR(IF($L32&lt;&gt;"",_xll.PBF($L32,"EV to EBITDA","FY",$AD$21,"","EUR",""),""),"")</f>
        <v/>
      </c>
      <c r="AE32" s="1672" t="str" cm="1">
        <f t="array" aca="1" ref="AE32" ca="1">IFERROR(IF($L32&lt;&gt;"",_xll.PBF($L32,"EV to EBIT","FY",$AE$21,"","EUR",""),""),"")</f>
        <v/>
      </c>
      <c r="AF32" s="1672"/>
      <c r="AG32" s="1672" t="str" cm="1">
        <f t="array" aca="1" ref="AG32" ca="1">IFERROR(IF($L32&lt;&gt;"",_xll.PBF($L32,"EV to Forward Revenue","FY",$AG$21,"","EUR",""),""),"")</f>
        <v/>
      </c>
      <c r="AH32" s="1672" t="str" cm="1">
        <f t="array" aca="1" ref="AH32" ca="1">IFERROR(IF($L32&lt;&gt;"",_xll.PBF($L32,"EV to Forward EBITDA","FY",$AH$21,"","EUR",""),""),"")</f>
        <v/>
      </c>
      <c r="AI32" s="1672" t="str" cm="1">
        <f t="array" aca="1" ref="AI32" ca="1">IFERROR(IF($L32&lt;&gt;"",_xll.PBF($L32,"EV to Forward EBIT","FY",$AI$21,"","EUR",""),""),"")</f>
        <v/>
      </c>
      <c r="AJ32" s="1650"/>
      <c r="AK32" s="1907" t="s">
        <v>575</v>
      </c>
      <c r="AL32" s="1693" cm="1">
        <f t="array" ref="AL32">IFERROR(IF(AK32&lt;&gt;"",_xll.PBD(AK32,"Deal Date","","EUR",""),""),"")</f>
        <v>45469</v>
      </c>
      <c r="AM32" s="1693" t="str" cm="1">
        <f t="array" ref="AM32">IFERROR(IF(AK32&lt;&gt;"",_xll.PBD(AK32,"Limit1.Deal Type 1","","EUR",""),""),"")</f>
        <v>Merger/Acquisition</v>
      </c>
      <c r="AN32" s="1693" t="str" cm="1">
        <f t="array" ref="AN32">IFERROR(IF(AK32&lt;&gt;"",_xll.PBD(AK32,"Limit1.Company Id","","EUR",""),""),"")</f>
        <v>156295-54</v>
      </c>
      <c r="AO32" s="1640" t="str" cm="1">
        <f t="array" ref="AO32">IFERROR(IF(AN32&lt;&gt;"",_xll.PBD(AN32,"Name","","EUR",""),""),"")</f>
        <v>S Line Group</v>
      </c>
      <c r="AP32" s="1640" t="str" cm="1">
        <f t="array" ref="AP32">IFERROR(IF(AN32&lt;&gt;"",_xll.PBD(AN32,"Primary Industry Code","","EUR",""),""),"")</f>
        <v>Logistics</v>
      </c>
      <c r="AQ32" s="1640" t="str" cm="1">
        <f t="array" ref="AQ32">IFERROR(IF(AN32&lt;&gt;"",_xll.PBD(AN32,"HQ Country","","EUR",""),""),"")</f>
        <v>Japan</v>
      </c>
      <c r="AR32" s="1640" t="str" cm="1">
        <f t="array" ref="AR32">IFERROR(IF(AK32&lt;&gt;"",_xll.PBD(AK32,"Limit1.Investors Ids","","EUR",""),""),"")</f>
        <v/>
      </c>
      <c r="AS32" s="1640" t="str" cm="1">
        <f t="array" ref="AS32">IFERROR(IF(AR32&lt;&gt;"",_xll.PBD(AR32,"Name","","EUR",""),""),"")</f>
        <v/>
      </c>
      <c r="AT32" s="1640" t="str" cm="1">
        <f t="array" ref="AT32">IFERROR(IF(AR32&lt;&gt;"",_xll.PBD(AR32,"Primary Industry Code","","EUR",""),""),"")</f>
        <v/>
      </c>
      <c r="AU32" s="1640" t="str" cm="1">
        <f t="array" ref="AU32">IFERROR(IF(AR32&lt;&gt;"",_xll.PBD(AR32,"Limit2.Entity Types","","EUR",""),""),"")</f>
        <v/>
      </c>
      <c r="AV32" s="1640" t="str" cm="1">
        <f t="array" ref="AV32">IFERROR(IF(AR32&lt;&gt;"",_xll.PBD(AR32,"HQ Country","","EUR",""),""),"")</f>
        <v/>
      </c>
      <c r="AX32" s="1641" cm="1">
        <f t="array" ref="AX32">IFERROR(IF(AK32&lt;&gt;"",_xll.PBD(AK32,"Limit1.Deal Amount","","EUR","")/1000000,""),"")</f>
        <v>59.46492933740204</v>
      </c>
      <c r="AY32" s="1641" cm="1">
        <f t="array" ref="AY32">IFERROR(IF(AK32&lt;&gt;"",_xll.PBD(AK32,"Limit1.Implied EV ","","EUR","")/1000000,""),"")</f>
        <v>72.82923063472569</v>
      </c>
      <c r="AZ32" s="1694" cm="1">
        <f t="array" ref="AZ32">IFERROR(IF(AK32&lt;&gt;"",_xll.PBD(AK32,"Limit1.% Acquired ","","EUR",""),""),"")</f>
        <v>0.63240000000000007</v>
      </c>
      <c r="BB32" s="1695" cm="1">
        <f t="array" ref="BB32">IFERROR(IF(AK32&lt;&gt;"",_xll.PBD(AK32,"Implied EV / Revenue","","EUR",""),""),"")</f>
        <v>0.22984649231499016</v>
      </c>
      <c r="BC32" s="1695" cm="1">
        <f t="array" ref="BC32">IFERROR(IF(AK32&lt;&gt;"",_xll.PBD(AK32,"Implied EV / EBITDA","","EUR",""),""),"")</f>
        <v>3.794147064337182</v>
      </c>
      <c r="BD32" s="1695" cm="1">
        <f t="array" ref="BD32">IFERROR(IF(AK32&lt;&gt;"",_xll.PBD(AK32,"Implied EV / EBIT","","EUR",""),""),"")</f>
        <v>12.175248042276031</v>
      </c>
      <c r="BF32" s="1640" t="str" cm="1">
        <f t="array" ref="BF32">IFERROR(IF(AR32&lt;&gt;"",_xll.PBD(AR32,"Brief Description","","EUR",""),""),"")</f>
        <v/>
      </c>
    </row>
    <row r="33" spans="2:58" ht="13.9" customHeight="1">
      <c r="B33" s="1592"/>
      <c r="L33" s="1705" t="s">
        <v>576</v>
      </c>
      <c r="M33" s="1584"/>
      <c r="N33" s="1640" t="str" cm="1">
        <f t="array" ref="N33">IFERROR(IF($L33&lt;&gt;"",_xll.PBD($L33,"Name","","USD",""),""),"")</f>
        <v>Janel Corporation</v>
      </c>
      <c r="O33" s="1640" t="str" cm="1">
        <f t="array" ref="O33">IFERROR(IF($L33&lt;&gt;"",_xll.PBD($L33,"Primary Industry Code","","",""),""),"")</f>
        <v>Holding Companies</v>
      </c>
      <c r="P33" s="1640" t="str" cm="1">
        <f t="array" ref="P33">IFERROR(IF($L33&lt;&gt;"",_xll.PBD($L33,"HQ Country","","",""),""),"")</f>
        <v>United States</v>
      </c>
      <c r="Q33" s="1640" t="str" cm="1">
        <f t="array" ref="Q33">IFERROR(IF($L33&lt;&gt;"",_xll.PBD($L33,"HQ City","","EUR",""),""),"")</f>
        <v>New York</v>
      </c>
      <c r="S33" s="1666" t="str" cm="1">
        <f t="array" aca="1" ref="S33" ca="1">IFERROR(IF($L33&lt;&gt;"",_xll.PBF($L33,"EV","TTM",$N$11,"","EUR","")/1000000,""),"")</f>
        <v/>
      </c>
      <c r="T33" s="1666" t="str" cm="1">
        <f t="array" aca="1" ref="T33" ca="1">IFERROR(IF($L33&lt;&gt;"",_xll.PBF($L33,"NET Debt","TTM",$N$11,"","EUR","")/1000000,""),"")</f>
        <v/>
      </c>
      <c r="U33" s="1666" t="str" cm="1">
        <f t="array" aca="1" ref="U33" ca="1">IFERROR(IF($L33&lt;&gt;"",_xll.PBF($L33,"Market Cap","TTM",$N$11,"","EUR","")/1000000,""),"")</f>
        <v/>
      </c>
      <c r="V33" s="1677" t="str" cm="1">
        <f t="array" aca="1" ref="V33" ca="1">IFERROR(IF($L33&lt;&gt;"",_xll.PBF($L33,"Total Debt to Equity","TTM",$V$21,"","EUR",""),""),"")</f>
        <v/>
      </c>
      <c r="W33" s="1677"/>
      <c r="X33" s="1666" t="str" cm="1">
        <f t="array" aca="1" ref="X33" ca="1">IFERROR(IF($L33&lt;&gt;"",_xll.PBF($L33,"Total Revenue","FY",$X$21,"","EUR","")/1000000,""),"")</f>
        <v/>
      </c>
      <c r="Y33" s="1666" t="str" cm="1">
        <f t="array" aca="1" ref="Y33" ca="1">IFERROR(IF($L33&lt;&gt;"",_xll.PBF($L33,"EBITDA","FY",$N$11,"","EUR","")/1000000,""),"")</f>
        <v/>
      </c>
      <c r="Z33" s="1666" t="str" cm="1">
        <f t="array" aca="1" ref="Z33" ca="1">IFERROR(IF($L33&lt;&gt;"",_xll.PBF($L33,"EBIT","FY",$N$11,"","EUR","")/1000000,""),"")</f>
        <v/>
      </c>
      <c r="AA33" s="1677" t="str" cm="1">
        <f t="array" aca="1" ref="AA33" ca="1">IFERROR(IF($L33&lt;&gt;"",_xll.PBF($L33,"Total Debt to EBITDA","FY",$AA$21,"","EUR",""),""),"")</f>
        <v/>
      </c>
      <c r="AB33" s="1670"/>
      <c r="AC33" s="1672" t="str" cm="1">
        <f t="array" aca="1" ref="AC33" ca="1">IFERROR(IF($L33&lt;&gt;"",_xll.PBF($L33,"EV to Revenue","FY",$N$11,"","EUR",""),""),"")</f>
        <v/>
      </c>
      <c r="AD33" s="1672" t="str" cm="1">
        <f t="array" aca="1" ref="AD33" ca="1">IFERROR(IF($L33&lt;&gt;"",_xll.PBF($L33,"EV to EBITDA","FY",$AD$21,"","EUR",""),""),"")</f>
        <v/>
      </c>
      <c r="AE33" s="1672" t="str" cm="1">
        <f t="array" aca="1" ref="AE33" ca="1">IFERROR(IF($L33&lt;&gt;"",_xll.PBF($L33,"EV to EBIT","FY",$AE$21,"","EUR",""),""),"")</f>
        <v/>
      </c>
      <c r="AF33" s="1672"/>
      <c r="AG33" s="1672" t="str" cm="1">
        <f t="array" aca="1" ref="AG33" ca="1">IFERROR(IF($L33&lt;&gt;"",_xll.PBF($L33,"EV to Forward Revenue","FY",$AG$21,"","EUR",""),""),"")</f>
        <v/>
      </c>
      <c r="AH33" s="1672" t="str" cm="1">
        <f t="array" aca="1" ref="AH33" ca="1">IFERROR(IF($L33&lt;&gt;"",_xll.PBF($L33,"EV to Forward EBITDA","FY",$AH$21,"","EUR",""),""),"")</f>
        <v/>
      </c>
      <c r="AI33" s="1672" t="str" cm="1">
        <f t="array" aca="1" ref="AI33" ca="1">IFERROR(IF($L33&lt;&gt;"",_xll.PBF($L33,"EV to Forward EBIT","FY",$AI$21,"","EUR",""),""),"")</f>
        <v/>
      </c>
      <c r="AJ33" s="1650"/>
      <c r="AK33" s="1907" t="s">
        <v>577</v>
      </c>
      <c r="AL33" s="1693" cm="1">
        <f t="array" ref="AL33">IFERROR(IF(AK33&lt;&gt;"",_xll.PBD(AK33,"Deal Date","","EUR",""),""),"")</f>
        <v>44985</v>
      </c>
      <c r="AM33" s="1693" t="str" cm="1">
        <f t="array" ref="AM33">IFERROR(IF(AK33&lt;&gt;"",_xll.PBD(AK33,"Limit1.Deal Type 1","","EUR",""),""),"")</f>
        <v>Merger/Acquisition</v>
      </c>
      <c r="AN33" s="1693" t="str" cm="1">
        <f t="array" ref="AN33">IFERROR(IF(AK33&lt;&gt;"",_xll.PBD(AK33,"Limit1.Company Id","","EUR",""),""),"")</f>
        <v>233605-09</v>
      </c>
      <c r="AO33" s="1640" t="str" cm="1">
        <f t="array" ref="AO33">IFERROR(IF(AN33&lt;&gt;"",_xll.PBD(AN33,"Name","","EUR",""),""),"")</f>
        <v>Mcburney Transport Group</v>
      </c>
      <c r="AP33" s="1640" t="str" cm="1">
        <f t="array" ref="AP33">IFERROR(IF(AN33&lt;&gt;"",_xll.PBD(AN33,"Primary Industry Code","","EUR",""),""),"")</f>
        <v>Logistics</v>
      </c>
      <c r="AQ33" s="1640" t="str" cm="1">
        <f t="array" ref="AQ33">IFERROR(IF(AN33&lt;&gt;"",_xll.PBD(AN33,"HQ Country","","EUR",""),""),"")</f>
        <v>United Kingdom</v>
      </c>
      <c r="AR33" s="1640" t="str" cm="1">
        <f t="array" ref="AR33">IFERROR(IF(AK33&lt;&gt;"",_xll.PBD(AK33,"Limit1.Investors Ids","","EUR",""),""),"")</f>
        <v>55761-13</v>
      </c>
      <c r="AS33" s="1640" t="str" cm="1">
        <f t="array" ref="AS33">IFERROR(IF(AR33&lt;&gt;"",_xll.PBD(AR33,"Name","","EUR",""),""),"")</f>
        <v>DFDS</v>
      </c>
      <c r="AT33" s="1640" t="str" cm="1">
        <f t="array" ref="AT33">IFERROR(IF(AR33&lt;&gt;"",_xll.PBD(AR33,"Primary Industry Code","","EUR",""),""),"")</f>
        <v>Logistics</v>
      </c>
      <c r="AU33" s="1640" t="str" cm="1">
        <f t="array" ref="AU33">IFERROR(IF(AR33&lt;&gt;"",_xll.PBD(AR33,"Limit2.Entity Types","","EUR",""),""),"")</f>
        <v>Public Company, Acquirer</v>
      </c>
      <c r="AV33" s="1640" t="str" cm="1">
        <f t="array" ref="AV33">IFERROR(IF(AR33&lt;&gt;"",_xll.PBD(AR33,"HQ Country","","EUR",""),""),"")</f>
        <v>Denmark</v>
      </c>
      <c r="AX33" s="1641" cm="1">
        <f t="array" ref="AX33">IFERROR(IF(AK33&lt;&gt;"",_xll.PBD(AK33,"Limit1.Deal Amount","","EUR","")/1000000,""),"")</f>
        <v>160.41629010490695</v>
      </c>
      <c r="AY33" s="1641" cm="1">
        <f t="array" ref="AY33">IFERROR(IF(AK33&lt;&gt;"",_xll.PBD(AK33,"Limit1.Implied EV ","","EUR","")/1000000,""),"")</f>
        <v>139.10575784201657</v>
      </c>
      <c r="AZ33" s="1694" cm="1">
        <f t="array" ref="AZ33">IFERROR(IF(AK33&lt;&gt;"",_xll.PBD(AK33,"Limit1.% Acquired ","","EUR",""),""),"")</f>
        <v>1</v>
      </c>
      <c r="BB33" s="1695" cm="1">
        <f t="array" ref="BB33">IFERROR(IF(AK33&lt;&gt;"",_xll.PBD(AK33,"Implied EV / Revenue","","EUR",""),""),"")</f>
        <v>0.94051031040583477</v>
      </c>
      <c r="BC33" s="1695" cm="1">
        <f t="array" ref="BC33">IFERROR(IF(AK33&lt;&gt;"",_xll.PBD(AK33,"Implied EV / EBITDA","","EUR",""),""),"")</f>
        <v>4.8299815017204866</v>
      </c>
      <c r="BD33" s="1695" cm="1">
        <f t="array" ref="BD33">IFERROR(IF(AK33&lt;&gt;"",_xll.PBD(AK33,"Implied EV / EBIT","","EUR",""),""),"")</f>
        <v>6.9585453109875095</v>
      </c>
      <c r="BF33" s="1640" t="str" cm="1">
        <f t="array" ref="BF33">IFERROR(IF(AR33&lt;&gt;"",_xll.PBD(AR33,"Brief Description","","EUR",""),""),"")</f>
        <v>Provider of transportation and logistics services serving European transport freight, passenger, and passenger cruise ferries..</v>
      </c>
    </row>
    <row r="34" spans="2:58" ht="13.9" customHeight="1">
      <c r="B34" s="1592"/>
      <c r="I34" s="1594"/>
      <c r="J34" s="1594"/>
      <c r="L34" s="1705" t="s">
        <v>103</v>
      </c>
      <c r="M34" s="1631"/>
      <c r="N34" s="1640" t="str" cm="1">
        <f t="array" ref="N34">IFERROR(IF($L34&lt;&gt;"",_xll.PBD($L34,"Name","","USD",""),""),"")</f>
        <v>#ENTITYNOTFOUND</v>
      </c>
      <c r="O34" s="1640" t="str" cm="1">
        <f t="array" ref="O34">IFERROR(IF($L34&lt;&gt;"",_xll.PBD($L34,"Primary Industry Code","","",""),""),"")</f>
        <v>#ENTITYNOTFOUND</v>
      </c>
      <c r="P34" s="1640" t="str" cm="1">
        <f t="array" ref="P34">IFERROR(IF($L34&lt;&gt;"",_xll.PBD($L34,"HQ Country","","",""),""),"")</f>
        <v>#ENTITYNOTFOUND</v>
      </c>
      <c r="Q34" s="1640" t="str" cm="1">
        <f t="array" ref="Q34">IFERROR(IF($L34&lt;&gt;"",_xll.PBD($L34,"HQ City","","EUR",""),""),"")</f>
        <v>#ENTITYNOTFOUND</v>
      </c>
      <c r="S34" s="1666" t="str" cm="1">
        <f t="array" aca="1" ref="S34" ca="1">IFERROR(IF($L34&lt;&gt;"",_xll.PBF($L34,"EV","TTM",$N$11,"","EUR","")/1000000,""),"")</f>
        <v/>
      </c>
      <c r="T34" s="1666" t="str" cm="1">
        <f t="array" aca="1" ref="T34" ca="1">IFERROR(IF($L34&lt;&gt;"",_xll.PBF($L34,"NET Debt","TTM",$N$11,"","EUR","")/1000000,""),"")</f>
        <v/>
      </c>
      <c r="U34" s="1666" t="str" cm="1">
        <f t="array" aca="1" ref="U34" ca="1">IFERROR(IF($L34&lt;&gt;"",_xll.PBF($L34,"Market Cap","TTM",$N$11,"","EUR","")/1000000,""),"")</f>
        <v/>
      </c>
      <c r="V34" s="1677" t="str" cm="1">
        <f t="array" aca="1" ref="V34" ca="1">IFERROR(IF($L34&lt;&gt;"",_xll.PBF($L34,"Total Debt to Equity","TTM",$V$21,"","EUR",""),""),"")</f>
        <v/>
      </c>
      <c r="W34" s="1677"/>
      <c r="X34" s="1666" t="str" cm="1">
        <f t="array" aca="1" ref="X34" ca="1">IFERROR(IF($L34&lt;&gt;"",_xll.PBF($L34,"Total Revenue","FY",$X$21,"","EUR","")/1000000,""),"")</f>
        <v/>
      </c>
      <c r="Y34" s="1666" t="str" cm="1">
        <f t="array" aca="1" ref="Y34" ca="1">IFERROR(IF($L34&lt;&gt;"",_xll.PBF($L34,"EBITDA","FY",$N$11,"","EUR","")/1000000,""),"")</f>
        <v/>
      </c>
      <c r="Z34" s="1666" t="str" cm="1">
        <f t="array" aca="1" ref="Z34" ca="1">IFERROR(IF($L34&lt;&gt;"",_xll.PBF($L34,"EBIT","FY",$N$11,"","EUR","")/1000000,""),"")</f>
        <v/>
      </c>
      <c r="AA34" s="1677" t="str" cm="1">
        <f t="array" aca="1" ref="AA34" ca="1">IFERROR(IF($L34&lt;&gt;"",_xll.PBF($L34,"Total Debt to EBITDA","FY",$AA$21,"","EUR",""),""),"")</f>
        <v/>
      </c>
      <c r="AB34" s="1670"/>
      <c r="AC34" s="1672" t="str" cm="1">
        <f t="array" aca="1" ref="AC34" ca="1">IFERROR(IF($L34&lt;&gt;"",_xll.PBF($L34,"EV to Revenue","FY",$N$11,"","EUR",""),""),"")</f>
        <v/>
      </c>
      <c r="AD34" s="1672" t="str" cm="1">
        <f t="array" aca="1" ref="AD34" ca="1">IFERROR(IF($L34&lt;&gt;"",_xll.PBF($L34,"EV to EBITDA","FY",$AD$21,"","EUR",""),""),"")</f>
        <v/>
      </c>
      <c r="AE34" s="1672" t="str" cm="1">
        <f t="array" aca="1" ref="AE34" ca="1">IFERROR(IF($L34&lt;&gt;"",_xll.PBF($L34,"EV to EBIT","FY",$AE$21,"","EUR",""),""),"")</f>
        <v/>
      </c>
      <c r="AF34" s="1672"/>
      <c r="AG34" s="1672" t="str" cm="1">
        <f t="array" aca="1" ref="AG34" ca="1">IFERROR(IF($L34&lt;&gt;"",_xll.PBF($L34,"EV to Forward Revenue","FY",$AG$21,"","EUR",""),""),"")</f>
        <v/>
      </c>
      <c r="AH34" s="1672" t="str" cm="1">
        <f t="array" aca="1" ref="AH34" ca="1">IFERROR(IF($L34&lt;&gt;"",_xll.PBF($L34,"EV to Forward EBITDA","FY",$AH$21,"","EUR",""),""),"")</f>
        <v/>
      </c>
      <c r="AI34" s="1672" t="str" cm="1">
        <f t="array" aca="1" ref="AI34" ca="1">IFERROR(IF($L34&lt;&gt;"",_xll.PBF($L34,"EV to Forward EBIT","FY",$AI$21,"","EUR",""),""),"")</f>
        <v/>
      </c>
      <c r="AJ34" s="1650"/>
      <c r="AK34" s="1705" t="s">
        <v>103</v>
      </c>
      <c r="AL34" s="1693" t="str" cm="1">
        <f t="array" ref="AL34">IFERROR(IF(AK34&lt;&gt;"",_xll.PBD(AK34,"Deal Date","","EUR",""),""),"")</f>
        <v>#ENTITYNOTFOUND</v>
      </c>
      <c r="AM34" s="1693" t="str" cm="1">
        <f t="array" ref="AM34">IFERROR(IF(AK34&lt;&gt;"",_xll.PBD(AK34,"Limit1.Deal Type 1","","EUR",""),""),"")</f>
        <v>#ENTITYNOTFOUND</v>
      </c>
      <c r="AN34" s="1693" t="str" cm="1">
        <f t="array" ref="AN34">IFERROR(IF(AK34&lt;&gt;"",_xll.PBD(AK34,"Limit1.Company Id","","EUR",""),""),"")</f>
        <v>#ENTITYNOTFOUND</v>
      </c>
      <c r="AO34" s="1640" t="str" cm="1">
        <f t="array" ref="AO34">IFERROR(IF(AN34&lt;&gt;"",_xll.PBD(AN34,"Name","","EUR",""),""),"")</f>
        <v>#ENTITYNOTFOUND</v>
      </c>
      <c r="AP34" s="1640" t="str" cm="1">
        <f t="array" ref="AP34">IFERROR(IF(AN34&lt;&gt;"",_xll.PBD(AN34,"Primary Industry Code","","EUR",""),""),"")</f>
        <v>#ENTITYNOTFOUND</v>
      </c>
      <c r="AQ34" s="1640" t="str" cm="1">
        <f t="array" ref="AQ34">IFERROR(IF(AN34&lt;&gt;"",_xll.PBD(AN34,"HQ Country","","EUR",""),""),"")</f>
        <v>#ENTITYNOTFOUND</v>
      </c>
      <c r="AR34" s="1640" t="str" cm="1">
        <f t="array" ref="AR34">IFERROR(IF(AK34&lt;&gt;"",_xll.PBD(AK34,"Limit1.Investors Ids","","EUR",""),""),"")</f>
        <v>#ENTITYNOTFOUND</v>
      </c>
      <c r="AS34" s="1640" t="str" cm="1">
        <f t="array" ref="AS34">IFERROR(IF(AR34&lt;&gt;"",_xll.PBD(AR34,"Name","","EUR",""),""),"")</f>
        <v>#ENTITYNOTFOUND</v>
      </c>
      <c r="AT34" s="1640" t="str" cm="1">
        <f t="array" ref="AT34">IFERROR(IF(AR34&lt;&gt;"",_xll.PBD(AR34,"Primary Industry Code","","EUR",""),""),"")</f>
        <v>#ENTITYNOTFOUND</v>
      </c>
      <c r="AU34" s="1640" t="str" cm="1">
        <f t="array" ref="AU34">IFERROR(IF(AR34&lt;&gt;"",_xll.PBD(AR34,"Limit2.Entity Types","","EUR",""),""),"")</f>
        <v>#ENTITYNOTFOUND</v>
      </c>
      <c r="AV34" s="1640" t="str" cm="1">
        <f t="array" ref="AV34">IFERROR(IF(AR34&lt;&gt;"",_xll.PBD(AR34,"HQ Country","","EUR",""),""),"")</f>
        <v>#ENTITYNOTFOUND</v>
      </c>
      <c r="AX34" s="1641" t="str" cm="1">
        <f t="array" ref="AX34">IFERROR(IF(AK34&lt;&gt;"",_xll.PBD(AK34,"Limit1.Deal Amount","","EUR","")/1000000,""),"")</f>
        <v/>
      </c>
      <c r="AY34" s="1641" t="str" cm="1">
        <f t="array" ref="AY34">IFERROR(IF(AK34&lt;&gt;"",_xll.PBD(AK34,"Limit1.Implied EV ","","EUR","")/1000000,""),"")</f>
        <v/>
      </c>
      <c r="AZ34" s="1694" t="str" cm="1">
        <f t="array" ref="AZ34">IFERROR(IF(AK34&lt;&gt;"",_xll.PBD(AK34,"Limit1.% Acquired ","","EUR",""),""),"")</f>
        <v>#ENTITYNOTFOUND</v>
      </c>
      <c r="BB34" s="1695" t="str" cm="1">
        <f t="array" ref="BB34">IFERROR(IF(AK34&lt;&gt;"",_xll.PBD(AK34,"Implied EV / Revenue","","EUR",""),""),"")</f>
        <v>#ENTITYNOTFOUND</v>
      </c>
      <c r="BC34" s="1695" t="str" cm="1">
        <f t="array" ref="BC34">IFERROR(IF(AK34&lt;&gt;"",_xll.PBD(AK34,"Implied EV / EBITDA","","EUR",""),""),"")</f>
        <v>#ENTITYNOTFOUND</v>
      </c>
      <c r="BD34" s="1695" t="str" cm="1">
        <f t="array" ref="BD34">IFERROR(IF(AK34&lt;&gt;"",_xll.PBD(AK34,"Implied EV / EBIT","","EUR",""),""),"")</f>
        <v>#ENTITYNOTFOUND</v>
      </c>
      <c r="BF34" s="1640" t="str" cm="1">
        <f t="array" ref="BF34">IFERROR(IF(AR34&lt;&gt;"",_xll.PBD(AR34,"Brief Description","","EUR",""),""),"")</f>
        <v>#ENTITYNOTFOUND</v>
      </c>
    </row>
    <row r="35" spans="2:58" ht="13.9" customHeight="1">
      <c r="B35" s="1592"/>
      <c r="L35" s="1705" t="s">
        <v>103</v>
      </c>
      <c r="M35" s="1631"/>
      <c r="N35" s="1640" t="str" cm="1">
        <f t="array" ref="N35">IFERROR(IF($L35&lt;&gt;"",_xll.PBD($L35,"Name","","USD",""),""),"")</f>
        <v>#ENTITYNOTFOUND</v>
      </c>
      <c r="O35" s="1640" t="str" cm="1">
        <f t="array" ref="O35">IFERROR(IF($L35&lt;&gt;"",_xll.PBD($L35,"Primary Industry Code","","",""),""),"")</f>
        <v>#ENTITYNOTFOUND</v>
      </c>
      <c r="P35" s="1640" t="str" cm="1">
        <f t="array" ref="P35">IFERROR(IF($L35&lt;&gt;"",_xll.PBD($L35,"HQ Country","","",""),""),"")</f>
        <v>#ENTITYNOTFOUND</v>
      </c>
      <c r="Q35" s="1640" t="str" cm="1">
        <f t="array" ref="Q35">IFERROR(IF($L35&lt;&gt;"",_xll.PBD($L35,"HQ City","","EUR",""),""),"")</f>
        <v>#ENTITYNOTFOUND</v>
      </c>
      <c r="S35" s="1666" t="str" cm="1">
        <f t="array" aca="1" ref="S35" ca="1">IFERROR(IF($L35&lt;&gt;"",_xll.PBF($L35,"EV","TTM",$N$11,"","EUR","")/1000000,""),"")</f>
        <v/>
      </c>
      <c r="T35" s="1666" t="str" cm="1">
        <f t="array" aca="1" ref="T35" ca="1">IFERROR(IF($L35&lt;&gt;"",_xll.PBF($L35,"NET Debt","TTM",$N$11,"","EUR","")/1000000,""),"")</f>
        <v/>
      </c>
      <c r="U35" s="1666" t="str" cm="1">
        <f t="array" aca="1" ref="U35" ca="1">IFERROR(IF($L35&lt;&gt;"",_xll.PBF($L35,"Market Cap","TTM",$N$11,"","EUR","")/1000000,""),"")</f>
        <v/>
      </c>
      <c r="V35" s="1677" t="str" cm="1">
        <f t="array" aca="1" ref="V35" ca="1">IFERROR(IF($L35&lt;&gt;"",_xll.PBF($L35,"Total Debt to Equity","TTM",$V$21,"","EUR",""),""),"")</f>
        <v/>
      </c>
      <c r="W35" s="1677"/>
      <c r="X35" s="1666" t="str" cm="1">
        <f t="array" aca="1" ref="X35" ca="1">IFERROR(IF($L35&lt;&gt;"",_xll.PBF($L35,"Total Revenue","FY",$X$21,"","EUR","")/1000000,""),"")</f>
        <v/>
      </c>
      <c r="Y35" s="1666" t="str" cm="1">
        <f t="array" aca="1" ref="Y35" ca="1">IFERROR(IF($L35&lt;&gt;"",_xll.PBF($L35,"EBITDA","FY",$N$11,"","EUR","")/1000000,""),"")</f>
        <v/>
      </c>
      <c r="Z35" s="1666" t="str" cm="1">
        <f t="array" aca="1" ref="Z35" ca="1">IFERROR(IF($L35&lt;&gt;"",_xll.PBF($L35,"EBIT","FY",$N$11,"","EUR","")/1000000,""),"")</f>
        <v/>
      </c>
      <c r="AA35" s="1677" t="str" cm="1">
        <f t="array" aca="1" ref="AA35" ca="1">IFERROR(IF($L35&lt;&gt;"",_xll.PBF($L35,"Total Debt to EBITDA","FY",$AA$21,"","EUR",""),""),"")</f>
        <v/>
      </c>
      <c r="AB35" s="1670"/>
      <c r="AC35" s="1672" t="str" cm="1">
        <f t="array" aca="1" ref="AC35" ca="1">IFERROR(IF($L35&lt;&gt;"",_xll.PBF($L35,"EV to Revenue","FY",$N$11,"","EUR",""),""),"")</f>
        <v/>
      </c>
      <c r="AD35" s="1672" t="str" cm="1">
        <f t="array" aca="1" ref="AD35" ca="1">IFERROR(IF($L35&lt;&gt;"",_xll.PBF($L35,"EV to EBITDA","FY",$AD$21,"","EUR",""),""),"")</f>
        <v/>
      </c>
      <c r="AE35" s="1672" t="str" cm="1">
        <f t="array" aca="1" ref="AE35" ca="1">IFERROR(IF($L35&lt;&gt;"",_xll.PBF($L35,"EV to EBIT","FY",$AE$21,"","EUR",""),""),"")</f>
        <v/>
      </c>
      <c r="AF35" s="1672"/>
      <c r="AG35" s="1672" t="str" cm="1">
        <f t="array" aca="1" ref="AG35" ca="1">IFERROR(IF($L35&lt;&gt;"",_xll.PBF($L35,"EV to Forward Revenue","FY",$AG$21,"","EUR",""),""),"")</f>
        <v/>
      </c>
      <c r="AH35" s="1672" t="str" cm="1">
        <f t="array" aca="1" ref="AH35" ca="1">IFERROR(IF($L35&lt;&gt;"",_xll.PBF($L35,"EV to Forward EBITDA","FY",$AH$21,"","EUR",""),""),"")</f>
        <v/>
      </c>
      <c r="AI35" s="1672" t="str" cm="1">
        <f t="array" aca="1" ref="AI35" ca="1">IFERROR(IF($L35&lt;&gt;"",_xll.PBF($L35,"EV to Forward EBIT","FY",$AI$21,"","EUR",""),""),"")</f>
        <v/>
      </c>
      <c r="AJ35" s="1650"/>
      <c r="AK35" s="1705" t="s">
        <v>103</v>
      </c>
      <c r="AL35" s="1693" t="str" cm="1">
        <f t="array" ref="AL35">IFERROR(IF(AK35&lt;&gt;"",_xll.PBD(AK35,"Deal Date","","EUR",""),""),"")</f>
        <v>#ENTITYNOTFOUND</v>
      </c>
      <c r="AM35" s="1693" t="str" cm="1">
        <f t="array" ref="AM35">IFERROR(IF(AK35&lt;&gt;"",_xll.PBD(AK35,"Limit1.Deal Type 1","","EUR",""),""),"")</f>
        <v>#ENTITYNOTFOUND</v>
      </c>
      <c r="AN35" s="1693" t="str" cm="1">
        <f t="array" ref="AN35">IFERROR(IF(AK35&lt;&gt;"",_xll.PBD(AK35,"Limit1.Company Id","","EUR",""),""),"")</f>
        <v>#ENTITYNOTFOUND</v>
      </c>
      <c r="AO35" s="1640" t="str" cm="1">
        <f t="array" ref="AO35">IFERROR(IF(AN35&lt;&gt;"",_xll.PBD(AN35,"Name","","EUR",""),""),"")</f>
        <v>#ENTITYNOTFOUND</v>
      </c>
      <c r="AP35" s="1640" t="str" cm="1">
        <f t="array" ref="AP35">IFERROR(IF(AN35&lt;&gt;"",_xll.PBD(AN35,"Primary Industry Code","","EUR",""),""),"")</f>
        <v>#ENTITYNOTFOUND</v>
      </c>
      <c r="AQ35" s="1640" t="str" cm="1">
        <f t="array" ref="AQ35">IFERROR(IF(AN35&lt;&gt;"",_xll.PBD(AN35,"HQ Country","","EUR",""),""),"")</f>
        <v>#ENTITYNOTFOUND</v>
      </c>
      <c r="AR35" s="1640" t="str" cm="1">
        <f t="array" ref="AR35">IFERROR(IF(AK35&lt;&gt;"",_xll.PBD(AK35,"Limit1.Investors Ids","","EUR",""),""),"")</f>
        <v>#ENTITYNOTFOUND</v>
      </c>
      <c r="AS35" s="1640" t="str" cm="1">
        <f t="array" ref="AS35">IFERROR(IF(AR35&lt;&gt;"",_xll.PBD(AR35,"Name","","EUR",""),""),"")</f>
        <v>#ENTITYNOTFOUND</v>
      </c>
      <c r="AT35" s="1640" t="str" cm="1">
        <f t="array" ref="AT35">IFERROR(IF(AR35&lt;&gt;"",_xll.PBD(AR35,"Primary Industry Code","","EUR",""),""),"")</f>
        <v>#ENTITYNOTFOUND</v>
      </c>
      <c r="AU35" s="1640" t="str" cm="1">
        <f t="array" ref="AU35">IFERROR(IF(AR35&lt;&gt;"",_xll.PBD(AR35,"Limit2.Entity Types","","EUR",""),""),"")</f>
        <v>#ENTITYNOTFOUND</v>
      </c>
      <c r="AV35" s="1640" t="str" cm="1">
        <f t="array" ref="AV35">IFERROR(IF(AR35&lt;&gt;"",_xll.PBD(AR35,"HQ Country","","EUR",""),""),"")</f>
        <v>#ENTITYNOTFOUND</v>
      </c>
      <c r="AX35" s="1641" t="str" cm="1">
        <f t="array" ref="AX35">IFERROR(IF(AK35&lt;&gt;"",_xll.PBD(AK35,"Limit1.Deal Amount","","EUR","")/1000000,""),"")</f>
        <v/>
      </c>
      <c r="AY35" s="1641" t="str" cm="1">
        <f t="array" ref="AY35">IFERROR(IF(AK35&lt;&gt;"",_xll.PBD(AK35,"Limit1.Implied EV ","","EUR","")/1000000,""),"")</f>
        <v/>
      </c>
      <c r="AZ35" s="1694" t="str" cm="1">
        <f t="array" ref="AZ35">IFERROR(IF(AK35&lt;&gt;"",_xll.PBD(AK35,"Limit1.% Acquired ","","EUR",""),""),"")</f>
        <v>#ENTITYNOTFOUND</v>
      </c>
      <c r="BB35" s="1695" t="str" cm="1">
        <f t="array" ref="BB35">IFERROR(IF(AK35&lt;&gt;"",_xll.PBD(AK35,"Implied EV / Revenue","","EUR",""),""),"")</f>
        <v>#ENTITYNOTFOUND</v>
      </c>
      <c r="BC35" s="1695" t="str" cm="1">
        <f t="array" ref="BC35">IFERROR(IF(AK35&lt;&gt;"",_xll.PBD(AK35,"Implied EV / EBITDA","","EUR",""),""),"")</f>
        <v>#ENTITYNOTFOUND</v>
      </c>
      <c r="BD35" s="1695" t="str" cm="1">
        <f t="array" ref="BD35">IFERROR(IF(AK35&lt;&gt;"",_xll.PBD(AK35,"Implied EV / EBIT","","EUR",""),""),"")</f>
        <v>#ENTITYNOTFOUND</v>
      </c>
      <c r="BF35" s="1640" t="str" cm="1">
        <f t="array" ref="BF35">IFERROR(IF(AR35&lt;&gt;"",_xll.PBD(AR35,"Brief Description","","EUR",""),""),"")</f>
        <v>#ENTITYNOTFOUND</v>
      </c>
    </row>
    <row r="36" spans="2:58" ht="13.9" customHeight="1">
      <c r="B36" s="1592"/>
      <c r="L36" s="1705" t="s">
        <v>103</v>
      </c>
      <c r="M36" s="1631"/>
      <c r="N36" s="1640" t="str" cm="1">
        <f t="array" ref="N36">IFERROR(IF($L36&lt;&gt;"",_xll.PBD($L36,"Name","","USD",""),""),"")</f>
        <v>#ENTITYNOTFOUND</v>
      </c>
      <c r="O36" s="1640" t="str" cm="1">
        <f t="array" ref="O36">IFERROR(IF($L36&lt;&gt;"",_xll.PBD($L36,"Primary Industry Code","","",""),""),"")</f>
        <v>#ENTITYNOTFOUND</v>
      </c>
      <c r="P36" s="1640" t="str" cm="1">
        <f t="array" ref="P36">IFERROR(IF($L36&lt;&gt;"",_xll.PBD($L36,"HQ Country","","",""),""),"")</f>
        <v>#ENTITYNOTFOUND</v>
      </c>
      <c r="Q36" s="1640" t="str" cm="1">
        <f t="array" ref="Q36">IFERROR(IF($L36&lt;&gt;"",_xll.PBD($L36,"HQ City","","EUR",""),""),"")</f>
        <v>#ENTITYNOTFOUND</v>
      </c>
      <c r="S36" s="1666" t="str" cm="1">
        <f t="array" aca="1" ref="S36" ca="1">IFERROR(IF($L36&lt;&gt;"",_xll.PBF($L36,"EV","TTM",$N$11,"","EUR","")/1000000,""),"")</f>
        <v/>
      </c>
      <c r="T36" s="1666" t="str" cm="1">
        <f t="array" aca="1" ref="T36" ca="1">IFERROR(IF($L36&lt;&gt;"",_xll.PBF($L36,"NET Debt","TTM",$N$11,"","EUR","")/1000000,""),"")</f>
        <v/>
      </c>
      <c r="U36" s="1666" t="str" cm="1">
        <f t="array" aca="1" ref="U36" ca="1">IFERROR(IF($L36&lt;&gt;"",_xll.PBF($L36,"Market Cap","TTM",$N$11,"","EUR","")/1000000,""),"")</f>
        <v/>
      </c>
      <c r="V36" s="1677" t="str" cm="1">
        <f t="array" aca="1" ref="V36" ca="1">IFERROR(IF($L36&lt;&gt;"",_xll.PBF($L36,"Total Debt to Equity","TTM",$V$21,"","EUR",""),""),"")</f>
        <v/>
      </c>
      <c r="W36" s="1677"/>
      <c r="X36" s="1666" t="str" cm="1">
        <f t="array" aca="1" ref="X36" ca="1">IFERROR(IF($L36&lt;&gt;"",_xll.PBF($L36,"Total Revenue","FY",$X$21,"","EUR","")/1000000,""),"")</f>
        <v/>
      </c>
      <c r="Y36" s="1666" t="str" cm="1">
        <f t="array" aca="1" ref="Y36" ca="1">IFERROR(IF($L36&lt;&gt;"",_xll.PBF($L36,"EBITDA","FY",$N$11,"","EUR","")/1000000,""),"")</f>
        <v/>
      </c>
      <c r="Z36" s="1666" t="str" cm="1">
        <f t="array" aca="1" ref="Z36" ca="1">IFERROR(IF($L36&lt;&gt;"",_xll.PBF($L36,"EBIT","FY",$N$11,"","EUR","")/1000000,""),"")</f>
        <v/>
      </c>
      <c r="AA36" s="1677" t="str" cm="1">
        <f t="array" aca="1" ref="AA36" ca="1">IFERROR(IF($L36&lt;&gt;"",_xll.PBF($L36,"Total Debt to EBITDA","FY",$AA$21,"","EUR",""),""),"")</f>
        <v/>
      </c>
      <c r="AB36" s="1670"/>
      <c r="AC36" s="1672" t="str" cm="1">
        <f t="array" aca="1" ref="AC36" ca="1">IFERROR(IF($L36&lt;&gt;"",_xll.PBF($L36,"EV to Revenue","FY",$N$11,"","EUR",""),""),"")</f>
        <v/>
      </c>
      <c r="AD36" s="1672" t="str" cm="1">
        <f t="array" aca="1" ref="AD36" ca="1">IFERROR(IF($L36&lt;&gt;"",_xll.PBF($L36,"EV to EBITDA","FY",$AD$21,"","EUR",""),""),"")</f>
        <v/>
      </c>
      <c r="AE36" s="1672" t="str" cm="1">
        <f t="array" aca="1" ref="AE36" ca="1">IFERROR(IF($L36&lt;&gt;"",_xll.PBF($L36,"EV to EBIT","FY",$AE$21,"","EUR",""),""),"")</f>
        <v/>
      </c>
      <c r="AF36" s="1672"/>
      <c r="AG36" s="1672" t="str" cm="1">
        <f t="array" aca="1" ref="AG36" ca="1">IFERROR(IF($L36&lt;&gt;"",_xll.PBF($L36,"EV to Forward Revenue","FY",$AG$21,"","EUR",""),""),"")</f>
        <v/>
      </c>
      <c r="AH36" s="1672" t="str" cm="1">
        <f t="array" aca="1" ref="AH36" ca="1">IFERROR(IF($L36&lt;&gt;"",_xll.PBF($L36,"EV to Forward EBITDA","FY",$AH$21,"","EUR",""),""),"")</f>
        <v/>
      </c>
      <c r="AI36" s="1672" t="str" cm="1">
        <f t="array" aca="1" ref="AI36" ca="1">IFERROR(IF($L36&lt;&gt;"",_xll.PBF($L36,"EV to Forward EBIT","FY",$AI$21,"","EUR",""),""),"")</f>
        <v/>
      </c>
      <c r="AJ36" s="1650"/>
      <c r="AK36" s="1705" t="s">
        <v>103</v>
      </c>
      <c r="AL36" s="1693" t="str" cm="1">
        <f t="array" ref="AL36">IFERROR(IF(AK36&lt;&gt;"",_xll.PBD(AK36,"Deal Date","","EUR",""),""),"")</f>
        <v>#ENTITYNOTFOUND</v>
      </c>
      <c r="AM36" s="1693" t="str" cm="1">
        <f t="array" ref="AM36">IFERROR(IF(AK36&lt;&gt;"",_xll.PBD(AK36,"Limit1.Deal Type 1","","EUR",""),""),"")</f>
        <v>#ENTITYNOTFOUND</v>
      </c>
      <c r="AN36" s="1693" t="str" cm="1">
        <f t="array" ref="AN36">IFERROR(IF(AK36&lt;&gt;"",_xll.PBD(AK36,"Limit1.Company Id","","EUR",""),""),"")</f>
        <v>#ENTITYNOTFOUND</v>
      </c>
      <c r="AO36" s="1640" t="str" cm="1">
        <f t="array" ref="AO36">IFERROR(IF(AN36&lt;&gt;"",_xll.PBD(AN36,"Name","","EUR",""),""),"")</f>
        <v>#ENTITYNOTFOUND</v>
      </c>
      <c r="AP36" s="1640" t="str" cm="1">
        <f t="array" ref="AP36">IFERROR(IF(AN36&lt;&gt;"",_xll.PBD(AN36,"Primary Industry Code","","EUR",""),""),"")</f>
        <v>#ENTITYNOTFOUND</v>
      </c>
      <c r="AQ36" s="1640" t="str" cm="1">
        <f t="array" ref="AQ36">IFERROR(IF(AN36&lt;&gt;"",_xll.PBD(AN36,"HQ Country","","EUR",""),""),"")</f>
        <v>#ENTITYNOTFOUND</v>
      </c>
      <c r="AR36" s="1640" t="str" cm="1">
        <f t="array" ref="AR36">IFERROR(IF(AK36&lt;&gt;"",_xll.PBD(AK36,"Limit1.Investors Ids","","EUR",""),""),"")</f>
        <v>#ENTITYNOTFOUND</v>
      </c>
      <c r="AS36" s="1640" t="str" cm="1">
        <f t="array" ref="AS36">IFERROR(IF(AR36&lt;&gt;"",_xll.PBD(AR36,"Name","","EUR",""),""),"")</f>
        <v>#ENTITYNOTFOUND</v>
      </c>
      <c r="AT36" s="1640" t="str" cm="1">
        <f t="array" ref="AT36">IFERROR(IF(AR36&lt;&gt;"",_xll.PBD(AR36,"Primary Industry Code","","EUR",""),""),"")</f>
        <v>#ENTITYNOTFOUND</v>
      </c>
      <c r="AU36" s="1640" t="str" cm="1">
        <f t="array" ref="AU36">IFERROR(IF(AR36&lt;&gt;"",_xll.PBD(AR36,"Limit2.Entity Types","","EUR",""),""),"")</f>
        <v>#ENTITYNOTFOUND</v>
      </c>
      <c r="AV36" s="1640" t="str" cm="1">
        <f t="array" ref="AV36">IFERROR(IF(AR36&lt;&gt;"",_xll.PBD(AR36,"HQ Country","","EUR",""),""),"")</f>
        <v>#ENTITYNOTFOUND</v>
      </c>
      <c r="AX36" s="1641" t="str" cm="1">
        <f t="array" ref="AX36">IFERROR(IF(AK36&lt;&gt;"",_xll.PBD(AK36,"Limit1.Deal Amount","","EUR","")/1000000,""),"")</f>
        <v/>
      </c>
      <c r="AY36" s="1641" t="str" cm="1">
        <f t="array" ref="AY36">IFERROR(IF(AK36&lt;&gt;"",_xll.PBD(AK36,"Limit1.Implied EV ","","EUR","")/1000000,""),"")</f>
        <v/>
      </c>
      <c r="AZ36" s="1694" t="str" cm="1">
        <f t="array" ref="AZ36">IFERROR(IF(AK36&lt;&gt;"",_xll.PBD(AK36,"Limit1.% Acquired ","","EUR",""),""),"")</f>
        <v>#ENTITYNOTFOUND</v>
      </c>
      <c r="BB36" s="1695" t="str" cm="1">
        <f t="array" ref="BB36">IFERROR(IF(AK36&lt;&gt;"",_xll.PBD(AK36,"Implied EV / Revenue","","EUR",""),""),"")</f>
        <v>#ENTITYNOTFOUND</v>
      </c>
      <c r="BC36" s="1695" t="str" cm="1">
        <f t="array" ref="BC36">IFERROR(IF(AK36&lt;&gt;"",_xll.PBD(AK36,"Implied EV / EBITDA","","EUR",""),""),"")</f>
        <v>#ENTITYNOTFOUND</v>
      </c>
      <c r="BD36" s="1695" t="str" cm="1">
        <f t="array" ref="BD36">IFERROR(IF(AK36&lt;&gt;"",_xll.PBD(AK36,"Implied EV / EBIT","","EUR",""),""),"")</f>
        <v>#ENTITYNOTFOUND</v>
      </c>
      <c r="BF36" s="1640" t="str" cm="1">
        <f t="array" ref="BF36">IFERROR(IF(AR36&lt;&gt;"",_xll.PBD(AR36,"Brief Description","","EUR",""),""),"")</f>
        <v>#ENTITYNOTFOUND</v>
      </c>
    </row>
    <row r="37" spans="2:58" ht="13.9" customHeight="1">
      <c r="B37" s="1592"/>
      <c r="L37" s="1705" t="s">
        <v>103</v>
      </c>
      <c r="M37" s="1631"/>
      <c r="N37" s="1640" t="str" cm="1">
        <f t="array" ref="N37">IFERROR(IF($L37&lt;&gt;"",_xll.PBD($L37,"Name","","USD",""),""),"")</f>
        <v>#ENTITYNOTFOUND</v>
      </c>
      <c r="O37" s="1640" t="str" cm="1">
        <f t="array" ref="O37">IFERROR(IF($L37&lt;&gt;"",_xll.PBD($L37,"Primary Industry Code","","",""),""),"")</f>
        <v>#ENTITYNOTFOUND</v>
      </c>
      <c r="P37" s="1640" t="str" cm="1">
        <f t="array" ref="P37">IFERROR(IF($L37&lt;&gt;"",_xll.PBD($L37,"HQ Country","","",""),""),"")</f>
        <v>#ENTITYNOTFOUND</v>
      </c>
      <c r="Q37" s="1640" t="str" cm="1">
        <f t="array" ref="Q37">IFERROR(IF($L37&lt;&gt;"",_xll.PBD($L37,"HQ City","","EUR",""),""),"")</f>
        <v>#ENTITYNOTFOUND</v>
      </c>
      <c r="S37" s="1666" t="str" cm="1">
        <f t="array" aca="1" ref="S37" ca="1">IFERROR(IF($L37&lt;&gt;"",_xll.PBF($L37,"EV","TTM",$N$11,"","EUR","")/1000000,""),"")</f>
        <v/>
      </c>
      <c r="T37" s="1666" t="str" cm="1">
        <f t="array" aca="1" ref="T37" ca="1">IFERROR(IF($L37&lt;&gt;"",_xll.PBF($L37,"NET Debt","TTM",$N$11,"","EUR","")/1000000,""),"")</f>
        <v/>
      </c>
      <c r="U37" s="1666" t="str" cm="1">
        <f t="array" aca="1" ref="U37" ca="1">IFERROR(IF($L37&lt;&gt;"",_xll.PBF($L37,"Market Cap","TTM",$N$11,"","EUR","")/1000000,""),"")</f>
        <v/>
      </c>
      <c r="V37" s="1677" t="str" cm="1">
        <f t="array" aca="1" ref="V37" ca="1">IFERROR(IF($L37&lt;&gt;"",_xll.PBF($L37,"Total Debt to Equity","TTM",$V$21,"","EUR",""),""),"")</f>
        <v/>
      </c>
      <c r="W37" s="1677"/>
      <c r="X37" s="1666" t="str" cm="1">
        <f t="array" aca="1" ref="X37" ca="1">IFERROR(IF($L37&lt;&gt;"",_xll.PBF($L37,"Total Revenue","FY",$X$21,"","EUR","")/1000000,""),"")</f>
        <v/>
      </c>
      <c r="Y37" s="1666" t="str" cm="1">
        <f t="array" aca="1" ref="Y37" ca="1">IFERROR(IF($L37&lt;&gt;"",_xll.PBF($L37,"EBITDA","FY",$N$11,"","EUR","")/1000000,""),"")</f>
        <v/>
      </c>
      <c r="Z37" s="1666" t="str" cm="1">
        <f t="array" aca="1" ref="Z37" ca="1">IFERROR(IF($L37&lt;&gt;"",_xll.PBF($L37,"EBIT","FY",$N$11,"","EUR","")/1000000,""),"")</f>
        <v/>
      </c>
      <c r="AA37" s="1677" t="str" cm="1">
        <f t="array" aca="1" ref="AA37" ca="1">IFERROR(IF($L37&lt;&gt;"",_xll.PBF($L37,"Total Debt to EBITDA","FY",$AA$21,"","EUR",""),""),"")</f>
        <v/>
      </c>
      <c r="AB37" s="1670"/>
      <c r="AC37" s="1672" t="str" cm="1">
        <f t="array" aca="1" ref="AC37" ca="1">IFERROR(IF($L37&lt;&gt;"",_xll.PBF($L37,"EV to Revenue","FY",$N$11,"","EUR",""),""),"")</f>
        <v/>
      </c>
      <c r="AD37" s="1672" t="str" cm="1">
        <f t="array" aca="1" ref="AD37" ca="1">IFERROR(IF($L37&lt;&gt;"",_xll.PBF($L37,"EV to EBITDA","FY",$AD$21,"","EUR",""),""),"")</f>
        <v/>
      </c>
      <c r="AE37" s="1672" t="str" cm="1">
        <f t="array" aca="1" ref="AE37" ca="1">IFERROR(IF($L37&lt;&gt;"",_xll.PBF($L37,"EV to EBIT","FY",$AE$21,"","EUR",""),""),"")</f>
        <v/>
      </c>
      <c r="AF37" s="1672"/>
      <c r="AG37" s="1672" t="str" cm="1">
        <f t="array" aca="1" ref="AG37" ca="1">IFERROR(IF($L37&lt;&gt;"",_xll.PBF($L37,"EV to Forward Revenue","FY",$AG$21,"","EUR",""),""),"")</f>
        <v/>
      </c>
      <c r="AH37" s="1672" t="str" cm="1">
        <f t="array" aca="1" ref="AH37" ca="1">IFERROR(IF($L37&lt;&gt;"",_xll.PBF($L37,"EV to Forward EBITDA","FY",$AH$21,"","EUR",""),""),"")</f>
        <v/>
      </c>
      <c r="AI37" s="1672" t="str" cm="1">
        <f t="array" aca="1" ref="AI37" ca="1">IFERROR(IF($L37&lt;&gt;"",_xll.PBF($L37,"EV to Forward EBIT","FY",$AI$21,"","EUR",""),""),"")</f>
        <v/>
      </c>
      <c r="AJ37" s="1650"/>
      <c r="AK37" s="1705" t="s">
        <v>103</v>
      </c>
      <c r="AL37" s="1693" t="str" cm="1">
        <f t="array" ref="AL37">IFERROR(IF(AK37&lt;&gt;"",_xll.PBD(AK37,"Deal Date","","EUR",""),""),"")</f>
        <v>#ENTITYNOTFOUND</v>
      </c>
      <c r="AM37" s="1693" t="str" cm="1">
        <f t="array" ref="AM37">IFERROR(IF(AK37&lt;&gt;"",_xll.PBD(AK37,"Limit1.Deal Type 1","","EUR",""),""),"")</f>
        <v>#ENTITYNOTFOUND</v>
      </c>
      <c r="AN37" s="1693" t="str" cm="1">
        <f t="array" ref="AN37">IFERROR(IF(AK37&lt;&gt;"",_xll.PBD(AK37,"Limit1.Company Id","","EUR",""),""),"")</f>
        <v>#ENTITYNOTFOUND</v>
      </c>
      <c r="AO37" s="1640" t="str" cm="1">
        <f t="array" ref="AO37">IFERROR(IF(AN37&lt;&gt;"",_xll.PBD(AN37,"Name","","EUR",""),""),"")</f>
        <v>#ENTITYNOTFOUND</v>
      </c>
      <c r="AP37" s="1640" t="str" cm="1">
        <f t="array" ref="AP37">IFERROR(IF(AN37&lt;&gt;"",_xll.PBD(AN37,"Primary Industry Code","","EUR",""),""),"")</f>
        <v>#ENTITYNOTFOUND</v>
      </c>
      <c r="AQ37" s="1640" t="str" cm="1">
        <f t="array" ref="AQ37">IFERROR(IF(AN37&lt;&gt;"",_xll.PBD(AN37,"HQ Country","","EUR",""),""),"")</f>
        <v>#ENTITYNOTFOUND</v>
      </c>
      <c r="AR37" s="1640" t="str" cm="1">
        <f t="array" ref="AR37">IFERROR(IF(AK37&lt;&gt;"",_xll.PBD(AK37,"Limit1.Investors Ids","","EUR",""),""),"")</f>
        <v>#ENTITYNOTFOUND</v>
      </c>
      <c r="AS37" s="1640" t="str" cm="1">
        <f t="array" ref="AS37">IFERROR(IF(AR37&lt;&gt;"",_xll.PBD(AR37,"Name","","EUR",""),""),"")</f>
        <v>#ENTITYNOTFOUND</v>
      </c>
      <c r="AT37" s="1640" t="str" cm="1">
        <f t="array" ref="AT37">IFERROR(IF(AR37&lt;&gt;"",_xll.PBD(AR37,"Primary Industry Code","","EUR",""),""),"")</f>
        <v>#ENTITYNOTFOUND</v>
      </c>
      <c r="AU37" s="1640" t="str" cm="1">
        <f t="array" ref="AU37">IFERROR(IF(AR37&lt;&gt;"",_xll.PBD(AR37,"Limit2.Entity Types","","EUR",""),""),"")</f>
        <v>#ENTITYNOTFOUND</v>
      </c>
      <c r="AV37" s="1640" t="str" cm="1">
        <f t="array" ref="AV37">IFERROR(IF(AR37&lt;&gt;"",_xll.PBD(AR37,"HQ Country","","EUR",""),""),"")</f>
        <v>#ENTITYNOTFOUND</v>
      </c>
      <c r="AX37" s="1641" t="str" cm="1">
        <f t="array" ref="AX37">IFERROR(IF(AK37&lt;&gt;"",_xll.PBD(AK37,"Limit1.Deal Amount","","EUR","")/1000000,""),"")</f>
        <v/>
      </c>
      <c r="AY37" s="1641" t="str" cm="1">
        <f t="array" ref="AY37">IFERROR(IF(AK37&lt;&gt;"",_xll.PBD(AK37,"Limit1.Implied EV ","","EUR","")/1000000,""),"")</f>
        <v/>
      </c>
      <c r="AZ37" s="1694" t="str" cm="1">
        <f t="array" ref="AZ37">IFERROR(IF(AK37&lt;&gt;"",_xll.PBD(AK37,"Limit1.% Acquired ","","EUR",""),""),"")</f>
        <v>#ENTITYNOTFOUND</v>
      </c>
      <c r="BB37" s="1695" t="str" cm="1">
        <f t="array" ref="BB37">IFERROR(IF(AK37&lt;&gt;"",_xll.PBD(AK37,"Implied EV / Revenue","","EUR",""),""),"")</f>
        <v>#ENTITYNOTFOUND</v>
      </c>
      <c r="BC37" s="1695" t="str" cm="1">
        <f t="array" ref="BC37">IFERROR(IF(AK37&lt;&gt;"",_xll.PBD(AK37,"Implied EV / EBITDA","","EUR",""),""),"")</f>
        <v>#ENTITYNOTFOUND</v>
      </c>
      <c r="BD37" s="1695" t="str" cm="1">
        <f t="array" ref="BD37">IFERROR(IF(AK37&lt;&gt;"",_xll.PBD(AK37,"Implied EV / EBIT","","EUR",""),""),"")</f>
        <v>#ENTITYNOTFOUND</v>
      </c>
      <c r="BF37" s="1640" t="str" cm="1">
        <f t="array" ref="BF37">IFERROR(IF(AR37&lt;&gt;"",_xll.PBD(AR37,"Brief Description","","EUR",""),""),"")</f>
        <v>#ENTITYNOTFOUND</v>
      </c>
    </row>
    <row r="38" spans="2:58" ht="13.9" customHeight="1">
      <c r="B38" s="1592"/>
      <c r="J38" s="1594"/>
      <c r="L38" s="1705" t="s">
        <v>103</v>
      </c>
      <c r="M38" s="1631"/>
      <c r="N38" s="1640" t="str" cm="1">
        <f t="array" ref="N38">IFERROR(IF($L38&lt;&gt;"",_xll.PBD($L38,"Name","","USD",""),""),"")</f>
        <v>#ENTITYNOTFOUND</v>
      </c>
      <c r="O38" s="1640" t="str" cm="1">
        <f t="array" ref="O38">IFERROR(IF($L38&lt;&gt;"",_xll.PBD($L38,"Primary Industry Code","","",""),""),"")</f>
        <v>#ENTITYNOTFOUND</v>
      </c>
      <c r="P38" s="1640" t="str" cm="1">
        <f t="array" ref="P38">IFERROR(IF($L38&lt;&gt;"",_xll.PBD($L38,"HQ Country","","",""),""),"")</f>
        <v>#ENTITYNOTFOUND</v>
      </c>
      <c r="Q38" s="1640" t="str" cm="1">
        <f t="array" ref="Q38">IFERROR(IF($L38&lt;&gt;"",_xll.PBD($L38,"HQ City","","EUR",""),""),"")</f>
        <v>#ENTITYNOTFOUND</v>
      </c>
      <c r="S38" s="1666" t="str" cm="1">
        <f t="array" aca="1" ref="S38" ca="1">IFERROR(IF($L38&lt;&gt;"",_xll.PBF($L38,"EV","TTM",$N$11,"","EUR","")/1000000,""),"")</f>
        <v/>
      </c>
      <c r="T38" s="1666" t="str" cm="1">
        <f t="array" aca="1" ref="T38" ca="1">IFERROR(IF($L38&lt;&gt;"",_xll.PBF($L38,"NET Debt","TTM",$N$11,"","EUR","")/1000000,""),"")</f>
        <v/>
      </c>
      <c r="U38" s="1666" t="str" cm="1">
        <f t="array" aca="1" ref="U38" ca="1">IFERROR(IF($L38&lt;&gt;"",_xll.PBF($L38,"Market Cap","TTM",$N$11,"","EUR","")/1000000,""),"")</f>
        <v/>
      </c>
      <c r="V38" s="1677" t="str" cm="1">
        <f t="array" aca="1" ref="V38" ca="1">IFERROR(IF($L38&lt;&gt;"",_xll.PBF($L38,"Total Debt to Equity","TTM",$V$21,"","EUR",""),""),"")</f>
        <v/>
      </c>
      <c r="W38" s="1677"/>
      <c r="X38" s="1666" t="str" cm="1">
        <f t="array" aca="1" ref="X38" ca="1">IFERROR(IF($L38&lt;&gt;"",_xll.PBF($L38,"Total Revenue","FY",$X$21,"","EUR","")/1000000,""),"")</f>
        <v/>
      </c>
      <c r="Y38" s="1666" t="str" cm="1">
        <f t="array" aca="1" ref="Y38" ca="1">IFERROR(IF($L38&lt;&gt;"",_xll.PBF($L38,"EBITDA","FY",$N$11,"","EUR","")/1000000,""),"")</f>
        <v/>
      </c>
      <c r="Z38" s="1666" t="str" cm="1">
        <f t="array" aca="1" ref="Z38" ca="1">IFERROR(IF($L38&lt;&gt;"",_xll.PBF($L38,"EBIT","FY",$N$11,"","EUR","")/1000000,""),"")</f>
        <v/>
      </c>
      <c r="AA38" s="1677" t="str" cm="1">
        <f t="array" aca="1" ref="AA38" ca="1">IFERROR(IF($L38&lt;&gt;"",_xll.PBF($L38,"Total Debt to EBITDA","FY",$AA$21,"","EUR",""),""),"")</f>
        <v/>
      </c>
      <c r="AB38" s="1670"/>
      <c r="AC38" s="1672" t="str" cm="1">
        <f t="array" aca="1" ref="AC38" ca="1">IFERROR(IF($L38&lt;&gt;"",_xll.PBF($L38,"EV to Revenue","FY",$N$11,"","EUR",""),""),"")</f>
        <v/>
      </c>
      <c r="AD38" s="1672" t="str" cm="1">
        <f t="array" aca="1" ref="AD38" ca="1">IFERROR(IF($L38&lt;&gt;"",_xll.PBF($L38,"EV to EBITDA","FY",$AD$21,"","EUR",""),""),"")</f>
        <v/>
      </c>
      <c r="AE38" s="1672" t="str" cm="1">
        <f t="array" aca="1" ref="AE38" ca="1">IFERROR(IF($L38&lt;&gt;"",_xll.PBF($L38,"EV to EBIT","FY",$AE$21,"","EUR",""),""),"")</f>
        <v/>
      </c>
      <c r="AF38" s="1672"/>
      <c r="AG38" s="1672" t="str" cm="1">
        <f t="array" aca="1" ref="AG38" ca="1">IFERROR(IF($L38&lt;&gt;"",_xll.PBF($L38,"EV to Forward Revenue","FY",$AG$21,"","EUR",""),""),"")</f>
        <v/>
      </c>
      <c r="AH38" s="1672" t="str" cm="1">
        <f t="array" aca="1" ref="AH38" ca="1">IFERROR(IF($L38&lt;&gt;"",_xll.PBF($L38,"EV to Forward EBITDA","FY",$AH$21,"","EUR",""),""),"")</f>
        <v/>
      </c>
      <c r="AI38" s="1672" t="str" cm="1">
        <f t="array" aca="1" ref="AI38" ca="1">IFERROR(IF($L38&lt;&gt;"",_xll.PBF($L38,"EV to Forward EBIT","FY",$AI$21,"","EUR",""),""),"")</f>
        <v/>
      </c>
      <c r="AJ38" s="1650"/>
      <c r="AK38" s="1705" t="s">
        <v>103</v>
      </c>
      <c r="AL38" s="1693" t="str" cm="1">
        <f t="array" ref="AL38">IFERROR(IF(AK38&lt;&gt;"",_xll.PBD(AK38,"Deal Date","","EUR",""),""),"")</f>
        <v>#ENTITYNOTFOUND</v>
      </c>
      <c r="AM38" s="1693" t="str" cm="1">
        <f t="array" ref="AM38">IFERROR(IF(AK38&lt;&gt;"",_xll.PBD(AK38,"Limit1.Deal Type 1","","EUR",""),""),"")</f>
        <v>#ENTITYNOTFOUND</v>
      </c>
      <c r="AN38" s="1693" t="str" cm="1">
        <f t="array" ref="AN38">IFERROR(IF(AK38&lt;&gt;"",_xll.PBD(AK38,"Limit1.Company Id","","EUR",""),""),"")</f>
        <v>#ENTITYNOTFOUND</v>
      </c>
      <c r="AO38" s="1640" t="str" cm="1">
        <f t="array" ref="AO38">IFERROR(IF(AN38&lt;&gt;"",_xll.PBD(AN38,"Name","","EUR",""),""),"")</f>
        <v>#ENTITYNOTFOUND</v>
      </c>
      <c r="AP38" s="1640" t="str" cm="1">
        <f t="array" ref="AP38">IFERROR(IF(AN38&lt;&gt;"",_xll.PBD(AN38,"Primary Industry Code","","EUR",""),""),"")</f>
        <v>#ENTITYNOTFOUND</v>
      </c>
      <c r="AQ38" s="1640" t="str" cm="1">
        <f t="array" ref="AQ38">IFERROR(IF(AN38&lt;&gt;"",_xll.PBD(AN38,"HQ Country","","EUR",""),""),"")</f>
        <v>#ENTITYNOTFOUND</v>
      </c>
      <c r="AR38" s="1640" t="str" cm="1">
        <f t="array" ref="AR38">IFERROR(IF(AK38&lt;&gt;"",_xll.PBD(AK38,"Limit1.Investors Ids","","EUR",""),""),"")</f>
        <v>#ENTITYNOTFOUND</v>
      </c>
      <c r="AS38" s="1640" t="str" cm="1">
        <f t="array" ref="AS38">IFERROR(IF(AR38&lt;&gt;"",_xll.PBD(AR38,"Name","","EUR",""),""),"")</f>
        <v>#ENTITYNOTFOUND</v>
      </c>
      <c r="AT38" s="1640" t="str" cm="1">
        <f t="array" ref="AT38">IFERROR(IF(AR38&lt;&gt;"",_xll.PBD(AR38,"Primary Industry Code","","EUR",""),""),"")</f>
        <v>#ENTITYNOTFOUND</v>
      </c>
      <c r="AU38" s="1640" t="str" cm="1">
        <f t="array" ref="AU38">IFERROR(IF(AR38&lt;&gt;"",_xll.PBD(AR38,"Limit2.Entity Types","","EUR",""),""),"")</f>
        <v>#ENTITYNOTFOUND</v>
      </c>
      <c r="AV38" s="1640" t="str" cm="1">
        <f t="array" ref="AV38">IFERROR(IF(AR38&lt;&gt;"",_xll.PBD(AR38,"HQ Country","","EUR",""),""),"")</f>
        <v>#ENTITYNOTFOUND</v>
      </c>
      <c r="AX38" s="1641" t="str" cm="1">
        <f t="array" ref="AX38">IFERROR(IF(AK38&lt;&gt;"",_xll.PBD(AK38,"Limit1.Deal Amount","","EUR","")/1000000,""),"")</f>
        <v/>
      </c>
      <c r="AY38" s="1641" t="str" cm="1">
        <f t="array" ref="AY38">IFERROR(IF(AK38&lt;&gt;"",_xll.PBD(AK38,"Limit1.Implied EV ","","EUR","")/1000000,""),"")</f>
        <v/>
      </c>
      <c r="AZ38" s="1694" t="str" cm="1">
        <f t="array" ref="AZ38">IFERROR(IF(AK38&lt;&gt;"",_xll.PBD(AK38,"Limit1.% Acquired ","","EUR",""),""),"")</f>
        <v>#ENTITYNOTFOUND</v>
      </c>
      <c r="BB38" s="1695" t="str" cm="1">
        <f t="array" ref="BB38">IFERROR(IF(AK38&lt;&gt;"",_xll.PBD(AK38,"Implied EV / Revenue","","EUR",""),""),"")</f>
        <v>#ENTITYNOTFOUND</v>
      </c>
      <c r="BC38" s="1695" t="str" cm="1">
        <f t="array" ref="BC38">IFERROR(IF(AK38&lt;&gt;"",_xll.PBD(AK38,"Implied EV / EBITDA","","EUR",""),""),"")</f>
        <v>#ENTITYNOTFOUND</v>
      </c>
      <c r="BD38" s="1695" t="str" cm="1">
        <f t="array" ref="BD38">IFERROR(IF(AK38&lt;&gt;"",_xll.PBD(AK38,"Implied EV / EBIT","","EUR",""),""),"")</f>
        <v>#ENTITYNOTFOUND</v>
      </c>
      <c r="BF38" s="1640" t="str" cm="1">
        <f t="array" ref="BF38">IFERROR(IF(AR38&lt;&gt;"",_xll.PBD(AR38,"Brief Description","","EUR",""),""),"")</f>
        <v>#ENTITYNOTFOUND</v>
      </c>
    </row>
    <row r="39" spans="2:58" ht="13.9" customHeight="1">
      <c r="B39" s="1592"/>
      <c r="L39" s="1705" t="s">
        <v>103</v>
      </c>
      <c r="M39" s="1631"/>
      <c r="N39" s="1640" t="str" cm="1">
        <f t="array" ref="N39">IFERROR(IF($L39&lt;&gt;"",_xll.PBD($L39,"Name","","USD",""),""),"")</f>
        <v>#ENTITYNOTFOUND</v>
      </c>
      <c r="O39" s="1640" t="str" cm="1">
        <f t="array" ref="O39">IFERROR(IF($L39&lt;&gt;"",_xll.PBD($L39,"Primary Industry Code","","",""),""),"")</f>
        <v>#ENTITYNOTFOUND</v>
      </c>
      <c r="P39" s="1640" t="str" cm="1">
        <f t="array" ref="P39">IFERROR(IF($L39&lt;&gt;"",_xll.PBD($L39,"HQ Country","","",""),""),"")</f>
        <v>#ENTITYNOTFOUND</v>
      </c>
      <c r="Q39" s="1640" t="str" cm="1">
        <f t="array" ref="Q39">IFERROR(IF($L39&lt;&gt;"",_xll.PBD($L39,"HQ City","","EUR",""),""),"")</f>
        <v>#ENTITYNOTFOUND</v>
      </c>
      <c r="S39" s="1666" t="str" cm="1">
        <f t="array" aca="1" ref="S39" ca="1">IFERROR(IF($L39&lt;&gt;"",_xll.PBF($L39,"EV","TTM",$N$11,"","EUR","")/1000000,""),"")</f>
        <v/>
      </c>
      <c r="T39" s="1666" t="str" cm="1">
        <f t="array" aca="1" ref="T39" ca="1">IFERROR(IF($L39&lt;&gt;"",_xll.PBF($L39,"NET Debt","TTM",$N$11,"","EUR","")/1000000,""),"")</f>
        <v/>
      </c>
      <c r="U39" s="1666" t="str" cm="1">
        <f t="array" aca="1" ref="U39" ca="1">IFERROR(IF($L39&lt;&gt;"",_xll.PBF($L39,"Market Cap","TTM",$N$11,"","EUR","")/1000000,""),"")</f>
        <v/>
      </c>
      <c r="V39" s="1677" t="str" cm="1">
        <f t="array" aca="1" ref="V39" ca="1">IFERROR(IF($L39&lt;&gt;"",_xll.PBF($L39,"Total Debt to Equity","TTM",$V$21,"","EUR",""),""),"")</f>
        <v/>
      </c>
      <c r="W39" s="1677"/>
      <c r="X39" s="1666" t="str" cm="1">
        <f t="array" aca="1" ref="X39" ca="1">IFERROR(IF($L39&lt;&gt;"",_xll.PBF($L39,"Total Revenue","FY",$X$21,"","EUR","")/1000000,""),"")</f>
        <v/>
      </c>
      <c r="Y39" s="1666" t="str" cm="1">
        <f t="array" aca="1" ref="Y39" ca="1">IFERROR(IF($L39&lt;&gt;"",_xll.PBF($L39,"EBITDA","FY",$N$11,"","EUR","")/1000000,""),"")</f>
        <v/>
      </c>
      <c r="Z39" s="1666" t="str" cm="1">
        <f t="array" aca="1" ref="Z39" ca="1">IFERROR(IF($L39&lt;&gt;"",_xll.PBF($L39,"EBIT","FY",$N$11,"","EUR","")/1000000,""),"")</f>
        <v/>
      </c>
      <c r="AA39" s="1677" t="str" cm="1">
        <f t="array" aca="1" ref="AA39" ca="1">IFERROR(IF($L39&lt;&gt;"",_xll.PBF($L39,"Total Debt to EBITDA","FY",$AA$21,"","EUR",""),""),"")</f>
        <v/>
      </c>
      <c r="AB39" s="1670"/>
      <c r="AC39" s="1672" t="str" cm="1">
        <f t="array" aca="1" ref="AC39" ca="1">IFERROR(IF($L39&lt;&gt;"",_xll.PBF($L39,"EV to Revenue","FY",$N$11,"","EUR",""),""),"")</f>
        <v/>
      </c>
      <c r="AD39" s="1672" t="str" cm="1">
        <f t="array" aca="1" ref="AD39" ca="1">IFERROR(IF($L39&lt;&gt;"",_xll.PBF($L39,"EV to EBITDA","FY",$AD$21,"","EUR",""),""),"")</f>
        <v/>
      </c>
      <c r="AE39" s="1672" t="str" cm="1">
        <f t="array" aca="1" ref="AE39" ca="1">IFERROR(IF($L39&lt;&gt;"",_xll.PBF($L39,"EV to EBIT","FY",$AE$21,"","EUR",""),""),"")</f>
        <v/>
      </c>
      <c r="AF39" s="1672"/>
      <c r="AG39" s="1672" t="str" cm="1">
        <f t="array" aca="1" ref="AG39" ca="1">IFERROR(IF($L39&lt;&gt;"",_xll.PBF($L39,"EV to Forward Revenue","FY",$AG$21,"","EUR",""),""),"")</f>
        <v/>
      </c>
      <c r="AH39" s="1672" t="str" cm="1">
        <f t="array" aca="1" ref="AH39" ca="1">IFERROR(IF($L39&lt;&gt;"",_xll.PBF($L39,"EV to Forward EBITDA","FY",$AH$21,"","EUR",""),""),"")</f>
        <v/>
      </c>
      <c r="AI39" s="1672" t="str" cm="1">
        <f t="array" aca="1" ref="AI39" ca="1">IFERROR(IF($L39&lt;&gt;"",_xll.PBF($L39,"EV to Forward EBIT","FY",$AI$21,"","EUR",""),""),"")</f>
        <v/>
      </c>
      <c r="AJ39" s="1650"/>
      <c r="AK39" s="1705" t="s">
        <v>103</v>
      </c>
      <c r="AL39" s="1693" t="str" cm="1">
        <f t="array" ref="AL39">IFERROR(IF(AK39&lt;&gt;"",_xll.PBD(AK39,"Deal Date","","EUR",""),""),"")</f>
        <v>#ENTITYNOTFOUND</v>
      </c>
      <c r="AM39" s="1693" t="str" cm="1">
        <f t="array" ref="AM39">IFERROR(IF(AK39&lt;&gt;"",_xll.PBD(AK39,"Limit1.Deal Type 1","","EUR",""),""),"")</f>
        <v>#ENTITYNOTFOUND</v>
      </c>
      <c r="AN39" s="1693" t="str" cm="1">
        <f t="array" ref="AN39">IFERROR(IF(AK39&lt;&gt;"",_xll.PBD(AK39,"Limit1.Company Id","","EUR",""),""),"")</f>
        <v>#ENTITYNOTFOUND</v>
      </c>
      <c r="AO39" s="1640" t="str" cm="1">
        <f t="array" ref="AO39">IFERROR(IF(AN39&lt;&gt;"",_xll.PBD(AN39,"Name","","EUR",""),""),"")</f>
        <v>#ENTITYNOTFOUND</v>
      </c>
      <c r="AP39" s="1640" t="str" cm="1">
        <f t="array" ref="AP39">IFERROR(IF(AN39&lt;&gt;"",_xll.PBD(AN39,"Primary Industry Code","","EUR",""),""),"")</f>
        <v>#ENTITYNOTFOUND</v>
      </c>
      <c r="AQ39" s="1640" t="str" cm="1">
        <f t="array" ref="AQ39">IFERROR(IF(AN39&lt;&gt;"",_xll.PBD(AN39,"HQ Country","","EUR",""),""),"")</f>
        <v>#ENTITYNOTFOUND</v>
      </c>
      <c r="AR39" s="1640" t="str" cm="1">
        <f t="array" ref="AR39">IFERROR(IF(AK39&lt;&gt;"",_xll.PBD(AK39,"Limit1.Investors Ids","","EUR",""),""),"")</f>
        <v>#ENTITYNOTFOUND</v>
      </c>
      <c r="AS39" s="1640" t="str" cm="1">
        <f t="array" ref="AS39">IFERROR(IF(AR39&lt;&gt;"",_xll.PBD(AR39,"Name","","EUR",""),""),"")</f>
        <v>#ENTITYNOTFOUND</v>
      </c>
      <c r="AT39" s="1640" t="str" cm="1">
        <f t="array" ref="AT39">IFERROR(IF(AR39&lt;&gt;"",_xll.PBD(AR39,"Primary Industry Code","","EUR",""),""),"")</f>
        <v>#ENTITYNOTFOUND</v>
      </c>
      <c r="AU39" s="1640" t="str" cm="1">
        <f t="array" ref="AU39">IFERROR(IF(AR39&lt;&gt;"",_xll.PBD(AR39,"Limit2.Entity Types","","EUR",""),""),"")</f>
        <v>#ENTITYNOTFOUND</v>
      </c>
      <c r="AV39" s="1640" t="str" cm="1">
        <f t="array" ref="AV39">IFERROR(IF(AR39&lt;&gt;"",_xll.PBD(AR39,"HQ Country","","EUR",""),""),"")</f>
        <v>#ENTITYNOTFOUND</v>
      </c>
      <c r="AX39" s="1641" t="str" cm="1">
        <f t="array" ref="AX39">IFERROR(IF(AK39&lt;&gt;"",_xll.PBD(AK39,"Limit1.Deal Amount","","EUR","")/1000000,""),"")</f>
        <v/>
      </c>
      <c r="AY39" s="1641" t="str" cm="1">
        <f t="array" ref="AY39">IFERROR(IF(AK39&lt;&gt;"",_xll.PBD(AK39,"Limit1.Implied EV ","","EUR","")/1000000,""),"")</f>
        <v/>
      </c>
      <c r="AZ39" s="1694" t="str" cm="1">
        <f t="array" ref="AZ39">IFERROR(IF(AK39&lt;&gt;"",_xll.PBD(AK39,"Limit1.% Acquired ","","EUR",""),""),"")</f>
        <v>#ENTITYNOTFOUND</v>
      </c>
      <c r="BB39" s="1695" t="str" cm="1">
        <f t="array" ref="BB39">IFERROR(IF(AK39&lt;&gt;"",_xll.PBD(AK39,"Implied EV / Revenue","","EUR",""),""),"")</f>
        <v>#ENTITYNOTFOUND</v>
      </c>
      <c r="BC39" s="1695" t="str" cm="1">
        <f t="array" ref="BC39">IFERROR(IF(AK39&lt;&gt;"",_xll.PBD(AK39,"Implied EV / EBITDA","","EUR",""),""),"")</f>
        <v>#ENTITYNOTFOUND</v>
      </c>
      <c r="BD39" s="1695" t="str" cm="1">
        <f t="array" ref="BD39">IFERROR(IF(AK39&lt;&gt;"",_xll.PBD(AK39,"Implied EV / EBIT","","EUR",""),""),"")</f>
        <v>#ENTITYNOTFOUND</v>
      </c>
      <c r="BF39" s="1640" t="str" cm="1">
        <f t="array" ref="BF39">IFERROR(IF(AR39&lt;&gt;"",_xll.PBD(AR39,"Brief Description","","EUR",""),""),"")</f>
        <v>#ENTITYNOTFOUND</v>
      </c>
    </row>
    <row r="40" spans="2:58" ht="13.9" customHeight="1">
      <c r="B40" s="1592"/>
      <c r="L40" s="1705" t="s">
        <v>103</v>
      </c>
      <c r="M40" s="1631"/>
      <c r="N40" s="1640" t="str" cm="1">
        <f t="array" ref="N40">IFERROR(IF($L40&lt;&gt;"",_xll.PBD($L40,"Name","","USD",""),""),"")</f>
        <v>#ENTITYNOTFOUND</v>
      </c>
      <c r="O40" s="1640" t="str" cm="1">
        <f t="array" ref="O40">IFERROR(IF($L40&lt;&gt;"",_xll.PBD($L40,"Primary Industry Code","","",""),""),"")</f>
        <v>#ENTITYNOTFOUND</v>
      </c>
      <c r="P40" s="1640" t="str" cm="1">
        <f t="array" ref="P40">IFERROR(IF($L40&lt;&gt;"",_xll.PBD($L40,"HQ Country","","",""),""),"")</f>
        <v>#ENTITYNOTFOUND</v>
      </c>
      <c r="Q40" s="1640" t="str" cm="1">
        <f t="array" ref="Q40">IFERROR(IF($L40&lt;&gt;"",_xll.PBD($L40,"HQ City","","EUR",""),""),"")</f>
        <v>#ENTITYNOTFOUND</v>
      </c>
      <c r="S40" s="1666" t="str" cm="1">
        <f t="array" aca="1" ref="S40" ca="1">IFERROR(IF($L40&lt;&gt;"",_xll.PBF($L40,"EV","TTM",$N$11,"","EUR","")/1000000,""),"")</f>
        <v/>
      </c>
      <c r="T40" s="1666" t="str" cm="1">
        <f t="array" aca="1" ref="T40" ca="1">IFERROR(IF($L40&lt;&gt;"",_xll.PBF($L40,"NET Debt","TTM",$N$11,"","EUR","")/1000000,""),"")</f>
        <v/>
      </c>
      <c r="U40" s="1666" t="str" cm="1">
        <f t="array" aca="1" ref="U40" ca="1">IFERROR(IF($L40&lt;&gt;"",_xll.PBF($L40,"Market Cap","TTM",$N$11,"","EUR","")/1000000,""),"")</f>
        <v/>
      </c>
      <c r="V40" s="1677" t="str" cm="1">
        <f t="array" aca="1" ref="V40" ca="1">IFERROR(IF($L40&lt;&gt;"",_xll.PBF($L40,"Total Debt to Equity","TTM",$V$21,"","EUR",""),""),"")</f>
        <v/>
      </c>
      <c r="W40" s="1677"/>
      <c r="X40" s="1666" t="str" cm="1">
        <f t="array" aca="1" ref="X40" ca="1">IFERROR(IF($L40&lt;&gt;"",_xll.PBF($L40,"Total Revenue","FY",$X$21,"","EUR","")/1000000,""),"")</f>
        <v/>
      </c>
      <c r="Y40" s="1666" t="str" cm="1">
        <f t="array" aca="1" ref="Y40" ca="1">IFERROR(IF($L40&lt;&gt;"",_xll.PBF($L40,"EBITDA","FY",$N$11,"","EUR","")/1000000,""),"")</f>
        <v/>
      </c>
      <c r="Z40" s="1666" t="str" cm="1">
        <f t="array" aca="1" ref="Z40" ca="1">IFERROR(IF($L40&lt;&gt;"",_xll.PBF($L40,"EBIT","FY",$N$11,"","EUR","")/1000000,""),"")</f>
        <v/>
      </c>
      <c r="AA40" s="1677" t="str" cm="1">
        <f t="array" aca="1" ref="AA40" ca="1">IFERROR(IF($L40&lt;&gt;"",_xll.PBF($L40,"Total Debt to EBITDA","FY",$AA$21,"","EUR",""),""),"")</f>
        <v/>
      </c>
      <c r="AB40" s="1670"/>
      <c r="AC40" s="1672" t="str" cm="1">
        <f t="array" aca="1" ref="AC40" ca="1">IFERROR(IF($L40&lt;&gt;"",_xll.PBF($L40,"EV to Revenue","FY",$N$11,"","EUR",""),""),"")</f>
        <v/>
      </c>
      <c r="AD40" s="1672" t="str" cm="1">
        <f t="array" aca="1" ref="AD40" ca="1">IFERROR(IF($L40&lt;&gt;"",_xll.PBF($L40,"EV to EBITDA","FY",$AD$21,"","EUR",""),""),"")</f>
        <v/>
      </c>
      <c r="AE40" s="1672" t="str" cm="1">
        <f t="array" aca="1" ref="AE40" ca="1">IFERROR(IF($L40&lt;&gt;"",_xll.PBF($L40,"EV to EBIT","FY",$AE$21,"","EUR",""),""),"")</f>
        <v/>
      </c>
      <c r="AF40" s="1672"/>
      <c r="AG40" s="1672" t="str" cm="1">
        <f t="array" aca="1" ref="AG40" ca="1">IFERROR(IF($L40&lt;&gt;"",_xll.PBF($L40,"EV to Forward Revenue","FY",$AG$21,"","EUR",""),""),"")</f>
        <v/>
      </c>
      <c r="AH40" s="1672" t="str" cm="1">
        <f t="array" aca="1" ref="AH40" ca="1">IFERROR(IF($L40&lt;&gt;"",_xll.PBF($L40,"EV to Forward EBITDA","FY",$AH$21,"","EUR",""),""),"")</f>
        <v/>
      </c>
      <c r="AI40" s="1672" t="str" cm="1">
        <f t="array" aca="1" ref="AI40" ca="1">IFERROR(IF($L40&lt;&gt;"",_xll.PBF($L40,"EV to Forward EBIT","FY",$AI$21,"","EUR",""),""),"")</f>
        <v/>
      </c>
      <c r="AJ40" s="1650"/>
      <c r="AK40" s="1705" t="s">
        <v>103</v>
      </c>
      <c r="AL40" s="1693" t="str" cm="1">
        <f t="array" ref="AL40">IFERROR(IF(AK40&lt;&gt;"",_xll.PBD(AK40,"Deal Date","","EUR",""),""),"")</f>
        <v>#ENTITYNOTFOUND</v>
      </c>
      <c r="AM40" s="1693" t="str" cm="1">
        <f t="array" ref="AM40">IFERROR(IF(AK40&lt;&gt;"",_xll.PBD(AK40,"Limit1.Deal Type 1","","EUR",""),""),"")</f>
        <v>#ENTITYNOTFOUND</v>
      </c>
      <c r="AN40" s="1693" t="str" cm="1">
        <f t="array" ref="AN40">IFERROR(IF(AK40&lt;&gt;"",_xll.PBD(AK40,"Limit1.Company Id","","EUR",""),""),"")</f>
        <v>#ENTITYNOTFOUND</v>
      </c>
      <c r="AO40" s="1640" t="str" cm="1">
        <f t="array" ref="AO40">IFERROR(IF(AN40&lt;&gt;"",_xll.PBD(AN40,"Name","","EUR",""),""),"")</f>
        <v>#ENTITYNOTFOUND</v>
      </c>
      <c r="AP40" s="1640" t="str" cm="1">
        <f t="array" ref="AP40">IFERROR(IF(AN40&lt;&gt;"",_xll.PBD(AN40,"Primary Industry Code","","EUR",""),""),"")</f>
        <v>#ENTITYNOTFOUND</v>
      </c>
      <c r="AQ40" s="1640" t="str" cm="1">
        <f t="array" ref="AQ40">IFERROR(IF(AN40&lt;&gt;"",_xll.PBD(AN40,"HQ Country","","EUR",""),""),"")</f>
        <v>#ENTITYNOTFOUND</v>
      </c>
      <c r="AR40" s="1640" t="str" cm="1">
        <f t="array" ref="AR40">IFERROR(IF(AK40&lt;&gt;"",_xll.PBD(AK40,"Limit1.Investors Ids","","EUR",""),""),"")</f>
        <v>#ENTITYNOTFOUND</v>
      </c>
      <c r="AS40" s="1640" t="str" cm="1">
        <f t="array" ref="AS40">IFERROR(IF(AR40&lt;&gt;"",_xll.PBD(AR40,"Name","","EUR",""),""),"")</f>
        <v>#ENTITYNOTFOUND</v>
      </c>
      <c r="AT40" s="1640" t="str" cm="1">
        <f t="array" ref="AT40">IFERROR(IF(AR40&lt;&gt;"",_xll.PBD(AR40,"Primary Industry Code","","EUR",""),""),"")</f>
        <v>#ENTITYNOTFOUND</v>
      </c>
      <c r="AU40" s="1640" t="str" cm="1">
        <f t="array" ref="AU40">IFERROR(IF(AR40&lt;&gt;"",_xll.PBD(AR40,"Limit2.Entity Types","","EUR",""),""),"")</f>
        <v>#ENTITYNOTFOUND</v>
      </c>
      <c r="AV40" s="1640" t="str" cm="1">
        <f t="array" ref="AV40">IFERROR(IF(AR40&lt;&gt;"",_xll.PBD(AR40,"HQ Country","","EUR",""),""),"")</f>
        <v>#ENTITYNOTFOUND</v>
      </c>
      <c r="AX40" s="1641" t="str" cm="1">
        <f t="array" ref="AX40">IFERROR(IF(AK40&lt;&gt;"",_xll.PBD(AK40,"Limit1.Deal Amount","","EUR","")/1000000,""),"")</f>
        <v/>
      </c>
      <c r="AY40" s="1641" t="str" cm="1">
        <f t="array" ref="AY40">IFERROR(IF(AK40&lt;&gt;"",_xll.PBD(AK40,"Limit1.Implied EV ","","EUR","")/1000000,""),"")</f>
        <v/>
      </c>
      <c r="AZ40" s="1694" t="str" cm="1">
        <f t="array" ref="AZ40">IFERROR(IF(AK40&lt;&gt;"",_xll.PBD(AK40,"Limit1.% Acquired ","","EUR",""),""),"")</f>
        <v>#ENTITYNOTFOUND</v>
      </c>
      <c r="BB40" s="1695" t="str" cm="1">
        <f t="array" ref="BB40">IFERROR(IF(AK40&lt;&gt;"",_xll.PBD(AK40,"Implied EV / Revenue","","EUR",""),""),"")</f>
        <v>#ENTITYNOTFOUND</v>
      </c>
      <c r="BC40" s="1695" t="str" cm="1">
        <f t="array" ref="BC40">IFERROR(IF(AK40&lt;&gt;"",_xll.PBD(AK40,"Implied EV / EBITDA","","EUR",""),""),"")</f>
        <v>#ENTITYNOTFOUND</v>
      </c>
      <c r="BD40" s="1695" t="str" cm="1">
        <f t="array" ref="BD40">IFERROR(IF(AK40&lt;&gt;"",_xll.PBD(AK40,"Implied EV / EBIT","","EUR",""),""),"")</f>
        <v>#ENTITYNOTFOUND</v>
      </c>
      <c r="BF40" s="1640" t="str" cm="1">
        <f t="array" ref="BF40">IFERROR(IF(AR40&lt;&gt;"",_xll.PBD(AR40,"Brief Description","","EUR",""),""),"")</f>
        <v>#ENTITYNOTFOUND</v>
      </c>
    </row>
    <row r="41" spans="2:58" ht="13.9" customHeight="1">
      <c r="B41" s="1592"/>
      <c r="L41" s="1705" t="s">
        <v>103</v>
      </c>
      <c r="M41" s="1631"/>
      <c r="N41" s="1640" t="str" cm="1">
        <f t="array" ref="N41">IFERROR(IF($L41&lt;&gt;"",_xll.PBD($L41,"Name","","USD",""),""),"")</f>
        <v>#ENTITYNOTFOUND</v>
      </c>
      <c r="O41" s="1640" t="str" cm="1">
        <f t="array" ref="O41">IFERROR(IF($L41&lt;&gt;"",_xll.PBD($L41,"Primary Industry Code","","",""),""),"")</f>
        <v>#ENTITYNOTFOUND</v>
      </c>
      <c r="P41" s="1640" t="str" cm="1">
        <f t="array" ref="P41">IFERROR(IF($L41&lt;&gt;"",_xll.PBD($L41,"HQ Country","","",""),""),"")</f>
        <v>#ENTITYNOTFOUND</v>
      </c>
      <c r="Q41" s="1640" t="str" cm="1">
        <f t="array" ref="Q41">IFERROR(IF($L41&lt;&gt;"",_xll.PBD($L41,"HQ City","","EUR",""),""),"")</f>
        <v>#ENTITYNOTFOUND</v>
      </c>
      <c r="S41" s="1666" t="str" cm="1">
        <f t="array" aca="1" ref="S41" ca="1">IFERROR(IF($L41&lt;&gt;"",_xll.PBF($L41,"EV","TTM",$N$11,"","EUR","")/1000000,""),"")</f>
        <v/>
      </c>
      <c r="T41" s="1666" t="str" cm="1">
        <f t="array" aca="1" ref="T41" ca="1">IFERROR(IF($L41&lt;&gt;"",_xll.PBF($L41,"NET Debt","TTM",$N$11,"","EUR","")/1000000,""),"")</f>
        <v/>
      </c>
      <c r="U41" s="1666" t="str" cm="1">
        <f t="array" aca="1" ref="U41" ca="1">IFERROR(IF($L41&lt;&gt;"",_xll.PBF($L41,"Market Cap","TTM",$N$11,"","EUR","")/1000000,""),"")</f>
        <v/>
      </c>
      <c r="V41" s="1677" t="str" cm="1">
        <f t="array" aca="1" ref="V41" ca="1">IFERROR(IF($L41&lt;&gt;"",_xll.PBF($L41,"Total Debt to Equity","TTM",$V$21,"","EUR",""),""),"")</f>
        <v/>
      </c>
      <c r="W41" s="1677"/>
      <c r="X41" s="1666" t="str" cm="1">
        <f t="array" aca="1" ref="X41" ca="1">IFERROR(IF($L41&lt;&gt;"",_xll.PBF($L41,"Total Revenue","FY",$X$21,"","EUR","")/1000000,""),"")</f>
        <v/>
      </c>
      <c r="Y41" s="1666" t="str" cm="1">
        <f t="array" aca="1" ref="Y41" ca="1">IFERROR(IF($L41&lt;&gt;"",_xll.PBF($L41,"EBITDA","FY",$N$11,"","EUR","")/1000000,""),"")</f>
        <v/>
      </c>
      <c r="Z41" s="1666" t="str" cm="1">
        <f t="array" aca="1" ref="Z41" ca="1">IFERROR(IF($L41&lt;&gt;"",_xll.PBF($L41,"EBIT","FY",$N$11,"","EUR","")/1000000,""),"")</f>
        <v/>
      </c>
      <c r="AA41" s="1677" t="str" cm="1">
        <f t="array" aca="1" ref="AA41" ca="1">IFERROR(IF($L41&lt;&gt;"",_xll.PBF($L41,"Total Debt to EBITDA","FY",$AA$21,"","EUR",""),""),"")</f>
        <v/>
      </c>
      <c r="AB41" s="1670"/>
      <c r="AC41" s="1672" t="str" cm="1">
        <f t="array" aca="1" ref="AC41" ca="1">IFERROR(IF($L41&lt;&gt;"",_xll.PBF($L41,"EV to Revenue","FY",$N$11,"","EUR",""),""),"")</f>
        <v/>
      </c>
      <c r="AD41" s="1672" t="str" cm="1">
        <f t="array" aca="1" ref="AD41" ca="1">IFERROR(IF($L41&lt;&gt;"",_xll.PBF($L41,"EV to EBITDA","FY",$AD$21,"","EUR",""),""),"")</f>
        <v/>
      </c>
      <c r="AE41" s="1672" t="str" cm="1">
        <f t="array" aca="1" ref="AE41" ca="1">IFERROR(IF($L41&lt;&gt;"",_xll.PBF($L41,"EV to EBIT","FY",$AE$21,"","EUR",""),""),"")</f>
        <v/>
      </c>
      <c r="AF41" s="1672"/>
      <c r="AG41" s="1672" t="str" cm="1">
        <f t="array" aca="1" ref="AG41" ca="1">IFERROR(IF($L41&lt;&gt;"",_xll.PBF($L41,"EV to Forward Revenue","FY",$AG$21,"","EUR",""),""),"")</f>
        <v/>
      </c>
      <c r="AH41" s="1672" t="str" cm="1">
        <f t="array" aca="1" ref="AH41" ca="1">IFERROR(IF($L41&lt;&gt;"",_xll.PBF($L41,"EV to Forward EBITDA","FY",$AH$21,"","EUR",""),""),"")</f>
        <v/>
      </c>
      <c r="AI41" s="1672" t="str" cm="1">
        <f t="array" aca="1" ref="AI41" ca="1">IFERROR(IF($L41&lt;&gt;"",_xll.PBF($L41,"EV to Forward EBIT","FY",$AI$21,"","EUR",""),""),"")</f>
        <v/>
      </c>
      <c r="AJ41" s="1650"/>
      <c r="AK41" s="1705" t="s">
        <v>103</v>
      </c>
      <c r="AL41" s="1693" t="str" cm="1">
        <f t="array" ref="AL41">IFERROR(IF(AK41&lt;&gt;"",_xll.PBD(AK41,"Deal Date","","EUR",""),""),"")</f>
        <v>#ENTITYNOTFOUND</v>
      </c>
      <c r="AM41" s="1693" t="str" cm="1">
        <f t="array" ref="AM41">IFERROR(IF(AK41&lt;&gt;"",_xll.PBD(AK41,"Limit1.Deal Type 1","","EUR",""),""),"")</f>
        <v>#ENTITYNOTFOUND</v>
      </c>
      <c r="AN41" s="1693" t="str" cm="1">
        <f t="array" ref="AN41">IFERROR(IF(AK41&lt;&gt;"",_xll.PBD(AK41,"Limit1.Company Id","","EUR",""),""),"")</f>
        <v>#ENTITYNOTFOUND</v>
      </c>
      <c r="AO41" s="1640" t="str" cm="1">
        <f t="array" ref="AO41">IFERROR(IF(AN41&lt;&gt;"",_xll.PBD(AN41,"Name","","EUR",""),""),"")</f>
        <v>#ENTITYNOTFOUND</v>
      </c>
      <c r="AP41" s="1640" t="str" cm="1">
        <f t="array" ref="AP41">IFERROR(IF(AN41&lt;&gt;"",_xll.PBD(AN41,"Primary Industry Code","","EUR",""),""),"")</f>
        <v>#ENTITYNOTFOUND</v>
      </c>
      <c r="AQ41" s="1640" t="str" cm="1">
        <f t="array" ref="AQ41">IFERROR(IF(AN41&lt;&gt;"",_xll.PBD(AN41,"HQ Country","","EUR",""),""),"")</f>
        <v>#ENTITYNOTFOUND</v>
      </c>
      <c r="AR41" s="1640" t="str" cm="1">
        <f t="array" ref="AR41">IFERROR(IF(AK41&lt;&gt;"",_xll.PBD(AK41,"Limit1.Investors Ids","","EUR",""),""),"")</f>
        <v>#ENTITYNOTFOUND</v>
      </c>
      <c r="AS41" s="1640" t="str" cm="1">
        <f t="array" ref="AS41">IFERROR(IF(AR41&lt;&gt;"",_xll.PBD(AR41,"Name","","EUR",""),""),"")</f>
        <v>#ENTITYNOTFOUND</v>
      </c>
      <c r="AT41" s="1640" t="str" cm="1">
        <f t="array" ref="AT41">IFERROR(IF(AR41&lt;&gt;"",_xll.PBD(AR41,"Primary Industry Code","","EUR",""),""),"")</f>
        <v>#ENTITYNOTFOUND</v>
      </c>
      <c r="AU41" s="1640" t="str" cm="1">
        <f t="array" ref="AU41">IFERROR(IF(AR41&lt;&gt;"",_xll.PBD(AR41,"Limit2.Entity Types","","EUR",""),""),"")</f>
        <v>#ENTITYNOTFOUND</v>
      </c>
      <c r="AV41" s="1640" t="str" cm="1">
        <f t="array" ref="AV41">IFERROR(IF(AR41&lt;&gt;"",_xll.PBD(AR41,"HQ Country","","EUR",""),""),"")</f>
        <v>#ENTITYNOTFOUND</v>
      </c>
      <c r="AX41" s="1641" t="str" cm="1">
        <f t="array" ref="AX41">IFERROR(IF(AK41&lt;&gt;"",_xll.PBD(AK41,"Limit1.Deal Amount","","EUR","")/1000000,""),"")</f>
        <v/>
      </c>
      <c r="AY41" s="1641" t="str" cm="1">
        <f t="array" ref="AY41">IFERROR(IF(AK41&lt;&gt;"",_xll.PBD(AK41,"Limit1.Implied EV ","","EUR","")/1000000,""),"")</f>
        <v/>
      </c>
      <c r="AZ41" s="1694" t="str" cm="1">
        <f t="array" ref="AZ41">IFERROR(IF(AK41&lt;&gt;"",_xll.PBD(AK41,"Limit1.% Acquired ","","EUR",""),""),"")</f>
        <v>#ENTITYNOTFOUND</v>
      </c>
      <c r="BB41" s="1695" t="str" cm="1">
        <f t="array" ref="BB41">IFERROR(IF(AK41&lt;&gt;"",_xll.PBD(AK41,"Implied EV / Revenue","","EUR",""),""),"")</f>
        <v>#ENTITYNOTFOUND</v>
      </c>
      <c r="BC41" s="1695" t="str" cm="1">
        <f t="array" ref="BC41">IFERROR(IF(AK41&lt;&gt;"",_xll.PBD(AK41,"Implied EV / EBITDA","","EUR",""),""),"")</f>
        <v>#ENTITYNOTFOUND</v>
      </c>
      <c r="BD41" s="1695" t="str" cm="1">
        <f t="array" ref="BD41">IFERROR(IF(AK41&lt;&gt;"",_xll.PBD(AK41,"Implied EV / EBIT","","EUR",""),""),"")</f>
        <v>#ENTITYNOTFOUND</v>
      </c>
      <c r="BF41" s="1640" t="str" cm="1">
        <f t="array" ref="BF41">IFERROR(IF(AR41&lt;&gt;"",_xll.PBD(AR41,"Brief Description","","EUR",""),""),"")</f>
        <v>#ENTITYNOTFOUND</v>
      </c>
    </row>
    <row r="42" spans="2:58" ht="13.9" customHeight="1">
      <c r="B42" s="1592"/>
      <c r="J42" s="1594"/>
      <c r="L42" s="1705" t="s">
        <v>103</v>
      </c>
      <c r="M42" s="1631"/>
      <c r="N42" s="1640" t="str" cm="1">
        <f t="array" ref="N42">IFERROR(IF($L42&lt;&gt;"",_xll.PBD($L42,"Name","","USD",""),""),"")</f>
        <v>#ENTITYNOTFOUND</v>
      </c>
      <c r="O42" s="1640" t="str" cm="1">
        <f t="array" ref="O42">IFERROR(IF($L42&lt;&gt;"",_xll.PBD($L42,"Primary Industry Code","","",""),""),"")</f>
        <v>#ENTITYNOTFOUND</v>
      </c>
      <c r="P42" s="1640" t="str" cm="1">
        <f t="array" ref="P42">IFERROR(IF($L42&lt;&gt;"",_xll.PBD($L42,"HQ Country","","",""),""),"")</f>
        <v>#ENTITYNOTFOUND</v>
      </c>
      <c r="Q42" s="1640" t="str" cm="1">
        <f t="array" ref="Q42">IFERROR(IF($L42&lt;&gt;"",_xll.PBD($L42,"HQ City","","EUR",""),""),"")</f>
        <v>#ENTITYNOTFOUND</v>
      </c>
      <c r="S42" s="1666" t="str" cm="1">
        <f t="array" aca="1" ref="S42" ca="1">IFERROR(IF($L42&lt;&gt;"",_xll.PBF($L42,"EV","TTM",$N$11,"","EUR","")/1000000,""),"")</f>
        <v/>
      </c>
      <c r="T42" s="1666" t="str" cm="1">
        <f t="array" aca="1" ref="T42" ca="1">IFERROR(IF($L42&lt;&gt;"",_xll.PBF($L42,"NET Debt","TTM",$N$11,"","EUR","")/1000000,""),"")</f>
        <v/>
      </c>
      <c r="U42" s="1666" t="str" cm="1">
        <f t="array" aca="1" ref="U42" ca="1">IFERROR(IF($L42&lt;&gt;"",_xll.PBF($L42,"Market Cap","TTM",$N$11,"","EUR","")/1000000,""),"")</f>
        <v/>
      </c>
      <c r="V42" s="1677" t="str" cm="1">
        <f t="array" aca="1" ref="V42" ca="1">IFERROR(IF($L42&lt;&gt;"",_xll.PBF($L42,"Total Debt to Equity","TTM",$V$21,"","EUR",""),""),"")</f>
        <v/>
      </c>
      <c r="W42" s="1677"/>
      <c r="X42" s="1666" t="str" cm="1">
        <f t="array" aca="1" ref="X42" ca="1">IFERROR(IF($L42&lt;&gt;"",_xll.PBF($L42,"Total Revenue","FY",$X$21,"","EUR","")/1000000,""),"")</f>
        <v/>
      </c>
      <c r="Y42" s="1666" t="str" cm="1">
        <f t="array" aca="1" ref="Y42" ca="1">IFERROR(IF($L42&lt;&gt;"",_xll.PBF($L42,"EBITDA","FY",$N$11,"","EUR","")/1000000,""),"")</f>
        <v/>
      </c>
      <c r="Z42" s="1666" t="str" cm="1">
        <f t="array" aca="1" ref="Z42" ca="1">IFERROR(IF($L42&lt;&gt;"",_xll.PBF($L42,"EBIT","FY",$N$11,"","EUR","")/1000000,""),"")</f>
        <v/>
      </c>
      <c r="AA42" s="1677" t="str" cm="1">
        <f t="array" aca="1" ref="AA42" ca="1">IFERROR(IF($L42&lt;&gt;"",_xll.PBF($L42,"Total Debt to EBITDA","FY",$AA$21,"","EUR",""),""),"")</f>
        <v/>
      </c>
      <c r="AB42" s="1670"/>
      <c r="AC42" s="1672" t="str" cm="1">
        <f t="array" aca="1" ref="AC42" ca="1">IFERROR(IF($L42&lt;&gt;"",_xll.PBF($L42,"EV to Revenue","FY",$N$11,"","EUR",""),""),"")</f>
        <v/>
      </c>
      <c r="AD42" s="1672" t="str" cm="1">
        <f t="array" aca="1" ref="AD42" ca="1">IFERROR(IF($L42&lt;&gt;"",_xll.PBF($L42,"EV to EBITDA","FY",$AD$21,"","EUR",""),""),"")</f>
        <v/>
      </c>
      <c r="AE42" s="1672" t="str" cm="1">
        <f t="array" aca="1" ref="AE42" ca="1">IFERROR(IF($L42&lt;&gt;"",_xll.PBF($L42,"EV to EBIT","FY",$AE$21,"","EUR",""),""),"")</f>
        <v/>
      </c>
      <c r="AF42" s="1672"/>
      <c r="AG42" s="1672" t="str" cm="1">
        <f t="array" aca="1" ref="AG42" ca="1">IFERROR(IF($L42&lt;&gt;"",_xll.PBF($L42,"EV to Forward Revenue","FY",$AG$21,"","EUR",""),""),"")</f>
        <v/>
      </c>
      <c r="AH42" s="1672" t="str" cm="1">
        <f t="array" aca="1" ref="AH42" ca="1">IFERROR(IF($L42&lt;&gt;"",_xll.PBF($L42,"EV to Forward EBITDA","FY",$AH$21,"","EUR",""),""),"")</f>
        <v/>
      </c>
      <c r="AI42" s="1672" t="str" cm="1">
        <f t="array" aca="1" ref="AI42" ca="1">IFERROR(IF($L42&lt;&gt;"",_xll.PBF($L42,"EV to Forward EBIT","FY",$AI$21,"","EUR",""),""),"")</f>
        <v/>
      </c>
      <c r="AJ42" s="1650"/>
      <c r="AK42" s="1705" t="s">
        <v>103</v>
      </c>
      <c r="AL42" s="1693" t="str" cm="1">
        <f t="array" ref="AL42">IFERROR(IF(AK42&lt;&gt;"",_xll.PBD(AK42,"Deal Date","","EUR",""),""),"")</f>
        <v>#ENTITYNOTFOUND</v>
      </c>
      <c r="AM42" s="1693" t="str" cm="1">
        <f t="array" ref="AM42">IFERROR(IF(AK42&lt;&gt;"",_xll.PBD(AK42,"Limit1.Deal Type 1","","EUR",""),""),"")</f>
        <v>#ENTITYNOTFOUND</v>
      </c>
      <c r="AN42" s="1693" t="str" cm="1">
        <f t="array" ref="AN42">IFERROR(IF(AK42&lt;&gt;"",_xll.PBD(AK42,"Limit1.Company Id","","EUR",""),""),"")</f>
        <v>#ENTITYNOTFOUND</v>
      </c>
      <c r="AO42" s="1640" t="str" cm="1">
        <f t="array" ref="AO42">IFERROR(IF(AN42&lt;&gt;"",_xll.PBD(AN42,"Name","","EUR",""),""),"")</f>
        <v>#ENTITYNOTFOUND</v>
      </c>
      <c r="AP42" s="1640" t="str" cm="1">
        <f t="array" ref="AP42">IFERROR(IF(AN42&lt;&gt;"",_xll.PBD(AN42,"Primary Industry Code","","EUR",""),""),"")</f>
        <v>#ENTITYNOTFOUND</v>
      </c>
      <c r="AQ42" s="1640" t="str" cm="1">
        <f t="array" ref="AQ42">IFERROR(IF(AN42&lt;&gt;"",_xll.PBD(AN42,"HQ Country","","EUR",""),""),"")</f>
        <v>#ENTITYNOTFOUND</v>
      </c>
      <c r="AR42" s="1640" t="str" cm="1">
        <f t="array" ref="AR42">IFERROR(IF(AK42&lt;&gt;"",_xll.PBD(AK42,"Limit1.Investors Ids","","EUR",""),""),"")</f>
        <v>#ENTITYNOTFOUND</v>
      </c>
      <c r="AS42" s="1640" t="str" cm="1">
        <f t="array" ref="AS42">IFERROR(IF(AR42&lt;&gt;"",_xll.PBD(AR42,"Name","","EUR",""),""),"")</f>
        <v>#ENTITYNOTFOUND</v>
      </c>
      <c r="AT42" s="1640" t="str" cm="1">
        <f t="array" ref="AT42">IFERROR(IF(AR42&lt;&gt;"",_xll.PBD(AR42,"Primary Industry Code","","EUR",""),""),"")</f>
        <v>#ENTITYNOTFOUND</v>
      </c>
      <c r="AU42" s="1640" t="str" cm="1">
        <f t="array" ref="AU42">IFERROR(IF(AR42&lt;&gt;"",_xll.PBD(AR42,"Limit2.Entity Types","","EUR",""),""),"")</f>
        <v>#ENTITYNOTFOUND</v>
      </c>
      <c r="AV42" s="1640" t="str" cm="1">
        <f t="array" ref="AV42">IFERROR(IF(AR42&lt;&gt;"",_xll.PBD(AR42,"HQ Country","","EUR",""),""),"")</f>
        <v>#ENTITYNOTFOUND</v>
      </c>
      <c r="AX42" s="1641" t="str" cm="1">
        <f t="array" ref="AX42">IFERROR(IF(AK42&lt;&gt;"",_xll.PBD(AK42,"Limit1.Deal Amount","","EUR","")/1000000,""),"")</f>
        <v/>
      </c>
      <c r="AY42" s="1641" t="str" cm="1">
        <f t="array" ref="AY42">IFERROR(IF(AK42&lt;&gt;"",_xll.PBD(AK42,"Limit1.Implied EV ","","EUR","")/1000000,""),"")</f>
        <v/>
      </c>
      <c r="AZ42" s="1694" t="str" cm="1">
        <f t="array" ref="AZ42">IFERROR(IF(AK42&lt;&gt;"",_xll.PBD(AK42,"Limit1.% Acquired ","","EUR",""),""),"")</f>
        <v>#ENTITYNOTFOUND</v>
      </c>
      <c r="BB42" s="1695" t="str" cm="1">
        <f t="array" ref="BB42">IFERROR(IF(AK42&lt;&gt;"",_xll.PBD(AK42,"Implied EV / Revenue","","EUR",""),""),"")</f>
        <v>#ENTITYNOTFOUND</v>
      </c>
      <c r="BC42" s="1695" t="str" cm="1">
        <f t="array" ref="BC42">IFERROR(IF(AK42&lt;&gt;"",_xll.PBD(AK42,"Implied EV / EBITDA","","EUR",""),""),"")</f>
        <v>#ENTITYNOTFOUND</v>
      </c>
      <c r="BD42" s="1695" t="str" cm="1">
        <f t="array" ref="BD42">IFERROR(IF(AK42&lt;&gt;"",_xll.PBD(AK42,"Implied EV / EBIT","","EUR",""),""),"")</f>
        <v>#ENTITYNOTFOUND</v>
      </c>
      <c r="BF42" s="1640" t="str" cm="1">
        <f t="array" ref="BF42">IFERROR(IF(AR42&lt;&gt;"",_xll.PBD(AR42,"Brief Description","","EUR",""),""),"")</f>
        <v>#ENTITYNOTFOUND</v>
      </c>
    </row>
    <row r="43" spans="2:58" ht="13.9" customHeight="1">
      <c r="B43" s="1592"/>
      <c r="L43" s="1705" t="s">
        <v>103</v>
      </c>
      <c r="M43" s="1631"/>
      <c r="N43" s="1640" t="str" cm="1">
        <f t="array" ref="N43">IFERROR(IF($L43&lt;&gt;"",_xll.PBD($L43,"Name","","USD",""),""),"")</f>
        <v>#ENTITYNOTFOUND</v>
      </c>
      <c r="O43" s="1640" t="str" cm="1">
        <f t="array" ref="O43">IFERROR(IF($L43&lt;&gt;"",_xll.PBD($L43,"Primary Industry Code","","",""),""),"")</f>
        <v>#ENTITYNOTFOUND</v>
      </c>
      <c r="P43" s="1640" t="str" cm="1">
        <f t="array" ref="P43">IFERROR(IF($L43&lt;&gt;"",_xll.PBD($L43,"HQ Country","","",""),""),"")</f>
        <v>#ENTITYNOTFOUND</v>
      </c>
      <c r="Q43" s="1640" t="str" cm="1">
        <f t="array" ref="Q43">IFERROR(IF($L43&lt;&gt;"",_xll.PBD($L43,"HQ City","","EUR",""),""),"")</f>
        <v>#ENTITYNOTFOUND</v>
      </c>
      <c r="S43" s="1666" t="str" cm="1">
        <f t="array" aca="1" ref="S43" ca="1">IFERROR(IF($L43&lt;&gt;"",_xll.PBF($L43,"EV","TTM",$N$11,"","EUR","")/1000000,""),"")</f>
        <v/>
      </c>
      <c r="T43" s="1666" t="str" cm="1">
        <f t="array" aca="1" ref="T43" ca="1">IFERROR(IF($L43&lt;&gt;"",_xll.PBF($L43,"NET Debt","TTM",$N$11,"","EUR","")/1000000,""),"")</f>
        <v/>
      </c>
      <c r="U43" s="1666" t="str" cm="1">
        <f t="array" aca="1" ref="U43" ca="1">IFERROR(IF($L43&lt;&gt;"",_xll.PBF($L43,"Market Cap","TTM",$N$11,"","EUR","")/1000000,""),"")</f>
        <v/>
      </c>
      <c r="V43" s="1677" t="str" cm="1">
        <f t="array" aca="1" ref="V43" ca="1">IFERROR(IF($L43&lt;&gt;"",_xll.PBF($L43,"Total Debt to Equity","TTM",$V$21,"","EUR",""),""),"")</f>
        <v/>
      </c>
      <c r="W43" s="1677"/>
      <c r="X43" s="1666" t="str" cm="1">
        <f t="array" aca="1" ref="X43" ca="1">IFERROR(IF($L43&lt;&gt;"",_xll.PBF($L43,"Total Revenue","FY",$X$21,"","EUR","")/1000000,""),"")</f>
        <v/>
      </c>
      <c r="Y43" s="1666" t="str" cm="1">
        <f t="array" aca="1" ref="Y43" ca="1">IFERROR(IF($L43&lt;&gt;"",_xll.PBF($L43,"EBITDA","FY",$N$11,"","EUR","")/1000000,""),"")</f>
        <v/>
      </c>
      <c r="Z43" s="1666" t="str" cm="1">
        <f t="array" aca="1" ref="Z43" ca="1">IFERROR(IF($L43&lt;&gt;"",_xll.PBF($L43,"EBIT","FY",$N$11,"","EUR","")/1000000,""),"")</f>
        <v/>
      </c>
      <c r="AA43" s="1677" t="str" cm="1">
        <f t="array" aca="1" ref="AA43" ca="1">IFERROR(IF($L43&lt;&gt;"",_xll.PBF($L43,"Total Debt to EBITDA","FY",$AA$21,"","EUR",""),""),"")</f>
        <v/>
      </c>
      <c r="AB43" s="1670"/>
      <c r="AC43" s="1672" t="str" cm="1">
        <f t="array" aca="1" ref="AC43" ca="1">IFERROR(IF($L43&lt;&gt;"",_xll.PBF($L43,"EV to Revenue","FY",$N$11,"","EUR",""),""),"")</f>
        <v/>
      </c>
      <c r="AD43" s="1672" t="str" cm="1">
        <f t="array" aca="1" ref="AD43" ca="1">IFERROR(IF($L43&lt;&gt;"",_xll.PBF($L43,"EV to EBITDA","FY",$AD$21,"","EUR",""),""),"")</f>
        <v/>
      </c>
      <c r="AE43" s="1672" t="str" cm="1">
        <f t="array" aca="1" ref="AE43" ca="1">IFERROR(IF($L43&lt;&gt;"",_xll.PBF($L43,"EV to EBIT","FY",$AE$21,"","EUR",""),""),"")</f>
        <v/>
      </c>
      <c r="AF43" s="1672"/>
      <c r="AG43" s="1672" t="str" cm="1">
        <f t="array" aca="1" ref="AG43" ca="1">IFERROR(IF($L43&lt;&gt;"",_xll.PBF($L43,"EV to Forward Revenue","FY",$AG$21,"","EUR",""),""),"")</f>
        <v/>
      </c>
      <c r="AH43" s="1672" t="str" cm="1">
        <f t="array" aca="1" ref="AH43" ca="1">IFERROR(IF($L43&lt;&gt;"",_xll.PBF($L43,"EV to Forward EBITDA","FY",$AH$21,"","EUR",""),""),"")</f>
        <v/>
      </c>
      <c r="AI43" s="1672" t="str" cm="1">
        <f t="array" aca="1" ref="AI43" ca="1">IFERROR(IF($L43&lt;&gt;"",_xll.PBF($L43,"EV to Forward EBIT","FY",$AI$21,"","EUR",""),""),"")</f>
        <v/>
      </c>
      <c r="AJ43" s="1650"/>
      <c r="AK43" s="1705" t="s">
        <v>103</v>
      </c>
      <c r="AL43" s="1693" t="str" cm="1">
        <f t="array" ref="AL43">IFERROR(IF(AK43&lt;&gt;"",_xll.PBD(AK43,"Deal Date","","EUR",""),""),"")</f>
        <v>#ENTITYNOTFOUND</v>
      </c>
      <c r="AM43" s="1693" t="str" cm="1">
        <f t="array" ref="AM43">IFERROR(IF(AK43&lt;&gt;"",_xll.PBD(AK43,"Limit1.Deal Type 1","","EUR",""),""),"")</f>
        <v>#ENTITYNOTFOUND</v>
      </c>
      <c r="AN43" s="1693" t="str" cm="1">
        <f t="array" ref="AN43">IFERROR(IF(AK43&lt;&gt;"",_xll.PBD(AK43,"Limit1.Company Id","","EUR",""),""),"")</f>
        <v>#ENTITYNOTFOUND</v>
      </c>
      <c r="AO43" s="1640" t="str" cm="1">
        <f t="array" ref="AO43">IFERROR(IF(AN43&lt;&gt;"",_xll.PBD(AN43,"Name","","EUR",""),""),"")</f>
        <v>#ENTITYNOTFOUND</v>
      </c>
      <c r="AP43" s="1640" t="str" cm="1">
        <f t="array" ref="AP43">IFERROR(IF(AN43&lt;&gt;"",_xll.PBD(AN43,"Primary Industry Code","","EUR",""),""),"")</f>
        <v>#ENTITYNOTFOUND</v>
      </c>
      <c r="AQ43" s="1640" t="str" cm="1">
        <f t="array" ref="AQ43">IFERROR(IF(AN43&lt;&gt;"",_xll.PBD(AN43,"HQ Country","","EUR",""),""),"")</f>
        <v>#ENTITYNOTFOUND</v>
      </c>
      <c r="AR43" s="1640" t="str" cm="1">
        <f t="array" ref="AR43">IFERROR(IF(AK43&lt;&gt;"",_xll.PBD(AK43,"Limit1.Investors Ids","","EUR",""),""),"")</f>
        <v>#ENTITYNOTFOUND</v>
      </c>
      <c r="AS43" s="1640" t="str" cm="1">
        <f t="array" ref="AS43">IFERROR(IF(AR43&lt;&gt;"",_xll.PBD(AR43,"Name","","EUR",""),""),"")</f>
        <v>#ENTITYNOTFOUND</v>
      </c>
      <c r="AT43" s="1640" t="str" cm="1">
        <f t="array" ref="AT43">IFERROR(IF(AR43&lt;&gt;"",_xll.PBD(AR43,"Primary Industry Code","","EUR",""),""),"")</f>
        <v>#ENTITYNOTFOUND</v>
      </c>
      <c r="AU43" s="1640" t="str" cm="1">
        <f t="array" ref="AU43">IFERROR(IF(AR43&lt;&gt;"",_xll.PBD(AR43,"Limit2.Entity Types","","EUR",""),""),"")</f>
        <v>#ENTITYNOTFOUND</v>
      </c>
      <c r="AV43" s="1640" t="str" cm="1">
        <f t="array" ref="AV43">IFERROR(IF(AR43&lt;&gt;"",_xll.PBD(AR43,"HQ Country","","EUR",""),""),"")</f>
        <v>#ENTITYNOTFOUND</v>
      </c>
      <c r="AX43" s="1641" t="str" cm="1">
        <f t="array" ref="AX43">IFERROR(IF(AK43&lt;&gt;"",_xll.PBD(AK43,"Limit1.Deal Amount","","EUR","")/1000000,""),"")</f>
        <v/>
      </c>
      <c r="AY43" s="1641" t="str" cm="1">
        <f t="array" ref="AY43">IFERROR(IF(AK43&lt;&gt;"",_xll.PBD(AK43,"Limit1.Implied EV ","","EUR","")/1000000,""),"")</f>
        <v/>
      </c>
      <c r="AZ43" s="1694" t="str" cm="1">
        <f t="array" ref="AZ43">IFERROR(IF(AK43&lt;&gt;"",_xll.PBD(AK43,"Limit1.% Acquired ","","EUR",""),""),"")</f>
        <v>#ENTITYNOTFOUND</v>
      </c>
      <c r="BB43" s="1695" t="str" cm="1">
        <f t="array" ref="BB43">IFERROR(IF(AK43&lt;&gt;"",_xll.PBD(AK43,"Implied EV / Revenue","","EUR",""),""),"")</f>
        <v>#ENTITYNOTFOUND</v>
      </c>
      <c r="BC43" s="1695" t="str" cm="1">
        <f t="array" ref="BC43">IFERROR(IF(AK43&lt;&gt;"",_xll.PBD(AK43,"Implied EV / EBITDA","","EUR",""),""),"")</f>
        <v>#ENTITYNOTFOUND</v>
      </c>
      <c r="BD43" s="1695" t="str" cm="1">
        <f t="array" ref="BD43">IFERROR(IF(AK43&lt;&gt;"",_xll.PBD(AK43,"Implied EV / EBIT","","EUR",""),""),"")</f>
        <v>#ENTITYNOTFOUND</v>
      </c>
      <c r="BF43" s="1640" t="str" cm="1">
        <f t="array" ref="BF43">IFERROR(IF(AR43&lt;&gt;"",_xll.PBD(AR43,"Brief Description","","EUR",""),""),"")</f>
        <v>#ENTITYNOTFOUND</v>
      </c>
    </row>
    <row r="44" spans="2:58" ht="13.9" customHeight="1">
      <c r="L44" s="1705" t="s">
        <v>103</v>
      </c>
      <c r="M44" s="1632"/>
      <c r="N44" s="1640" t="str" cm="1">
        <f t="array" ref="N44">IFERROR(IF($L44&lt;&gt;"",_xll.PBD($L44,"Name","","USD",""),""),"")</f>
        <v>#ENTITYNOTFOUND</v>
      </c>
      <c r="O44" s="1640" t="str" cm="1">
        <f t="array" ref="O44">IFERROR(IF($L44&lt;&gt;"",_xll.PBD($L44,"Primary Industry Code","","",""),""),"")</f>
        <v>#ENTITYNOTFOUND</v>
      </c>
      <c r="P44" s="1640" t="str" cm="1">
        <f t="array" ref="P44">IFERROR(IF($L44&lt;&gt;"",_xll.PBD($L44,"HQ Country","","",""),""),"")</f>
        <v>#ENTITYNOTFOUND</v>
      </c>
      <c r="Q44" s="1640" t="str" cm="1">
        <f t="array" ref="Q44">IFERROR(IF($L44&lt;&gt;"",_xll.PBD($L44,"HQ City","","EUR",""),""),"")</f>
        <v>#ENTITYNOTFOUND</v>
      </c>
      <c r="S44" s="1666" t="str" cm="1">
        <f t="array" aca="1" ref="S44" ca="1">IFERROR(IF($L44&lt;&gt;"",_xll.PBF($L44,"EV","TTM",$N$11,"","EUR","")/1000000,""),"")</f>
        <v/>
      </c>
      <c r="T44" s="1666" t="str" cm="1">
        <f t="array" aca="1" ref="T44" ca="1">IFERROR(IF($L44&lt;&gt;"",_xll.PBF($L44,"NET Debt","TTM",$N$11,"","EUR","")/1000000,""),"")</f>
        <v/>
      </c>
      <c r="U44" s="1666" t="str" cm="1">
        <f t="array" aca="1" ref="U44" ca="1">IFERROR(IF($L44&lt;&gt;"",_xll.PBF($L44,"Market Cap","TTM",$N$11,"","EUR","")/1000000,""),"")</f>
        <v/>
      </c>
      <c r="V44" s="1677" t="str" cm="1">
        <f t="array" aca="1" ref="V44" ca="1">IFERROR(IF($L44&lt;&gt;"",_xll.PBF($L44,"Total Debt to Equity","TTM",$V$21,"","EUR",""),""),"")</f>
        <v/>
      </c>
      <c r="W44" s="1677"/>
      <c r="X44" s="1666" t="str" cm="1">
        <f t="array" aca="1" ref="X44" ca="1">IFERROR(IF($L44&lt;&gt;"",_xll.PBF($L44,"Total Revenue","FY",$X$21,"","EUR","")/1000000,""),"")</f>
        <v/>
      </c>
      <c r="Y44" s="1666" t="str" cm="1">
        <f t="array" aca="1" ref="Y44" ca="1">IFERROR(IF($L44&lt;&gt;"",_xll.PBF($L44,"EBITDA","FY",$N$11,"","EUR","")/1000000,""),"")</f>
        <v/>
      </c>
      <c r="Z44" s="1666" t="str" cm="1">
        <f t="array" aca="1" ref="Z44" ca="1">IFERROR(IF($L44&lt;&gt;"",_xll.PBF($L44,"EBIT","FY",$N$11,"","EUR","")/1000000,""),"")</f>
        <v/>
      </c>
      <c r="AA44" s="1677" t="str" cm="1">
        <f t="array" aca="1" ref="AA44" ca="1">IFERROR(IF($L44&lt;&gt;"",_xll.PBF($L44,"Total Debt to EBITDA","FY",$AA$21,"","EUR",""),""),"")</f>
        <v/>
      </c>
      <c r="AB44" s="1670"/>
      <c r="AC44" s="1672" t="str" cm="1">
        <f t="array" aca="1" ref="AC44" ca="1">IFERROR(IF($L44&lt;&gt;"",_xll.PBF($L44,"EV to Revenue","FY",$N$11,"","EUR",""),""),"")</f>
        <v/>
      </c>
      <c r="AD44" s="1672" t="str" cm="1">
        <f t="array" aca="1" ref="AD44" ca="1">IFERROR(IF($L44&lt;&gt;"",_xll.PBF($L44,"EV to EBITDA","FY",$AD$21,"","EUR",""),""),"")</f>
        <v/>
      </c>
      <c r="AE44" s="1672" t="str" cm="1">
        <f t="array" aca="1" ref="AE44" ca="1">IFERROR(IF($L44&lt;&gt;"",_xll.PBF($L44,"EV to EBIT","FY",$AE$21,"","EUR",""),""),"")</f>
        <v/>
      </c>
      <c r="AF44" s="1672"/>
      <c r="AG44" s="1672" t="str" cm="1">
        <f t="array" aca="1" ref="AG44" ca="1">IFERROR(IF($L44&lt;&gt;"",_xll.PBF($L44,"EV to Forward Revenue","FY",$AG$21,"","EUR",""),""),"")</f>
        <v/>
      </c>
      <c r="AH44" s="1672" t="str" cm="1">
        <f t="array" aca="1" ref="AH44" ca="1">IFERROR(IF($L44&lt;&gt;"",_xll.PBF($L44,"EV to Forward EBITDA","FY",$AH$21,"","EUR",""),""),"")</f>
        <v/>
      </c>
      <c r="AI44" s="1672" t="str" cm="1">
        <f t="array" aca="1" ref="AI44" ca="1">IFERROR(IF($L44&lt;&gt;"",_xll.PBF($L44,"EV to Forward EBIT","FY",$AI$21,"","EUR",""),""),"")</f>
        <v/>
      </c>
      <c r="AJ44" s="1650"/>
      <c r="AK44" s="1705" t="s">
        <v>103</v>
      </c>
      <c r="AL44" s="1693" t="str" cm="1">
        <f t="array" ref="AL44">IFERROR(IF(AK44&lt;&gt;"",_xll.PBD(AK44,"Deal Date","","EUR",""),""),"")</f>
        <v>#ENTITYNOTFOUND</v>
      </c>
      <c r="AM44" s="1693" t="str" cm="1">
        <f t="array" ref="AM44">IFERROR(IF(AK44&lt;&gt;"",_xll.PBD(AK44,"Limit1.Deal Type 1","","EUR",""),""),"")</f>
        <v>#ENTITYNOTFOUND</v>
      </c>
      <c r="AN44" s="1693" t="str" cm="1">
        <f t="array" ref="AN44">IFERROR(IF(AK44&lt;&gt;"",_xll.PBD(AK44,"Limit1.Company Id","","EUR",""),""),"")</f>
        <v>#ENTITYNOTFOUND</v>
      </c>
      <c r="AO44" s="1640" t="str" cm="1">
        <f t="array" ref="AO44">IFERROR(IF(AN44&lt;&gt;"",_xll.PBD(AN44,"Name","","EUR",""),""),"")</f>
        <v>#ENTITYNOTFOUND</v>
      </c>
      <c r="AP44" s="1640" t="str" cm="1">
        <f t="array" ref="AP44">IFERROR(IF(AN44&lt;&gt;"",_xll.PBD(AN44,"Primary Industry Code","","EUR",""),""),"")</f>
        <v>#ENTITYNOTFOUND</v>
      </c>
      <c r="AQ44" s="1640" t="str" cm="1">
        <f t="array" ref="AQ44">IFERROR(IF(AN44&lt;&gt;"",_xll.PBD(AN44,"HQ Country","","EUR",""),""),"")</f>
        <v>#ENTITYNOTFOUND</v>
      </c>
      <c r="AR44" s="1640" t="str" cm="1">
        <f t="array" ref="AR44">IFERROR(IF(AK44&lt;&gt;"",_xll.PBD(AK44,"Limit1.Investors Ids","","EUR",""),""),"")</f>
        <v>#ENTITYNOTFOUND</v>
      </c>
      <c r="AS44" s="1640" t="str" cm="1">
        <f t="array" ref="AS44">IFERROR(IF(AR44&lt;&gt;"",_xll.PBD(AR44,"Name","","EUR",""),""),"")</f>
        <v>#ENTITYNOTFOUND</v>
      </c>
      <c r="AT44" s="1640" t="str" cm="1">
        <f t="array" ref="AT44">IFERROR(IF(AR44&lt;&gt;"",_xll.PBD(AR44,"Primary Industry Code","","EUR",""),""),"")</f>
        <v>#ENTITYNOTFOUND</v>
      </c>
      <c r="AU44" s="1640" t="str" cm="1">
        <f t="array" ref="AU44">IFERROR(IF(AR44&lt;&gt;"",_xll.PBD(AR44,"Limit2.Entity Types","","EUR",""),""),"")</f>
        <v>#ENTITYNOTFOUND</v>
      </c>
      <c r="AV44" s="1640" t="str" cm="1">
        <f t="array" ref="AV44">IFERROR(IF(AR44&lt;&gt;"",_xll.PBD(AR44,"HQ Country","","EUR",""),""),"")</f>
        <v>#ENTITYNOTFOUND</v>
      </c>
      <c r="AX44" s="1641" t="str" cm="1">
        <f t="array" ref="AX44">IFERROR(IF(AK44&lt;&gt;"",_xll.PBD(AK44,"Limit1.Deal Amount","","EUR","")/1000000,""),"")</f>
        <v/>
      </c>
      <c r="AY44" s="1641" t="str" cm="1">
        <f t="array" ref="AY44">IFERROR(IF(AK44&lt;&gt;"",_xll.PBD(AK44,"Limit1.Implied EV ","","EUR","")/1000000,""),"")</f>
        <v/>
      </c>
      <c r="AZ44" s="1694" t="str" cm="1">
        <f t="array" ref="AZ44">IFERROR(IF(AK44&lt;&gt;"",_xll.PBD(AK44,"Limit1.% Acquired ","","EUR",""),""),"")</f>
        <v>#ENTITYNOTFOUND</v>
      </c>
      <c r="BB44" s="1695" t="str" cm="1">
        <f t="array" ref="BB44">IFERROR(IF(AK44&lt;&gt;"",_xll.PBD(AK44,"Implied EV / Revenue","","EUR",""),""),"")</f>
        <v>#ENTITYNOTFOUND</v>
      </c>
      <c r="BC44" s="1695" t="str" cm="1">
        <f t="array" ref="BC44">IFERROR(IF(AK44&lt;&gt;"",_xll.PBD(AK44,"Implied EV / EBITDA","","EUR",""),""),"")</f>
        <v>#ENTITYNOTFOUND</v>
      </c>
      <c r="BD44" s="1695" t="str" cm="1">
        <f t="array" ref="BD44">IFERROR(IF(AK44&lt;&gt;"",_xll.PBD(AK44,"Implied EV / EBIT","","EUR",""),""),"")</f>
        <v>#ENTITYNOTFOUND</v>
      </c>
      <c r="BF44" s="1640" t="str" cm="1">
        <f t="array" ref="BF44">IFERROR(IF(AR44&lt;&gt;"",_xll.PBD(AR44,"Brief Description","","EUR",""),""),"")</f>
        <v>#ENTITYNOTFOUND</v>
      </c>
    </row>
    <row r="45" spans="2:58" ht="13.9" customHeight="1">
      <c r="B45" s="1592"/>
      <c r="C45" s="1592"/>
      <c r="D45" s="1592"/>
      <c r="E45" s="1592"/>
      <c r="F45" s="1592"/>
      <c r="G45" s="1592"/>
      <c r="H45" s="1592"/>
      <c r="I45" s="1592"/>
      <c r="J45" s="1592"/>
      <c r="K45" s="1592"/>
      <c r="L45" s="1705" t="s">
        <v>103</v>
      </c>
      <c r="M45" s="1632"/>
      <c r="N45" s="1640" t="str" cm="1">
        <f t="array" ref="N45">IFERROR(IF($L45&lt;&gt;"",_xll.PBD($L45,"Name","","USD",""),""),"")</f>
        <v>#ENTITYNOTFOUND</v>
      </c>
      <c r="O45" s="1640" t="str" cm="1">
        <f t="array" ref="O45">IFERROR(IF($L45&lt;&gt;"",_xll.PBD($L45,"Primary Industry Code","","",""),""),"")</f>
        <v>#ENTITYNOTFOUND</v>
      </c>
      <c r="P45" s="1640" t="str" cm="1">
        <f t="array" ref="P45">IFERROR(IF($L45&lt;&gt;"",_xll.PBD($L45,"HQ Country","","",""),""),"")</f>
        <v>#ENTITYNOTFOUND</v>
      </c>
      <c r="Q45" s="1640" t="str" cm="1">
        <f t="array" ref="Q45">IFERROR(IF($L45&lt;&gt;"",_xll.PBD($L45,"HQ City","","EUR",""),""),"")</f>
        <v>#ENTITYNOTFOUND</v>
      </c>
      <c r="S45" s="1666" t="str" cm="1">
        <f t="array" aca="1" ref="S45" ca="1">IFERROR(IF($L45&lt;&gt;"",_xll.PBF($L45,"EV","TTM",$N$11,"","EUR","")/1000000,""),"")</f>
        <v/>
      </c>
      <c r="T45" s="1666" t="str" cm="1">
        <f t="array" aca="1" ref="T45" ca="1">IFERROR(IF($L45&lt;&gt;"",_xll.PBF($L45,"NET Debt","TTM",$N$11,"","EUR","")/1000000,""),"")</f>
        <v/>
      </c>
      <c r="U45" s="1666" t="str" cm="1">
        <f t="array" aca="1" ref="U45" ca="1">IFERROR(IF($L45&lt;&gt;"",_xll.PBF($L45,"Market Cap","TTM",$N$11,"","EUR","")/1000000,""),"")</f>
        <v/>
      </c>
      <c r="V45" s="1677" t="str" cm="1">
        <f t="array" aca="1" ref="V45" ca="1">IFERROR(IF($L45&lt;&gt;"",_xll.PBF($L45,"Total Debt to Equity","TTM",$V$21,"","EUR",""),""),"")</f>
        <v/>
      </c>
      <c r="W45" s="1677"/>
      <c r="X45" s="1666" t="str" cm="1">
        <f t="array" aca="1" ref="X45" ca="1">IFERROR(IF($L45&lt;&gt;"",_xll.PBF($L45,"Total Revenue","FY",$X$21,"","EUR","")/1000000,""),"")</f>
        <v/>
      </c>
      <c r="Y45" s="1666" t="str" cm="1">
        <f t="array" aca="1" ref="Y45" ca="1">IFERROR(IF($L45&lt;&gt;"",_xll.PBF($L45,"EBITDA","FY",$N$11,"","EUR","")/1000000,""),"")</f>
        <v/>
      </c>
      <c r="Z45" s="1666" t="str" cm="1">
        <f t="array" aca="1" ref="Z45" ca="1">IFERROR(IF($L45&lt;&gt;"",_xll.PBF($L45,"EBIT","FY",$N$11,"","EUR","")/1000000,""),"")</f>
        <v/>
      </c>
      <c r="AA45" s="1677" t="str" cm="1">
        <f t="array" aca="1" ref="AA45" ca="1">IFERROR(IF($L45&lt;&gt;"",_xll.PBF($L45,"Total Debt to EBITDA","FY",$AA$21,"","EUR",""),""),"")</f>
        <v/>
      </c>
      <c r="AB45" s="1670"/>
      <c r="AC45" s="1672" t="str" cm="1">
        <f t="array" aca="1" ref="AC45" ca="1">IFERROR(IF($L45&lt;&gt;"",_xll.PBF($L45,"EV to Revenue","FY",$N$11,"","EUR",""),""),"")</f>
        <v/>
      </c>
      <c r="AD45" s="1672" t="str" cm="1">
        <f t="array" aca="1" ref="AD45" ca="1">IFERROR(IF($L45&lt;&gt;"",_xll.PBF($L45,"EV to EBITDA","FY",$AD$21,"","EUR",""),""),"")</f>
        <v/>
      </c>
      <c r="AE45" s="1672" t="str" cm="1">
        <f t="array" aca="1" ref="AE45" ca="1">IFERROR(IF($L45&lt;&gt;"",_xll.PBF($L45,"EV to EBIT","FY",$AE$21,"","EUR",""),""),"")</f>
        <v/>
      </c>
      <c r="AF45" s="1672"/>
      <c r="AG45" s="1672" t="str" cm="1">
        <f t="array" aca="1" ref="AG45" ca="1">IFERROR(IF($L45&lt;&gt;"",_xll.PBF($L45,"EV to Forward Revenue","FY",$AG$21,"","EUR",""),""),"")</f>
        <v/>
      </c>
      <c r="AH45" s="1672" t="str" cm="1">
        <f t="array" aca="1" ref="AH45" ca="1">IFERROR(IF($L45&lt;&gt;"",_xll.PBF($L45,"EV to Forward EBITDA","FY",$AH$21,"","EUR",""),""),"")</f>
        <v/>
      </c>
      <c r="AI45" s="1672" t="str" cm="1">
        <f t="array" aca="1" ref="AI45" ca="1">IFERROR(IF($L45&lt;&gt;"",_xll.PBF($L45,"EV to Forward EBIT","FY",$AI$21,"","EUR",""),""),"")</f>
        <v/>
      </c>
      <c r="AJ45" s="1650"/>
      <c r="AK45" s="1705" t="s">
        <v>103</v>
      </c>
      <c r="AL45" s="1693" t="str" cm="1">
        <f t="array" ref="AL45">IFERROR(IF(AK45&lt;&gt;"",_xll.PBD(AK45,"Deal Date","","EUR",""),""),"")</f>
        <v>#ENTITYNOTFOUND</v>
      </c>
      <c r="AM45" s="1693" t="str" cm="1">
        <f t="array" ref="AM45">IFERROR(IF(AK45&lt;&gt;"",_xll.PBD(AK45,"Limit1.Deal Type 1","","EUR",""),""),"")</f>
        <v>#ENTITYNOTFOUND</v>
      </c>
      <c r="AN45" s="1693" t="str" cm="1">
        <f t="array" ref="AN45">IFERROR(IF(AK45&lt;&gt;"",_xll.PBD(AK45,"Limit1.Company Id","","EUR",""),""),"")</f>
        <v>#ENTITYNOTFOUND</v>
      </c>
      <c r="AO45" s="1640" t="str" cm="1">
        <f t="array" ref="AO45">IFERROR(IF(AN45&lt;&gt;"",_xll.PBD(AN45,"Name","","EUR",""),""),"")</f>
        <v>#ENTITYNOTFOUND</v>
      </c>
      <c r="AP45" s="1640" t="str" cm="1">
        <f t="array" ref="AP45">IFERROR(IF(AN45&lt;&gt;"",_xll.PBD(AN45,"Primary Industry Code","","EUR",""),""),"")</f>
        <v>#ENTITYNOTFOUND</v>
      </c>
      <c r="AQ45" s="1640" t="str" cm="1">
        <f t="array" ref="AQ45">IFERROR(IF(AN45&lt;&gt;"",_xll.PBD(AN45,"HQ Country","","EUR",""),""),"")</f>
        <v>#ENTITYNOTFOUND</v>
      </c>
      <c r="AR45" s="1640" t="str" cm="1">
        <f t="array" ref="AR45">IFERROR(IF(AK45&lt;&gt;"",_xll.PBD(AK45,"Limit1.Investors Ids","","EUR",""),""),"")</f>
        <v>#ENTITYNOTFOUND</v>
      </c>
      <c r="AS45" s="1640" t="str" cm="1">
        <f t="array" ref="AS45">IFERROR(IF(AR45&lt;&gt;"",_xll.PBD(AR45,"Name","","EUR",""),""),"")</f>
        <v>#ENTITYNOTFOUND</v>
      </c>
      <c r="AT45" s="1640" t="str" cm="1">
        <f t="array" ref="AT45">IFERROR(IF(AR45&lt;&gt;"",_xll.PBD(AR45,"Primary Industry Code","","EUR",""),""),"")</f>
        <v>#ENTITYNOTFOUND</v>
      </c>
      <c r="AU45" s="1640" t="str" cm="1">
        <f t="array" ref="AU45">IFERROR(IF(AR45&lt;&gt;"",_xll.PBD(AR45,"Limit2.Entity Types","","EUR",""),""),"")</f>
        <v>#ENTITYNOTFOUND</v>
      </c>
      <c r="AV45" s="1640" t="str" cm="1">
        <f t="array" ref="AV45">IFERROR(IF(AR45&lt;&gt;"",_xll.PBD(AR45,"HQ Country","","EUR",""),""),"")</f>
        <v>#ENTITYNOTFOUND</v>
      </c>
      <c r="AX45" s="1641" t="str" cm="1">
        <f t="array" ref="AX45">IFERROR(IF(AK45&lt;&gt;"",_xll.PBD(AK45,"Limit1.Deal Amount","","EUR","")/1000000,""),"")</f>
        <v/>
      </c>
      <c r="AY45" s="1641" t="str" cm="1">
        <f t="array" ref="AY45">IFERROR(IF(AK45&lt;&gt;"",_xll.PBD(AK45,"Limit1.Implied EV ","","EUR","")/1000000,""),"")</f>
        <v/>
      </c>
      <c r="AZ45" s="1694" t="str" cm="1">
        <f t="array" ref="AZ45">IFERROR(IF(AK45&lt;&gt;"",_xll.PBD(AK45,"Limit1.% Acquired ","","EUR",""),""),"")</f>
        <v>#ENTITYNOTFOUND</v>
      </c>
      <c r="BB45" s="1695" t="str" cm="1">
        <f t="array" ref="BB45">IFERROR(IF(AK45&lt;&gt;"",_xll.PBD(AK45,"Implied EV / Revenue","","EUR",""),""),"")</f>
        <v>#ENTITYNOTFOUND</v>
      </c>
      <c r="BC45" s="1695" t="str" cm="1">
        <f t="array" ref="BC45">IFERROR(IF(AK45&lt;&gt;"",_xll.PBD(AK45,"Implied EV / EBITDA","","EUR",""),""),"")</f>
        <v>#ENTITYNOTFOUND</v>
      </c>
      <c r="BD45" s="1695" t="str" cm="1">
        <f t="array" ref="BD45">IFERROR(IF(AK45&lt;&gt;"",_xll.PBD(AK45,"Implied EV / EBIT","","EUR",""),""),"")</f>
        <v>#ENTITYNOTFOUND</v>
      </c>
      <c r="BF45" s="1640" t="str" cm="1">
        <f t="array" ref="BF45">IFERROR(IF(AR45&lt;&gt;"",_xll.PBD(AR45,"Brief Description","","EUR",""),""),"")</f>
        <v>#ENTITYNOTFOUND</v>
      </c>
    </row>
    <row r="46" spans="2:58" ht="13.9" customHeight="1">
      <c r="B46" s="1574"/>
      <c r="C46" s="1574"/>
      <c r="D46" s="1574"/>
      <c r="E46" s="1574"/>
      <c r="F46" s="1574"/>
      <c r="G46" s="1574"/>
      <c r="H46" s="1574"/>
      <c r="I46" s="1574"/>
      <c r="J46" s="1574"/>
      <c r="K46" s="1574"/>
      <c r="L46" s="1705" t="s">
        <v>103</v>
      </c>
      <c r="M46" s="1632"/>
      <c r="N46" s="1640" t="str" cm="1">
        <f t="array" ref="N46">IFERROR(IF($L46&lt;&gt;"",_xll.PBD($L46,"Name","","USD",""),""),"")</f>
        <v>#ENTITYNOTFOUND</v>
      </c>
      <c r="O46" s="1640" t="str" cm="1">
        <f t="array" ref="O46">IFERROR(IF($L46&lt;&gt;"",_xll.PBD($L46,"Primary Industry Code","","",""),""),"")</f>
        <v>#ENTITYNOTFOUND</v>
      </c>
      <c r="P46" s="1640" t="str" cm="1">
        <f t="array" ref="P46">IFERROR(IF($L46&lt;&gt;"",_xll.PBD($L46,"HQ Country","","",""),""),"")</f>
        <v>#ENTITYNOTFOUND</v>
      </c>
      <c r="Q46" s="1640" t="str" cm="1">
        <f t="array" ref="Q46">IFERROR(IF($L46&lt;&gt;"",_xll.PBD($L46,"HQ City","","EUR",""),""),"")</f>
        <v>#ENTITYNOTFOUND</v>
      </c>
      <c r="S46" s="1666" t="str" cm="1">
        <f t="array" aca="1" ref="S46" ca="1">IFERROR(IF($L46&lt;&gt;"",_xll.PBF($L46,"EV","TTM",$N$11,"","EUR","")/1000000,""),"")</f>
        <v/>
      </c>
      <c r="T46" s="1666" t="str" cm="1">
        <f t="array" aca="1" ref="T46" ca="1">IFERROR(IF($L46&lt;&gt;"",_xll.PBF($L46,"NET Debt","TTM",$N$11,"","EUR","")/1000000,""),"")</f>
        <v/>
      </c>
      <c r="U46" s="1666" t="str" cm="1">
        <f t="array" aca="1" ref="U46" ca="1">IFERROR(IF($L46&lt;&gt;"",_xll.PBF($L46,"Market Cap","TTM",$N$11,"","EUR","")/1000000,""),"")</f>
        <v/>
      </c>
      <c r="V46" s="1677" t="str" cm="1">
        <f t="array" aca="1" ref="V46" ca="1">IFERROR(IF($L46&lt;&gt;"",_xll.PBF($L46,"Total Debt to Equity","TTM",$V$21,"","EUR",""),""),"")</f>
        <v/>
      </c>
      <c r="W46" s="1677"/>
      <c r="X46" s="1666" t="str" cm="1">
        <f t="array" aca="1" ref="X46" ca="1">IFERROR(IF($L46&lt;&gt;"",_xll.PBF($L46,"Total Revenue","FY",$X$21,"","EUR","")/1000000,""),"")</f>
        <v/>
      </c>
      <c r="Y46" s="1666" t="str" cm="1">
        <f t="array" aca="1" ref="Y46" ca="1">IFERROR(IF($L46&lt;&gt;"",_xll.PBF($L46,"EBITDA","FY",$N$11,"","EUR","")/1000000,""),"")</f>
        <v/>
      </c>
      <c r="Z46" s="1666" t="str" cm="1">
        <f t="array" aca="1" ref="Z46" ca="1">IFERROR(IF($L46&lt;&gt;"",_xll.PBF($L46,"EBIT","FY",$N$11,"","EUR","")/1000000,""),"")</f>
        <v/>
      </c>
      <c r="AA46" s="1677" t="str" cm="1">
        <f t="array" aca="1" ref="AA46" ca="1">IFERROR(IF($L46&lt;&gt;"",_xll.PBF($L46,"Total Debt to EBITDA","FY",$AA$21,"","EUR",""),""),"")</f>
        <v/>
      </c>
      <c r="AB46" s="1670"/>
      <c r="AC46" s="1672" t="str" cm="1">
        <f t="array" aca="1" ref="AC46" ca="1">IFERROR(IF($L46&lt;&gt;"",_xll.PBF($L46,"EV to Revenue","FY",$N$11,"","EUR",""),""),"")</f>
        <v/>
      </c>
      <c r="AD46" s="1672" t="str" cm="1">
        <f t="array" aca="1" ref="AD46" ca="1">IFERROR(IF($L46&lt;&gt;"",_xll.PBF($L46,"EV to EBITDA","FY",$AD$21,"","EUR",""),""),"")</f>
        <v/>
      </c>
      <c r="AE46" s="1672" t="str" cm="1">
        <f t="array" aca="1" ref="AE46" ca="1">IFERROR(IF($L46&lt;&gt;"",_xll.PBF($L46,"EV to EBIT","FY",$AE$21,"","EUR",""),""),"")</f>
        <v/>
      </c>
      <c r="AF46" s="1672"/>
      <c r="AG46" s="1672" t="str" cm="1">
        <f t="array" aca="1" ref="AG46" ca="1">IFERROR(IF($L46&lt;&gt;"",_xll.PBF($L46,"EV to Forward Revenue","FY",$AG$21,"","EUR",""),""),"")</f>
        <v/>
      </c>
      <c r="AH46" s="1672" t="str" cm="1">
        <f t="array" aca="1" ref="AH46" ca="1">IFERROR(IF($L46&lt;&gt;"",_xll.PBF($L46,"EV to Forward EBITDA","FY",$AH$21,"","EUR",""),""),"")</f>
        <v/>
      </c>
      <c r="AI46" s="1672" t="str" cm="1">
        <f t="array" aca="1" ref="AI46" ca="1">IFERROR(IF($L46&lt;&gt;"",_xll.PBF($L46,"EV to Forward EBIT","FY",$AI$21,"","EUR",""),""),"")</f>
        <v/>
      </c>
      <c r="AJ46" s="1650"/>
      <c r="AK46" s="1705" t="s">
        <v>103</v>
      </c>
      <c r="AL46" s="1693" t="str" cm="1">
        <f t="array" ref="AL46">IFERROR(IF(AK46&lt;&gt;"",_xll.PBD(AK46,"Deal Date","","EUR",""),""),"")</f>
        <v>#ENTITYNOTFOUND</v>
      </c>
      <c r="AM46" s="1693" t="str" cm="1">
        <f t="array" ref="AM46">IFERROR(IF(AK46&lt;&gt;"",_xll.PBD(AK46,"Limit1.Deal Type 1","","EUR",""),""),"")</f>
        <v>#ENTITYNOTFOUND</v>
      </c>
      <c r="AN46" s="1693" t="str" cm="1">
        <f t="array" ref="AN46">IFERROR(IF(AK46&lt;&gt;"",_xll.PBD(AK46,"Limit1.Company Id","","EUR",""),""),"")</f>
        <v>#ENTITYNOTFOUND</v>
      </c>
      <c r="AO46" s="1640" t="str" cm="1">
        <f t="array" ref="AO46">IFERROR(IF(AN46&lt;&gt;"",_xll.PBD(AN46,"Name","","EUR",""),""),"")</f>
        <v>#ENTITYNOTFOUND</v>
      </c>
      <c r="AP46" s="1640" t="str" cm="1">
        <f t="array" ref="AP46">IFERROR(IF(AN46&lt;&gt;"",_xll.PBD(AN46,"Primary Industry Code","","EUR",""),""),"")</f>
        <v>#ENTITYNOTFOUND</v>
      </c>
      <c r="AQ46" s="1640" t="str" cm="1">
        <f t="array" ref="AQ46">IFERROR(IF(AN46&lt;&gt;"",_xll.PBD(AN46,"HQ Country","","EUR",""),""),"")</f>
        <v>#ENTITYNOTFOUND</v>
      </c>
      <c r="AR46" s="1640" t="str" cm="1">
        <f t="array" ref="AR46">IFERROR(IF(AK46&lt;&gt;"",_xll.PBD(AK46,"Limit1.Investors Ids","","EUR",""),""),"")</f>
        <v>#ENTITYNOTFOUND</v>
      </c>
      <c r="AS46" s="1640" t="str" cm="1">
        <f t="array" ref="AS46">IFERROR(IF(AR46&lt;&gt;"",_xll.PBD(AR46,"Name","","EUR",""),""),"")</f>
        <v>#ENTITYNOTFOUND</v>
      </c>
      <c r="AT46" s="1640" t="str" cm="1">
        <f t="array" ref="AT46">IFERROR(IF(AR46&lt;&gt;"",_xll.PBD(AR46,"Primary Industry Code","","EUR",""),""),"")</f>
        <v>#ENTITYNOTFOUND</v>
      </c>
      <c r="AU46" s="1640" t="str" cm="1">
        <f t="array" ref="AU46">IFERROR(IF(AR46&lt;&gt;"",_xll.PBD(AR46,"Limit2.Entity Types","","EUR",""),""),"")</f>
        <v>#ENTITYNOTFOUND</v>
      </c>
      <c r="AV46" s="1640" t="str" cm="1">
        <f t="array" ref="AV46">IFERROR(IF(AR46&lt;&gt;"",_xll.PBD(AR46,"HQ Country","","EUR",""),""),"")</f>
        <v>#ENTITYNOTFOUND</v>
      </c>
      <c r="AX46" s="1641" t="str" cm="1">
        <f t="array" ref="AX46">IFERROR(IF(AK46&lt;&gt;"",_xll.PBD(AK46,"Limit1.Deal Amount","","EUR","")/1000000,""),"")</f>
        <v/>
      </c>
      <c r="AY46" s="1641" t="str" cm="1">
        <f t="array" ref="AY46">IFERROR(IF(AK46&lt;&gt;"",_xll.PBD(AK46,"Limit1.Implied EV ","","EUR","")/1000000,""),"")</f>
        <v/>
      </c>
      <c r="AZ46" s="1694" t="str" cm="1">
        <f t="array" ref="AZ46">IFERROR(IF(AK46&lt;&gt;"",_xll.PBD(AK46,"Limit1.% Acquired ","","EUR",""),""),"")</f>
        <v>#ENTITYNOTFOUND</v>
      </c>
      <c r="BB46" s="1695" t="str" cm="1">
        <f t="array" ref="BB46">IFERROR(IF(AK46&lt;&gt;"",_xll.PBD(AK46,"Implied EV / Revenue","","EUR",""),""),"")</f>
        <v>#ENTITYNOTFOUND</v>
      </c>
      <c r="BC46" s="1695" t="str" cm="1">
        <f t="array" ref="BC46">IFERROR(IF(AK46&lt;&gt;"",_xll.PBD(AK46,"Implied EV / EBITDA","","EUR",""),""),"")</f>
        <v>#ENTITYNOTFOUND</v>
      </c>
      <c r="BD46" s="1695" t="str" cm="1">
        <f t="array" ref="BD46">IFERROR(IF(AK46&lt;&gt;"",_xll.PBD(AK46,"Implied EV / EBIT","","EUR",""),""),"")</f>
        <v>#ENTITYNOTFOUND</v>
      </c>
      <c r="BF46" s="1640" t="str" cm="1">
        <f t="array" ref="BF46">IFERROR(IF(AR46&lt;&gt;"",_xll.PBD(AR46,"Brief Description","","EUR",""),""),"")</f>
        <v>#ENTITYNOTFOUND</v>
      </c>
    </row>
    <row r="47" spans="2:58" ht="13.9" customHeight="1">
      <c r="B47" s="1576"/>
      <c r="C47" s="1576"/>
      <c r="D47" s="1576"/>
      <c r="E47" s="1576"/>
      <c r="F47" s="1576"/>
      <c r="G47" s="1576"/>
      <c r="H47" s="1578"/>
      <c r="I47" s="1578"/>
      <c r="J47" s="1578"/>
      <c r="K47" s="1576"/>
      <c r="L47" s="1705" t="s">
        <v>103</v>
      </c>
      <c r="M47" s="1633"/>
      <c r="N47" s="1640" t="str" cm="1">
        <f t="array" ref="N47">IFERROR(IF($L47&lt;&gt;"",_xll.PBD($L47,"Name","","USD",""),""),"")</f>
        <v>#ENTITYNOTFOUND</v>
      </c>
      <c r="O47" s="1640" t="str" cm="1">
        <f t="array" ref="O47">IFERROR(IF($L47&lt;&gt;"",_xll.PBD($L47,"Primary Industry Code","","",""),""),"")</f>
        <v>#ENTITYNOTFOUND</v>
      </c>
      <c r="P47" s="1640" t="str" cm="1">
        <f t="array" ref="P47">IFERROR(IF($L47&lt;&gt;"",_xll.PBD($L47,"HQ Country","","",""),""),"")</f>
        <v>#ENTITYNOTFOUND</v>
      </c>
      <c r="Q47" s="1640" t="str" cm="1">
        <f t="array" ref="Q47">IFERROR(IF($L47&lt;&gt;"",_xll.PBD($L47,"HQ City","","EUR",""),""),"")</f>
        <v>#ENTITYNOTFOUND</v>
      </c>
      <c r="S47" s="1666" t="str" cm="1">
        <f t="array" aca="1" ref="S47" ca="1">IFERROR(IF($L47&lt;&gt;"",_xll.PBF($L47,"EV","TTM",$N$11,"","EUR","")/1000000,""),"")</f>
        <v/>
      </c>
      <c r="T47" s="1666" t="str" cm="1">
        <f t="array" aca="1" ref="T47" ca="1">IFERROR(IF($L47&lt;&gt;"",_xll.PBF($L47,"NET Debt","TTM",$N$11,"","EUR","")/1000000,""),"")</f>
        <v/>
      </c>
      <c r="U47" s="1666" t="str" cm="1">
        <f t="array" aca="1" ref="U47" ca="1">IFERROR(IF($L47&lt;&gt;"",_xll.PBF($L47,"Market Cap","TTM",$N$11,"","EUR","")/1000000,""),"")</f>
        <v/>
      </c>
      <c r="V47" s="1677" t="str" cm="1">
        <f t="array" aca="1" ref="V47" ca="1">IFERROR(IF($L47&lt;&gt;"",_xll.PBF($L47,"Total Debt to Equity","TTM",$V$21,"","EUR",""),""),"")</f>
        <v/>
      </c>
      <c r="W47" s="1677"/>
      <c r="X47" s="1666" t="str" cm="1">
        <f t="array" aca="1" ref="X47" ca="1">IFERROR(IF($L47&lt;&gt;"",_xll.PBF($L47,"Total Revenue","FY",$X$21,"","EUR","")/1000000,""),"")</f>
        <v/>
      </c>
      <c r="Y47" s="1666" t="str" cm="1">
        <f t="array" aca="1" ref="Y47" ca="1">IFERROR(IF($L47&lt;&gt;"",_xll.PBF($L47,"EBITDA","FY",$N$11,"","EUR","")/1000000,""),"")</f>
        <v/>
      </c>
      <c r="Z47" s="1666" t="str" cm="1">
        <f t="array" aca="1" ref="Z47" ca="1">IFERROR(IF($L47&lt;&gt;"",_xll.PBF($L47,"EBIT","FY",$N$11,"","EUR","")/1000000,""),"")</f>
        <v/>
      </c>
      <c r="AA47" s="1677" t="str" cm="1">
        <f t="array" aca="1" ref="AA47" ca="1">IFERROR(IF($L47&lt;&gt;"",_xll.PBF($L47,"Total Debt to EBITDA","FY",$AA$21,"","EUR",""),""),"")</f>
        <v/>
      </c>
      <c r="AB47" s="1670"/>
      <c r="AC47" s="1672" t="str" cm="1">
        <f t="array" aca="1" ref="AC47" ca="1">IFERROR(IF($L47&lt;&gt;"",_xll.PBF($L47,"EV to Revenue","FY",$N$11,"","EUR",""),""),"")</f>
        <v/>
      </c>
      <c r="AD47" s="1672" t="str" cm="1">
        <f t="array" aca="1" ref="AD47" ca="1">IFERROR(IF($L47&lt;&gt;"",_xll.PBF($L47,"EV to EBITDA","FY",$AD$21,"","EUR",""),""),"")</f>
        <v/>
      </c>
      <c r="AE47" s="1672" t="str" cm="1">
        <f t="array" aca="1" ref="AE47" ca="1">IFERROR(IF($L47&lt;&gt;"",_xll.PBF($L47,"EV to EBIT","FY",$AE$21,"","EUR",""),""),"")</f>
        <v/>
      </c>
      <c r="AF47" s="1672"/>
      <c r="AG47" s="1672" t="str" cm="1">
        <f t="array" aca="1" ref="AG47" ca="1">IFERROR(IF($L47&lt;&gt;"",_xll.PBF($L47,"EV to Forward Revenue","FY",$AG$21,"","EUR",""),""),"")</f>
        <v/>
      </c>
      <c r="AH47" s="1672" t="str" cm="1">
        <f t="array" aca="1" ref="AH47" ca="1">IFERROR(IF($L47&lt;&gt;"",_xll.PBF($L47,"EV to Forward EBITDA","FY",$AH$21,"","EUR",""),""),"")</f>
        <v/>
      </c>
      <c r="AI47" s="1672" t="str" cm="1">
        <f t="array" aca="1" ref="AI47" ca="1">IFERROR(IF($L47&lt;&gt;"",_xll.PBF($L47,"EV to Forward EBIT","FY",$AI$21,"","EUR",""),""),"")</f>
        <v/>
      </c>
      <c r="AJ47" s="1650"/>
      <c r="AK47" s="1705" t="s">
        <v>103</v>
      </c>
      <c r="AL47" s="1693" t="str" cm="1">
        <f t="array" ref="AL47">IFERROR(IF(AK47&lt;&gt;"",_xll.PBD(AK47,"Deal Date","","EUR",""),""),"")</f>
        <v>#ENTITYNOTFOUND</v>
      </c>
      <c r="AM47" s="1693" t="str" cm="1">
        <f t="array" ref="AM47">IFERROR(IF(AK47&lt;&gt;"",_xll.PBD(AK47,"Limit1.Deal Type 1","","EUR",""),""),"")</f>
        <v>#ENTITYNOTFOUND</v>
      </c>
      <c r="AN47" s="1693" t="str" cm="1">
        <f t="array" ref="AN47">IFERROR(IF(AK47&lt;&gt;"",_xll.PBD(AK47,"Limit1.Company Id","","EUR",""),""),"")</f>
        <v>#ENTITYNOTFOUND</v>
      </c>
      <c r="AO47" s="1640" t="str" cm="1">
        <f t="array" ref="AO47">IFERROR(IF(AN47&lt;&gt;"",_xll.PBD(AN47,"Name","","EUR",""),""),"")</f>
        <v>#ENTITYNOTFOUND</v>
      </c>
      <c r="AP47" s="1640" t="str" cm="1">
        <f t="array" ref="AP47">IFERROR(IF(AN47&lt;&gt;"",_xll.PBD(AN47,"Primary Industry Code","","EUR",""),""),"")</f>
        <v>#ENTITYNOTFOUND</v>
      </c>
      <c r="AQ47" s="1640" t="str" cm="1">
        <f t="array" ref="AQ47">IFERROR(IF(AN47&lt;&gt;"",_xll.PBD(AN47,"HQ Country","","EUR",""),""),"")</f>
        <v>#ENTITYNOTFOUND</v>
      </c>
      <c r="AR47" s="1640" t="str" cm="1">
        <f t="array" ref="AR47">IFERROR(IF(AK47&lt;&gt;"",_xll.PBD(AK47,"Limit1.Investors Ids","","EUR",""),""),"")</f>
        <v>#ENTITYNOTFOUND</v>
      </c>
      <c r="AS47" s="1640" t="str" cm="1">
        <f t="array" ref="AS47">IFERROR(IF(AR47&lt;&gt;"",_xll.PBD(AR47,"Name","","EUR",""),""),"")</f>
        <v>#ENTITYNOTFOUND</v>
      </c>
      <c r="AT47" s="1640" t="str" cm="1">
        <f t="array" ref="AT47">IFERROR(IF(AR47&lt;&gt;"",_xll.PBD(AR47,"Primary Industry Code","","EUR",""),""),"")</f>
        <v>#ENTITYNOTFOUND</v>
      </c>
      <c r="AU47" s="1640" t="str" cm="1">
        <f t="array" ref="AU47">IFERROR(IF(AR47&lt;&gt;"",_xll.PBD(AR47,"Limit2.Entity Types","","EUR",""),""),"")</f>
        <v>#ENTITYNOTFOUND</v>
      </c>
      <c r="AV47" s="1640" t="str" cm="1">
        <f t="array" ref="AV47">IFERROR(IF(AR47&lt;&gt;"",_xll.PBD(AR47,"HQ Country","","EUR",""),""),"")</f>
        <v>#ENTITYNOTFOUND</v>
      </c>
      <c r="AX47" s="1641" t="str" cm="1">
        <f t="array" ref="AX47">IFERROR(IF(AK47&lt;&gt;"",_xll.PBD(AK47,"Limit1.Deal Amount","","EUR","")/1000000,""),"")</f>
        <v/>
      </c>
      <c r="AY47" s="1641" t="str" cm="1">
        <f t="array" ref="AY47">IFERROR(IF(AK47&lt;&gt;"",_xll.PBD(AK47,"Limit1.Implied EV ","","EUR","")/1000000,""),"")</f>
        <v/>
      </c>
      <c r="AZ47" s="1694" t="str" cm="1">
        <f t="array" ref="AZ47">IFERROR(IF(AK47&lt;&gt;"",_xll.PBD(AK47,"Limit1.% Acquired ","","EUR",""),""),"")</f>
        <v>#ENTITYNOTFOUND</v>
      </c>
      <c r="BB47" s="1695" t="str" cm="1">
        <f t="array" ref="BB47">IFERROR(IF(AK47&lt;&gt;"",_xll.PBD(AK47,"Implied EV / Revenue","","EUR",""),""),"")</f>
        <v>#ENTITYNOTFOUND</v>
      </c>
      <c r="BC47" s="1695" t="str" cm="1">
        <f t="array" ref="BC47">IFERROR(IF(AK47&lt;&gt;"",_xll.PBD(AK47,"Implied EV / EBITDA","","EUR",""),""),"")</f>
        <v>#ENTITYNOTFOUND</v>
      </c>
      <c r="BD47" s="1695" t="str" cm="1">
        <f t="array" ref="BD47">IFERROR(IF(AK47&lt;&gt;"",_xll.PBD(AK47,"Implied EV / EBIT","","EUR",""),""),"")</f>
        <v>#ENTITYNOTFOUND</v>
      </c>
      <c r="BF47" s="1640" t="str" cm="1">
        <f t="array" ref="BF47">IFERROR(IF(AR47&lt;&gt;"",_xll.PBD(AR47,"Brief Description","","EUR",""),""),"")</f>
        <v>#ENTITYNOTFOUND</v>
      </c>
    </row>
    <row r="48" spans="2:58" ht="13.9" customHeight="1">
      <c r="B48" s="1576"/>
      <c r="C48" s="1576"/>
      <c r="D48" s="1576"/>
      <c r="E48" s="1576"/>
      <c r="F48" s="1576"/>
      <c r="G48" s="1578"/>
      <c r="H48" s="1578"/>
      <c r="I48" s="1578"/>
      <c r="J48" s="1578"/>
      <c r="K48" s="1578"/>
      <c r="L48" s="1705" t="s">
        <v>103</v>
      </c>
      <c r="M48" s="1632"/>
      <c r="N48" s="1640" t="str" cm="1">
        <f t="array" ref="N48">IFERROR(IF($L48&lt;&gt;"",_xll.PBD($L48,"Name","","USD",""),""),"")</f>
        <v>#ENTITYNOTFOUND</v>
      </c>
      <c r="O48" s="1640" t="str" cm="1">
        <f t="array" ref="O48">IFERROR(IF($L48&lt;&gt;"",_xll.PBD($L48,"Primary Industry Code","","",""),""),"")</f>
        <v>#ENTITYNOTFOUND</v>
      </c>
      <c r="P48" s="1640" t="str" cm="1">
        <f t="array" ref="P48">IFERROR(IF($L48&lt;&gt;"",_xll.PBD($L48,"HQ Country","","",""),""),"")</f>
        <v>#ENTITYNOTFOUND</v>
      </c>
      <c r="Q48" s="1640" t="str" cm="1">
        <f t="array" ref="Q48">IFERROR(IF($L48&lt;&gt;"",_xll.PBD($L48,"HQ City","","EUR",""),""),"")</f>
        <v>#ENTITYNOTFOUND</v>
      </c>
      <c r="S48" s="1666" t="str" cm="1">
        <f t="array" aca="1" ref="S48" ca="1">IFERROR(IF($L48&lt;&gt;"",_xll.PBF($L48,"EV","TTM",$N$11,"","EUR","")/1000000,""),"")</f>
        <v/>
      </c>
      <c r="T48" s="1666" t="str" cm="1">
        <f t="array" aca="1" ref="T48" ca="1">IFERROR(IF($L48&lt;&gt;"",_xll.PBF($L48,"NET Debt","TTM",$N$11,"","EUR","")/1000000,""),"")</f>
        <v/>
      </c>
      <c r="U48" s="1666" t="str" cm="1">
        <f t="array" aca="1" ref="U48" ca="1">IFERROR(IF($L48&lt;&gt;"",_xll.PBF($L48,"Market Cap","TTM",$N$11,"","EUR","")/1000000,""),"")</f>
        <v/>
      </c>
      <c r="V48" s="1677" t="str" cm="1">
        <f t="array" aca="1" ref="V48" ca="1">IFERROR(IF($L48&lt;&gt;"",_xll.PBF($L48,"Total Debt to Equity","TTM",$V$21,"","EUR",""),""),"")</f>
        <v/>
      </c>
      <c r="W48" s="1677"/>
      <c r="X48" s="1666" t="str" cm="1">
        <f t="array" aca="1" ref="X48" ca="1">IFERROR(IF($L48&lt;&gt;"",_xll.PBF($L48,"Total Revenue","FY",$X$21,"","EUR","")/1000000,""),"")</f>
        <v/>
      </c>
      <c r="Y48" s="1666" t="str" cm="1">
        <f t="array" aca="1" ref="Y48" ca="1">IFERROR(IF($L48&lt;&gt;"",_xll.PBF($L48,"EBITDA","FY",$N$11,"","EUR","")/1000000,""),"")</f>
        <v/>
      </c>
      <c r="Z48" s="1666" t="str" cm="1">
        <f t="array" aca="1" ref="Z48" ca="1">IFERROR(IF($L48&lt;&gt;"",_xll.PBF($L48,"EBIT","FY",$N$11,"","EUR","")/1000000,""),"")</f>
        <v/>
      </c>
      <c r="AA48" s="1677" t="str" cm="1">
        <f t="array" aca="1" ref="AA48" ca="1">IFERROR(IF($L48&lt;&gt;"",_xll.PBF($L48,"Total Debt to EBITDA","FY",$AA$21,"","EUR",""),""),"")</f>
        <v/>
      </c>
      <c r="AB48" s="1670"/>
      <c r="AC48" s="1672" t="str" cm="1">
        <f t="array" aca="1" ref="AC48" ca="1">IFERROR(IF($L48&lt;&gt;"",_xll.PBF($L48,"EV to Revenue","FY",$N$11,"","EUR",""),""),"")</f>
        <v/>
      </c>
      <c r="AD48" s="1672" t="str" cm="1">
        <f t="array" aca="1" ref="AD48" ca="1">IFERROR(IF($L48&lt;&gt;"",_xll.PBF($L48,"EV to EBITDA","FY",$AD$21,"","EUR",""),""),"")</f>
        <v/>
      </c>
      <c r="AE48" s="1672" t="str" cm="1">
        <f t="array" aca="1" ref="AE48" ca="1">IFERROR(IF($L48&lt;&gt;"",_xll.PBF($L48,"EV to EBIT","FY",$AE$21,"","EUR",""),""),"")</f>
        <v/>
      </c>
      <c r="AF48" s="1672"/>
      <c r="AG48" s="1672" t="str" cm="1">
        <f t="array" aca="1" ref="AG48" ca="1">IFERROR(IF($L48&lt;&gt;"",_xll.PBF($L48,"EV to Forward Revenue","FY",$AG$21,"","EUR",""),""),"")</f>
        <v/>
      </c>
      <c r="AH48" s="1672" t="str" cm="1">
        <f t="array" aca="1" ref="AH48" ca="1">IFERROR(IF($L48&lt;&gt;"",_xll.PBF($L48,"EV to Forward EBITDA","FY",$AH$21,"","EUR",""),""),"")</f>
        <v/>
      </c>
      <c r="AI48" s="1672" t="str" cm="1">
        <f t="array" aca="1" ref="AI48" ca="1">IFERROR(IF($L48&lt;&gt;"",_xll.PBF($L48,"EV to Forward EBIT","FY",$AI$21,"","EUR",""),""),"")</f>
        <v/>
      </c>
      <c r="AJ48" s="1650"/>
      <c r="AK48" s="1705" t="s">
        <v>103</v>
      </c>
      <c r="AL48" s="1693" t="str" cm="1">
        <f t="array" ref="AL48">IFERROR(IF(AK48&lt;&gt;"",_xll.PBD(AK48,"Deal Date","","EUR",""),""),"")</f>
        <v>#ENTITYNOTFOUND</v>
      </c>
      <c r="AM48" s="1693" t="str" cm="1">
        <f t="array" ref="AM48">IFERROR(IF(AK48&lt;&gt;"",_xll.PBD(AK48,"Limit1.Deal Type 1","","EUR",""),""),"")</f>
        <v>#ENTITYNOTFOUND</v>
      </c>
      <c r="AN48" s="1693" t="str" cm="1">
        <f t="array" ref="AN48">IFERROR(IF(AK48&lt;&gt;"",_xll.PBD(AK48,"Limit1.Company Id","","EUR",""),""),"")</f>
        <v>#ENTITYNOTFOUND</v>
      </c>
      <c r="AO48" s="1640" t="str" cm="1">
        <f t="array" ref="AO48">IFERROR(IF(AN48&lt;&gt;"",_xll.PBD(AN48,"Name","","EUR",""),""),"")</f>
        <v>#ENTITYNOTFOUND</v>
      </c>
      <c r="AP48" s="1640" t="str" cm="1">
        <f t="array" ref="AP48">IFERROR(IF(AN48&lt;&gt;"",_xll.PBD(AN48,"Primary Industry Code","","EUR",""),""),"")</f>
        <v>#ENTITYNOTFOUND</v>
      </c>
      <c r="AQ48" s="1640" t="str" cm="1">
        <f t="array" ref="AQ48">IFERROR(IF(AN48&lt;&gt;"",_xll.PBD(AN48,"HQ Country","","EUR",""),""),"")</f>
        <v>#ENTITYNOTFOUND</v>
      </c>
      <c r="AR48" s="1640" t="str" cm="1">
        <f t="array" ref="AR48">IFERROR(IF(AK48&lt;&gt;"",_xll.PBD(AK48,"Limit1.Investors Ids","","EUR",""),""),"")</f>
        <v>#ENTITYNOTFOUND</v>
      </c>
      <c r="AS48" s="1640" t="str" cm="1">
        <f t="array" ref="AS48">IFERROR(IF(AR48&lt;&gt;"",_xll.PBD(AR48,"Name","","EUR",""),""),"")</f>
        <v>#ENTITYNOTFOUND</v>
      </c>
      <c r="AT48" s="1640" t="str" cm="1">
        <f t="array" ref="AT48">IFERROR(IF(AR48&lt;&gt;"",_xll.PBD(AR48,"Primary Industry Code","","EUR",""),""),"")</f>
        <v>#ENTITYNOTFOUND</v>
      </c>
      <c r="AU48" s="1640" t="str" cm="1">
        <f t="array" ref="AU48">IFERROR(IF(AR48&lt;&gt;"",_xll.PBD(AR48,"Limit2.Entity Types","","EUR",""),""),"")</f>
        <v>#ENTITYNOTFOUND</v>
      </c>
      <c r="AV48" s="1640" t="str" cm="1">
        <f t="array" ref="AV48">IFERROR(IF(AR48&lt;&gt;"",_xll.PBD(AR48,"HQ Country","","EUR",""),""),"")</f>
        <v>#ENTITYNOTFOUND</v>
      </c>
      <c r="AX48" s="1641" t="str" cm="1">
        <f t="array" ref="AX48">IFERROR(IF(AK48&lt;&gt;"",_xll.PBD(AK48,"Limit1.Deal Amount","","EUR","")/1000000,""),"")</f>
        <v/>
      </c>
      <c r="AY48" s="1641" t="str" cm="1">
        <f t="array" ref="AY48">IFERROR(IF(AK48&lt;&gt;"",_xll.PBD(AK48,"Limit1.Implied EV ","","EUR","")/1000000,""),"")</f>
        <v/>
      </c>
      <c r="AZ48" s="1694" t="str" cm="1">
        <f t="array" ref="AZ48">IFERROR(IF(AK48&lt;&gt;"",_xll.PBD(AK48,"Limit1.% Acquired ","","EUR",""),""),"")</f>
        <v>#ENTITYNOTFOUND</v>
      </c>
      <c r="BB48" s="1695" t="str" cm="1">
        <f t="array" ref="BB48">IFERROR(IF(AK48&lt;&gt;"",_xll.PBD(AK48,"Implied EV / Revenue","","EUR",""),""),"")</f>
        <v>#ENTITYNOTFOUND</v>
      </c>
      <c r="BC48" s="1695" t="str" cm="1">
        <f t="array" ref="BC48">IFERROR(IF(AK48&lt;&gt;"",_xll.PBD(AK48,"Implied EV / EBITDA","","EUR",""),""),"")</f>
        <v>#ENTITYNOTFOUND</v>
      </c>
      <c r="BD48" s="1695" t="str" cm="1">
        <f t="array" ref="BD48">IFERROR(IF(AK48&lt;&gt;"",_xll.PBD(AK48,"Implied EV / EBIT","","EUR",""),""),"")</f>
        <v>#ENTITYNOTFOUND</v>
      </c>
      <c r="BF48" s="1640" t="str" cm="1">
        <f t="array" ref="BF48">IFERROR(IF(AR48&lt;&gt;"",_xll.PBD(AR48,"Brief Description","","EUR",""),""),"")</f>
        <v>#ENTITYNOTFOUND</v>
      </c>
    </row>
    <row r="49" spans="2:58" ht="13.9" customHeight="1">
      <c r="L49" s="1705" t="s">
        <v>103</v>
      </c>
      <c r="M49" s="1632"/>
      <c r="N49" s="1640" t="str" cm="1">
        <f t="array" ref="N49">IFERROR(IF($L49&lt;&gt;"",_xll.PBD($L49,"Name","","USD",""),""),"")</f>
        <v>#ENTITYNOTFOUND</v>
      </c>
      <c r="O49" s="1640" t="str" cm="1">
        <f t="array" ref="O49">IFERROR(IF($L49&lt;&gt;"",_xll.PBD($L49,"Primary Industry Code","","",""),""),"")</f>
        <v>#ENTITYNOTFOUND</v>
      </c>
      <c r="P49" s="1640" t="str" cm="1">
        <f t="array" ref="P49">IFERROR(IF($L49&lt;&gt;"",_xll.PBD($L49,"HQ Country","","",""),""),"")</f>
        <v>#ENTITYNOTFOUND</v>
      </c>
      <c r="Q49" s="1640" t="str" cm="1">
        <f t="array" ref="Q49">IFERROR(IF($L49&lt;&gt;"",_xll.PBD($L49,"HQ City","","EUR",""),""),"")</f>
        <v>#ENTITYNOTFOUND</v>
      </c>
      <c r="S49" s="1666" t="str" cm="1">
        <f t="array" aca="1" ref="S49" ca="1">IFERROR(IF($L49&lt;&gt;"",_xll.PBF($L49,"EV","TTM",$N$11,"","EUR","")/1000000,""),"")</f>
        <v/>
      </c>
      <c r="T49" s="1666" t="str" cm="1">
        <f t="array" aca="1" ref="T49" ca="1">IFERROR(IF($L49&lt;&gt;"",_xll.PBF($L49,"NET Debt","TTM",$N$11,"","EUR","")/1000000,""),"")</f>
        <v/>
      </c>
      <c r="U49" s="1666" t="str" cm="1">
        <f t="array" aca="1" ref="U49" ca="1">IFERROR(IF($L49&lt;&gt;"",_xll.PBF($L49,"Market Cap","TTM",$N$11,"","EUR","")/1000000,""),"")</f>
        <v/>
      </c>
      <c r="V49" s="1677" t="str" cm="1">
        <f t="array" aca="1" ref="V49" ca="1">IFERROR(IF($L49&lt;&gt;"",_xll.PBF($L49,"Total Debt to Equity","TTM",$V$21,"","EUR",""),""),"")</f>
        <v/>
      </c>
      <c r="W49" s="1677"/>
      <c r="X49" s="1666" t="str" cm="1">
        <f t="array" aca="1" ref="X49" ca="1">IFERROR(IF($L49&lt;&gt;"",_xll.PBF($L49,"Total Revenue","FY",$X$21,"","EUR","")/1000000,""),"")</f>
        <v/>
      </c>
      <c r="Y49" s="1666" t="str" cm="1">
        <f t="array" aca="1" ref="Y49" ca="1">IFERROR(IF($L49&lt;&gt;"",_xll.PBF($L49,"EBITDA","FY",$N$11,"","EUR","")/1000000,""),"")</f>
        <v/>
      </c>
      <c r="Z49" s="1666" t="str" cm="1">
        <f t="array" aca="1" ref="Z49" ca="1">IFERROR(IF($L49&lt;&gt;"",_xll.PBF($L49,"EBIT","FY",$N$11,"","EUR","")/1000000,""),"")</f>
        <v/>
      </c>
      <c r="AA49" s="1677" t="str" cm="1">
        <f t="array" aca="1" ref="AA49" ca="1">IFERROR(IF($L49&lt;&gt;"",_xll.PBF($L49,"Total Debt to EBITDA","FY",$AA$21,"","EUR",""),""),"")</f>
        <v/>
      </c>
      <c r="AB49" s="1670"/>
      <c r="AC49" s="1672" t="str" cm="1">
        <f t="array" aca="1" ref="AC49" ca="1">IFERROR(IF($L49&lt;&gt;"",_xll.PBF($L49,"EV to Revenue","FY",$N$11,"","EUR",""),""),"")</f>
        <v/>
      </c>
      <c r="AD49" s="1672" t="str" cm="1">
        <f t="array" aca="1" ref="AD49" ca="1">IFERROR(IF($L49&lt;&gt;"",_xll.PBF($L49,"EV to EBITDA","FY",$AD$21,"","EUR",""),""),"")</f>
        <v/>
      </c>
      <c r="AE49" s="1672" t="str" cm="1">
        <f t="array" aca="1" ref="AE49" ca="1">IFERROR(IF($L49&lt;&gt;"",_xll.PBF($L49,"EV to EBIT","FY",$AE$21,"","EUR",""),""),"")</f>
        <v/>
      </c>
      <c r="AF49" s="1672"/>
      <c r="AG49" s="1672" t="str" cm="1">
        <f t="array" aca="1" ref="AG49" ca="1">IFERROR(IF($L49&lt;&gt;"",_xll.PBF($L49,"EV to Forward Revenue","FY",$AG$21,"","EUR",""),""),"")</f>
        <v/>
      </c>
      <c r="AH49" s="1672" t="str" cm="1">
        <f t="array" aca="1" ref="AH49" ca="1">IFERROR(IF($L49&lt;&gt;"",_xll.PBF($L49,"EV to Forward EBITDA","FY",$AH$21,"","EUR",""),""),"")</f>
        <v/>
      </c>
      <c r="AI49" s="1672" t="str" cm="1">
        <f t="array" aca="1" ref="AI49" ca="1">IFERROR(IF($L49&lt;&gt;"",_xll.PBF($L49,"EV to Forward EBIT","FY",$AI$21,"","EUR",""),""),"")</f>
        <v/>
      </c>
      <c r="AJ49" s="1650"/>
      <c r="AK49" s="1705" t="s">
        <v>103</v>
      </c>
      <c r="AL49" s="1693" t="str" cm="1">
        <f t="array" ref="AL49">IFERROR(IF(AK49&lt;&gt;"",_xll.PBD(AK49,"Deal Date","","EUR",""),""),"")</f>
        <v>#ENTITYNOTFOUND</v>
      </c>
      <c r="AM49" s="1693" t="str" cm="1">
        <f t="array" ref="AM49">IFERROR(IF(AK49&lt;&gt;"",_xll.PBD(AK49,"Limit1.Deal Type 1","","EUR",""),""),"")</f>
        <v>#ENTITYNOTFOUND</v>
      </c>
      <c r="AN49" s="1693" t="str" cm="1">
        <f t="array" ref="AN49">IFERROR(IF(AK49&lt;&gt;"",_xll.PBD(AK49,"Limit1.Company Id","","EUR",""),""),"")</f>
        <v>#ENTITYNOTFOUND</v>
      </c>
      <c r="AO49" s="1640" t="str" cm="1">
        <f t="array" ref="AO49">IFERROR(IF(AN49&lt;&gt;"",_xll.PBD(AN49,"Name","","EUR",""),""),"")</f>
        <v>#ENTITYNOTFOUND</v>
      </c>
      <c r="AP49" s="1640" t="str" cm="1">
        <f t="array" ref="AP49">IFERROR(IF(AN49&lt;&gt;"",_xll.PBD(AN49,"Primary Industry Code","","EUR",""),""),"")</f>
        <v>#ENTITYNOTFOUND</v>
      </c>
      <c r="AQ49" s="1640" t="str" cm="1">
        <f t="array" ref="AQ49">IFERROR(IF(AN49&lt;&gt;"",_xll.PBD(AN49,"HQ Country","","EUR",""),""),"")</f>
        <v>#ENTITYNOTFOUND</v>
      </c>
      <c r="AR49" s="1640" t="str" cm="1">
        <f t="array" ref="AR49">IFERROR(IF(AK49&lt;&gt;"",_xll.PBD(AK49,"Limit1.Investors Ids","","EUR",""),""),"")</f>
        <v>#ENTITYNOTFOUND</v>
      </c>
      <c r="AS49" s="1640" t="str" cm="1">
        <f t="array" ref="AS49">IFERROR(IF(AR49&lt;&gt;"",_xll.PBD(AR49,"Name","","EUR",""),""),"")</f>
        <v>#ENTITYNOTFOUND</v>
      </c>
      <c r="AT49" s="1640" t="str" cm="1">
        <f t="array" ref="AT49">IFERROR(IF(AR49&lt;&gt;"",_xll.PBD(AR49,"Primary Industry Code","","EUR",""),""),"")</f>
        <v>#ENTITYNOTFOUND</v>
      </c>
      <c r="AU49" s="1640" t="str" cm="1">
        <f t="array" ref="AU49">IFERROR(IF(AR49&lt;&gt;"",_xll.PBD(AR49,"Limit2.Entity Types","","EUR",""),""),"")</f>
        <v>#ENTITYNOTFOUND</v>
      </c>
      <c r="AV49" s="1640" t="str" cm="1">
        <f t="array" ref="AV49">IFERROR(IF(AR49&lt;&gt;"",_xll.PBD(AR49,"HQ Country","","EUR",""),""),"")</f>
        <v>#ENTITYNOTFOUND</v>
      </c>
      <c r="AX49" s="1641" t="str" cm="1">
        <f t="array" ref="AX49">IFERROR(IF(AK49&lt;&gt;"",_xll.PBD(AK49,"Limit1.Deal Amount","","EUR","")/1000000,""),"")</f>
        <v/>
      </c>
      <c r="AY49" s="1641" t="str" cm="1">
        <f t="array" ref="AY49">IFERROR(IF(AK49&lt;&gt;"",_xll.PBD(AK49,"Limit1.Implied EV ","","EUR","")/1000000,""),"")</f>
        <v/>
      </c>
      <c r="AZ49" s="1694" t="str" cm="1">
        <f t="array" ref="AZ49">IFERROR(IF(AK49&lt;&gt;"",_xll.PBD(AK49,"Limit1.% Acquired ","","EUR",""),""),"")</f>
        <v>#ENTITYNOTFOUND</v>
      </c>
      <c r="BB49" s="1695" t="str" cm="1">
        <f t="array" ref="BB49">IFERROR(IF(AK49&lt;&gt;"",_xll.PBD(AK49,"Implied EV / Revenue","","EUR",""),""),"")</f>
        <v>#ENTITYNOTFOUND</v>
      </c>
      <c r="BC49" s="1695" t="str" cm="1">
        <f t="array" ref="BC49">IFERROR(IF(AK49&lt;&gt;"",_xll.PBD(AK49,"Implied EV / EBITDA","","EUR",""),""),"")</f>
        <v>#ENTITYNOTFOUND</v>
      </c>
      <c r="BD49" s="1695" t="str" cm="1">
        <f t="array" ref="BD49">IFERROR(IF(AK49&lt;&gt;"",_xll.PBD(AK49,"Implied EV / EBIT","","EUR",""),""),"")</f>
        <v>#ENTITYNOTFOUND</v>
      </c>
      <c r="BF49" s="1640" t="str" cm="1">
        <f t="array" ref="BF49">IFERROR(IF(AR49&lt;&gt;"",_xll.PBD(AR49,"Brief Description","","EUR",""),""),"")</f>
        <v>#ENTITYNOTFOUND</v>
      </c>
    </row>
    <row r="50" spans="2:58" ht="13.9" customHeight="1">
      <c r="B50" s="737"/>
      <c r="C50" s="1579"/>
      <c r="D50" s="1579"/>
      <c r="E50" s="1579"/>
      <c r="F50" s="1579"/>
      <c r="G50" s="1585"/>
      <c r="H50" s="1589"/>
      <c r="I50" s="1589"/>
      <c r="J50" s="1589"/>
      <c r="K50" s="1590"/>
      <c r="L50" s="1705"/>
      <c r="M50" s="456"/>
      <c r="N50" s="1640" t="str" cm="1">
        <f t="array" ref="N50">IFERROR(IF($L50&lt;&gt;"",_xll.PBD($L50,"Name","","USD",""),""),"")</f>
        <v/>
      </c>
      <c r="O50" s="1640" t="str" cm="1">
        <f t="array" ref="O50">IFERROR(IF($L50&lt;&gt;"",_xll.PBD($L50,"Primary Industry Code","","",""),""),"")</f>
        <v/>
      </c>
      <c r="P50" s="1640" t="str" cm="1">
        <f t="array" ref="P50">IFERROR(IF($L50&lt;&gt;"",_xll.PBD($L50,"HQ Country","","",""),""),"")</f>
        <v/>
      </c>
      <c r="Q50" s="1640" t="str" cm="1">
        <f t="array" ref="Q50">IFERROR(IF($L50&lt;&gt;"",_xll.PBD($L50,"HQ City","","EUR",""),""),"")</f>
        <v/>
      </c>
      <c r="S50" s="1666" t="str" cm="1">
        <f t="array" aca="1" ref="S50" ca="1">IFERROR(IF($L50&lt;&gt;"",_xll.PBF($L50,"EV","TTM",$N$11,"","EUR","")/1000000,""),"")</f>
        <v/>
      </c>
      <c r="T50" s="1666" t="str" cm="1">
        <f t="array" aca="1" ref="T50" ca="1">IFERROR(IF($L50&lt;&gt;"",_xll.PBF($L50,"NET Debt","TTM",$N$11,"","EUR","")/1000000,""),"")</f>
        <v/>
      </c>
      <c r="U50" s="1666" t="str" cm="1">
        <f t="array" aca="1" ref="U50" ca="1">IFERROR(IF($L50&lt;&gt;"",_xll.PBF($L50,"Market Cap","TTM",$N$11,"","EUR","")/1000000,""),"")</f>
        <v/>
      </c>
      <c r="V50" s="1677" t="str" cm="1">
        <f t="array" aca="1" ref="V50" ca="1">IFERROR(IF($L50&lt;&gt;"",_xll.PBF($L50,"Total Debt to Equity","TTM",$V$21,"","EUR",""),""),"")</f>
        <v/>
      </c>
      <c r="W50" s="1677"/>
      <c r="X50" s="1666" t="str" cm="1">
        <f t="array" aca="1" ref="X50" ca="1">IFERROR(IF($L50&lt;&gt;"",_xll.PBF($L50,"Total Revenue","FY",$X$21,"","EUR","")/1000000,""),"")</f>
        <v/>
      </c>
      <c r="Y50" s="1666" t="str" cm="1">
        <f t="array" aca="1" ref="Y50" ca="1">IFERROR(IF($L50&lt;&gt;"",_xll.PBF($L50,"EBITDA","FY",$N$11,"","EUR","")/1000000,""),"")</f>
        <v/>
      </c>
      <c r="Z50" s="1666" t="str" cm="1">
        <f t="array" aca="1" ref="Z50" ca="1">IFERROR(IF($L50&lt;&gt;"",_xll.PBF($L50,"EBIT","FY",$N$11,"","EUR","")/1000000,""),"")</f>
        <v/>
      </c>
      <c r="AA50" s="1677" t="str" cm="1">
        <f t="array" aca="1" ref="AA50" ca="1">IFERROR(IF($L50&lt;&gt;"",_xll.PBF($L50,"Total Debt to EBITDA","FY",$AA$21,"","EUR",""),""),"")</f>
        <v/>
      </c>
      <c r="AB50" s="1670"/>
      <c r="AC50" s="1672" t="str" cm="1">
        <f t="array" aca="1" ref="AC50" ca="1">IFERROR(IF($L50&lt;&gt;"",_xll.PBF($L50,"EV to Revenue","FY",$N$11,"","EUR",""),""),"")</f>
        <v/>
      </c>
      <c r="AD50" s="1672" t="str" cm="1">
        <f t="array" aca="1" ref="AD50" ca="1">IFERROR(IF($L50&lt;&gt;"",_xll.PBF($L50,"EV to EBITDA","FY",$AD$21,"","EUR",""),""),"")</f>
        <v/>
      </c>
      <c r="AE50" s="1672" t="str" cm="1">
        <f t="array" aca="1" ref="AE50" ca="1">IFERROR(IF($L50&lt;&gt;"",_xll.PBF($L50,"EV to EBIT","FY",$AE$21,"","EUR",""),""),"")</f>
        <v/>
      </c>
      <c r="AF50" s="1672"/>
      <c r="AG50" s="1672" t="str" cm="1">
        <f t="array" aca="1" ref="AG50" ca="1">IFERROR(IF($L50&lt;&gt;"",_xll.PBF($L50,"EV to Forward Revenue","FY",$AG$21,"","EUR",""),""),"")</f>
        <v/>
      </c>
      <c r="AH50" s="1672" t="str" cm="1">
        <f t="array" aca="1" ref="AH50" ca="1">IFERROR(IF($L50&lt;&gt;"",_xll.PBF($L50,"EV to Forward EBITDA","FY",$AH$21,"","EUR",""),""),"")</f>
        <v/>
      </c>
      <c r="AI50" s="1672" t="str" cm="1">
        <f t="array" aca="1" ref="AI50" ca="1">IFERROR(IF($L50&lt;&gt;"",_xll.PBF($L50,"EV to Forward EBIT","FY",$AI$21,"","EUR",""),""),"")</f>
        <v/>
      </c>
      <c r="AJ50" s="1650"/>
      <c r="AK50" s="1705"/>
      <c r="AL50" s="1693" t="str" cm="1">
        <f t="array" ref="AL50">IFERROR(IF(AK50&lt;&gt;"",_xll.PBD(AK50,"Deal Date","","EUR",""),""),"")</f>
        <v/>
      </c>
      <c r="AM50" s="1693" t="str" cm="1">
        <f t="array" ref="AM50">IFERROR(IF(AK50&lt;&gt;"",_xll.PBD(AK50,"Limit1.Deal Type 1","","EUR",""),""),"")</f>
        <v/>
      </c>
      <c r="AN50" s="1693" t="str" cm="1">
        <f t="array" ref="AN50">IFERROR(IF(AK50&lt;&gt;"",_xll.PBD(AK50,"Limit1.Company Id","","EUR",""),""),"")</f>
        <v/>
      </c>
      <c r="AO50" s="1640" t="str" cm="1">
        <f t="array" ref="AO50">IFERROR(IF(AN50&lt;&gt;"",_xll.PBD(AN50,"Name","","EUR",""),""),"")</f>
        <v/>
      </c>
      <c r="AP50" s="1640" t="str" cm="1">
        <f t="array" ref="AP50">IFERROR(IF(AN50&lt;&gt;"",_xll.PBD(AN50,"Primary Industry Code","","EUR",""),""),"")</f>
        <v/>
      </c>
      <c r="AQ50" s="1640" t="str" cm="1">
        <f t="array" ref="AQ50">IFERROR(IF(AN50&lt;&gt;"",_xll.PBD(AN50,"HQ Country","","EUR",""),""),"")</f>
        <v/>
      </c>
      <c r="AR50" s="1640" t="str" cm="1">
        <f t="array" ref="AR50">IFERROR(IF(AK50&lt;&gt;"",_xll.PBD(AK50,"Limit1.Investors Ids","","EUR",""),""),"")</f>
        <v/>
      </c>
      <c r="AS50" s="1640" t="str" cm="1">
        <f t="array" ref="AS50">IFERROR(IF(AR50&lt;&gt;"",_xll.PBD(AR50,"Name","","EUR",""),""),"")</f>
        <v/>
      </c>
      <c r="AT50" s="1640" t="str" cm="1">
        <f t="array" ref="AT50">IFERROR(IF(AR50&lt;&gt;"",_xll.PBD(AR50,"Primary Industry Code","","EUR",""),""),"")</f>
        <v/>
      </c>
      <c r="AU50" s="1640" t="str" cm="1">
        <f t="array" ref="AU50">IFERROR(IF(AR50&lt;&gt;"",_xll.PBD(AR50,"Limit2.Entity Types","","EUR",""),""),"")</f>
        <v/>
      </c>
      <c r="AV50" s="1640" t="str" cm="1">
        <f t="array" ref="AV50">IFERROR(IF(AR50&lt;&gt;"",_xll.PBD(AR50,"HQ Country","","EUR",""),""),"")</f>
        <v/>
      </c>
      <c r="AX50" s="1641" t="str" cm="1">
        <f t="array" ref="AX50">IFERROR(IF(AK50&lt;&gt;"",_xll.PBD(AK50,"Limit1.Deal Amount","","EUR","")/1000000,""),"")</f>
        <v/>
      </c>
      <c r="AY50" s="1641" t="str" cm="1">
        <f t="array" ref="AY50">IFERROR(IF(AK50&lt;&gt;"",_xll.PBD(AK50,"Limit1.Implied EV ","","EUR","")/1000000,""),"")</f>
        <v/>
      </c>
      <c r="AZ50" s="1694" t="str" cm="1">
        <f t="array" ref="AZ50">IFERROR(IF(AK50&lt;&gt;"",_xll.PBD(AK50,"Limit1.% Acquired ","","EUR",""),""),"")</f>
        <v/>
      </c>
      <c r="BB50" s="1695" t="str" cm="1">
        <f t="array" ref="BB50">IFERROR(IF(AK50&lt;&gt;"",_xll.PBD(AK50,"Implied EV / Revenue","","EUR",""),""),"")</f>
        <v/>
      </c>
      <c r="BC50" s="1695" t="str" cm="1">
        <f t="array" ref="BC50">IFERROR(IF(AK50&lt;&gt;"",_xll.PBD(AK50,"Implied EV / EBITDA","","EUR",""),""),"")</f>
        <v/>
      </c>
      <c r="BD50" s="1695" t="str" cm="1">
        <f t="array" ref="BD50">IFERROR(IF(AK50&lt;&gt;"",_xll.PBD(AK50,"Implied EV / EBIT","","EUR",""),""),"")</f>
        <v/>
      </c>
      <c r="BF50" s="1640" t="str" cm="1">
        <f t="array" ref="BF50">IFERROR(IF(AR50&lt;&gt;"",_xll.PBD(AR50,"Brief Description","","EUR",""),""),"")</f>
        <v/>
      </c>
    </row>
    <row r="51" spans="2:58" ht="13.9" customHeight="1">
      <c r="B51" s="449"/>
      <c r="C51" s="450"/>
      <c r="D51" s="450"/>
      <c r="E51" s="450"/>
      <c r="F51" s="450"/>
      <c r="G51" s="450"/>
      <c r="H51" s="1582"/>
      <c r="I51" s="1582"/>
      <c r="J51" s="1582"/>
      <c r="K51" s="1583"/>
      <c r="L51" s="1705"/>
      <c r="M51" s="456"/>
      <c r="N51" s="1640" t="str" cm="1">
        <f t="array" ref="N51">IFERROR(IF($L51&lt;&gt;"",_xll.PBD($L51,"Name","","USD",""),""),"")</f>
        <v/>
      </c>
      <c r="O51" s="1640" t="str" cm="1">
        <f t="array" ref="O51">IFERROR(IF($L51&lt;&gt;"",_xll.PBD($L51,"Primary Industry Code","","",""),""),"")</f>
        <v/>
      </c>
      <c r="P51" s="1640" t="str" cm="1">
        <f t="array" ref="P51">IFERROR(IF($L51&lt;&gt;"",_xll.PBD($L51,"HQ Country","","",""),""),"")</f>
        <v/>
      </c>
      <c r="Q51" s="1640" t="str" cm="1">
        <f t="array" ref="Q51">IFERROR(IF($L51&lt;&gt;"",_xll.PBD($L51,"HQ City","","EUR",""),""),"")</f>
        <v/>
      </c>
      <c r="S51" s="1666" t="str" cm="1">
        <f t="array" aca="1" ref="S51" ca="1">IFERROR(IF($L51&lt;&gt;"",_xll.PBF($L51,"EV","TTM",$N$11,"","EUR","")/1000000,""),"")</f>
        <v/>
      </c>
      <c r="T51" s="1666" t="str" cm="1">
        <f t="array" aca="1" ref="T51" ca="1">IFERROR(IF($L51&lt;&gt;"",_xll.PBF($L51,"NET Debt","TTM",$N$11,"","EUR","")/1000000,""),"")</f>
        <v/>
      </c>
      <c r="U51" s="1666" t="str" cm="1">
        <f t="array" aca="1" ref="U51" ca="1">IFERROR(IF($L51&lt;&gt;"",_xll.PBF($L51,"Market Cap","TTM",$N$11,"","EUR","")/1000000,""),"")</f>
        <v/>
      </c>
      <c r="V51" s="1677" t="str" cm="1">
        <f t="array" aca="1" ref="V51" ca="1">IFERROR(IF($L51&lt;&gt;"",_xll.PBF($L51,"Total Debt to Equity","TTM",$V$21,"","EUR",""),""),"")</f>
        <v/>
      </c>
      <c r="W51" s="1677"/>
      <c r="X51" s="1666" t="str" cm="1">
        <f t="array" aca="1" ref="X51" ca="1">IFERROR(IF($L51&lt;&gt;"",_xll.PBF($L51,"Total Revenue","FY",$X$21,"","EUR","")/1000000,""),"")</f>
        <v/>
      </c>
      <c r="Y51" s="1666" t="str" cm="1">
        <f t="array" aca="1" ref="Y51" ca="1">IFERROR(IF($L51&lt;&gt;"",_xll.PBF($L51,"EBITDA","FY",$N$11,"","EUR","")/1000000,""),"")</f>
        <v/>
      </c>
      <c r="Z51" s="1666" t="str" cm="1">
        <f t="array" aca="1" ref="Z51" ca="1">IFERROR(IF($L51&lt;&gt;"",_xll.PBF($L51,"EBIT","FY",$N$11,"","EUR","")/1000000,""),"")</f>
        <v/>
      </c>
      <c r="AA51" s="1677" t="str" cm="1">
        <f t="array" aca="1" ref="AA51" ca="1">IFERROR(IF($L51&lt;&gt;"",_xll.PBF($L51,"Total Debt to EBITDA","FY",$AA$21,"","EUR",""),""),"")</f>
        <v/>
      </c>
      <c r="AB51" s="1670"/>
      <c r="AC51" s="1672" t="str" cm="1">
        <f t="array" aca="1" ref="AC51" ca="1">IFERROR(IF($L51&lt;&gt;"",_xll.PBF($L51,"EV to Revenue","FY",$N$11,"","EUR",""),""),"")</f>
        <v/>
      </c>
      <c r="AD51" s="1672" t="str" cm="1">
        <f t="array" aca="1" ref="AD51" ca="1">IFERROR(IF($L51&lt;&gt;"",_xll.PBF($L51,"EV to EBITDA","FY",$AD$21,"","EUR",""),""),"")</f>
        <v/>
      </c>
      <c r="AE51" s="1672" t="str" cm="1">
        <f t="array" aca="1" ref="AE51" ca="1">IFERROR(IF($L51&lt;&gt;"",_xll.PBF($L51,"EV to EBIT","FY",$AE$21,"","EUR",""),""),"")</f>
        <v/>
      </c>
      <c r="AF51" s="1672"/>
      <c r="AG51" s="1672" t="str" cm="1">
        <f t="array" aca="1" ref="AG51" ca="1">IFERROR(IF($L51&lt;&gt;"",_xll.PBF($L51,"EV to Forward Revenue","FY",$AG$21,"","EUR",""),""),"")</f>
        <v/>
      </c>
      <c r="AH51" s="1672" t="str" cm="1">
        <f t="array" aca="1" ref="AH51" ca="1">IFERROR(IF($L51&lt;&gt;"",_xll.PBF($L51,"EV to Forward EBITDA","FY",$AH$21,"","EUR",""),""),"")</f>
        <v/>
      </c>
      <c r="AI51" s="1672" t="str" cm="1">
        <f t="array" aca="1" ref="AI51" ca="1">IFERROR(IF($L51&lt;&gt;"",_xll.PBF($L51,"EV to Forward EBIT","FY",$AI$21,"","EUR",""),""),"")</f>
        <v/>
      </c>
      <c r="AJ51" s="1650"/>
      <c r="AK51" s="1705"/>
      <c r="AL51" s="1693" t="str" cm="1">
        <f t="array" ref="AL51">IFERROR(IF(AK51&lt;&gt;"",_xll.PBD(AK51,"Deal Date","","EUR",""),""),"")</f>
        <v/>
      </c>
      <c r="AM51" s="1693" t="str" cm="1">
        <f t="array" ref="AM51">IFERROR(IF(AK51&lt;&gt;"",_xll.PBD(AK51,"Limit1.Deal Type 1","","EUR",""),""),"")</f>
        <v/>
      </c>
      <c r="AN51" s="1693" t="str" cm="1">
        <f t="array" ref="AN51">IFERROR(IF(AK51&lt;&gt;"",_xll.PBD(AK51,"Limit1.Company Id","","EUR",""),""),"")</f>
        <v/>
      </c>
      <c r="AO51" s="1640" t="str" cm="1">
        <f t="array" ref="AO51">IFERROR(IF(AN51&lt;&gt;"",_xll.PBD(AN51,"Name","","EUR",""),""),"")</f>
        <v/>
      </c>
      <c r="AP51" s="1640" t="str" cm="1">
        <f t="array" ref="AP51">IFERROR(IF(AN51&lt;&gt;"",_xll.PBD(AN51,"Primary Industry Code","","EUR",""),""),"")</f>
        <v/>
      </c>
      <c r="AQ51" s="1640" t="str" cm="1">
        <f t="array" ref="AQ51">IFERROR(IF(AN51&lt;&gt;"",_xll.PBD(AN51,"HQ Country","","EUR",""),""),"")</f>
        <v/>
      </c>
      <c r="AR51" s="1640" t="str" cm="1">
        <f t="array" ref="AR51">IFERROR(IF(AK51&lt;&gt;"",_xll.PBD(AK51,"Limit1.Investors Ids","","EUR",""),""),"")</f>
        <v/>
      </c>
      <c r="AS51" s="1640" t="str" cm="1">
        <f t="array" ref="AS51">IFERROR(IF(AR51&lt;&gt;"",_xll.PBD(AR51,"Name","","EUR",""),""),"")</f>
        <v/>
      </c>
      <c r="AT51" s="1640" t="str" cm="1">
        <f t="array" ref="AT51">IFERROR(IF(AR51&lt;&gt;"",_xll.PBD(AR51,"Primary Industry Code","","EUR",""),""),"")</f>
        <v/>
      </c>
      <c r="AU51" s="1640" t="str" cm="1">
        <f t="array" ref="AU51">IFERROR(IF(AR51&lt;&gt;"",_xll.PBD(AR51,"Limit2.Entity Types","","EUR",""),""),"")</f>
        <v/>
      </c>
      <c r="AV51" s="1640" t="str" cm="1">
        <f t="array" ref="AV51">IFERROR(IF(AR51&lt;&gt;"",_xll.PBD(AR51,"HQ Country","","EUR",""),""),"")</f>
        <v/>
      </c>
      <c r="AX51" s="1641" t="str" cm="1">
        <f t="array" ref="AX51">IFERROR(IF(AK51&lt;&gt;"",_xll.PBD(AK51,"Limit1.Deal Amount","","EUR","")/1000000,""),"")</f>
        <v/>
      </c>
      <c r="AY51" s="1641" t="str" cm="1">
        <f t="array" ref="AY51">IFERROR(IF(AK51&lt;&gt;"",_xll.PBD(AK51,"Limit1.Implied EV ","","EUR","")/1000000,""),"")</f>
        <v/>
      </c>
      <c r="AZ51" s="1694" t="str" cm="1">
        <f t="array" ref="AZ51">IFERROR(IF(AK51&lt;&gt;"",_xll.PBD(AK51,"Limit1.% Acquired ","","EUR",""),""),"")</f>
        <v/>
      </c>
      <c r="BB51" s="1695" t="str" cm="1">
        <f t="array" ref="BB51">IFERROR(IF(AK51&lt;&gt;"",_xll.PBD(AK51,"Implied EV / Revenue","","EUR",""),""),"")</f>
        <v/>
      </c>
      <c r="BC51" s="1695" t="str" cm="1">
        <f t="array" ref="BC51">IFERROR(IF(AK51&lt;&gt;"",_xll.PBD(AK51,"Implied EV / EBITDA","","EUR",""),""),"")</f>
        <v/>
      </c>
      <c r="BD51" s="1695" t="str" cm="1">
        <f t="array" ref="BD51">IFERROR(IF(AK51&lt;&gt;"",_xll.PBD(AK51,"Implied EV / EBIT","","EUR",""),""),"")</f>
        <v/>
      </c>
      <c r="BF51" s="1640" t="str" cm="1">
        <f t="array" ref="BF51">IFERROR(IF(AR51&lt;&gt;"",_xll.PBD(AR51,"Brief Description","","EUR",""),""),"")</f>
        <v/>
      </c>
    </row>
    <row r="52" spans="2:58" ht="13.9" customHeight="1">
      <c r="B52" s="1579"/>
      <c r="C52" s="1579"/>
      <c r="D52" s="1579"/>
      <c r="E52" s="1579"/>
      <c r="F52" s="1591"/>
      <c r="G52" s="1585"/>
      <c r="H52" s="1580"/>
      <c r="I52" s="1580"/>
      <c r="J52" s="1580"/>
      <c r="K52" s="1581"/>
      <c r="L52" s="1705"/>
      <c r="M52" s="456"/>
      <c r="N52" s="1640" t="str" cm="1">
        <f t="array" ref="N52">IFERROR(IF($L52&lt;&gt;"",_xll.PBD($L52,"Name","","USD",""),""),"")</f>
        <v/>
      </c>
      <c r="O52" s="1640" t="str" cm="1">
        <f t="array" ref="O52">IFERROR(IF($L52&lt;&gt;"",_xll.PBD($L52,"Primary Industry Code","","",""),""),"")</f>
        <v/>
      </c>
      <c r="P52" s="1640" t="str" cm="1">
        <f t="array" ref="P52">IFERROR(IF($L52&lt;&gt;"",_xll.PBD($L52,"HQ Country","","",""),""),"")</f>
        <v/>
      </c>
      <c r="Q52" s="1640" t="str" cm="1">
        <f t="array" ref="Q52">IFERROR(IF($L52&lt;&gt;"",_xll.PBD($L52,"HQ City","","EUR",""),""),"")</f>
        <v/>
      </c>
      <c r="S52" s="1666" t="str" cm="1">
        <f t="array" aca="1" ref="S52" ca="1">IFERROR(IF($L52&lt;&gt;"",_xll.PBF($L52,"EV","TTM",$N$11,"","EUR","")/1000000,""),"")</f>
        <v/>
      </c>
      <c r="T52" s="1666" t="str" cm="1">
        <f t="array" aca="1" ref="T52" ca="1">IFERROR(IF($L52&lt;&gt;"",_xll.PBF($L52,"NET Debt","TTM",$N$11,"","EUR","")/1000000,""),"")</f>
        <v/>
      </c>
      <c r="U52" s="1666" t="str" cm="1">
        <f t="array" aca="1" ref="U52" ca="1">IFERROR(IF($L52&lt;&gt;"",_xll.PBF($L52,"Market Cap","TTM",$N$11,"","EUR","")/1000000,""),"")</f>
        <v/>
      </c>
      <c r="V52" s="1677" t="str" cm="1">
        <f t="array" aca="1" ref="V52" ca="1">IFERROR(IF($L52&lt;&gt;"",_xll.PBF($L52,"Total Debt to Equity","TTM",$V$21,"","EUR",""),""),"")</f>
        <v/>
      </c>
      <c r="W52" s="1677"/>
      <c r="X52" s="1666" t="str" cm="1">
        <f t="array" aca="1" ref="X52" ca="1">IFERROR(IF($L52&lt;&gt;"",_xll.PBF($L52,"Total Revenue","FY",$X$21,"","EUR","")/1000000,""),"")</f>
        <v/>
      </c>
      <c r="Y52" s="1666" t="str" cm="1">
        <f t="array" aca="1" ref="Y52" ca="1">IFERROR(IF($L52&lt;&gt;"",_xll.PBF($L52,"EBITDA","FY",$N$11,"","EUR","")/1000000,""),"")</f>
        <v/>
      </c>
      <c r="Z52" s="1666" t="str" cm="1">
        <f t="array" aca="1" ref="Z52" ca="1">IFERROR(IF($L52&lt;&gt;"",_xll.PBF($L52,"EBIT","FY",$N$11,"","EUR","")/1000000,""),"")</f>
        <v/>
      </c>
      <c r="AA52" s="1677" t="str" cm="1">
        <f t="array" aca="1" ref="AA52" ca="1">IFERROR(IF($L52&lt;&gt;"",_xll.PBF($L52,"Total Debt to EBITDA","FY",$AA$21,"","EUR",""),""),"")</f>
        <v/>
      </c>
      <c r="AB52" s="1670"/>
      <c r="AC52" s="1672" t="str" cm="1">
        <f t="array" aca="1" ref="AC52" ca="1">IFERROR(IF($L52&lt;&gt;"",_xll.PBF($L52,"EV to Revenue","FY",$N$11,"","EUR",""),""),"")</f>
        <v/>
      </c>
      <c r="AD52" s="1672" t="str" cm="1">
        <f t="array" aca="1" ref="AD52" ca="1">IFERROR(IF($L52&lt;&gt;"",_xll.PBF($L52,"EV to EBITDA","FY",$AD$21,"","EUR",""),""),"")</f>
        <v/>
      </c>
      <c r="AE52" s="1672" t="str" cm="1">
        <f t="array" aca="1" ref="AE52" ca="1">IFERROR(IF($L52&lt;&gt;"",_xll.PBF($L52,"EV to EBIT","FY",$AE$21,"","EUR",""),""),"")</f>
        <v/>
      </c>
      <c r="AF52" s="1672"/>
      <c r="AG52" s="1672" t="str" cm="1">
        <f t="array" aca="1" ref="AG52" ca="1">IFERROR(IF($L52&lt;&gt;"",_xll.PBF($L52,"EV to Forward Revenue","FY",$AG$21,"","EUR",""),""),"")</f>
        <v/>
      </c>
      <c r="AH52" s="1672" t="str" cm="1">
        <f t="array" aca="1" ref="AH52" ca="1">IFERROR(IF($L52&lt;&gt;"",_xll.PBF($L52,"EV to Forward EBITDA","FY",$AH$21,"","EUR",""),""),"")</f>
        <v/>
      </c>
      <c r="AI52" s="1672" t="str" cm="1">
        <f t="array" aca="1" ref="AI52" ca="1">IFERROR(IF($L52&lt;&gt;"",_xll.PBF($L52,"EV to Forward EBIT","FY",$AI$21,"","EUR",""),""),"")</f>
        <v/>
      </c>
      <c r="AJ52" s="1650"/>
      <c r="AK52" s="1705"/>
      <c r="AL52" s="1693" t="str" cm="1">
        <f t="array" ref="AL52">IFERROR(IF(AK52&lt;&gt;"",_xll.PBD(AK52,"Deal Date","","EUR",""),""),"")</f>
        <v/>
      </c>
      <c r="AM52" s="1693" t="str" cm="1">
        <f t="array" ref="AM52">IFERROR(IF(AK52&lt;&gt;"",_xll.PBD(AK52,"Limit1.Deal Type 1","","EUR",""),""),"")</f>
        <v/>
      </c>
      <c r="AN52" s="1693" t="str" cm="1">
        <f t="array" ref="AN52">IFERROR(IF(AK52&lt;&gt;"",_xll.PBD(AK52,"Limit1.Company Id","","EUR",""),""),"")</f>
        <v/>
      </c>
      <c r="AO52" s="1640" t="str" cm="1">
        <f t="array" ref="AO52">IFERROR(IF(AN52&lt;&gt;"",_xll.PBD(AN52,"Name","","EUR",""),""),"")</f>
        <v/>
      </c>
      <c r="AP52" s="1640" t="str" cm="1">
        <f t="array" ref="AP52">IFERROR(IF(AN52&lt;&gt;"",_xll.PBD(AN52,"Primary Industry Code","","EUR",""),""),"")</f>
        <v/>
      </c>
      <c r="AQ52" s="1640" t="str" cm="1">
        <f t="array" ref="AQ52">IFERROR(IF(AN52&lt;&gt;"",_xll.PBD(AN52,"HQ Country","","EUR",""),""),"")</f>
        <v/>
      </c>
      <c r="AR52" s="1640" t="str" cm="1">
        <f t="array" ref="AR52">IFERROR(IF(AK52&lt;&gt;"",_xll.PBD(AK52,"Limit1.Investors Ids","","EUR",""),""),"")</f>
        <v/>
      </c>
      <c r="AS52" s="1640" t="str" cm="1">
        <f t="array" ref="AS52">IFERROR(IF(AR52&lt;&gt;"",_xll.PBD(AR52,"Name","","EUR",""),""),"")</f>
        <v/>
      </c>
      <c r="AT52" s="1640" t="str" cm="1">
        <f t="array" ref="AT52">IFERROR(IF(AR52&lt;&gt;"",_xll.PBD(AR52,"Primary Industry Code","","EUR",""),""),"")</f>
        <v/>
      </c>
      <c r="AU52" s="1640" t="str" cm="1">
        <f t="array" ref="AU52">IFERROR(IF(AR52&lt;&gt;"",_xll.PBD(AR52,"Limit2.Entity Types","","EUR",""),""),"")</f>
        <v/>
      </c>
      <c r="AV52" s="1640" t="str" cm="1">
        <f t="array" ref="AV52">IFERROR(IF(AR52&lt;&gt;"",_xll.PBD(AR52,"HQ Country","","EUR",""),""),"")</f>
        <v/>
      </c>
      <c r="AX52" s="1641" t="str" cm="1">
        <f t="array" ref="AX52">IFERROR(IF(AK52&lt;&gt;"",_xll.PBD(AK52,"Limit1.Deal Amount","","EUR","")/1000000,""),"")</f>
        <v/>
      </c>
      <c r="AY52" s="1641" t="str" cm="1">
        <f t="array" ref="AY52">IFERROR(IF(AK52&lt;&gt;"",_xll.PBD(AK52,"Limit1.Implied EV ","","EUR","")/1000000,""),"")</f>
        <v/>
      </c>
      <c r="AZ52" s="1694" t="str" cm="1">
        <f t="array" ref="AZ52">IFERROR(IF(AK52&lt;&gt;"",_xll.PBD(AK52,"Limit1.% Acquired ","","EUR",""),""),"")</f>
        <v/>
      </c>
      <c r="BB52" s="1695" t="str" cm="1">
        <f t="array" ref="BB52">IFERROR(IF(AK52&lt;&gt;"",_xll.PBD(AK52,"Implied EV / Revenue","","EUR",""),""),"")</f>
        <v/>
      </c>
      <c r="BC52" s="1695" t="str" cm="1">
        <f t="array" ref="BC52">IFERROR(IF(AK52&lt;&gt;"",_xll.PBD(AK52,"Implied EV / EBITDA","","EUR",""),""),"")</f>
        <v/>
      </c>
      <c r="BD52" s="1695" t="str" cm="1">
        <f t="array" ref="BD52">IFERROR(IF(AK52&lt;&gt;"",_xll.PBD(AK52,"Implied EV / EBIT","","EUR",""),""),"")</f>
        <v/>
      </c>
      <c r="BF52" s="1640" t="str" cm="1">
        <f t="array" ref="BF52">IFERROR(IF(AR52&lt;&gt;"",_xll.PBD(AR52,"Brief Description","","EUR",""),""),"")</f>
        <v/>
      </c>
    </row>
    <row r="53" spans="2:58" ht="13.9" customHeight="1">
      <c r="B53" s="1579"/>
      <c r="C53" s="1579"/>
      <c r="D53" s="1579"/>
      <c r="E53" s="1579"/>
      <c r="F53" s="1591"/>
      <c r="G53" s="1585"/>
      <c r="H53" s="1580"/>
      <c r="I53" s="1580"/>
      <c r="J53" s="1580"/>
      <c r="K53" s="1581"/>
      <c r="L53" s="1705"/>
      <c r="M53" s="456"/>
      <c r="N53" s="1640" t="str" cm="1">
        <f t="array" ref="N53">IFERROR(IF($L53&lt;&gt;"",_xll.PBD($L53,"Name","","USD",""),""),"")</f>
        <v/>
      </c>
      <c r="O53" s="1640" t="str" cm="1">
        <f t="array" ref="O53">IFERROR(IF($L53&lt;&gt;"",_xll.PBD($L53,"Primary Industry Code","","",""),""),"")</f>
        <v/>
      </c>
      <c r="P53" s="1640" t="str" cm="1">
        <f t="array" ref="P53">IFERROR(IF($L53&lt;&gt;"",_xll.PBD($L53,"HQ Country","","",""),""),"")</f>
        <v/>
      </c>
      <c r="Q53" s="1640" t="str" cm="1">
        <f t="array" ref="Q53">IFERROR(IF($L53&lt;&gt;"",_xll.PBD($L53,"HQ City","","EUR",""),""),"")</f>
        <v/>
      </c>
      <c r="S53" s="1666" t="str" cm="1">
        <f t="array" aca="1" ref="S53" ca="1">IFERROR(IF($L53&lt;&gt;"",_xll.PBF($L53,"EV","TTM",$N$11,"","EUR","")/1000000,""),"")</f>
        <v/>
      </c>
      <c r="T53" s="1666" t="str" cm="1">
        <f t="array" aca="1" ref="T53" ca="1">IFERROR(IF($L53&lt;&gt;"",_xll.PBF($L53,"NET Debt","TTM",$N$11,"","EUR","")/1000000,""),"")</f>
        <v/>
      </c>
      <c r="U53" s="1666" t="str" cm="1">
        <f t="array" aca="1" ref="U53" ca="1">IFERROR(IF($L53&lt;&gt;"",_xll.PBF($L53,"Market Cap","TTM",$N$11,"","EUR","")/1000000,""),"")</f>
        <v/>
      </c>
      <c r="V53" s="1677" t="str" cm="1">
        <f t="array" aca="1" ref="V53" ca="1">IFERROR(IF($L53&lt;&gt;"",_xll.PBF($L53,"Total Debt to Equity","TTM",$V$21,"","EUR",""),""),"")</f>
        <v/>
      </c>
      <c r="W53" s="1677"/>
      <c r="X53" s="1666" t="str" cm="1">
        <f t="array" aca="1" ref="X53" ca="1">IFERROR(IF($L53&lt;&gt;"",_xll.PBF($L53,"Total Revenue","FY",$X$21,"","EUR","")/1000000,""),"")</f>
        <v/>
      </c>
      <c r="Y53" s="1666" t="str" cm="1">
        <f t="array" aca="1" ref="Y53" ca="1">IFERROR(IF($L53&lt;&gt;"",_xll.PBF($L53,"EBITDA","FY",$N$11,"","EUR","")/1000000,""),"")</f>
        <v/>
      </c>
      <c r="Z53" s="1666" t="str" cm="1">
        <f t="array" aca="1" ref="Z53" ca="1">IFERROR(IF($L53&lt;&gt;"",_xll.PBF($L53,"EBIT","FY",$N$11,"","EUR","")/1000000,""),"")</f>
        <v/>
      </c>
      <c r="AA53" s="1677" t="str" cm="1">
        <f t="array" aca="1" ref="AA53" ca="1">IFERROR(IF($L53&lt;&gt;"",_xll.PBF($L53,"Total Debt to EBITDA","FY",$AA$21,"","EUR",""),""),"")</f>
        <v/>
      </c>
      <c r="AB53" s="1670"/>
      <c r="AC53" s="1672" t="str" cm="1">
        <f t="array" aca="1" ref="AC53" ca="1">IFERROR(IF($L53&lt;&gt;"",_xll.PBF($L53,"EV to Revenue","FY",$N$11,"","EUR",""),""),"")</f>
        <v/>
      </c>
      <c r="AD53" s="1672" t="str" cm="1">
        <f t="array" aca="1" ref="AD53" ca="1">IFERROR(IF($L53&lt;&gt;"",_xll.PBF($L53,"EV to EBITDA","FY",$AD$21,"","EUR",""),""),"")</f>
        <v/>
      </c>
      <c r="AE53" s="1672" t="str" cm="1">
        <f t="array" aca="1" ref="AE53" ca="1">IFERROR(IF($L53&lt;&gt;"",_xll.PBF($L53,"EV to EBIT","FY",$AE$21,"","EUR",""),""),"")</f>
        <v/>
      </c>
      <c r="AF53" s="1672"/>
      <c r="AG53" s="1672" t="str" cm="1">
        <f t="array" aca="1" ref="AG53" ca="1">IFERROR(IF($L53&lt;&gt;"",_xll.PBF($L53,"EV to Forward Revenue","FY",$AG$21,"","EUR",""),""),"")</f>
        <v/>
      </c>
      <c r="AH53" s="1672" t="str" cm="1">
        <f t="array" aca="1" ref="AH53" ca="1">IFERROR(IF($L53&lt;&gt;"",_xll.PBF($L53,"EV to Forward EBITDA","FY",$AH$21,"","EUR",""),""),"")</f>
        <v/>
      </c>
      <c r="AI53" s="1672" t="str" cm="1">
        <f t="array" aca="1" ref="AI53" ca="1">IFERROR(IF($L53&lt;&gt;"",_xll.PBF($L53,"EV to Forward EBIT","FY",$AI$21,"","EUR",""),""),"")</f>
        <v/>
      </c>
      <c r="AJ53" s="1650"/>
      <c r="AK53" s="1705"/>
      <c r="AL53" s="1693" t="str" cm="1">
        <f t="array" ref="AL53">IFERROR(IF(AK53&lt;&gt;"",_xll.PBD(AK53,"Deal Date","","EUR",""),""),"")</f>
        <v/>
      </c>
      <c r="AM53" s="1693" t="str" cm="1">
        <f t="array" ref="AM53">IFERROR(IF(AK53&lt;&gt;"",_xll.PBD(AK53,"Limit1.Deal Type 1","","EUR",""),""),"")</f>
        <v/>
      </c>
      <c r="AN53" s="1693" t="str" cm="1">
        <f t="array" ref="AN53">IFERROR(IF(AK53&lt;&gt;"",_xll.PBD(AK53,"Limit1.Company Id","","EUR",""),""),"")</f>
        <v/>
      </c>
      <c r="AO53" s="1640" t="str" cm="1">
        <f t="array" ref="AO53">IFERROR(IF(AN53&lt;&gt;"",_xll.PBD(AN53,"Name","","EUR",""),""),"")</f>
        <v/>
      </c>
      <c r="AP53" s="1640" t="str" cm="1">
        <f t="array" ref="AP53">IFERROR(IF(AN53&lt;&gt;"",_xll.PBD(AN53,"Primary Industry Code","","EUR",""),""),"")</f>
        <v/>
      </c>
      <c r="AQ53" s="1640" t="str" cm="1">
        <f t="array" ref="AQ53">IFERROR(IF(AN53&lt;&gt;"",_xll.PBD(AN53,"HQ Country","","EUR",""),""),"")</f>
        <v/>
      </c>
      <c r="AR53" s="1640" t="str" cm="1">
        <f t="array" ref="AR53">IFERROR(IF(AK53&lt;&gt;"",_xll.PBD(AK53,"Limit1.Investors Ids","","EUR",""),""),"")</f>
        <v/>
      </c>
      <c r="AS53" s="1640" t="str" cm="1">
        <f t="array" ref="AS53">IFERROR(IF(AR53&lt;&gt;"",_xll.PBD(AR53,"Name","","EUR",""),""),"")</f>
        <v/>
      </c>
      <c r="AT53" s="1640" t="str" cm="1">
        <f t="array" ref="AT53">IFERROR(IF(AR53&lt;&gt;"",_xll.PBD(AR53,"Primary Industry Code","","EUR",""),""),"")</f>
        <v/>
      </c>
      <c r="AU53" s="1640" t="str" cm="1">
        <f t="array" ref="AU53">IFERROR(IF(AR53&lt;&gt;"",_xll.PBD(AR53,"Limit2.Entity Types","","EUR",""),""),"")</f>
        <v/>
      </c>
      <c r="AV53" s="1640" t="str" cm="1">
        <f t="array" ref="AV53">IFERROR(IF(AR53&lt;&gt;"",_xll.PBD(AR53,"HQ Country","","EUR",""),""),"")</f>
        <v/>
      </c>
      <c r="AX53" s="1641" t="str" cm="1">
        <f t="array" ref="AX53">IFERROR(IF(AK53&lt;&gt;"",_xll.PBD(AK53,"Limit1.Deal Amount","","EUR","")/1000000,""),"")</f>
        <v/>
      </c>
      <c r="AY53" s="1641" t="str" cm="1">
        <f t="array" ref="AY53">IFERROR(IF(AK53&lt;&gt;"",_xll.PBD(AK53,"Limit1.Implied EV ","","EUR","")/1000000,""),"")</f>
        <v/>
      </c>
      <c r="AZ53" s="1694" t="str" cm="1">
        <f t="array" ref="AZ53">IFERROR(IF(AK53&lt;&gt;"",_xll.PBD(AK53,"Limit1.% Acquired ","","EUR",""),""),"")</f>
        <v/>
      </c>
      <c r="BB53" s="1695" t="str" cm="1">
        <f t="array" ref="BB53">IFERROR(IF(AK53&lt;&gt;"",_xll.PBD(AK53,"Implied EV / Revenue","","EUR",""),""),"")</f>
        <v/>
      </c>
      <c r="BC53" s="1695" t="str" cm="1">
        <f t="array" ref="BC53">IFERROR(IF(AK53&lt;&gt;"",_xll.PBD(AK53,"Implied EV / EBITDA","","EUR",""),""),"")</f>
        <v/>
      </c>
      <c r="BD53" s="1695" t="str" cm="1">
        <f t="array" ref="BD53">IFERROR(IF(AK53&lt;&gt;"",_xll.PBD(AK53,"Implied EV / EBIT","","EUR",""),""),"")</f>
        <v/>
      </c>
      <c r="BF53" s="1640" t="str" cm="1">
        <f t="array" ref="BF53">IFERROR(IF(AR53&lt;&gt;"",_xll.PBD(AR53,"Brief Description","","EUR",""),""),"")</f>
        <v/>
      </c>
    </row>
    <row r="54" spans="2:58" ht="13.9" customHeight="1">
      <c r="B54" s="1579"/>
      <c r="C54" s="1579"/>
      <c r="D54" s="1579"/>
      <c r="E54" s="1579"/>
      <c r="F54" s="1591"/>
      <c r="G54" s="1585"/>
      <c r="H54" s="1580"/>
      <c r="I54" s="1580"/>
      <c r="J54" s="1580"/>
      <c r="K54" s="1581"/>
      <c r="L54" s="1705"/>
      <c r="M54" s="1626"/>
      <c r="N54" s="1640" t="str" cm="1">
        <f t="array" ref="N54">IFERROR(IF($L54&lt;&gt;"",_xll.PBD($L54,"Name","","USD",""),""),"")</f>
        <v/>
      </c>
      <c r="O54" s="1640" t="str" cm="1">
        <f t="array" ref="O54">IFERROR(IF($L54&lt;&gt;"",_xll.PBD($L54,"Primary Industry Code","","",""),""),"")</f>
        <v/>
      </c>
      <c r="P54" s="1640" t="str" cm="1">
        <f t="array" ref="P54">IFERROR(IF($L54&lt;&gt;"",_xll.PBD($L54,"HQ Country","","",""),""),"")</f>
        <v/>
      </c>
      <c r="Q54" s="1640" t="str" cm="1">
        <f t="array" ref="Q54">IFERROR(IF($L54&lt;&gt;"",_xll.PBD($L54,"HQ City","","EUR",""),""),"")</f>
        <v/>
      </c>
      <c r="S54" s="1666" t="str" cm="1">
        <f t="array" aca="1" ref="S54" ca="1">IFERROR(IF($L54&lt;&gt;"",_xll.PBF($L54,"EV","TTM",$N$11,"","EUR","")/1000000,""),"")</f>
        <v/>
      </c>
      <c r="T54" s="1666" t="str" cm="1">
        <f t="array" aca="1" ref="T54" ca="1">IFERROR(IF($L54&lt;&gt;"",_xll.PBF($L54,"NET Debt","TTM",$N$11,"","EUR","")/1000000,""),"")</f>
        <v/>
      </c>
      <c r="U54" s="1666" t="str" cm="1">
        <f t="array" aca="1" ref="U54" ca="1">IFERROR(IF($L54&lt;&gt;"",_xll.PBF($L54,"Market Cap","TTM",$N$11,"","EUR","")/1000000,""),"")</f>
        <v/>
      </c>
      <c r="V54" s="1677" t="str" cm="1">
        <f t="array" aca="1" ref="V54" ca="1">IFERROR(IF($L54&lt;&gt;"",_xll.PBF($L54,"Total Debt to Equity","TTM",$V$21,"","EUR",""),""),"")</f>
        <v/>
      </c>
      <c r="W54" s="1677"/>
      <c r="X54" s="1666" t="str" cm="1">
        <f t="array" aca="1" ref="X54" ca="1">IFERROR(IF($L54&lt;&gt;"",_xll.PBF($L54,"Total Revenue","FY",$X$21,"","EUR","")/1000000,""),"")</f>
        <v/>
      </c>
      <c r="Y54" s="1666" t="str" cm="1">
        <f t="array" aca="1" ref="Y54" ca="1">IFERROR(IF($L54&lt;&gt;"",_xll.PBF($L54,"EBITDA","FY",$N$11,"","EUR","")/1000000,""),"")</f>
        <v/>
      </c>
      <c r="Z54" s="1666" t="str" cm="1">
        <f t="array" aca="1" ref="Z54" ca="1">IFERROR(IF($L54&lt;&gt;"",_xll.PBF($L54,"EBIT","FY",$N$11,"","EUR","")/1000000,""),"")</f>
        <v/>
      </c>
      <c r="AA54" s="1677" t="str" cm="1">
        <f t="array" aca="1" ref="AA54" ca="1">IFERROR(IF($L54&lt;&gt;"",_xll.PBF($L54,"Total Debt to EBITDA","FY",$AA$21,"","EUR",""),""),"")</f>
        <v/>
      </c>
      <c r="AB54" s="1670"/>
      <c r="AC54" s="1672" t="str" cm="1">
        <f t="array" aca="1" ref="AC54" ca="1">IFERROR(IF($L54&lt;&gt;"",_xll.PBF($L54,"EV to Revenue","FY",$N$11,"","EUR",""),""),"")</f>
        <v/>
      </c>
      <c r="AD54" s="1672" t="str" cm="1">
        <f t="array" aca="1" ref="AD54" ca="1">IFERROR(IF($L54&lt;&gt;"",_xll.PBF($L54,"EV to EBITDA","FY",$AD$21,"","EUR",""),""),"")</f>
        <v/>
      </c>
      <c r="AE54" s="1672" t="str" cm="1">
        <f t="array" aca="1" ref="AE54" ca="1">IFERROR(IF($L54&lt;&gt;"",_xll.PBF($L54,"EV to EBIT","FY",$AE$21,"","EUR",""),""),"")</f>
        <v/>
      </c>
      <c r="AF54" s="1672"/>
      <c r="AG54" s="1672" t="str" cm="1">
        <f t="array" aca="1" ref="AG54" ca="1">IFERROR(IF($L54&lt;&gt;"",_xll.PBF($L54,"EV to Forward Revenue","FY",$AG$21,"","EUR",""),""),"")</f>
        <v/>
      </c>
      <c r="AH54" s="1672" t="str" cm="1">
        <f t="array" aca="1" ref="AH54" ca="1">IFERROR(IF($L54&lt;&gt;"",_xll.PBF($L54,"EV to Forward EBITDA","FY",$AH$21,"","EUR",""),""),"")</f>
        <v/>
      </c>
      <c r="AI54" s="1672" t="str" cm="1">
        <f t="array" aca="1" ref="AI54" ca="1">IFERROR(IF($L54&lt;&gt;"",_xll.PBF($L54,"EV to Forward EBIT","FY",$AI$21,"","EUR",""),""),"")</f>
        <v/>
      </c>
      <c r="AJ54" s="1650"/>
      <c r="AK54" s="1705"/>
      <c r="AL54" s="1693" t="str" cm="1">
        <f t="array" ref="AL54">IFERROR(IF(AK54&lt;&gt;"",_xll.PBD(AK54,"Deal Date","","EUR",""),""),"")</f>
        <v/>
      </c>
      <c r="AM54" s="1693" t="str" cm="1">
        <f t="array" ref="AM54">IFERROR(IF(AK54&lt;&gt;"",_xll.PBD(AK54,"Limit1.Deal Type 1","","EUR",""),""),"")</f>
        <v/>
      </c>
      <c r="AN54" s="1693" t="str" cm="1">
        <f t="array" ref="AN54">IFERROR(IF(AK54&lt;&gt;"",_xll.PBD(AK54,"Limit1.Company Id","","EUR",""),""),"")</f>
        <v/>
      </c>
      <c r="AO54" s="1640" t="str" cm="1">
        <f t="array" ref="AO54">IFERROR(IF(AN54&lt;&gt;"",_xll.PBD(AN54,"Name","","EUR",""),""),"")</f>
        <v/>
      </c>
      <c r="AP54" s="1640" t="str" cm="1">
        <f t="array" ref="AP54">IFERROR(IF(AN54&lt;&gt;"",_xll.PBD(AN54,"Primary Industry Code","","EUR",""),""),"")</f>
        <v/>
      </c>
      <c r="AQ54" s="1640" t="str" cm="1">
        <f t="array" ref="AQ54">IFERROR(IF(AN54&lt;&gt;"",_xll.PBD(AN54,"HQ Country","","EUR",""),""),"")</f>
        <v/>
      </c>
      <c r="AR54" s="1640" t="str" cm="1">
        <f t="array" ref="AR54">IFERROR(IF(AK54&lt;&gt;"",_xll.PBD(AK54,"Limit1.Investors Ids","","EUR",""),""),"")</f>
        <v/>
      </c>
      <c r="AS54" s="1640" t="str" cm="1">
        <f t="array" ref="AS54">IFERROR(IF(AR54&lt;&gt;"",_xll.PBD(AR54,"Name","","EUR",""),""),"")</f>
        <v/>
      </c>
      <c r="AT54" s="1640" t="str" cm="1">
        <f t="array" ref="AT54">IFERROR(IF(AR54&lt;&gt;"",_xll.PBD(AR54,"Primary Industry Code","","EUR",""),""),"")</f>
        <v/>
      </c>
      <c r="AU54" s="1640" t="str" cm="1">
        <f t="array" ref="AU54">IFERROR(IF(AR54&lt;&gt;"",_xll.PBD(AR54,"Limit2.Entity Types","","EUR",""),""),"")</f>
        <v/>
      </c>
      <c r="AV54" s="1640" t="str" cm="1">
        <f t="array" ref="AV54">IFERROR(IF(AR54&lt;&gt;"",_xll.PBD(AR54,"HQ Country","","EUR",""),""),"")</f>
        <v/>
      </c>
      <c r="AX54" s="1641" t="str" cm="1">
        <f t="array" ref="AX54">IFERROR(IF(AK54&lt;&gt;"",_xll.PBD(AK54,"Limit1.Deal Amount","","EUR","")/1000000,""),"")</f>
        <v/>
      </c>
      <c r="AY54" s="1641" t="str" cm="1">
        <f t="array" ref="AY54">IFERROR(IF(AK54&lt;&gt;"",_xll.PBD(AK54,"Limit1.Implied EV ","","EUR","")/1000000,""),"")</f>
        <v/>
      </c>
      <c r="AZ54" s="1694" t="str" cm="1">
        <f t="array" ref="AZ54">IFERROR(IF(AK54&lt;&gt;"",_xll.PBD(AK54,"Limit1.% Acquired ","","EUR",""),""),"")</f>
        <v/>
      </c>
      <c r="BB54" s="1695" t="str" cm="1">
        <f t="array" ref="BB54">IFERROR(IF(AK54&lt;&gt;"",_xll.PBD(AK54,"Implied EV / Revenue","","EUR",""),""),"")</f>
        <v/>
      </c>
      <c r="BC54" s="1695" t="str" cm="1">
        <f t="array" ref="BC54">IFERROR(IF(AK54&lt;&gt;"",_xll.PBD(AK54,"Implied EV / EBITDA","","EUR",""),""),"")</f>
        <v/>
      </c>
      <c r="BD54" s="1695" t="str" cm="1">
        <f t="array" ref="BD54">IFERROR(IF(AK54&lt;&gt;"",_xll.PBD(AK54,"Implied EV / EBIT","","EUR",""),""),"")</f>
        <v/>
      </c>
      <c r="BF54" s="1640" t="str" cm="1">
        <f t="array" ref="BF54">IFERROR(IF(AR54&lt;&gt;"",_xll.PBD(AR54,"Brief Description","","EUR",""),""),"")</f>
        <v/>
      </c>
    </row>
    <row r="55" spans="2:58" ht="13.9" customHeight="1">
      <c r="B55" s="1579"/>
      <c r="C55" s="1579"/>
      <c r="D55" s="1579"/>
      <c r="E55" s="1579"/>
      <c r="F55" s="1591"/>
      <c r="G55" s="1585"/>
      <c r="H55" s="1580"/>
      <c r="I55" s="1580"/>
      <c r="J55" s="1580"/>
      <c r="K55" s="1581"/>
      <c r="L55" s="1705"/>
      <c r="M55" s="1627"/>
      <c r="N55" s="1640" t="str" cm="1">
        <f t="array" ref="N55">IFERROR(IF($L55&lt;&gt;"",_xll.PBD($L55,"Name","","USD",""),""),"")</f>
        <v/>
      </c>
      <c r="O55" s="1640" t="str" cm="1">
        <f t="array" ref="O55">IFERROR(IF($L55&lt;&gt;"",_xll.PBD($L55,"Primary Industry Code","","",""),""),"")</f>
        <v/>
      </c>
      <c r="P55" s="1640" t="str" cm="1">
        <f t="array" ref="P55">IFERROR(IF($L55&lt;&gt;"",_xll.PBD($L55,"HQ Country","","",""),""),"")</f>
        <v/>
      </c>
      <c r="Q55" s="1640" t="str" cm="1">
        <f t="array" ref="Q55">IFERROR(IF($L55&lt;&gt;"",_xll.PBD($L55,"HQ City","","EUR",""),""),"")</f>
        <v/>
      </c>
      <c r="S55" s="1666" t="str" cm="1">
        <f t="array" aca="1" ref="S55" ca="1">IFERROR(IF($L55&lt;&gt;"",_xll.PBF($L55,"EV","TTM",$N$11,"","EUR","")/1000000,""),"")</f>
        <v/>
      </c>
      <c r="T55" s="1666" t="str" cm="1">
        <f t="array" aca="1" ref="T55" ca="1">IFERROR(IF($L55&lt;&gt;"",_xll.PBF($L55,"NET Debt","TTM",$N$11,"","EUR","")/1000000,""),"")</f>
        <v/>
      </c>
      <c r="U55" s="1666" t="str" cm="1">
        <f t="array" aca="1" ref="U55" ca="1">IFERROR(IF($L55&lt;&gt;"",_xll.PBF($L55,"Market Cap","TTM",$N$11,"","EUR","")/1000000,""),"")</f>
        <v/>
      </c>
      <c r="V55" s="1677" t="str" cm="1">
        <f t="array" aca="1" ref="V55" ca="1">IFERROR(IF($L55&lt;&gt;"",_xll.PBF($L55,"Total Debt to Equity","TTM",$V$21,"","EUR",""),""),"")</f>
        <v/>
      </c>
      <c r="W55" s="1677"/>
      <c r="X55" s="1666" t="str" cm="1">
        <f t="array" aca="1" ref="X55" ca="1">IFERROR(IF($L55&lt;&gt;"",_xll.PBF($L55,"Total Revenue","FY",$X$21,"","EUR","")/1000000,""),"")</f>
        <v/>
      </c>
      <c r="Y55" s="1666" t="str" cm="1">
        <f t="array" aca="1" ref="Y55" ca="1">IFERROR(IF($L55&lt;&gt;"",_xll.PBF($L55,"EBITDA","FY",$N$11,"","EUR","")/1000000,""),"")</f>
        <v/>
      </c>
      <c r="Z55" s="1666" t="str" cm="1">
        <f t="array" aca="1" ref="Z55" ca="1">IFERROR(IF($L55&lt;&gt;"",_xll.PBF($L55,"EBIT","FY",$N$11,"","EUR","")/1000000,""),"")</f>
        <v/>
      </c>
      <c r="AA55" s="1677" t="str" cm="1">
        <f t="array" aca="1" ref="AA55" ca="1">IFERROR(IF($L55&lt;&gt;"",_xll.PBF($L55,"Total Debt to EBITDA","FY",$AA$21,"","EUR",""),""),"")</f>
        <v/>
      </c>
      <c r="AB55" s="1670"/>
      <c r="AC55" s="1672" t="str" cm="1">
        <f t="array" aca="1" ref="AC55" ca="1">IFERROR(IF($L55&lt;&gt;"",_xll.PBF($L55,"EV to Revenue","FY",$N$11,"","EUR",""),""),"")</f>
        <v/>
      </c>
      <c r="AD55" s="1672" t="str" cm="1">
        <f t="array" aca="1" ref="AD55" ca="1">IFERROR(IF($L55&lt;&gt;"",_xll.PBF($L55,"EV to EBITDA","FY",$AD$21,"","EUR",""),""),"")</f>
        <v/>
      </c>
      <c r="AE55" s="1672" t="str" cm="1">
        <f t="array" aca="1" ref="AE55" ca="1">IFERROR(IF($L55&lt;&gt;"",_xll.PBF($L55,"EV to EBIT","FY",$AE$21,"","EUR",""),""),"")</f>
        <v/>
      </c>
      <c r="AF55" s="1672"/>
      <c r="AG55" s="1672" t="str" cm="1">
        <f t="array" aca="1" ref="AG55" ca="1">IFERROR(IF($L55&lt;&gt;"",_xll.PBF($L55,"EV to Forward Revenue","FY",$AG$21,"","EUR",""),""),"")</f>
        <v/>
      </c>
      <c r="AH55" s="1672" t="str" cm="1">
        <f t="array" aca="1" ref="AH55" ca="1">IFERROR(IF($L55&lt;&gt;"",_xll.PBF($L55,"EV to Forward EBITDA","FY",$AH$21,"","EUR",""),""),"")</f>
        <v/>
      </c>
      <c r="AI55" s="1672" t="str" cm="1">
        <f t="array" aca="1" ref="AI55" ca="1">IFERROR(IF($L55&lt;&gt;"",_xll.PBF($L55,"EV to Forward EBIT","FY",$AI$21,"","EUR",""),""),"")</f>
        <v/>
      </c>
      <c r="AJ55" s="1650"/>
      <c r="AK55" s="1705"/>
      <c r="AL55" s="1693" t="str" cm="1">
        <f t="array" ref="AL55">IFERROR(IF(AK55&lt;&gt;"",_xll.PBD(AK55,"Deal Date","","EUR",""),""),"")</f>
        <v/>
      </c>
      <c r="AM55" s="1693" t="str" cm="1">
        <f t="array" ref="AM55">IFERROR(IF(AK55&lt;&gt;"",_xll.PBD(AK55,"Limit1.Deal Type 1","","EUR",""),""),"")</f>
        <v/>
      </c>
      <c r="AN55" s="1693" t="str" cm="1">
        <f t="array" ref="AN55">IFERROR(IF(AK55&lt;&gt;"",_xll.PBD(AK55,"Limit1.Company Id","","EUR",""),""),"")</f>
        <v/>
      </c>
      <c r="AO55" s="1640" t="str" cm="1">
        <f t="array" ref="AO55">IFERROR(IF(AN55&lt;&gt;"",_xll.PBD(AN55,"Name","","EUR",""),""),"")</f>
        <v/>
      </c>
      <c r="AP55" s="1640" t="str" cm="1">
        <f t="array" ref="AP55">IFERROR(IF(AN55&lt;&gt;"",_xll.PBD(AN55,"Primary Industry Code","","EUR",""),""),"")</f>
        <v/>
      </c>
      <c r="AQ55" s="1640" t="str" cm="1">
        <f t="array" ref="AQ55">IFERROR(IF(AN55&lt;&gt;"",_xll.PBD(AN55,"HQ Country","","EUR",""),""),"")</f>
        <v/>
      </c>
      <c r="AR55" s="1640" t="str" cm="1">
        <f t="array" ref="AR55">IFERROR(IF(AK55&lt;&gt;"",_xll.PBD(AK55,"Limit1.Investors Ids","","EUR",""),""),"")</f>
        <v/>
      </c>
      <c r="AS55" s="1640" t="str" cm="1">
        <f t="array" ref="AS55">IFERROR(IF(AR55&lt;&gt;"",_xll.PBD(AR55,"Name","","EUR",""),""),"")</f>
        <v/>
      </c>
      <c r="AT55" s="1640" t="str" cm="1">
        <f t="array" ref="AT55">IFERROR(IF(AR55&lt;&gt;"",_xll.PBD(AR55,"Primary Industry Code","","EUR",""),""),"")</f>
        <v/>
      </c>
      <c r="AU55" s="1640" t="str" cm="1">
        <f t="array" ref="AU55">IFERROR(IF(AR55&lt;&gt;"",_xll.PBD(AR55,"Limit2.Entity Types","","EUR",""),""),"")</f>
        <v/>
      </c>
      <c r="AV55" s="1640" t="str" cm="1">
        <f t="array" ref="AV55">IFERROR(IF(AR55&lt;&gt;"",_xll.PBD(AR55,"HQ Country","","EUR",""),""),"")</f>
        <v/>
      </c>
      <c r="AX55" s="1641" t="str" cm="1">
        <f t="array" ref="AX55">IFERROR(IF(AK55&lt;&gt;"",_xll.PBD(AK55,"Limit1.Deal Amount","","EUR","")/1000000,""),"")</f>
        <v/>
      </c>
      <c r="AY55" s="1641" t="str" cm="1">
        <f t="array" ref="AY55">IFERROR(IF(AK55&lt;&gt;"",_xll.PBD(AK55,"Limit1.Implied EV ","","EUR","")/1000000,""),"")</f>
        <v/>
      </c>
      <c r="AZ55" s="1694" t="str" cm="1">
        <f t="array" ref="AZ55">IFERROR(IF(AK55&lt;&gt;"",_xll.PBD(AK55,"Limit1.% Acquired ","","EUR",""),""),"")</f>
        <v/>
      </c>
      <c r="BB55" s="1695" t="str" cm="1">
        <f t="array" ref="BB55">IFERROR(IF(AK55&lt;&gt;"",_xll.PBD(AK55,"Implied EV / Revenue","","EUR",""),""),"")</f>
        <v/>
      </c>
      <c r="BC55" s="1695" t="str" cm="1">
        <f t="array" ref="BC55">IFERROR(IF(AK55&lt;&gt;"",_xll.PBD(AK55,"Implied EV / EBITDA","","EUR",""),""),"")</f>
        <v/>
      </c>
      <c r="BD55" s="1695" t="str" cm="1">
        <f t="array" ref="BD55">IFERROR(IF(AK55&lt;&gt;"",_xll.PBD(AK55,"Implied EV / EBIT","","EUR",""),""),"")</f>
        <v/>
      </c>
      <c r="BF55" s="1640" t="str" cm="1">
        <f t="array" ref="BF55">IFERROR(IF(AR55&lt;&gt;"",_xll.PBD(AR55,"Brief Description","","EUR",""),""),"")</f>
        <v/>
      </c>
    </row>
    <row r="56" spans="2:58" ht="13.9" customHeight="1">
      <c r="B56" s="1579"/>
      <c r="C56" s="1579"/>
      <c r="D56" s="1579"/>
      <c r="E56" s="1579"/>
      <c r="F56" s="1591"/>
      <c r="G56" s="1585"/>
      <c r="H56" s="1580"/>
      <c r="I56" s="1580"/>
      <c r="J56" s="1580"/>
      <c r="K56" s="1581"/>
      <c r="L56" s="1705"/>
      <c r="M56" s="1628"/>
      <c r="N56" s="1640" t="str" cm="1">
        <f t="array" ref="N56">IFERROR(IF($L56&lt;&gt;"",_xll.PBD($L56,"Name","","USD",""),""),"")</f>
        <v/>
      </c>
      <c r="O56" s="1640" t="str" cm="1">
        <f t="array" ref="O56">IFERROR(IF($L56&lt;&gt;"",_xll.PBD($L56,"Primary Industry Code","","",""),""),"")</f>
        <v/>
      </c>
      <c r="P56" s="1640" t="str" cm="1">
        <f t="array" ref="P56">IFERROR(IF($L56&lt;&gt;"",_xll.PBD($L56,"HQ Country","","",""),""),"")</f>
        <v/>
      </c>
      <c r="Q56" s="1640" t="str" cm="1">
        <f t="array" ref="Q56">IFERROR(IF($L56&lt;&gt;"",_xll.PBD($L56,"HQ City","","EUR",""),""),"")</f>
        <v/>
      </c>
      <c r="S56" s="1666" t="str" cm="1">
        <f t="array" aca="1" ref="S56" ca="1">IFERROR(IF($L56&lt;&gt;"",_xll.PBF($L56,"EV","TTM",$N$11,"","EUR","")/1000000,""),"")</f>
        <v/>
      </c>
      <c r="T56" s="1666" t="str" cm="1">
        <f t="array" aca="1" ref="T56" ca="1">IFERROR(IF($L56&lt;&gt;"",_xll.PBF($L56,"NET Debt","TTM",$N$11,"","EUR","")/1000000,""),"")</f>
        <v/>
      </c>
      <c r="U56" s="1666" t="str" cm="1">
        <f t="array" aca="1" ref="U56" ca="1">IFERROR(IF($L56&lt;&gt;"",_xll.PBF($L56,"Market Cap","TTM",$N$11,"","EUR","")/1000000,""),"")</f>
        <v/>
      </c>
      <c r="V56" s="1677" t="str" cm="1">
        <f t="array" aca="1" ref="V56" ca="1">IFERROR(IF($L56&lt;&gt;"",_xll.PBF($L56,"Total Debt to Equity","TTM",$V$21,"","EUR",""),""),"")</f>
        <v/>
      </c>
      <c r="W56" s="1677"/>
      <c r="X56" s="1666" t="str" cm="1">
        <f t="array" aca="1" ref="X56" ca="1">IFERROR(IF($L56&lt;&gt;"",_xll.PBF($L56,"Total Revenue","FY",$X$21,"","EUR","")/1000000,""),"")</f>
        <v/>
      </c>
      <c r="Y56" s="1666" t="str" cm="1">
        <f t="array" aca="1" ref="Y56" ca="1">IFERROR(IF($L56&lt;&gt;"",_xll.PBF($L56,"EBITDA","FY",$N$11,"","EUR","")/1000000,""),"")</f>
        <v/>
      </c>
      <c r="Z56" s="1666" t="str" cm="1">
        <f t="array" aca="1" ref="Z56" ca="1">IFERROR(IF($L56&lt;&gt;"",_xll.PBF($L56,"EBIT","FY",$N$11,"","EUR","")/1000000,""),"")</f>
        <v/>
      </c>
      <c r="AA56" s="1677" t="str" cm="1">
        <f t="array" aca="1" ref="AA56" ca="1">IFERROR(IF($L56&lt;&gt;"",_xll.PBF($L56,"Total Debt to EBITDA","FY",$AA$21,"","EUR",""),""),"")</f>
        <v/>
      </c>
      <c r="AB56" s="1670"/>
      <c r="AC56" s="1672" t="str" cm="1">
        <f t="array" aca="1" ref="AC56" ca="1">IFERROR(IF($L56&lt;&gt;"",_xll.PBF($L56,"EV to Revenue","FY",$N$11,"","EUR",""),""),"")</f>
        <v/>
      </c>
      <c r="AD56" s="1672" t="str" cm="1">
        <f t="array" aca="1" ref="AD56" ca="1">IFERROR(IF($L56&lt;&gt;"",_xll.PBF($L56,"EV to EBITDA","FY",$AD$21,"","EUR",""),""),"")</f>
        <v/>
      </c>
      <c r="AE56" s="1672" t="str" cm="1">
        <f t="array" aca="1" ref="AE56" ca="1">IFERROR(IF($L56&lt;&gt;"",_xll.PBF($L56,"EV to EBIT","FY",$AE$21,"","EUR",""),""),"")</f>
        <v/>
      </c>
      <c r="AF56" s="1672"/>
      <c r="AG56" s="1672" t="str" cm="1">
        <f t="array" aca="1" ref="AG56" ca="1">IFERROR(IF($L56&lt;&gt;"",_xll.PBF($L56,"EV to Forward Revenue","FY",$AG$21,"","EUR",""),""),"")</f>
        <v/>
      </c>
      <c r="AH56" s="1672" t="str" cm="1">
        <f t="array" aca="1" ref="AH56" ca="1">IFERROR(IF($L56&lt;&gt;"",_xll.PBF($L56,"EV to Forward EBITDA","FY",$AH$21,"","EUR",""),""),"")</f>
        <v/>
      </c>
      <c r="AI56" s="1672" t="str" cm="1">
        <f t="array" aca="1" ref="AI56" ca="1">IFERROR(IF($L56&lt;&gt;"",_xll.PBF($L56,"EV to Forward EBIT","FY",$AI$21,"","EUR",""),""),"")</f>
        <v/>
      </c>
      <c r="AJ56" s="1650"/>
      <c r="AK56" s="1705"/>
      <c r="AL56" s="1693" t="str" cm="1">
        <f t="array" ref="AL56">IFERROR(IF(AK56&lt;&gt;"",_xll.PBD(AK56,"Deal Date","","EUR",""),""),"")</f>
        <v/>
      </c>
      <c r="AM56" s="1693" t="str" cm="1">
        <f t="array" ref="AM56">IFERROR(IF(AK56&lt;&gt;"",_xll.PBD(AK56,"Limit1.Deal Type 1","","EUR",""),""),"")</f>
        <v/>
      </c>
      <c r="AN56" s="1693" t="str" cm="1">
        <f t="array" ref="AN56">IFERROR(IF(AK56&lt;&gt;"",_xll.PBD(AK56,"Limit1.Company Id","","EUR",""),""),"")</f>
        <v/>
      </c>
      <c r="AO56" s="1640" t="str" cm="1">
        <f t="array" ref="AO56">IFERROR(IF(AN56&lt;&gt;"",_xll.PBD(AN56,"Name","","EUR",""),""),"")</f>
        <v/>
      </c>
      <c r="AP56" s="1640" t="str" cm="1">
        <f t="array" ref="AP56">IFERROR(IF(AN56&lt;&gt;"",_xll.PBD(AN56,"Primary Industry Code","","EUR",""),""),"")</f>
        <v/>
      </c>
      <c r="AQ56" s="1640" t="str" cm="1">
        <f t="array" ref="AQ56">IFERROR(IF(AN56&lt;&gt;"",_xll.PBD(AN56,"HQ Country","","EUR",""),""),"")</f>
        <v/>
      </c>
      <c r="AR56" s="1640" t="str" cm="1">
        <f t="array" ref="AR56">IFERROR(IF(AK56&lt;&gt;"",_xll.PBD(AK56,"Limit1.Investors Ids","","EUR",""),""),"")</f>
        <v/>
      </c>
      <c r="AS56" s="1640" t="str" cm="1">
        <f t="array" ref="AS56">IFERROR(IF(AR56&lt;&gt;"",_xll.PBD(AR56,"Name","","EUR",""),""),"")</f>
        <v/>
      </c>
      <c r="AT56" s="1640" t="str" cm="1">
        <f t="array" ref="AT56">IFERROR(IF(AR56&lt;&gt;"",_xll.PBD(AR56,"Primary Industry Code","","EUR",""),""),"")</f>
        <v/>
      </c>
      <c r="AU56" s="1640" t="str" cm="1">
        <f t="array" ref="AU56">IFERROR(IF(AR56&lt;&gt;"",_xll.PBD(AR56,"Limit2.Entity Types","","EUR",""),""),"")</f>
        <v/>
      </c>
      <c r="AV56" s="1640" t="str" cm="1">
        <f t="array" ref="AV56">IFERROR(IF(AR56&lt;&gt;"",_xll.PBD(AR56,"HQ Country","","EUR",""),""),"")</f>
        <v/>
      </c>
      <c r="AX56" s="1641" t="str" cm="1">
        <f t="array" ref="AX56">IFERROR(IF(AK56&lt;&gt;"",_xll.PBD(AK56,"Limit1.Deal Amount","","EUR","")/1000000,""),"")</f>
        <v/>
      </c>
      <c r="AY56" s="1641" t="str" cm="1">
        <f t="array" ref="AY56">IFERROR(IF(AK56&lt;&gt;"",_xll.PBD(AK56,"Limit1.Implied EV ","","EUR","")/1000000,""),"")</f>
        <v/>
      </c>
      <c r="AZ56" s="1694" t="str" cm="1">
        <f t="array" ref="AZ56">IFERROR(IF(AK56&lt;&gt;"",_xll.PBD(AK56,"Limit1.% Acquired ","","EUR",""),""),"")</f>
        <v/>
      </c>
      <c r="BB56" s="1695" t="str" cm="1">
        <f t="array" ref="BB56">IFERROR(IF(AK56&lt;&gt;"",_xll.PBD(AK56,"Implied EV / Revenue","","EUR",""),""),"")</f>
        <v/>
      </c>
      <c r="BC56" s="1695" t="str" cm="1">
        <f t="array" ref="BC56">IFERROR(IF(AK56&lt;&gt;"",_xll.PBD(AK56,"Implied EV / EBITDA","","EUR",""),""),"")</f>
        <v/>
      </c>
      <c r="BD56" s="1695" t="str" cm="1">
        <f t="array" ref="BD56">IFERROR(IF(AK56&lt;&gt;"",_xll.PBD(AK56,"Implied EV / EBIT","","EUR",""),""),"")</f>
        <v/>
      </c>
      <c r="BF56" s="1640" t="str" cm="1">
        <f t="array" ref="BF56">IFERROR(IF(AR56&lt;&gt;"",_xll.PBD(AR56,"Brief Description","","EUR",""),""),"")</f>
        <v/>
      </c>
    </row>
    <row r="57" spans="2:58" ht="13.9" customHeight="1">
      <c r="B57" s="1579"/>
      <c r="C57" s="1579"/>
      <c r="D57" s="1579"/>
      <c r="E57" s="1579"/>
      <c r="F57" s="1591"/>
      <c r="G57" s="1585"/>
      <c r="H57" s="1580"/>
      <c r="I57" s="1580"/>
      <c r="J57" s="1580"/>
      <c r="K57" s="1581"/>
      <c r="L57" s="1705"/>
      <c r="M57" s="1584"/>
      <c r="N57" s="1640" t="str" cm="1">
        <f t="array" ref="N57">IFERROR(IF($L57&lt;&gt;"",_xll.PBD($L57,"Name","","USD",""),""),"")</f>
        <v/>
      </c>
      <c r="O57" s="1640" t="str" cm="1">
        <f t="array" ref="O57">IFERROR(IF($L57&lt;&gt;"",_xll.PBD($L57,"Primary Industry Code","","",""),""),"")</f>
        <v/>
      </c>
      <c r="P57" s="1640" t="str" cm="1">
        <f t="array" ref="P57">IFERROR(IF($L57&lt;&gt;"",_xll.PBD($L57,"HQ Country","","",""),""),"")</f>
        <v/>
      </c>
      <c r="Q57" s="1640" t="str" cm="1">
        <f t="array" ref="Q57">IFERROR(IF($L57&lt;&gt;"",_xll.PBD($L57,"HQ City","","EUR",""),""),"")</f>
        <v/>
      </c>
      <c r="S57" s="1666" t="str" cm="1">
        <f t="array" aca="1" ref="S57" ca="1">IFERROR(IF($L57&lt;&gt;"",_xll.PBF($L57,"EV","TTM",$N$11,"","EUR","")/1000000,""),"")</f>
        <v/>
      </c>
      <c r="T57" s="1666" t="str" cm="1">
        <f t="array" aca="1" ref="T57" ca="1">IFERROR(IF($L57&lt;&gt;"",_xll.PBF($L57,"NET Debt","TTM",$N$11,"","EUR","")/1000000,""),"")</f>
        <v/>
      </c>
      <c r="U57" s="1666" t="str" cm="1">
        <f t="array" aca="1" ref="U57" ca="1">IFERROR(IF($L57&lt;&gt;"",_xll.PBF($L57,"Market Cap","TTM",$N$11,"","EUR","")/1000000,""),"")</f>
        <v/>
      </c>
      <c r="V57" s="1677" t="str" cm="1">
        <f t="array" aca="1" ref="V57" ca="1">IFERROR(IF($L57&lt;&gt;"",_xll.PBF($L57,"Total Debt to Equity","TTM",$V$21,"","EUR",""),""),"")</f>
        <v/>
      </c>
      <c r="W57" s="1677"/>
      <c r="X57" s="1666" t="str" cm="1">
        <f t="array" aca="1" ref="X57" ca="1">IFERROR(IF($L57&lt;&gt;"",_xll.PBF($L57,"Total Revenue","FY",$X$21,"","EUR","")/1000000,""),"")</f>
        <v/>
      </c>
      <c r="Y57" s="1666" t="str" cm="1">
        <f t="array" aca="1" ref="Y57" ca="1">IFERROR(IF($L57&lt;&gt;"",_xll.PBF($L57,"EBITDA","FY",$N$11,"","EUR","")/1000000,""),"")</f>
        <v/>
      </c>
      <c r="Z57" s="1666" t="str" cm="1">
        <f t="array" aca="1" ref="Z57" ca="1">IFERROR(IF($L57&lt;&gt;"",_xll.PBF($L57,"EBIT","FY",$N$11,"","EUR","")/1000000,""),"")</f>
        <v/>
      </c>
      <c r="AA57" s="1677" t="str" cm="1">
        <f t="array" aca="1" ref="AA57" ca="1">IFERROR(IF($L57&lt;&gt;"",_xll.PBF($L57,"Total Debt to EBITDA","FY",$AA$21,"","EUR",""),""),"")</f>
        <v/>
      </c>
      <c r="AB57" s="1670"/>
      <c r="AC57" s="1672" t="str" cm="1">
        <f t="array" aca="1" ref="AC57" ca="1">IFERROR(IF($L57&lt;&gt;"",_xll.PBF($L57,"EV to Revenue","FY",$N$11,"","EUR",""),""),"")</f>
        <v/>
      </c>
      <c r="AD57" s="1672" t="str" cm="1">
        <f t="array" aca="1" ref="AD57" ca="1">IFERROR(IF($L57&lt;&gt;"",_xll.PBF($L57,"EV to EBITDA","FY",$AD$21,"","EUR",""),""),"")</f>
        <v/>
      </c>
      <c r="AE57" s="1672" t="str" cm="1">
        <f t="array" aca="1" ref="AE57" ca="1">IFERROR(IF($L57&lt;&gt;"",_xll.PBF($L57,"EV to EBIT","FY",$AE$21,"","EUR",""),""),"")</f>
        <v/>
      </c>
      <c r="AF57" s="1672"/>
      <c r="AG57" s="1672" t="str" cm="1">
        <f t="array" aca="1" ref="AG57" ca="1">IFERROR(IF($L57&lt;&gt;"",_xll.PBF($L57,"EV to Forward Revenue","FY",$AG$21,"","EUR",""),""),"")</f>
        <v/>
      </c>
      <c r="AH57" s="1672" t="str" cm="1">
        <f t="array" aca="1" ref="AH57" ca="1">IFERROR(IF($L57&lt;&gt;"",_xll.PBF($L57,"EV to Forward EBITDA","FY",$AH$21,"","EUR",""),""),"")</f>
        <v/>
      </c>
      <c r="AI57" s="1672" t="str" cm="1">
        <f t="array" aca="1" ref="AI57" ca="1">IFERROR(IF($L57&lt;&gt;"",_xll.PBF($L57,"EV to Forward EBIT","FY",$AI$21,"","EUR",""),""),"")</f>
        <v/>
      </c>
      <c r="AJ57" s="1650"/>
      <c r="AK57" s="1705"/>
      <c r="AL57" s="1693" t="str" cm="1">
        <f t="array" ref="AL57">IFERROR(IF(AK57&lt;&gt;"",_xll.PBD(AK57,"Deal Date","","EUR",""),""),"")</f>
        <v/>
      </c>
      <c r="AM57" s="1693" t="str" cm="1">
        <f t="array" ref="AM57">IFERROR(IF(AK57&lt;&gt;"",_xll.PBD(AK57,"Limit1.Deal Type 1","","EUR",""),""),"")</f>
        <v/>
      </c>
      <c r="AN57" s="1693" t="str" cm="1">
        <f t="array" ref="AN57">IFERROR(IF(AK57&lt;&gt;"",_xll.PBD(AK57,"Limit1.Company Id","","EUR",""),""),"")</f>
        <v/>
      </c>
      <c r="AO57" s="1640" t="str" cm="1">
        <f t="array" ref="AO57">IFERROR(IF(AN57&lt;&gt;"",_xll.PBD(AN57,"Name","","EUR",""),""),"")</f>
        <v/>
      </c>
      <c r="AP57" s="1640" t="str" cm="1">
        <f t="array" ref="AP57">IFERROR(IF(AN57&lt;&gt;"",_xll.PBD(AN57,"Primary Industry Code","","EUR",""),""),"")</f>
        <v/>
      </c>
      <c r="AQ57" s="1640" t="str" cm="1">
        <f t="array" ref="AQ57">IFERROR(IF(AN57&lt;&gt;"",_xll.PBD(AN57,"HQ Country","","EUR",""),""),"")</f>
        <v/>
      </c>
      <c r="AR57" s="1640" t="str" cm="1">
        <f t="array" ref="AR57">IFERROR(IF(AK57&lt;&gt;"",_xll.PBD(AK57,"Limit1.Investors Ids","","EUR",""),""),"")</f>
        <v/>
      </c>
      <c r="AS57" s="1640" t="str" cm="1">
        <f t="array" ref="AS57">IFERROR(IF(AR57&lt;&gt;"",_xll.PBD(AR57,"Name","","EUR",""),""),"")</f>
        <v/>
      </c>
      <c r="AT57" s="1640" t="str" cm="1">
        <f t="array" ref="AT57">IFERROR(IF(AR57&lt;&gt;"",_xll.PBD(AR57,"Primary Industry Code","","EUR",""),""),"")</f>
        <v/>
      </c>
      <c r="AU57" s="1640" t="str" cm="1">
        <f t="array" ref="AU57">IFERROR(IF(AR57&lt;&gt;"",_xll.PBD(AR57,"Limit2.Entity Types","","EUR",""),""),"")</f>
        <v/>
      </c>
      <c r="AV57" s="1640" t="str" cm="1">
        <f t="array" ref="AV57">IFERROR(IF(AR57&lt;&gt;"",_xll.PBD(AR57,"HQ Country","","EUR",""),""),"")</f>
        <v/>
      </c>
      <c r="AX57" s="1641" t="str" cm="1">
        <f t="array" ref="AX57">IFERROR(IF(AK57&lt;&gt;"",_xll.PBD(AK57,"Limit1.Deal Amount","","EUR","")/1000000,""),"")</f>
        <v/>
      </c>
      <c r="AY57" s="1641" t="str" cm="1">
        <f t="array" ref="AY57">IFERROR(IF(AK57&lt;&gt;"",_xll.PBD(AK57,"Limit1.Implied EV ","","EUR","")/1000000,""),"")</f>
        <v/>
      </c>
      <c r="AZ57" s="1694" t="str" cm="1">
        <f t="array" ref="AZ57">IFERROR(IF(AK57&lt;&gt;"",_xll.PBD(AK57,"Limit1.% Acquired ","","EUR",""),""),"")</f>
        <v/>
      </c>
      <c r="BB57" s="1695" t="str" cm="1">
        <f t="array" ref="BB57">IFERROR(IF(AK57&lt;&gt;"",_xll.PBD(AK57,"Implied EV / Revenue","","EUR",""),""),"")</f>
        <v/>
      </c>
      <c r="BC57" s="1695" t="str" cm="1">
        <f t="array" ref="BC57">IFERROR(IF(AK57&lt;&gt;"",_xll.PBD(AK57,"Implied EV / EBITDA","","EUR",""),""),"")</f>
        <v/>
      </c>
      <c r="BD57" s="1695" t="str" cm="1">
        <f t="array" ref="BD57">IFERROR(IF(AK57&lt;&gt;"",_xll.PBD(AK57,"Implied EV / EBIT","","EUR",""),""),"")</f>
        <v/>
      </c>
      <c r="BF57" s="1640" t="str" cm="1">
        <f t="array" ref="BF57">IFERROR(IF(AR57&lt;&gt;"",_xll.PBD(AR57,"Brief Description","","EUR",""),""),"")</f>
        <v/>
      </c>
    </row>
    <row r="58" spans="2:58" ht="13.9" customHeight="1">
      <c r="B58" s="1579"/>
      <c r="C58" s="1579"/>
      <c r="D58" s="1579"/>
      <c r="E58" s="1579"/>
      <c r="F58" s="1591"/>
      <c r="G58" s="1585"/>
      <c r="H58" s="1580"/>
      <c r="I58" s="1580"/>
      <c r="J58" s="1580"/>
      <c r="K58" s="1581"/>
      <c r="L58" s="1705"/>
      <c r="M58" s="1630"/>
      <c r="N58" s="1640" t="str" cm="1">
        <f t="array" ref="N58">IFERROR(IF($L58&lt;&gt;"",_xll.PBD($L58,"Name","","USD",""),""),"")</f>
        <v/>
      </c>
      <c r="O58" s="1640" t="str" cm="1">
        <f t="array" ref="O58">IFERROR(IF($L58&lt;&gt;"",_xll.PBD($L58,"Primary Industry Code","","",""),""),"")</f>
        <v/>
      </c>
      <c r="P58" s="1640" t="str" cm="1">
        <f t="array" ref="P58">IFERROR(IF($L58&lt;&gt;"",_xll.PBD($L58,"HQ Country","","",""),""),"")</f>
        <v/>
      </c>
      <c r="Q58" s="1640" t="str" cm="1">
        <f t="array" ref="Q58">IFERROR(IF($L58&lt;&gt;"",_xll.PBD($L58,"HQ City","","EUR",""),""),"")</f>
        <v/>
      </c>
      <c r="S58" s="1666" t="str" cm="1">
        <f t="array" aca="1" ref="S58" ca="1">IFERROR(IF($L58&lt;&gt;"",_xll.PBF($L58,"EV","TTM",$N$11,"","EUR","")/1000000,""),"")</f>
        <v/>
      </c>
      <c r="T58" s="1666" t="str" cm="1">
        <f t="array" aca="1" ref="T58" ca="1">IFERROR(IF($L58&lt;&gt;"",_xll.PBF($L58,"NET Debt","TTM",$N$11,"","EUR","")/1000000,""),"")</f>
        <v/>
      </c>
      <c r="U58" s="1666" t="str" cm="1">
        <f t="array" aca="1" ref="U58" ca="1">IFERROR(IF($L58&lt;&gt;"",_xll.PBF($L58,"Market Cap","TTM",$N$11,"","EUR","")/1000000,""),"")</f>
        <v/>
      </c>
      <c r="V58" s="1677" t="str" cm="1">
        <f t="array" aca="1" ref="V58" ca="1">IFERROR(IF($L58&lt;&gt;"",_xll.PBF($L58,"Total Debt to Equity","TTM",$V$21,"","EUR",""),""),"")</f>
        <v/>
      </c>
      <c r="W58" s="1677"/>
      <c r="X58" s="1666" t="str" cm="1">
        <f t="array" aca="1" ref="X58" ca="1">IFERROR(IF($L58&lt;&gt;"",_xll.PBF($L58,"Total Revenue","FY",$X$21,"","EUR","")/1000000,""),"")</f>
        <v/>
      </c>
      <c r="Y58" s="1666" t="str" cm="1">
        <f t="array" aca="1" ref="Y58" ca="1">IFERROR(IF($L58&lt;&gt;"",_xll.PBF($L58,"EBITDA","FY",$N$11,"","EUR","")/1000000,""),"")</f>
        <v/>
      </c>
      <c r="Z58" s="1666" t="str" cm="1">
        <f t="array" aca="1" ref="Z58" ca="1">IFERROR(IF($L58&lt;&gt;"",_xll.PBF($L58,"EBIT","FY",$N$11,"","EUR","")/1000000,""),"")</f>
        <v/>
      </c>
      <c r="AA58" s="1677" t="str" cm="1">
        <f t="array" aca="1" ref="AA58" ca="1">IFERROR(IF($L58&lt;&gt;"",_xll.PBF($L58,"Total Debt to EBITDA","FY",$AA$21,"","EUR",""),""),"")</f>
        <v/>
      </c>
      <c r="AB58" s="1670"/>
      <c r="AC58" s="1672" t="str" cm="1">
        <f t="array" aca="1" ref="AC58" ca="1">IFERROR(IF($L58&lt;&gt;"",_xll.PBF($L58,"EV to Revenue","FY",$N$11,"","EUR",""),""),"")</f>
        <v/>
      </c>
      <c r="AD58" s="1672" t="str" cm="1">
        <f t="array" aca="1" ref="AD58" ca="1">IFERROR(IF($L58&lt;&gt;"",_xll.PBF($L58,"EV to EBITDA","FY",$AD$21,"","EUR",""),""),"")</f>
        <v/>
      </c>
      <c r="AE58" s="1672" t="str" cm="1">
        <f t="array" aca="1" ref="AE58" ca="1">IFERROR(IF($L58&lt;&gt;"",_xll.PBF($L58,"EV to EBIT","FY",$AE$21,"","EUR",""),""),"")</f>
        <v/>
      </c>
      <c r="AF58" s="1672"/>
      <c r="AG58" s="1672" t="str" cm="1">
        <f t="array" aca="1" ref="AG58" ca="1">IFERROR(IF($L58&lt;&gt;"",_xll.PBF($L58,"EV to Forward Revenue","FY",$AG$21,"","EUR",""),""),"")</f>
        <v/>
      </c>
      <c r="AH58" s="1672" t="str" cm="1">
        <f t="array" aca="1" ref="AH58" ca="1">IFERROR(IF($L58&lt;&gt;"",_xll.PBF($L58,"EV to Forward EBITDA","FY",$AH$21,"","EUR",""),""),"")</f>
        <v/>
      </c>
      <c r="AI58" s="1672" t="str" cm="1">
        <f t="array" aca="1" ref="AI58" ca="1">IFERROR(IF($L58&lt;&gt;"",_xll.PBF($L58,"EV to Forward EBIT","FY",$AI$21,"","EUR",""),""),"")</f>
        <v/>
      </c>
      <c r="AJ58" s="1650"/>
      <c r="AK58" s="1705"/>
      <c r="AL58" s="1693" t="str" cm="1">
        <f t="array" ref="AL58">IFERROR(IF(AK58&lt;&gt;"",_xll.PBD(AK58,"Deal Date","","EUR",""),""),"")</f>
        <v/>
      </c>
      <c r="AM58" s="1693" t="str" cm="1">
        <f t="array" ref="AM58">IFERROR(IF(AK58&lt;&gt;"",_xll.PBD(AK58,"Limit1.Deal Type 1","","EUR",""),""),"")</f>
        <v/>
      </c>
      <c r="AN58" s="1693" t="str" cm="1">
        <f t="array" ref="AN58">IFERROR(IF(AK58&lt;&gt;"",_xll.PBD(AK58,"Limit1.Company Id","","EUR",""),""),"")</f>
        <v/>
      </c>
      <c r="AO58" s="1640" t="str" cm="1">
        <f t="array" ref="AO58">IFERROR(IF(AN58&lt;&gt;"",_xll.PBD(AN58,"Name","","EUR",""),""),"")</f>
        <v/>
      </c>
      <c r="AP58" s="1640" t="str" cm="1">
        <f t="array" ref="AP58">IFERROR(IF(AN58&lt;&gt;"",_xll.PBD(AN58,"Primary Industry Code","","EUR",""),""),"")</f>
        <v/>
      </c>
      <c r="AQ58" s="1640" t="str" cm="1">
        <f t="array" ref="AQ58">IFERROR(IF(AN58&lt;&gt;"",_xll.PBD(AN58,"HQ Country","","EUR",""),""),"")</f>
        <v/>
      </c>
      <c r="AR58" s="1640" t="str" cm="1">
        <f t="array" ref="AR58">IFERROR(IF(AK58&lt;&gt;"",_xll.PBD(AK58,"Limit1.Investors Ids","","EUR",""),""),"")</f>
        <v/>
      </c>
      <c r="AS58" s="1640" t="str" cm="1">
        <f t="array" ref="AS58">IFERROR(IF(AR58&lt;&gt;"",_xll.PBD(AR58,"Name","","EUR",""),""),"")</f>
        <v/>
      </c>
      <c r="AT58" s="1640" t="str" cm="1">
        <f t="array" ref="AT58">IFERROR(IF(AR58&lt;&gt;"",_xll.PBD(AR58,"Primary Industry Code","","EUR",""),""),"")</f>
        <v/>
      </c>
      <c r="AU58" s="1640" t="str" cm="1">
        <f t="array" ref="AU58">IFERROR(IF(AR58&lt;&gt;"",_xll.PBD(AR58,"Limit2.Entity Types","","EUR",""),""),"")</f>
        <v/>
      </c>
      <c r="AV58" s="1640" t="str" cm="1">
        <f t="array" ref="AV58">IFERROR(IF(AR58&lt;&gt;"",_xll.PBD(AR58,"HQ Country","","EUR",""),""),"")</f>
        <v/>
      </c>
      <c r="AX58" s="1641" t="str" cm="1">
        <f t="array" ref="AX58">IFERROR(IF(AK58&lt;&gt;"",_xll.PBD(AK58,"Limit1.Deal Amount","","EUR","")/1000000,""),"")</f>
        <v/>
      </c>
      <c r="AY58" s="1641" t="str" cm="1">
        <f t="array" ref="AY58">IFERROR(IF(AK58&lt;&gt;"",_xll.PBD(AK58,"Limit1.Implied EV ","","EUR","")/1000000,""),"")</f>
        <v/>
      </c>
      <c r="AZ58" s="1694" t="str" cm="1">
        <f t="array" ref="AZ58">IFERROR(IF(AK58&lt;&gt;"",_xll.PBD(AK58,"Limit1.% Acquired ","","EUR",""),""),"")</f>
        <v/>
      </c>
      <c r="BB58" s="1695" t="str" cm="1">
        <f t="array" ref="BB58">IFERROR(IF(AK58&lt;&gt;"",_xll.PBD(AK58,"Implied EV / Revenue","","EUR",""),""),"")</f>
        <v/>
      </c>
      <c r="BC58" s="1695" t="str" cm="1">
        <f t="array" ref="BC58">IFERROR(IF(AK58&lt;&gt;"",_xll.PBD(AK58,"Implied EV / EBITDA","","EUR",""),""),"")</f>
        <v/>
      </c>
      <c r="BD58" s="1695" t="str" cm="1">
        <f t="array" ref="BD58">IFERROR(IF(AK58&lt;&gt;"",_xll.PBD(AK58,"Implied EV / EBIT","","EUR",""),""),"")</f>
        <v/>
      </c>
      <c r="BF58" s="1640" t="str" cm="1">
        <f t="array" ref="BF58">IFERROR(IF(AR58&lt;&gt;"",_xll.PBD(AR58,"Brief Description","","EUR",""),""),"")</f>
        <v/>
      </c>
    </row>
    <row r="59" spans="2:58" ht="13.9" customHeight="1">
      <c r="B59" s="1579"/>
      <c r="C59" s="1579"/>
      <c r="D59" s="1579"/>
      <c r="E59" s="1579"/>
      <c r="F59" s="1591"/>
      <c r="G59" s="1585"/>
      <c r="H59" s="1580"/>
      <c r="I59" s="1580"/>
      <c r="J59" s="1580"/>
      <c r="K59" s="1581"/>
      <c r="L59" s="1705"/>
      <c r="M59" s="1634"/>
      <c r="N59" s="1640" t="str" cm="1">
        <f t="array" ref="N59">IFERROR(IF($L59&lt;&gt;"",_xll.PBD($L59,"Name","","USD",""),""),"")</f>
        <v/>
      </c>
      <c r="O59" s="1640" t="str" cm="1">
        <f t="array" ref="O59">IFERROR(IF($L59&lt;&gt;"",_xll.PBD($L59,"Primary Industry Code","","",""),""),"")</f>
        <v/>
      </c>
      <c r="P59" s="1640" t="str" cm="1">
        <f t="array" ref="P59">IFERROR(IF($L59&lt;&gt;"",_xll.PBD($L59,"HQ Country","","",""),""),"")</f>
        <v/>
      </c>
      <c r="Q59" s="1640" t="str" cm="1">
        <f t="array" ref="Q59">IFERROR(IF($L59&lt;&gt;"",_xll.PBD($L59,"HQ City","","EUR",""),""),"")</f>
        <v/>
      </c>
      <c r="S59" s="1666" t="str" cm="1">
        <f t="array" aca="1" ref="S59" ca="1">IFERROR(IF($L59&lt;&gt;"",_xll.PBF($L59,"EV","TTM",$N$11,"","EUR","")/1000000,""),"")</f>
        <v/>
      </c>
      <c r="T59" s="1666" t="str" cm="1">
        <f t="array" aca="1" ref="T59" ca="1">IFERROR(IF($L59&lt;&gt;"",_xll.PBF($L59,"NET Debt","TTM",$N$11,"","EUR","")/1000000,""),"")</f>
        <v/>
      </c>
      <c r="U59" s="1666" t="str" cm="1">
        <f t="array" aca="1" ref="U59" ca="1">IFERROR(IF($L59&lt;&gt;"",_xll.PBF($L59,"Market Cap","TTM",$N$11,"","EUR","")/1000000,""),"")</f>
        <v/>
      </c>
      <c r="V59" s="1677" t="str" cm="1">
        <f t="array" aca="1" ref="V59" ca="1">IFERROR(IF($L59&lt;&gt;"",_xll.PBF($L59,"Total Debt to Equity","TTM",$V$21,"","EUR",""),""),"")</f>
        <v/>
      </c>
      <c r="W59" s="1677"/>
      <c r="X59" s="1666" t="str" cm="1">
        <f t="array" aca="1" ref="X59" ca="1">IFERROR(IF($L59&lt;&gt;"",_xll.PBF($L59,"Total Revenue","FY",$X$21,"","EUR","")/1000000,""),"")</f>
        <v/>
      </c>
      <c r="Y59" s="1666" t="str" cm="1">
        <f t="array" aca="1" ref="Y59" ca="1">IFERROR(IF($L59&lt;&gt;"",_xll.PBF($L59,"EBITDA","FY",$N$11,"","EUR","")/1000000,""),"")</f>
        <v/>
      </c>
      <c r="Z59" s="1666" t="str" cm="1">
        <f t="array" aca="1" ref="Z59" ca="1">IFERROR(IF($L59&lt;&gt;"",_xll.PBF($L59,"EBIT","FY",$N$11,"","EUR","")/1000000,""),"")</f>
        <v/>
      </c>
      <c r="AA59" s="1677" t="str" cm="1">
        <f t="array" aca="1" ref="AA59" ca="1">IFERROR(IF($L59&lt;&gt;"",_xll.PBF($L59,"Total Debt to EBITDA","FY",$AA$21,"","EUR",""),""),"")</f>
        <v/>
      </c>
      <c r="AB59" s="1670"/>
      <c r="AC59" s="1672" t="str" cm="1">
        <f t="array" aca="1" ref="AC59" ca="1">IFERROR(IF($L59&lt;&gt;"",_xll.PBF($L59,"EV to Revenue","FY",$N$11,"","EUR",""),""),"")</f>
        <v/>
      </c>
      <c r="AD59" s="1672" t="str" cm="1">
        <f t="array" aca="1" ref="AD59" ca="1">IFERROR(IF($L59&lt;&gt;"",_xll.PBF($L59,"EV to EBITDA","FY",$AD$21,"","EUR",""),""),"")</f>
        <v/>
      </c>
      <c r="AE59" s="1672" t="str" cm="1">
        <f t="array" aca="1" ref="AE59" ca="1">IFERROR(IF($L59&lt;&gt;"",_xll.PBF($L59,"EV to EBIT","FY",$AE$21,"","EUR",""),""),"")</f>
        <v/>
      </c>
      <c r="AF59" s="1672"/>
      <c r="AG59" s="1672" t="str" cm="1">
        <f t="array" aca="1" ref="AG59" ca="1">IFERROR(IF($L59&lt;&gt;"",_xll.PBF($L59,"EV to Forward Revenue","FY",$AG$21,"","EUR",""),""),"")</f>
        <v/>
      </c>
      <c r="AH59" s="1672" t="str" cm="1">
        <f t="array" aca="1" ref="AH59" ca="1">IFERROR(IF($L59&lt;&gt;"",_xll.PBF($L59,"EV to Forward EBITDA","FY",$AH$21,"","EUR",""),""),"")</f>
        <v/>
      </c>
      <c r="AI59" s="1672" t="str" cm="1">
        <f t="array" aca="1" ref="AI59" ca="1">IFERROR(IF($L59&lt;&gt;"",_xll.PBF($L59,"EV to Forward EBIT","FY",$AI$21,"","EUR",""),""),"")</f>
        <v/>
      </c>
      <c r="AJ59" s="1650"/>
      <c r="AK59" s="1705"/>
      <c r="AL59" s="1693" t="str" cm="1">
        <f t="array" ref="AL59">IFERROR(IF(AK59&lt;&gt;"",_xll.PBD(AK59,"Deal Date","","EUR",""),""),"")</f>
        <v/>
      </c>
      <c r="AM59" s="1693" t="str" cm="1">
        <f t="array" ref="AM59">IFERROR(IF(AK59&lt;&gt;"",_xll.PBD(AK59,"Limit1.Deal Type 1","","EUR",""),""),"")</f>
        <v/>
      </c>
      <c r="AN59" s="1693" t="str" cm="1">
        <f t="array" ref="AN59">IFERROR(IF(AK59&lt;&gt;"",_xll.PBD(AK59,"Limit1.Company Id","","EUR",""),""),"")</f>
        <v/>
      </c>
      <c r="AO59" s="1640" t="str" cm="1">
        <f t="array" ref="AO59">IFERROR(IF(AN59&lt;&gt;"",_xll.PBD(AN59,"Name","","EUR",""),""),"")</f>
        <v/>
      </c>
      <c r="AP59" s="1640" t="str" cm="1">
        <f t="array" ref="AP59">IFERROR(IF(AN59&lt;&gt;"",_xll.PBD(AN59,"Primary Industry Code","","EUR",""),""),"")</f>
        <v/>
      </c>
      <c r="AQ59" s="1640" t="str" cm="1">
        <f t="array" ref="AQ59">IFERROR(IF(AN59&lt;&gt;"",_xll.PBD(AN59,"HQ Country","","EUR",""),""),"")</f>
        <v/>
      </c>
      <c r="AR59" s="1640" t="str" cm="1">
        <f t="array" ref="AR59">IFERROR(IF(AK59&lt;&gt;"",_xll.PBD(AK59,"Limit1.Investors Ids","","EUR",""),""),"")</f>
        <v/>
      </c>
      <c r="AS59" s="1640" t="str" cm="1">
        <f t="array" ref="AS59">IFERROR(IF(AR59&lt;&gt;"",_xll.PBD(AR59,"Name","","EUR",""),""),"")</f>
        <v/>
      </c>
      <c r="AT59" s="1640" t="str" cm="1">
        <f t="array" ref="AT59">IFERROR(IF(AR59&lt;&gt;"",_xll.PBD(AR59,"Primary Industry Code","","EUR",""),""),"")</f>
        <v/>
      </c>
      <c r="AU59" s="1640" t="str" cm="1">
        <f t="array" ref="AU59">IFERROR(IF(AR59&lt;&gt;"",_xll.PBD(AR59,"Limit2.Entity Types","","EUR",""),""),"")</f>
        <v/>
      </c>
      <c r="AV59" s="1640" t="str" cm="1">
        <f t="array" ref="AV59">IFERROR(IF(AR59&lt;&gt;"",_xll.PBD(AR59,"HQ Country","","EUR",""),""),"")</f>
        <v/>
      </c>
      <c r="AX59" s="1641" t="str" cm="1">
        <f t="array" ref="AX59">IFERROR(IF(AK59&lt;&gt;"",_xll.PBD(AK59,"Limit1.Deal Amount","","EUR","")/1000000,""),"")</f>
        <v/>
      </c>
      <c r="AY59" s="1641" t="str" cm="1">
        <f t="array" ref="AY59">IFERROR(IF(AK59&lt;&gt;"",_xll.PBD(AK59,"Limit1.Implied EV ","","EUR","")/1000000,""),"")</f>
        <v/>
      </c>
      <c r="AZ59" s="1694" t="str" cm="1">
        <f t="array" ref="AZ59">IFERROR(IF(AK59&lt;&gt;"",_xll.PBD(AK59,"Limit1.% Acquired ","","EUR",""),""),"")</f>
        <v/>
      </c>
      <c r="BB59" s="1695" t="str" cm="1">
        <f t="array" ref="BB59">IFERROR(IF(AK59&lt;&gt;"",_xll.PBD(AK59,"Implied EV / Revenue","","EUR",""),""),"")</f>
        <v/>
      </c>
      <c r="BC59" s="1695" t="str" cm="1">
        <f t="array" ref="BC59">IFERROR(IF(AK59&lt;&gt;"",_xll.PBD(AK59,"Implied EV / EBITDA","","EUR",""),""),"")</f>
        <v/>
      </c>
      <c r="BD59" s="1695" t="str" cm="1">
        <f t="array" ref="BD59">IFERROR(IF(AK59&lt;&gt;"",_xll.PBD(AK59,"Implied EV / EBIT","","EUR",""),""),"")</f>
        <v/>
      </c>
      <c r="BF59" s="1640" t="str" cm="1">
        <f t="array" ref="BF59">IFERROR(IF(AR59&lt;&gt;"",_xll.PBD(AR59,"Brief Description","","EUR",""),""),"")</f>
        <v/>
      </c>
    </row>
    <row r="60" spans="2:58" ht="13.9" customHeight="1">
      <c r="B60" s="1579"/>
      <c r="C60" s="1579"/>
      <c r="D60" s="1579"/>
      <c r="E60" s="1579"/>
      <c r="F60" s="1591"/>
      <c r="G60" s="1585"/>
      <c r="H60" s="1580"/>
      <c r="I60" s="1580"/>
      <c r="J60" s="1580"/>
      <c r="K60" s="1581"/>
      <c r="L60" s="1705"/>
      <c r="M60" s="1584"/>
      <c r="N60" s="1640" t="str" cm="1">
        <f t="array" ref="N60">IFERROR(IF($L60&lt;&gt;"",_xll.PBD($L60,"Name","","USD",""),""),"")</f>
        <v/>
      </c>
      <c r="O60" s="1640" t="str" cm="1">
        <f t="array" ref="O60">IFERROR(IF($L60&lt;&gt;"",_xll.PBD($L60,"Primary Industry Code","","",""),""),"")</f>
        <v/>
      </c>
      <c r="P60" s="1640" t="str" cm="1">
        <f t="array" ref="P60">IFERROR(IF($L60&lt;&gt;"",_xll.PBD($L60,"HQ Country","","",""),""),"")</f>
        <v/>
      </c>
      <c r="Q60" s="1640" t="str" cm="1">
        <f t="array" ref="Q60">IFERROR(IF($L60&lt;&gt;"",_xll.PBD($L60,"HQ City","","EUR",""),""),"")</f>
        <v/>
      </c>
      <c r="S60" s="1666" t="str" cm="1">
        <f t="array" aca="1" ref="S60" ca="1">IFERROR(IF($L60&lt;&gt;"",_xll.PBF($L60,"EV","TTM",$N$11,"","EUR","")/1000000,""),"")</f>
        <v/>
      </c>
      <c r="T60" s="1666" t="str" cm="1">
        <f t="array" aca="1" ref="T60" ca="1">IFERROR(IF($L60&lt;&gt;"",_xll.PBF($L60,"NET Debt","TTM",$N$11,"","EUR","")/1000000,""),"")</f>
        <v/>
      </c>
      <c r="U60" s="1666" t="str" cm="1">
        <f t="array" aca="1" ref="U60" ca="1">IFERROR(IF($L60&lt;&gt;"",_xll.PBF($L60,"Market Cap","TTM",$N$11,"","EUR","")/1000000,""),"")</f>
        <v/>
      </c>
      <c r="V60" s="1677" t="str" cm="1">
        <f t="array" aca="1" ref="V60" ca="1">IFERROR(IF($L60&lt;&gt;"",_xll.PBF($L60,"Total Debt to Equity","TTM",$V$21,"","EUR",""),""),"")</f>
        <v/>
      </c>
      <c r="W60" s="1677"/>
      <c r="X60" s="1666" t="str" cm="1">
        <f t="array" aca="1" ref="X60" ca="1">IFERROR(IF($L60&lt;&gt;"",_xll.PBF($L60,"Total Revenue","FY",$X$21,"","EUR","")/1000000,""),"")</f>
        <v/>
      </c>
      <c r="Y60" s="1666" t="str" cm="1">
        <f t="array" aca="1" ref="Y60" ca="1">IFERROR(IF($L60&lt;&gt;"",_xll.PBF($L60,"EBITDA","FY",$N$11,"","EUR","")/1000000,""),"")</f>
        <v/>
      </c>
      <c r="Z60" s="1666" t="str" cm="1">
        <f t="array" aca="1" ref="Z60" ca="1">IFERROR(IF($L60&lt;&gt;"",_xll.PBF($L60,"EBIT","FY",$N$11,"","EUR","")/1000000,""),"")</f>
        <v/>
      </c>
      <c r="AA60" s="1677" t="str" cm="1">
        <f t="array" aca="1" ref="AA60" ca="1">IFERROR(IF($L60&lt;&gt;"",_xll.PBF($L60,"Total Debt to EBITDA","FY",$AA$21,"","EUR",""),""),"")</f>
        <v/>
      </c>
      <c r="AB60" s="1670"/>
      <c r="AC60" s="1672" t="str" cm="1">
        <f t="array" aca="1" ref="AC60" ca="1">IFERROR(IF($L60&lt;&gt;"",_xll.PBF($L60,"EV to Revenue","FY",$N$11,"","EUR",""),""),"")</f>
        <v/>
      </c>
      <c r="AD60" s="1672" t="str" cm="1">
        <f t="array" aca="1" ref="AD60" ca="1">IFERROR(IF($L60&lt;&gt;"",_xll.PBF($L60,"EV to EBITDA","FY",$AD$21,"","EUR",""),""),"")</f>
        <v/>
      </c>
      <c r="AE60" s="1672" t="str" cm="1">
        <f t="array" aca="1" ref="AE60" ca="1">IFERROR(IF($L60&lt;&gt;"",_xll.PBF($L60,"EV to EBIT","FY",$AE$21,"","EUR",""),""),"")</f>
        <v/>
      </c>
      <c r="AF60" s="1672"/>
      <c r="AG60" s="1672" t="str" cm="1">
        <f t="array" aca="1" ref="AG60" ca="1">IFERROR(IF($L60&lt;&gt;"",_xll.PBF($L60,"EV to Forward Revenue","FY",$AG$21,"","EUR",""),""),"")</f>
        <v/>
      </c>
      <c r="AH60" s="1672" t="str" cm="1">
        <f t="array" aca="1" ref="AH60" ca="1">IFERROR(IF($L60&lt;&gt;"",_xll.PBF($L60,"EV to Forward EBITDA","FY",$AH$21,"","EUR",""),""),"")</f>
        <v/>
      </c>
      <c r="AI60" s="1672" t="str" cm="1">
        <f t="array" aca="1" ref="AI60" ca="1">IFERROR(IF($L60&lt;&gt;"",_xll.PBF($L60,"EV to Forward EBIT","FY",$AI$21,"","EUR",""),""),"")</f>
        <v/>
      </c>
      <c r="AJ60" s="1650"/>
      <c r="AK60" s="1705"/>
      <c r="AL60" s="1693" t="str" cm="1">
        <f t="array" ref="AL60">IFERROR(IF(AK60&lt;&gt;"",_xll.PBD(AK60,"Deal Date","","EUR",""),""),"")</f>
        <v/>
      </c>
      <c r="AM60" s="1693" t="str" cm="1">
        <f t="array" ref="AM60">IFERROR(IF(AK60&lt;&gt;"",_xll.PBD(AK60,"Limit1.Deal Type 1","","EUR",""),""),"")</f>
        <v/>
      </c>
      <c r="AN60" s="1693" t="str" cm="1">
        <f t="array" ref="AN60">IFERROR(IF(AK60&lt;&gt;"",_xll.PBD(AK60,"Limit1.Company Id","","EUR",""),""),"")</f>
        <v/>
      </c>
      <c r="AO60" s="1640" t="str" cm="1">
        <f t="array" ref="AO60">IFERROR(IF(AN60&lt;&gt;"",_xll.PBD(AN60,"Name","","EUR",""),""),"")</f>
        <v/>
      </c>
      <c r="AP60" s="1640" t="str" cm="1">
        <f t="array" ref="AP60">IFERROR(IF(AN60&lt;&gt;"",_xll.PBD(AN60,"Primary Industry Code","","EUR",""),""),"")</f>
        <v/>
      </c>
      <c r="AQ60" s="1640" t="str" cm="1">
        <f t="array" ref="AQ60">IFERROR(IF(AN60&lt;&gt;"",_xll.PBD(AN60,"HQ Country","","EUR",""),""),"")</f>
        <v/>
      </c>
      <c r="AR60" s="1640" t="str" cm="1">
        <f t="array" ref="AR60">IFERROR(IF(AK60&lt;&gt;"",_xll.PBD(AK60,"Limit1.Investors Ids","","EUR",""),""),"")</f>
        <v/>
      </c>
      <c r="AS60" s="1640" t="str" cm="1">
        <f t="array" ref="AS60">IFERROR(IF(AR60&lt;&gt;"",_xll.PBD(AR60,"Name","","EUR",""),""),"")</f>
        <v/>
      </c>
      <c r="AT60" s="1640" t="str" cm="1">
        <f t="array" ref="AT60">IFERROR(IF(AR60&lt;&gt;"",_xll.PBD(AR60,"Primary Industry Code","","EUR",""),""),"")</f>
        <v/>
      </c>
      <c r="AU60" s="1640" t="str" cm="1">
        <f t="array" ref="AU60">IFERROR(IF(AR60&lt;&gt;"",_xll.PBD(AR60,"Limit2.Entity Types","","EUR",""),""),"")</f>
        <v/>
      </c>
      <c r="AV60" s="1640" t="str" cm="1">
        <f t="array" ref="AV60">IFERROR(IF(AR60&lt;&gt;"",_xll.PBD(AR60,"HQ Country","","EUR",""),""),"")</f>
        <v/>
      </c>
      <c r="AX60" s="1641" t="str" cm="1">
        <f t="array" ref="AX60">IFERROR(IF(AK60&lt;&gt;"",_xll.PBD(AK60,"Limit1.Deal Amount","","EUR","")/1000000,""),"")</f>
        <v/>
      </c>
      <c r="AY60" s="1641" t="str" cm="1">
        <f t="array" ref="AY60">IFERROR(IF(AK60&lt;&gt;"",_xll.PBD(AK60,"Limit1.Implied EV ","","EUR","")/1000000,""),"")</f>
        <v/>
      </c>
      <c r="AZ60" s="1694" t="str" cm="1">
        <f t="array" ref="AZ60">IFERROR(IF(AK60&lt;&gt;"",_xll.PBD(AK60,"Limit1.% Acquired ","","EUR",""),""),"")</f>
        <v/>
      </c>
      <c r="BB60" s="1695" t="str" cm="1">
        <f t="array" ref="BB60">IFERROR(IF(AK60&lt;&gt;"",_xll.PBD(AK60,"Implied EV / Revenue","","EUR",""),""),"")</f>
        <v/>
      </c>
      <c r="BC60" s="1695" t="str" cm="1">
        <f t="array" ref="BC60">IFERROR(IF(AK60&lt;&gt;"",_xll.PBD(AK60,"Implied EV / EBITDA","","EUR",""),""),"")</f>
        <v/>
      </c>
      <c r="BD60" s="1695" t="str" cm="1">
        <f t="array" ref="BD60">IFERROR(IF(AK60&lt;&gt;"",_xll.PBD(AK60,"Implied EV / EBIT","","EUR",""),""),"")</f>
        <v/>
      </c>
      <c r="BF60" s="1640" t="str" cm="1">
        <f t="array" ref="BF60">IFERROR(IF(AR60&lt;&gt;"",_xll.PBD(AR60,"Brief Description","","EUR",""),""),"")</f>
        <v/>
      </c>
    </row>
    <row r="61" spans="2:58" ht="13.9" customHeight="1">
      <c r="B61" s="1579"/>
      <c r="C61" s="1579"/>
      <c r="D61" s="1579"/>
      <c r="E61" s="1579"/>
      <c r="F61" s="1591"/>
      <c r="G61" s="1585"/>
      <c r="H61" s="1580"/>
      <c r="I61" s="1580"/>
      <c r="J61" s="1580"/>
      <c r="K61" s="1581"/>
      <c r="L61" s="1705"/>
      <c r="M61" s="1635"/>
      <c r="N61" s="1640" t="str" cm="1">
        <f t="array" ref="N61">IFERROR(IF($L61&lt;&gt;"",_xll.PBD($L61,"Name","","USD",""),""),"")</f>
        <v/>
      </c>
      <c r="O61" s="1640" t="str" cm="1">
        <f t="array" ref="O61">IFERROR(IF($L61&lt;&gt;"",_xll.PBD($L61,"Primary Industry Code","","",""),""),"")</f>
        <v/>
      </c>
      <c r="P61" s="1640" t="str" cm="1">
        <f t="array" ref="P61">IFERROR(IF($L61&lt;&gt;"",_xll.PBD($L61,"HQ Country","","",""),""),"")</f>
        <v/>
      </c>
      <c r="Q61" s="1640" t="str" cm="1">
        <f t="array" ref="Q61">IFERROR(IF($L61&lt;&gt;"",_xll.PBD($L61,"HQ City","","EUR",""),""),"")</f>
        <v/>
      </c>
      <c r="S61" s="1666" t="str" cm="1">
        <f t="array" aca="1" ref="S61" ca="1">IFERROR(IF($L61&lt;&gt;"",_xll.PBF($L61,"EV","TTM",$N$11,"","EUR","")/1000000,""),"")</f>
        <v/>
      </c>
      <c r="T61" s="1666" t="str" cm="1">
        <f t="array" aca="1" ref="T61" ca="1">IFERROR(IF($L61&lt;&gt;"",_xll.PBF($L61,"NET Debt","TTM",$N$11,"","EUR","")/1000000,""),"")</f>
        <v/>
      </c>
      <c r="U61" s="1666" t="str" cm="1">
        <f t="array" aca="1" ref="U61" ca="1">IFERROR(IF($L61&lt;&gt;"",_xll.PBF($L61,"Market Cap","TTM",$N$11,"","EUR","")/1000000,""),"")</f>
        <v/>
      </c>
      <c r="V61" s="1677" t="str" cm="1">
        <f t="array" aca="1" ref="V61" ca="1">IFERROR(IF($L61&lt;&gt;"",_xll.PBF($L61,"Total Debt to Equity","TTM",$V$21,"","EUR",""),""),"")</f>
        <v/>
      </c>
      <c r="W61" s="1677"/>
      <c r="X61" s="1666" t="str" cm="1">
        <f t="array" aca="1" ref="X61" ca="1">IFERROR(IF($L61&lt;&gt;"",_xll.PBF($L61,"Total Revenue","FY",$X$21,"","EUR","")/1000000,""),"")</f>
        <v/>
      </c>
      <c r="Y61" s="1666" t="str" cm="1">
        <f t="array" aca="1" ref="Y61" ca="1">IFERROR(IF($L61&lt;&gt;"",_xll.PBF($L61,"EBITDA","FY",$N$11,"","EUR","")/1000000,""),"")</f>
        <v/>
      </c>
      <c r="Z61" s="1666" t="str" cm="1">
        <f t="array" aca="1" ref="Z61" ca="1">IFERROR(IF($L61&lt;&gt;"",_xll.PBF($L61,"EBIT","FY",$N$11,"","EUR","")/1000000,""),"")</f>
        <v/>
      </c>
      <c r="AA61" s="1677" t="str" cm="1">
        <f t="array" aca="1" ref="AA61" ca="1">IFERROR(IF($L61&lt;&gt;"",_xll.PBF($L61,"Total Debt to EBITDA","FY",$AA$21,"","EUR",""),""),"")</f>
        <v/>
      </c>
      <c r="AB61" s="1670"/>
      <c r="AC61" s="1672" t="str" cm="1">
        <f t="array" aca="1" ref="AC61" ca="1">IFERROR(IF($L61&lt;&gt;"",_xll.PBF($L61,"EV to Revenue","FY",$N$11,"","EUR",""),""),"")</f>
        <v/>
      </c>
      <c r="AD61" s="1672" t="str" cm="1">
        <f t="array" aca="1" ref="AD61" ca="1">IFERROR(IF($L61&lt;&gt;"",_xll.PBF($L61,"EV to EBITDA","FY",$AD$21,"","EUR",""),""),"")</f>
        <v/>
      </c>
      <c r="AE61" s="1672" t="str" cm="1">
        <f t="array" aca="1" ref="AE61" ca="1">IFERROR(IF($L61&lt;&gt;"",_xll.PBF($L61,"EV to EBIT","FY",$AE$21,"","EUR",""),""),"")</f>
        <v/>
      </c>
      <c r="AF61" s="1672"/>
      <c r="AG61" s="1672" t="str" cm="1">
        <f t="array" aca="1" ref="AG61" ca="1">IFERROR(IF($L61&lt;&gt;"",_xll.PBF($L61,"EV to Forward Revenue","FY",$AG$21,"","EUR",""),""),"")</f>
        <v/>
      </c>
      <c r="AH61" s="1672" t="str" cm="1">
        <f t="array" aca="1" ref="AH61" ca="1">IFERROR(IF($L61&lt;&gt;"",_xll.PBF($L61,"EV to Forward EBITDA","FY",$AH$21,"","EUR",""),""),"")</f>
        <v/>
      </c>
      <c r="AI61" s="1672" t="str" cm="1">
        <f t="array" aca="1" ref="AI61" ca="1">IFERROR(IF($L61&lt;&gt;"",_xll.PBF($L61,"EV to Forward EBIT","FY",$AI$21,"","EUR",""),""),"")</f>
        <v/>
      </c>
      <c r="AJ61" s="1650"/>
      <c r="AK61" s="1705"/>
      <c r="AL61" s="1693" t="str" cm="1">
        <f t="array" ref="AL61">IFERROR(IF(AK61&lt;&gt;"",_xll.PBD(AK61,"Deal Date","","EUR",""),""),"")</f>
        <v/>
      </c>
      <c r="AM61" s="1693" t="str" cm="1">
        <f t="array" ref="AM61">IFERROR(IF(AK61&lt;&gt;"",_xll.PBD(AK61,"Limit1.Deal Type 1","","EUR",""),""),"")</f>
        <v/>
      </c>
      <c r="AN61" s="1693" t="str" cm="1">
        <f t="array" ref="AN61">IFERROR(IF(AK61&lt;&gt;"",_xll.PBD(AK61,"Limit1.Company Id","","EUR",""),""),"")</f>
        <v/>
      </c>
      <c r="AO61" s="1640" t="str" cm="1">
        <f t="array" ref="AO61">IFERROR(IF(AN61&lt;&gt;"",_xll.PBD(AN61,"Name","","EUR",""),""),"")</f>
        <v/>
      </c>
      <c r="AP61" s="1640" t="str" cm="1">
        <f t="array" ref="AP61">IFERROR(IF(AN61&lt;&gt;"",_xll.PBD(AN61,"Primary Industry Code","","EUR",""),""),"")</f>
        <v/>
      </c>
      <c r="AQ61" s="1640" t="str" cm="1">
        <f t="array" ref="AQ61">IFERROR(IF(AN61&lt;&gt;"",_xll.PBD(AN61,"HQ Country","","EUR",""),""),"")</f>
        <v/>
      </c>
      <c r="AR61" s="1640" t="str" cm="1">
        <f t="array" ref="AR61">IFERROR(IF(AK61&lt;&gt;"",_xll.PBD(AK61,"Limit1.Investors Ids","","EUR",""),""),"")</f>
        <v/>
      </c>
      <c r="AS61" s="1640" t="str" cm="1">
        <f t="array" ref="AS61">IFERROR(IF(AR61&lt;&gt;"",_xll.PBD(AR61,"Name","","EUR",""),""),"")</f>
        <v/>
      </c>
      <c r="AT61" s="1640" t="str" cm="1">
        <f t="array" ref="AT61">IFERROR(IF(AR61&lt;&gt;"",_xll.PBD(AR61,"Primary Industry Code","","EUR",""),""),"")</f>
        <v/>
      </c>
      <c r="AU61" s="1640" t="str" cm="1">
        <f t="array" ref="AU61">IFERROR(IF(AR61&lt;&gt;"",_xll.PBD(AR61,"Limit2.Entity Types","","EUR",""),""),"")</f>
        <v/>
      </c>
      <c r="AV61" s="1640" t="str" cm="1">
        <f t="array" ref="AV61">IFERROR(IF(AR61&lt;&gt;"",_xll.PBD(AR61,"HQ Country","","EUR",""),""),"")</f>
        <v/>
      </c>
      <c r="AX61" s="1641" t="str" cm="1">
        <f t="array" ref="AX61">IFERROR(IF(AK61&lt;&gt;"",_xll.PBD(AK61,"Limit1.Deal Amount","","EUR","")/1000000,""),"")</f>
        <v/>
      </c>
      <c r="AY61" s="1641" t="str" cm="1">
        <f t="array" ref="AY61">IFERROR(IF(AK61&lt;&gt;"",_xll.PBD(AK61,"Limit1.Implied EV ","","EUR","")/1000000,""),"")</f>
        <v/>
      </c>
      <c r="AZ61" s="1694" t="str" cm="1">
        <f t="array" ref="AZ61">IFERROR(IF(AK61&lt;&gt;"",_xll.PBD(AK61,"Limit1.% Acquired ","","EUR",""),""),"")</f>
        <v/>
      </c>
      <c r="BB61" s="1695" t="str" cm="1">
        <f t="array" ref="BB61">IFERROR(IF(AK61&lt;&gt;"",_xll.PBD(AK61,"Implied EV / Revenue","","EUR",""),""),"")</f>
        <v/>
      </c>
      <c r="BC61" s="1695" t="str" cm="1">
        <f t="array" ref="BC61">IFERROR(IF(AK61&lt;&gt;"",_xll.PBD(AK61,"Implied EV / EBITDA","","EUR",""),""),"")</f>
        <v/>
      </c>
      <c r="BD61" s="1695" t="str" cm="1">
        <f t="array" ref="BD61">IFERROR(IF(AK61&lt;&gt;"",_xll.PBD(AK61,"Implied EV / EBIT","","EUR",""),""),"")</f>
        <v/>
      </c>
      <c r="BF61" s="1640" t="str" cm="1">
        <f t="array" ref="BF61">IFERROR(IF(AR61&lt;&gt;"",_xll.PBD(AR61,"Brief Description","","EUR",""),""),"")</f>
        <v/>
      </c>
    </row>
    <row r="62" spans="2:58" ht="13.9" customHeight="1">
      <c r="L62" s="1705"/>
      <c r="M62" s="1632"/>
      <c r="N62" s="1640" t="str" cm="1">
        <f t="array" ref="N62">IFERROR(IF($L62&lt;&gt;"",_xll.PBD($L62,"Name","","USD",""),""),"")</f>
        <v/>
      </c>
      <c r="O62" s="1640" t="str" cm="1">
        <f t="array" ref="O62">IFERROR(IF($L62&lt;&gt;"",_xll.PBD($L62,"Primary Industry Code","","",""),""),"")</f>
        <v/>
      </c>
      <c r="P62" s="1640" t="str" cm="1">
        <f t="array" ref="P62">IFERROR(IF($L62&lt;&gt;"",_xll.PBD($L62,"HQ Country","","",""),""),"")</f>
        <v/>
      </c>
      <c r="Q62" s="1640" t="str" cm="1">
        <f t="array" ref="Q62">IFERROR(IF($L62&lt;&gt;"",_xll.PBD($L62,"HQ City","","EUR",""),""),"")</f>
        <v/>
      </c>
      <c r="S62" s="1666" t="str" cm="1">
        <f t="array" aca="1" ref="S62" ca="1">IFERROR(IF($L62&lt;&gt;"",_xll.PBF($L62,"EV","TTM",$N$11,"","EUR","")/1000000,""),"")</f>
        <v/>
      </c>
      <c r="T62" s="1666" t="str" cm="1">
        <f t="array" aca="1" ref="T62" ca="1">IFERROR(IF($L62&lt;&gt;"",_xll.PBF($L62,"NET Debt","TTM",$N$11,"","EUR","")/1000000,""),"")</f>
        <v/>
      </c>
      <c r="U62" s="1666" t="str" cm="1">
        <f t="array" aca="1" ref="U62" ca="1">IFERROR(IF($L62&lt;&gt;"",_xll.PBF($L62,"Market Cap","TTM",$N$11,"","EUR","")/1000000,""),"")</f>
        <v/>
      </c>
      <c r="V62" s="1677" t="str" cm="1">
        <f t="array" aca="1" ref="V62" ca="1">IFERROR(IF($L62&lt;&gt;"",_xll.PBF($L62,"Total Debt to Equity","TTM",$V$21,"","EUR",""),""),"")</f>
        <v/>
      </c>
      <c r="W62" s="1677"/>
      <c r="X62" s="1666" t="str" cm="1">
        <f t="array" aca="1" ref="X62" ca="1">IFERROR(IF($L62&lt;&gt;"",_xll.PBF($L62,"Total Revenue","FY",$X$21,"","EUR","")/1000000,""),"")</f>
        <v/>
      </c>
      <c r="Y62" s="1666" t="str" cm="1">
        <f t="array" aca="1" ref="Y62" ca="1">IFERROR(IF($L62&lt;&gt;"",_xll.PBF($L62,"EBITDA","FY",$N$11,"","EUR","")/1000000,""),"")</f>
        <v/>
      </c>
      <c r="Z62" s="1666" t="str" cm="1">
        <f t="array" aca="1" ref="Z62" ca="1">IFERROR(IF($L62&lt;&gt;"",_xll.PBF($L62,"EBIT","FY",$N$11,"","EUR","")/1000000,""),"")</f>
        <v/>
      </c>
      <c r="AA62" s="1677" t="str" cm="1">
        <f t="array" aca="1" ref="AA62" ca="1">IFERROR(IF($L62&lt;&gt;"",_xll.PBF($L62,"Total Debt to EBITDA","FY",$AA$21,"","EUR",""),""),"")</f>
        <v/>
      </c>
      <c r="AB62" s="1670"/>
      <c r="AC62" s="1672" t="str" cm="1">
        <f t="array" aca="1" ref="AC62" ca="1">IFERROR(IF($L62&lt;&gt;"",_xll.PBF($L62,"EV to Revenue","FY",$N$11,"","EUR",""),""),"")</f>
        <v/>
      </c>
      <c r="AD62" s="1672" t="str" cm="1">
        <f t="array" aca="1" ref="AD62" ca="1">IFERROR(IF($L62&lt;&gt;"",_xll.PBF($L62,"EV to EBITDA","FY",$AD$21,"","EUR",""),""),"")</f>
        <v/>
      </c>
      <c r="AE62" s="1672" t="str" cm="1">
        <f t="array" aca="1" ref="AE62" ca="1">IFERROR(IF($L62&lt;&gt;"",_xll.PBF($L62,"EV to EBIT","FY",$AE$21,"","EUR",""),""),"")</f>
        <v/>
      </c>
      <c r="AF62" s="1672"/>
      <c r="AG62" s="1672" t="str" cm="1">
        <f t="array" aca="1" ref="AG62" ca="1">IFERROR(IF($L62&lt;&gt;"",_xll.PBF($L62,"EV to Forward Revenue","FY",$AG$21,"","EUR",""),""),"")</f>
        <v/>
      </c>
      <c r="AH62" s="1672" t="str" cm="1">
        <f t="array" aca="1" ref="AH62" ca="1">IFERROR(IF($L62&lt;&gt;"",_xll.PBF($L62,"EV to Forward EBITDA","FY",$AH$21,"","EUR",""),""),"")</f>
        <v/>
      </c>
      <c r="AI62" s="1672" t="str" cm="1">
        <f t="array" aca="1" ref="AI62" ca="1">IFERROR(IF($L62&lt;&gt;"",_xll.PBF($L62,"EV to Forward EBIT","FY",$AI$21,"","EUR",""),""),"")</f>
        <v/>
      </c>
      <c r="AJ62" s="1650"/>
      <c r="AK62" s="1705"/>
      <c r="AL62" s="1693" t="str" cm="1">
        <f t="array" ref="AL62">IFERROR(IF(AK62&lt;&gt;"",_xll.PBD(AK62,"Deal Date","","EUR",""),""),"")</f>
        <v/>
      </c>
      <c r="AM62" s="1693" t="str" cm="1">
        <f t="array" ref="AM62">IFERROR(IF(AK62&lt;&gt;"",_xll.PBD(AK62,"Limit1.Deal Type 1","","EUR",""),""),"")</f>
        <v/>
      </c>
      <c r="AN62" s="1693" t="str" cm="1">
        <f t="array" ref="AN62">IFERROR(IF(AK62&lt;&gt;"",_xll.PBD(AK62,"Limit1.Company Id","","EUR",""),""),"")</f>
        <v/>
      </c>
      <c r="AO62" s="1640" t="str" cm="1">
        <f t="array" ref="AO62">IFERROR(IF(AN62&lt;&gt;"",_xll.PBD(AN62,"Name","","EUR",""),""),"")</f>
        <v/>
      </c>
      <c r="AP62" s="1640" t="str" cm="1">
        <f t="array" ref="AP62">IFERROR(IF(AN62&lt;&gt;"",_xll.PBD(AN62,"Primary Industry Code","","EUR",""),""),"")</f>
        <v/>
      </c>
      <c r="AQ62" s="1640" t="str" cm="1">
        <f t="array" ref="AQ62">IFERROR(IF(AN62&lt;&gt;"",_xll.PBD(AN62,"HQ Country","","EUR",""),""),"")</f>
        <v/>
      </c>
      <c r="AR62" s="1640" t="str" cm="1">
        <f t="array" ref="AR62">IFERROR(IF(AK62&lt;&gt;"",_xll.PBD(AK62,"Limit1.Investors Ids","","EUR",""),""),"")</f>
        <v/>
      </c>
      <c r="AS62" s="1640" t="str" cm="1">
        <f t="array" ref="AS62">IFERROR(IF(AR62&lt;&gt;"",_xll.PBD(AR62,"Name","","EUR",""),""),"")</f>
        <v/>
      </c>
      <c r="AT62" s="1640" t="str" cm="1">
        <f t="array" ref="AT62">IFERROR(IF(AR62&lt;&gt;"",_xll.PBD(AR62,"Primary Industry Code","","EUR",""),""),"")</f>
        <v/>
      </c>
      <c r="AU62" s="1640" t="str" cm="1">
        <f t="array" ref="AU62">IFERROR(IF(AR62&lt;&gt;"",_xll.PBD(AR62,"Limit2.Entity Types","","EUR",""),""),"")</f>
        <v/>
      </c>
      <c r="AV62" s="1640" t="str" cm="1">
        <f t="array" ref="AV62">IFERROR(IF(AR62&lt;&gt;"",_xll.PBD(AR62,"HQ Country","","EUR",""),""),"")</f>
        <v/>
      </c>
      <c r="AX62" s="1641" t="str" cm="1">
        <f t="array" ref="AX62">IFERROR(IF(AK62&lt;&gt;"",_xll.PBD(AK62,"Limit1.Deal Amount","","EUR","")/1000000,""),"")</f>
        <v/>
      </c>
      <c r="AY62" s="1641" t="str" cm="1">
        <f t="array" ref="AY62">IFERROR(IF(AK62&lt;&gt;"",_xll.PBD(AK62,"Limit1.Implied EV ","","EUR","")/1000000,""),"")</f>
        <v/>
      </c>
      <c r="AZ62" s="1694" t="str" cm="1">
        <f t="array" ref="AZ62">IFERROR(IF(AK62&lt;&gt;"",_xll.PBD(AK62,"Limit1.% Acquired ","","EUR",""),""),"")</f>
        <v/>
      </c>
      <c r="BB62" s="1695" t="str" cm="1">
        <f t="array" ref="BB62">IFERROR(IF(AK62&lt;&gt;"",_xll.PBD(AK62,"Implied EV / Revenue","","EUR",""),""),"")</f>
        <v/>
      </c>
      <c r="BC62" s="1695" t="str" cm="1">
        <f t="array" ref="BC62">IFERROR(IF(AK62&lt;&gt;"",_xll.PBD(AK62,"Implied EV / EBITDA","","EUR",""),""),"")</f>
        <v/>
      </c>
      <c r="BD62" s="1695" t="str" cm="1">
        <f t="array" ref="BD62">IFERROR(IF(AK62&lt;&gt;"",_xll.PBD(AK62,"Implied EV / EBIT","","EUR",""),""),"")</f>
        <v/>
      </c>
      <c r="BF62" s="1640" t="str" cm="1">
        <f t="array" ref="BF62">IFERROR(IF(AR62&lt;&gt;"",_xll.PBD(AR62,"Brief Description","","EUR",""),""),"")</f>
        <v/>
      </c>
    </row>
    <row r="63" spans="2:58" ht="13.9" customHeight="1">
      <c r="L63" s="1705"/>
      <c r="M63" s="1586"/>
      <c r="N63" s="1640" t="str" cm="1">
        <f t="array" ref="N63">IFERROR(IF($L63&lt;&gt;"",_xll.PBD($L63,"Name","","USD",""),""),"")</f>
        <v/>
      </c>
      <c r="O63" s="1640" t="str" cm="1">
        <f t="array" ref="O63">IFERROR(IF($L63&lt;&gt;"",_xll.PBD($L63,"Primary Industry Code","","",""),""),"")</f>
        <v/>
      </c>
      <c r="P63" s="1640" t="str" cm="1">
        <f t="array" ref="P63">IFERROR(IF($L63&lt;&gt;"",_xll.PBD($L63,"HQ Country","","",""),""),"")</f>
        <v/>
      </c>
      <c r="Q63" s="1640" t="str" cm="1">
        <f t="array" ref="Q63">IFERROR(IF($L63&lt;&gt;"",_xll.PBD($L63,"HQ City","","EUR",""),""),"")</f>
        <v/>
      </c>
      <c r="S63" s="1666" t="str" cm="1">
        <f t="array" aca="1" ref="S63" ca="1">IFERROR(IF($L63&lt;&gt;"",_xll.PBF($L63,"EV","TTM",$N$11,"","EUR","")/1000000,""),"")</f>
        <v/>
      </c>
      <c r="T63" s="1666" t="str" cm="1">
        <f t="array" aca="1" ref="T63" ca="1">IFERROR(IF($L63&lt;&gt;"",_xll.PBF($L63,"NET Debt","TTM",$N$11,"","EUR","")/1000000,""),"")</f>
        <v/>
      </c>
      <c r="U63" s="1666" t="str" cm="1">
        <f t="array" aca="1" ref="U63" ca="1">IFERROR(IF($L63&lt;&gt;"",_xll.PBF($L63,"Market Cap","TTM",$N$11,"","EUR","")/1000000,""),"")</f>
        <v/>
      </c>
      <c r="V63" s="1677" t="str" cm="1">
        <f t="array" aca="1" ref="V63" ca="1">IFERROR(IF($L63&lt;&gt;"",_xll.PBF($L63,"Total Debt to Equity","TTM",$V$21,"","EUR",""),""),"")</f>
        <v/>
      </c>
      <c r="W63" s="1677"/>
      <c r="X63" s="1666" t="str" cm="1">
        <f t="array" aca="1" ref="X63" ca="1">IFERROR(IF($L63&lt;&gt;"",_xll.PBF($L63,"Total Revenue","FY",$X$21,"","EUR","")/1000000,""),"")</f>
        <v/>
      </c>
      <c r="Y63" s="1666" t="str" cm="1">
        <f t="array" aca="1" ref="Y63" ca="1">IFERROR(IF($L63&lt;&gt;"",_xll.PBF($L63,"EBITDA","FY",$N$11,"","EUR","")/1000000,""),"")</f>
        <v/>
      </c>
      <c r="Z63" s="1666" t="str" cm="1">
        <f t="array" aca="1" ref="Z63" ca="1">IFERROR(IF($L63&lt;&gt;"",_xll.PBF($L63,"EBIT","FY",$N$11,"","EUR","")/1000000,""),"")</f>
        <v/>
      </c>
      <c r="AA63" s="1677" t="str" cm="1">
        <f t="array" aca="1" ref="AA63" ca="1">IFERROR(IF($L63&lt;&gt;"",_xll.PBF($L63,"Total Debt to EBITDA","FY",$AA$21,"","EUR",""),""),"")</f>
        <v/>
      </c>
      <c r="AB63" s="1670"/>
      <c r="AC63" s="1672" t="str" cm="1">
        <f t="array" aca="1" ref="AC63" ca="1">IFERROR(IF($L63&lt;&gt;"",_xll.PBF($L63,"EV to Revenue","FY",$N$11,"","EUR",""),""),"")</f>
        <v/>
      </c>
      <c r="AD63" s="1672" t="str" cm="1">
        <f t="array" aca="1" ref="AD63" ca="1">IFERROR(IF($L63&lt;&gt;"",_xll.PBF($L63,"EV to EBITDA","FY",$AD$21,"","EUR",""),""),"")</f>
        <v/>
      </c>
      <c r="AE63" s="1672" t="str" cm="1">
        <f t="array" aca="1" ref="AE63" ca="1">IFERROR(IF($L63&lt;&gt;"",_xll.PBF($L63,"EV to EBIT","FY",$AE$21,"","EUR",""),""),"")</f>
        <v/>
      </c>
      <c r="AF63" s="1672"/>
      <c r="AG63" s="1672" t="str" cm="1">
        <f t="array" aca="1" ref="AG63" ca="1">IFERROR(IF($L63&lt;&gt;"",_xll.PBF($L63,"EV to Forward Revenue","FY",$AG$21,"","EUR",""),""),"")</f>
        <v/>
      </c>
      <c r="AH63" s="1672" t="str" cm="1">
        <f t="array" aca="1" ref="AH63" ca="1">IFERROR(IF($L63&lt;&gt;"",_xll.PBF($L63,"EV to Forward EBITDA","FY",$AH$21,"","EUR",""),""),"")</f>
        <v/>
      </c>
      <c r="AI63" s="1672" t="str" cm="1">
        <f t="array" aca="1" ref="AI63" ca="1">IFERROR(IF($L63&lt;&gt;"",_xll.PBF($L63,"EV to Forward EBIT","FY",$AI$21,"","EUR",""),""),"")</f>
        <v/>
      </c>
      <c r="AK63" s="1705"/>
      <c r="AL63" s="1693" t="str" cm="1">
        <f t="array" ref="AL63">IFERROR(IF(AK63&lt;&gt;"",_xll.PBD(AK63,"Deal Date","","EUR",""),""),"")</f>
        <v/>
      </c>
      <c r="AM63" s="1693" t="str" cm="1">
        <f t="array" ref="AM63">IFERROR(IF(AK63&lt;&gt;"",_xll.PBD(AK63,"Limit1.Deal Type 1","","EUR",""),""),"")</f>
        <v/>
      </c>
      <c r="AN63" s="1693" t="str" cm="1">
        <f t="array" ref="AN63">IFERROR(IF(AK63&lt;&gt;"",_xll.PBD(AK63,"Limit1.Company Id","","EUR",""),""),"")</f>
        <v/>
      </c>
      <c r="AO63" s="1640" t="str" cm="1">
        <f t="array" ref="AO63">IFERROR(IF(AN63&lt;&gt;"",_xll.PBD(AN63,"Name","","EUR",""),""),"")</f>
        <v/>
      </c>
      <c r="AP63" s="1640" t="str" cm="1">
        <f t="array" ref="AP63">IFERROR(IF(AN63&lt;&gt;"",_xll.PBD(AN63,"Primary Industry Code","","EUR",""),""),"")</f>
        <v/>
      </c>
      <c r="AQ63" s="1640" t="str" cm="1">
        <f t="array" ref="AQ63">IFERROR(IF(AN63&lt;&gt;"",_xll.PBD(AN63,"HQ Country","","EUR",""),""),"")</f>
        <v/>
      </c>
      <c r="AR63" s="1640" t="str" cm="1">
        <f t="array" ref="AR63">IFERROR(IF(AK63&lt;&gt;"",_xll.PBD(AK63,"Limit1.Investors Ids","","EUR",""),""),"")</f>
        <v/>
      </c>
      <c r="AS63" s="1640" t="str" cm="1">
        <f t="array" ref="AS63">IFERROR(IF(AR63&lt;&gt;"",_xll.PBD(AR63,"Name","","EUR",""),""),"")</f>
        <v/>
      </c>
      <c r="AT63" s="1640" t="str" cm="1">
        <f t="array" ref="AT63">IFERROR(IF(AR63&lt;&gt;"",_xll.PBD(AR63,"Primary Industry Code","","EUR",""),""),"")</f>
        <v/>
      </c>
      <c r="AU63" s="1640" t="str" cm="1">
        <f t="array" ref="AU63">IFERROR(IF(AR63&lt;&gt;"",_xll.PBD(AR63,"Limit2.Entity Types","","EUR",""),""),"")</f>
        <v/>
      </c>
      <c r="AV63" s="1640" t="str" cm="1">
        <f t="array" ref="AV63">IFERROR(IF(AR63&lt;&gt;"",_xll.PBD(AR63,"HQ Country","","EUR",""),""),"")</f>
        <v/>
      </c>
      <c r="AX63" s="1641" t="str" cm="1">
        <f t="array" ref="AX63">IFERROR(IF(AK63&lt;&gt;"",_xll.PBD(AK63,"Limit1.Deal Amount","","EUR","")/1000000,""),"")</f>
        <v/>
      </c>
      <c r="AY63" s="1641" t="str" cm="1">
        <f t="array" ref="AY63">IFERROR(IF(AK63&lt;&gt;"",_xll.PBD(AK63,"Limit1.Implied EV ","","EUR","")/1000000,""),"")</f>
        <v/>
      </c>
      <c r="AZ63" s="1694" t="str" cm="1">
        <f t="array" ref="AZ63">IFERROR(IF(AK63&lt;&gt;"",_xll.PBD(AK63,"Limit1.% Acquired ","","EUR",""),""),"")</f>
        <v/>
      </c>
      <c r="BB63" s="1695" t="str" cm="1">
        <f t="array" ref="BB63">IFERROR(IF(AK63&lt;&gt;"",_xll.PBD(AK63,"Implied EV / Revenue","","EUR",""),""),"")</f>
        <v/>
      </c>
      <c r="BC63" s="1695" t="str" cm="1">
        <f t="array" ref="BC63">IFERROR(IF(AK63&lt;&gt;"",_xll.PBD(AK63,"Implied EV / EBITDA","","EUR",""),""),"")</f>
        <v/>
      </c>
      <c r="BD63" s="1695" t="str" cm="1">
        <f t="array" ref="BD63">IFERROR(IF(AK63&lt;&gt;"",_xll.PBD(AK63,"Implied EV / EBIT","","EUR",""),""),"")</f>
        <v/>
      </c>
      <c r="BF63" s="1640" t="str" cm="1">
        <f t="array" ref="BF63">IFERROR(IF(AR63&lt;&gt;"",_xll.PBD(AR63,"Brief Description","","EUR",""),""),"")</f>
        <v/>
      </c>
    </row>
    <row r="64" spans="2:58" ht="13.9" customHeight="1">
      <c r="L64" s="1705"/>
      <c r="M64" s="1586"/>
      <c r="N64" s="1640" t="str" cm="1">
        <f t="array" ref="N64">IFERROR(IF($L64&lt;&gt;"",_xll.PBD($L64,"Name","","USD",""),""),"")</f>
        <v/>
      </c>
      <c r="O64" s="1640" t="str" cm="1">
        <f t="array" ref="O64">IFERROR(IF($L64&lt;&gt;"",_xll.PBD($L64,"Primary Industry Code","","",""),""),"")</f>
        <v/>
      </c>
      <c r="P64" s="1640" t="str" cm="1">
        <f t="array" ref="P64">IFERROR(IF($L64&lt;&gt;"",_xll.PBD($L64,"HQ Country","","",""),""),"")</f>
        <v/>
      </c>
      <c r="Q64" s="1640" t="str" cm="1">
        <f t="array" ref="Q64">IFERROR(IF($L64&lt;&gt;"",_xll.PBD($L64,"HQ City","","EUR",""),""),"")</f>
        <v/>
      </c>
      <c r="S64" s="1666" t="str" cm="1">
        <f t="array" aca="1" ref="S64" ca="1">IFERROR(IF($L64&lt;&gt;"",_xll.PBF($L64,"EV","TTM",$N$11,"","EUR","")/1000000,""),"")</f>
        <v/>
      </c>
      <c r="T64" s="1666" t="str" cm="1">
        <f t="array" aca="1" ref="T64" ca="1">IFERROR(IF($L64&lt;&gt;"",_xll.PBF($L64,"NET Debt","TTM",$N$11,"","EUR","")/1000000,""),"")</f>
        <v/>
      </c>
      <c r="U64" s="1666" t="str" cm="1">
        <f t="array" aca="1" ref="U64" ca="1">IFERROR(IF($L64&lt;&gt;"",_xll.PBF($L64,"Market Cap","TTM",$N$11,"","EUR","")/1000000,""),"")</f>
        <v/>
      </c>
      <c r="V64" s="1677" t="str" cm="1">
        <f t="array" aca="1" ref="V64" ca="1">IFERROR(IF($L64&lt;&gt;"",_xll.PBF($L64,"Total Debt to Equity","TTM",$V$21,"","EUR",""),""),"")</f>
        <v/>
      </c>
      <c r="W64" s="1677"/>
      <c r="X64" s="1666" t="str" cm="1">
        <f t="array" aca="1" ref="X64" ca="1">IFERROR(IF($L64&lt;&gt;"",_xll.PBF($L64,"Total Revenue","FY",$X$21,"","EUR","")/1000000,""),"")</f>
        <v/>
      </c>
      <c r="Y64" s="1666" t="str" cm="1">
        <f t="array" aca="1" ref="Y64" ca="1">IFERROR(IF($L64&lt;&gt;"",_xll.PBF($L64,"EBITDA","FY",$N$11,"","EUR","")/1000000,""),"")</f>
        <v/>
      </c>
      <c r="Z64" s="1666" t="str" cm="1">
        <f t="array" aca="1" ref="Z64" ca="1">IFERROR(IF($L64&lt;&gt;"",_xll.PBF($L64,"EBIT","FY",$N$11,"","EUR","")/1000000,""),"")</f>
        <v/>
      </c>
      <c r="AA64" s="1677" t="str" cm="1">
        <f t="array" aca="1" ref="AA64" ca="1">IFERROR(IF($L64&lt;&gt;"",_xll.PBF($L64,"Total Debt to EBITDA","FY",$AA$21,"","EUR",""),""),"")</f>
        <v/>
      </c>
      <c r="AB64" s="1670"/>
      <c r="AC64" s="1672" t="str" cm="1">
        <f t="array" aca="1" ref="AC64" ca="1">IFERROR(IF($L64&lt;&gt;"",_xll.PBF($L64,"EV to Revenue","FY",$N$11,"","EUR",""),""),"")</f>
        <v/>
      </c>
      <c r="AD64" s="1672" t="str" cm="1">
        <f t="array" aca="1" ref="AD64" ca="1">IFERROR(IF($L64&lt;&gt;"",_xll.PBF($L64,"EV to EBITDA","FY",$AD$21,"","EUR",""),""),"")</f>
        <v/>
      </c>
      <c r="AE64" s="1672" t="str" cm="1">
        <f t="array" aca="1" ref="AE64" ca="1">IFERROR(IF($L64&lt;&gt;"",_xll.PBF($L64,"EV to EBIT","FY",$AE$21,"","EUR",""),""),"")</f>
        <v/>
      </c>
      <c r="AF64" s="1672"/>
      <c r="AG64" s="1672" t="str" cm="1">
        <f t="array" aca="1" ref="AG64" ca="1">IFERROR(IF($L64&lt;&gt;"",_xll.PBF($L64,"EV to Forward Revenue","FY",$AG$21,"","EUR",""),""),"")</f>
        <v/>
      </c>
      <c r="AH64" s="1672" t="str" cm="1">
        <f t="array" aca="1" ref="AH64" ca="1">IFERROR(IF($L64&lt;&gt;"",_xll.PBF($L64,"EV to Forward EBITDA","FY",$AH$21,"","EUR",""),""),"")</f>
        <v/>
      </c>
      <c r="AI64" s="1672" t="str" cm="1">
        <f t="array" aca="1" ref="AI64" ca="1">IFERROR(IF($L64&lt;&gt;"",_xll.PBF($L64,"EV to Forward EBIT","FY",$AI$21,"","EUR",""),""),"")</f>
        <v/>
      </c>
      <c r="AK64" s="1705"/>
      <c r="AL64" s="1693" t="str" cm="1">
        <f t="array" ref="AL64">IFERROR(IF(AK64&lt;&gt;"",_xll.PBD(AK64,"Deal Date","","EUR",""),""),"")</f>
        <v/>
      </c>
      <c r="AM64" s="1693" t="str" cm="1">
        <f t="array" ref="AM64">IFERROR(IF(AK64&lt;&gt;"",_xll.PBD(AK64,"Limit1.Deal Type 1","","EUR",""),""),"")</f>
        <v/>
      </c>
      <c r="AN64" s="1693" t="str" cm="1">
        <f t="array" ref="AN64">IFERROR(IF(AK64&lt;&gt;"",_xll.PBD(AK64,"Limit1.Company Id","","EUR",""),""),"")</f>
        <v/>
      </c>
      <c r="AO64" s="1640" t="str" cm="1">
        <f t="array" ref="AO64">IFERROR(IF(AN64&lt;&gt;"",_xll.PBD(AN64,"Name","","EUR",""),""),"")</f>
        <v/>
      </c>
      <c r="AP64" s="1640" t="str" cm="1">
        <f t="array" ref="AP64">IFERROR(IF(AN64&lt;&gt;"",_xll.PBD(AN64,"Primary Industry Code","","EUR",""),""),"")</f>
        <v/>
      </c>
      <c r="AQ64" s="1640" t="str" cm="1">
        <f t="array" ref="AQ64">IFERROR(IF(AN64&lt;&gt;"",_xll.PBD(AN64,"HQ Country","","EUR",""),""),"")</f>
        <v/>
      </c>
      <c r="AR64" s="1640" t="str" cm="1">
        <f t="array" ref="AR64">IFERROR(IF(AK64&lt;&gt;"",_xll.PBD(AK64,"Limit1.Investors Ids","","EUR",""),""),"")</f>
        <v/>
      </c>
      <c r="AS64" s="1640" t="str" cm="1">
        <f t="array" ref="AS64">IFERROR(IF(AR64&lt;&gt;"",_xll.PBD(AR64,"Name","","EUR",""),""),"")</f>
        <v/>
      </c>
      <c r="AT64" s="1640" t="str" cm="1">
        <f t="array" ref="AT64">IFERROR(IF(AR64&lt;&gt;"",_xll.PBD(AR64,"Primary Industry Code","","EUR",""),""),"")</f>
        <v/>
      </c>
      <c r="AU64" s="1640" t="str" cm="1">
        <f t="array" ref="AU64">IFERROR(IF(AR64&lt;&gt;"",_xll.PBD(AR64,"Limit2.Entity Types","","EUR",""),""),"")</f>
        <v/>
      </c>
      <c r="AV64" s="1640" t="str" cm="1">
        <f t="array" ref="AV64">IFERROR(IF(AR64&lt;&gt;"",_xll.PBD(AR64,"HQ Country","","EUR",""),""),"")</f>
        <v/>
      </c>
      <c r="AX64" s="1641" t="str" cm="1">
        <f t="array" ref="AX64">IFERROR(IF(AK64&lt;&gt;"",_xll.PBD(AK64,"Limit1.Deal Amount","","EUR","")/1000000,""),"")</f>
        <v/>
      </c>
      <c r="AY64" s="1641" t="str" cm="1">
        <f t="array" ref="AY64">IFERROR(IF(AK64&lt;&gt;"",_xll.PBD(AK64,"Limit1.Implied EV ","","EUR","")/1000000,""),"")</f>
        <v/>
      </c>
      <c r="AZ64" s="1694" t="str" cm="1">
        <f t="array" ref="AZ64">IFERROR(IF(AK64&lt;&gt;"",_xll.PBD(AK64,"Limit1.% Acquired ","","EUR",""),""),"")</f>
        <v/>
      </c>
      <c r="BB64" s="1695" t="str" cm="1">
        <f t="array" ref="BB64">IFERROR(IF(AK64&lt;&gt;"",_xll.PBD(AK64,"Implied EV / Revenue","","EUR",""),""),"")</f>
        <v/>
      </c>
      <c r="BC64" s="1695" t="str" cm="1">
        <f t="array" ref="BC64">IFERROR(IF(AK64&lt;&gt;"",_xll.PBD(AK64,"Implied EV / EBITDA","","EUR",""),""),"")</f>
        <v/>
      </c>
      <c r="BD64" s="1695" t="str" cm="1">
        <f t="array" ref="BD64">IFERROR(IF(AK64&lt;&gt;"",_xll.PBD(AK64,"Implied EV / EBIT","","EUR",""),""),"")</f>
        <v/>
      </c>
      <c r="BF64" s="1640" t="str" cm="1">
        <f t="array" ref="BF64">IFERROR(IF(AR64&lt;&gt;"",_xll.PBD(AR64,"Brief Description","","EUR",""),""),"")</f>
        <v/>
      </c>
    </row>
    <row r="65" spans="2:58" ht="13.9" customHeight="1">
      <c r="B65" s="1577"/>
      <c r="C65" s="1577"/>
      <c r="D65" s="1577"/>
      <c r="E65" s="1577"/>
      <c r="F65" s="1577"/>
      <c r="G65" s="1576"/>
      <c r="H65" s="1587"/>
      <c r="I65" s="1587"/>
      <c r="J65" s="1587"/>
      <c r="K65" s="1587"/>
      <c r="L65" s="1705"/>
      <c r="M65" s="1588"/>
      <c r="N65" s="1640" t="str" cm="1">
        <f t="array" ref="N65">IFERROR(IF($L65&lt;&gt;"",_xll.PBD($L65,"Name","","USD",""),""),"")</f>
        <v/>
      </c>
      <c r="O65" s="1640" t="str" cm="1">
        <f t="array" ref="O65">IFERROR(IF($L65&lt;&gt;"",_xll.PBD($L65,"Primary Industry Code","","",""),""),"")</f>
        <v/>
      </c>
      <c r="P65" s="1640" t="str" cm="1">
        <f t="array" ref="P65">IFERROR(IF($L65&lt;&gt;"",_xll.PBD($L65,"HQ Country","","",""),""),"")</f>
        <v/>
      </c>
      <c r="Q65" s="1640" t="str" cm="1">
        <f t="array" ref="Q65">IFERROR(IF($L65&lt;&gt;"",_xll.PBD($L65,"HQ City","","EUR",""),""),"")</f>
        <v/>
      </c>
      <c r="S65" s="1666" t="str" cm="1">
        <f t="array" aca="1" ref="S65" ca="1">IFERROR(IF($L65&lt;&gt;"",_xll.PBF($L65,"EV","TTM",$N$11,"","EUR","")/1000000,""),"")</f>
        <v/>
      </c>
      <c r="T65" s="1666" t="str" cm="1">
        <f t="array" aca="1" ref="T65" ca="1">IFERROR(IF($L65&lt;&gt;"",_xll.PBF($L65,"NET Debt","TTM",$N$11,"","EUR","")/1000000,""),"")</f>
        <v/>
      </c>
      <c r="U65" s="1666" t="str" cm="1">
        <f t="array" aca="1" ref="U65" ca="1">IFERROR(IF($L65&lt;&gt;"",_xll.PBF($L65,"Market Cap","TTM",$N$11,"","EUR","")/1000000,""),"")</f>
        <v/>
      </c>
      <c r="V65" s="1677" t="str" cm="1">
        <f t="array" aca="1" ref="V65" ca="1">IFERROR(IF($L65&lt;&gt;"",_xll.PBF($L65,"Total Debt to Equity","TTM",$V$21,"","EUR",""),""),"")</f>
        <v/>
      </c>
      <c r="W65" s="1677"/>
      <c r="X65" s="1666" t="str" cm="1">
        <f t="array" aca="1" ref="X65" ca="1">IFERROR(IF($L65&lt;&gt;"",_xll.PBF($L65,"Total Revenue","FY",$X$21,"","EUR","")/1000000,""),"")</f>
        <v/>
      </c>
      <c r="Y65" s="1666" t="str" cm="1">
        <f t="array" aca="1" ref="Y65" ca="1">IFERROR(IF($L65&lt;&gt;"",_xll.PBF($L65,"EBITDA","FY",$N$11,"","EUR","")/1000000,""),"")</f>
        <v/>
      </c>
      <c r="Z65" s="1666" t="str" cm="1">
        <f t="array" aca="1" ref="Z65" ca="1">IFERROR(IF($L65&lt;&gt;"",_xll.PBF($L65,"EBIT","FY",$N$11,"","EUR","")/1000000,""),"")</f>
        <v/>
      </c>
      <c r="AA65" s="1677" t="str" cm="1">
        <f t="array" aca="1" ref="AA65" ca="1">IFERROR(IF($L65&lt;&gt;"",_xll.PBF($L65,"Total Debt to EBITDA","FY",$AA$21,"","EUR",""),""),"")</f>
        <v/>
      </c>
      <c r="AB65" s="1670"/>
      <c r="AC65" s="1672" t="str" cm="1">
        <f t="array" aca="1" ref="AC65" ca="1">IFERROR(IF($L65&lt;&gt;"",_xll.PBF($L65,"EV to Revenue","FY",$N$11,"","EUR",""),""),"")</f>
        <v/>
      </c>
      <c r="AD65" s="1672" t="str" cm="1">
        <f t="array" aca="1" ref="AD65" ca="1">IFERROR(IF($L65&lt;&gt;"",_xll.PBF($L65,"EV to EBITDA","FY",$AD$21,"","EUR",""),""),"")</f>
        <v/>
      </c>
      <c r="AE65" s="1672" t="str" cm="1">
        <f t="array" aca="1" ref="AE65" ca="1">IFERROR(IF($L65&lt;&gt;"",_xll.PBF($L65,"EV to EBIT","FY",$AE$21,"","EUR",""),""),"")</f>
        <v/>
      </c>
      <c r="AF65" s="1672"/>
      <c r="AG65" s="1672" t="str" cm="1">
        <f t="array" aca="1" ref="AG65" ca="1">IFERROR(IF($L65&lt;&gt;"",_xll.PBF($L65,"EV to Forward Revenue","FY",$AG$21,"","EUR",""),""),"")</f>
        <v/>
      </c>
      <c r="AH65" s="1672" t="str" cm="1">
        <f t="array" aca="1" ref="AH65" ca="1">IFERROR(IF($L65&lt;&gt;"",_xll.PBF($L65,"EV to Forward EBITDA","FY",$AH$21,"","EUR",""),""),"")</f>
        <v/>
      </c>
      <c r="AI65" s="1672" t="str" cm="1">
        <f t="array" aca="1" ref="AI65" ca="1">IFERROR(IF($L65&lt;&gt;"",_xll.PBF($L65,"EV to Forward EBIT","FY",$AI$21,"","EUR",""),""),"")</f>
        <v/>
      </c>
      <c r="AK65" s="1705"/>
      <c r="AL65" s="1693" t="str" cm="1">
        <f t="array" ref="AL65">IFERROR(IF(AK65&lt;&gt;"",_xll.PBD(AK65,"Deal Date","","EUR",""),""),"")</f>
        <v/>
      </c>
      <c r="AM65" s="1693" t="str" cm="1">
        <f t="array" ref="AM65">IFERROR(IF(AK65&lt;&gt;"",_xll.PBD(AK65,"Limit1.Deal Type 1","","EUR",""),""),"")</f>
        <v/>
      </c>
      <c r="AN65" s="1693" t="str" cm="1">
        <f t="array" ref="AN65">IFERROR(IF(AK65&lt;&gt;"",_xll.PBD(AK65,"Limit1.Company Id","","EUR",""),""),"")</f>
        <v/>
      </c>
      <c r="AO65" s="1640" t="str" cm="1">
        <f t="array" ref="AO65">IFERROR(IF(AN65&lt;&gt;"",_xll.PBD(AN65,"Name","","EUR",""),""),"")</f>
        <v/>
      </c>
      <c r="AP65" s="1640" t="str" cm="1">
        <f t="array" ref="AP65">IFERROR(IF(AN65&lt;&gt;"",_xll.PBD(AN65,"Primary Industry Code","","EUR",""),""),"")</f>
        <v/>
      </c>
      <c r="AQ65" s="1640" t="str" cm="1">
        <f t="array" ref="AQ65">IFERROR(IF(AN65&lt;&gt;"",_xll.PBD(AN65,"HQ Country","","EUR",""),""),"")</f>
        <v/>
      </c>
      <c r="AR65" s="1640" t="str" cm="1">
        <f t="array" ref="AR65">IFERROR(IF(AK65&lt;&gt;"",_xll.PBD(AK65,"Limit1.Investors Ids","","EUR",""),""),"")</f>
        <v/>
      </c>
      <c r="AS65" s="1640" t="str" cm="1">
        <f t="array" ref="AS65">IFERROR(IF(AR65&lt;&gt;"",_xll.PBD(AR65,"Name","","EUR",""),""),"")</f>
        <v/>
      </c>
      <c r="AT65" s="1640" t="str" cm="1">
        <f t="array" ref="AT65">IFERROR(IF(AR65&lt;&gt;"",_xll.PBD(AR65,"Primary Industry Code","","EUR",""),""),"")</f>
        <v/>
      </c>
      <c r="AU65" s="1640" t="str" cm="1">
        <f t="array" ref="AU65">IFERROR(IF(AR65&lt;&gt;"",_xll.PBD(AR65,"Limit2.Entity Types","","EUR",""),""),"")</f>
        <v/>
      </c>
      <c r="AV65" s="1640" t="str" cm="1">
        <f t="array" ref="AV65">IFERROR(IF(AR65&lt;&gt;"",_xll.PBD(AR65,"HQ Country","","EUR",""),""),"")</f>
        <v/>
      </c>
      <c r="AX65" s="1641" t="str" cm="1">
        <f t="array" ref="AX65">IFERROR(IF(AK65&lt;&gt;"",_xll.PBD(AK65,"Limit1.Deal Amount","","EUR","")/1000000,""),"")</f>
        <v/>
      </c>
      <c r="AY65" s="1641" t="str" cm="1">
        <f t="array" ref="AY65">IFERROR(IF(AK65&lt;&gt;"",_xll.PBD(AK65,"Limit1.Implied EV ","","EUR","")/1000000,""),"")</f>
        <v/>
      </c>
      <c r="AZ65" s="1694" t="str" cm="1">
        <f t="array" ref="AZ65">IFERROR(IF(AK65&lt;&gt;"",_xll.PBD(AK65,"Limit1.% Acquired ","","EUR",""),""),"")</f>
        <v/>
      </c>
      <c r="BB65" s="1695" t="str" cm="1">
        <f t="array" ref="BB65">IFERROR(IF(AK65&lt;&gt;"",_xll.PBD(AK65,"Implied EV / Revenue","","EUR",""),""),"")</f>
        <v/>
      </c>
      <c r="BC65" s="1695" t="str" cm="1">
        <f t="array" ref="BC65">IFERROR(IF(AK65&lt;&gt;"",_xll.PBD(AK65,"Implied EV / EBITDA","","EUR",""),""),"")</f>
        <v/>
      </c>
      <c r="BD65" s="1695" t="str" cm="1">
        <f t="array" ref="BD65">IFERROR(IF(AK65&lt;&gt;"",_xll.PBD(AK65,"Implied EV / EBIT","","EUR",""),""),"")</f>
        <v/>
      </c>
      <c r="BF65" s="1640" t="str" cm="1">
        <f t="array" ref="BF65">IFERROR(IF(AR65&lt;&gt;"",_xll.PBD(AR65,"Brief Description","","EUR",""),""),"")</f>
        <v/>
      </c>
    </row>
    <row r="66" spans="2:58" ht="13.9" customHeight="1">
      <c r="L66" s="1705"/>
      <c r="M66" s="1586"/>
      <c r="N66" s="1640" t="str" cm="1">
        <f t="array" ref="N66">IFERROR(IF($L66&lt;&gt;"",_xll.PBD($L66,"Name","","USD",""),""),"")</f>
        <v/>
      </c>
      <c r="O66" s="1640" t="str" cm="1">
        <f t="array" ref="O66">IFERROR(IF($L66&lt;&gt;"",_xll.PBD($L66,"Primary Industry Code","","",""),""),"")</f>
        <v/>
      </c>
      <c r="P66" s="1640" t="str" cm="1">
        <f t="array" ref="P66">IFERROR(IF($L66&lt;&gt;"",_xll.PBD($L66,"HQ Country","","",""),""),"")</f>
        <v/>
      </c>
      <c r="Q66" s="1640" t="str" cm="1">
        <f t="array" ref="Q66">IFERROR(IF($L66&lt;&gt;"",_xll.PBD($L66,"HQ City","","EUR",""),""),"")</f>
        <v/>
      </c>
      <c r="S66" s="1666" t="str" cm="1">
        <f t="array" aca="1" ref="S66" ca="1">IFERROR(IF($L66&lt;&gt;"",_xll.PBF($L66,"EV","TTM",$N$11,"","EUR","")/1000000,""),"")</f>
        <v/>
      </c>
      <c r="T66" s="1666" t="str" cm="1">
        <f t="array" aca="1" ref="T66" ca="1">IFERROR(IF($L66&lt;&gt;"",_xll.PBF($L66,"NET Debt","TTM",$N$11,"","EUR","")/1000000,""),"")</f>
        <v/>
      </c>
      <c r="U66" s="1666" t="str" cm="1">
        <f t="array" aca="1" ref="U66" ca="1">IFERROR(IF($L66&lt;&gt;"",_xll.PBF($L66,"Market Cap","TTM",$N$11,"","EUR","")/1000000,""),"")</f>
        <v/>
      </c>
      <c r="V66" s="1677" t="str" cm="1">
        <f t="array" aca="1" ref="V66" ca="1">IFERROR(IF($L66&lt;&gt;"",_xll.PBF($L66,"Total Debt to Equity","TTM",$V$21,"","EUR",""),""),"")</f>
        <v/>
      </c>
      <c r="W66" s="1677"/>
      <c r="X66" s="1666" t="str" cm="1">
        <f t="array" aca="1" ref="X66" ca="1">IFERROR(IF($L66&lt;&gt;"",_xll.PBF($L66,"Total Revenue","FY",$X$21,"","EUR","")/1000000,""),"")</f>
        <v/>
      </c>
      <c r="Y66" s="1666" t="str" cm="1">
        <f t="array" aca="1" ref="Y66" ca="1">IFERROR(IF($L66&lt;&gt;"",_xll.PBF($L66,"EBITDA","FY",$N$11,"","EUR","")/1000000,""),"")</f>
        <v/>
      </c>
      <c r="Z66" s="1666" t="str" cm="1">
        <f t="array" aca="1" ref="Z66" ca="1">IFERROR(IF($L66&lt;&gt;"",_xll.PBF($L66,"EBIT","FY",$N$11,"","EUR","")/1000000,""),"")</f>
        <v/>
      </c>
      <c r="AA66" s="1677" t="str" cm="1">
        <f t="array" aca="1" ref="AA66" ca="1">IFERROR(IF($L66&lt;&gt;"",_xll.PBF($L66,"Total Debt to EBITDA","FY",$AA$21,"","EUR",""),""),"")</f>
        <v/>
      </c>
      <c r="AB66" s="1670"/>
      <c r="AC66" s="1672" t="str" cm="1">
        <f t="array" aca="1" ref="AC66" ca="1">IFERROR(IF($L66&lt;&gt;"",_xll.PBF($L66,"EV to Revenue","FY",$N$11,"","EUR",""),""),"")</f>
        <v/>
      </c>
      <c r="AD66" s="1672" t="str" cm="1">
        <f t="array" aca="1" ref="AD66" ca="1">IFERROR(IF($L66&lt;&gt;"",_xll.PBF($L66,"EV to EBITDA","FY",$AD$21,"","EUR",""),""),"")</f>
        <v/>
      </c>
      <c r="AE66" s="1672" t="str" cm="1">
        <f t="array" aca="1" ref="AE66" ca="1">IFERROR(IF($L66&lt;&gt;"",_xll.PBF($L66,"EV to EBIT","FY",$AE$21,"","EUR",""),""),"")</f>
        <v/>
      </c>
      <c r="AF66" s="1672"/>
      <c r="AG66" s="1672" t="str" cm="1">
        <f t="array" aca="1" ref="AG66" ca="1">IFERROR(IF($L66&lt;&gt;"",_xll.PBF($L66,"EV to Forward Revenue","FY",$AG$21,"","EUR",""),""),"")</f>
        <v/>
      </c>
      <c r="AH66" s="1672" t="str" cm="1">
        <f t="array" aca="1" ref="AH66" ca="1">IFERROR(IF($L66&lt;&gt;"",_xll.PBF($L66,"EV to Forward EBITDA","FY",$AH$21,"","EUR",""),""),"")</f>
        <v/>
      </c>
      <c r="AI66" s="1672" t="str" cm="1">
        <f t="array" aca="1" ref="AI66" ca="1">IFERROR(IF($L66&lt;&gt;"",_xll.PBF($L66,"EV to Forward EBIT","FY",$AI$21,"","EUR",""),""),"")</f>
        <v/>
      </c>
      <c r="AK66" s="1705"/>
      <c r="AL66" s="1693" t="str" cm="1">
        <f t="array" ref="AL66">IFERROR(IF(AK66&lt;&gt;"",_xll.PBD(AK66,"Deal Date","","EUR",""),""),"")</f>
        <v/>
      </c>
      <c r="AM66" s="1693" t="str" cm="1">
        <f t="array" ref="AM66">IFERROR(IF(AK66&lt;&gt;"",_xll.PBD(AK66,"Limit1.Deal Type 1","","EUR",""),""),"")</f>
        <v/>
      </c>
      <c r="AN66" s="1693" t="str" cm="1">
        <f t="array" ref="AN66">IFERROR(IF(AK66&lt;&gt;"",_xll.PBD(AK66,"Limit1.Company Id","","EUR",""),""),"")</f>
        <v/>
      </c>
      <c r="AO66" s="1640" t="str" cm="1">
        <f t="array" ref="AO66">IFERROR(IF(AN66&lt;&gt;"",_xll.PBD(AN66,"Name","","EUR",""),""),"")</f>
        <v/>
      </c>
      <c r="AP66" s="1640" t="str" cm="1">
        <f t="array" ref="AP66">IFERROR(IF(AN66&lt;&gt;"",_xll.PBD(AN66,"Primary Industry Code","","EUR",""),""),"")</f>
        <v/>
      </c>
      <c r="AQ66" s="1640" t="str" cm="1">
        <f t="array" ref="AQ66">IFERROR(IF(AN66&lt;&gt;"",_xll.PBD(AN66,"HQ Country","","EUR",""),""),"")</f>
        <v/>
      </c>
      <c r="AR66" s="1640" t="str" cm="1">
        <f t="array" ref="AR66">IFERROR(IF(AK66&lt;&gt;"",_xll.PBD(AK66,"Limit1.Investors Ids","","EUR",""),""),"")</f>
        <v/>
      </c>
      <c r="AS66" s="1640" t="str" cm="1">
        <f t="array" ref="AS66">IFERROR(IF(AR66&lt;&gt;"",_xll.PBD(AR66,"Name","","EUR",""),""),"")</f>
        <v/>
      </c>
      <c r="AT66" s="1640" t="str" cm="1">
        <f t="array" ref="AT66">IFERROR(IF(AR66&lt;&gt;"",_xll.PBD(AR66,"Primary Industry Code","","EUR",""),""),"")</f>
        <v/>
      </c>
      <c r="AU66" s="1640" t="str" cm="1">
        <f t="array" ref="AU66">IFERROR(IF(AR66&lt;&gt;"",_xll.PBD(AR66,"Limit2.Entity Types","","EUR",""),""),"")</f>
        <v/>
      </c>
      <c r="AV66" s="1640" t="str" cm="1">
        <f t="array" ref="AV66">IFERROR(IF(AR66&lt;&gt;"",_xll.PBD(AR66,"HQ Country","","EUR",""),""),"")</f>
        <v/>
      </c>
      <c r="AX66" s="1641" t="str" cm="1">
        <f t="array" ref="AX66">IFERROR(IF(AK66&lt;&gt;"",_xll.PBD(AK66,"Limit1.Deal Amount","","EUR","")/1000000,""),"")</f>
        <v/>
      </c>
      <c r="AY66" s="1641" t="str" cm="1">
        <f t="array" ref="AY66">IFERROR(IF(AK66&lt;&gt;"",_xll.PBD(AK66,"Limit1.Implied EV ","","EUR","")/1000000,""),"")</f>
        <v/>
      </c>
      <c r="AZ66" s="1694" t="str" cm="1">
        <f t="array" ref="AZ66">IFERROR(IF(AK66&lt;&gt;"",_xll.PBD(AK66,"Limit1.% Acquired ","","EUR",""),""),"")</f>
        <v/>
      </c>
      <c r="BB66" s="1695" t="str" cm="1">
        <f t="array" ref="BB66">IFERROR(IF(AK66&lt;&gt;"",_xll.PBD(AK66,"Implied EV / Revenue","","EUR",""),""),"")</f>
        <v/>
      </c>
      <c r="BC66" s="1695" t="str" cm="1">
        <f t="array" ref="BC66">IFERROR(IF(AK66&lt;&gt;"",_xll.PBD(AK66,"Implied EV / EBITDA","","EUR",""),""),"")</f>
        <v/>
      </c>
      <c r="BD66" s="1695" t="str" cm="1">
        <f t="array" ref="BD66">IFERROR(IF(AK66&lt;&gt;"",_xll.PBD(AK66,"Implied EV / EBIT","","EUR",""),""),"")</f>
        <v/>
      </c>
      <c r="BF66" s="1640" t="str" cm="1">
        <f t="array" ref="BF66">IFERROR(IF(AR66&lt;&gt;"",_xll.PBD(AR66,"Brief Description","","EUR",""),""),"")</f>
        <v/>
      </c>
    </row>
    <row r="67" spans="2:58" ht="13.9" customHeight="1">
      <c r="L67" s="1705"/>
      <c r="M67" s="1586"/>
      <c r="N67" s="1640" t="str" cm="1">
        <f t="array" ref="N67">IFERROR(IF($L67&lt;&gt;"",_xll.PBD($L67,"Name","","USD",""),""),"")</f>
        <v/>
      </c>
      <c r="O67" s="1640" t="str" cm="1">
        <f t="array" ref="O67">IFERROR(IF($L67&lt;&gt;"",_xll.PBD($L67,"Primary Industry Code","","",""),""),"")</f>
        <v/>
      </c>
      <c r="P67" s="1640" t="str" cm="1">
        <f t="array" ref="P67">IFERROR(IF($L67&lt;&gt;"",_xll.PBD($L67,"HQ Country","","",""),""),"")</f>
        <v/>
      </c>
      <c r="Q67" s="1640" t="str" cm="1">
        <f t="array" ref="Q67">IFERROR(IF($L67&lt;&gt;"",_xll.PBD($L67,"HQ City","","EUR",""),""),"")</f>
        <v/>
      </c>
      <c r="S67" s="1666" t="str" cm="1">
        <f t="array" aca="1" ref="S67" ca="1">IFERROR(IF($L67&lt;&gt;"",_xll.PBF($L67,"EV","TTM",$N$11,"","EUR","")/1000000,""),"")</f>
        <v/>
      </c>
      <c r="T67" s="1666" t="str" cm="1">
        <f t="array" aca="1" ref="T67" ca="1">IFERROR(IF($L67&lt;&gt;"",_xll.PBF($L67,"NET Debt","TTM",$N$11,"","EUR","")/1000000,""),"")</f>
        <v/>
      </c>
      <c r="U67" s="1666" t="str" cm="1">
        <f t="array" aca="1" ref="U67" ca="1">IFERROR(IF($L67&lt;&gt;"",_xll.PBF($L67,"Market Cap","TTM",$N$11,"","EUR","")/1000000,""),"")</f>
        <v/>
      </c>
      <c r="V67" s="1677" t="str" cm="1">
        <f t="array" aca="1" ref="V67" ca="1">IFERROR(IF($L67&lt;&gt;"",_xll.PBF($L67,"Total Debt to Equity","TTM",$V$21,"","EUR",""),""),"")</f>
        <v/>
      </c>
      <c r="W67" s="1677"/>
      <c r="X67" s="1666" t="str" cm="1">
        <f t="array" aca="1" ref="X67" ca="1">IFERROR(IF($L67&lt;&gt;"",_xll.PBF($L67,"Total Revenue","FY",$X$21,"","EUR","")/1000000,""),"")</f>
        <v/>
      </c>
      <c r="Y67" s="1666" t="str" cm="1">
        <f t="array" aca="1" ref="Y67" ca="1">IFERROR(IF($L67&lt;&gt;"",_xll.PBF($L67,"EBITDA","FY",$N$11,"","EUR","")/1000000,""),"")</f>
        <v/>
      </c>
      <c r="Z67" s="1666" t="str" cm="1">
        <f t="array" aca="1" ref="Z67" ca="1">IFERROR(IF($L67&lt;&gt;"",_xll.PBF($L67,"EBIT","FY",$N$11,"","EUR","")/1000000,""),"")</f>
        <v/>
      </c>
      <c r="AA67" s="1677" t="str" cm="1">
        <f t="array" aca="1" ref="AA67" ca="1">IFERROR(IF($L67&lt;&gt;"",_xll.PBF($L67,"Total Debt to EBITDA","FY",$AA$21,"","EUR",""),""),"")</f>
        <v/>
      </c>
      <c r="AB67" s="1670"/>
      <c r="AC67" s="1672" t="str" cm="1">
        <f t="array" aca="1" ref="AC67" ca="1">IFERROR(IF($L67&lt;&gt;"",_xll.PBF($L67,"EV to Revenue","FY",$N$11,"","EUR",""),""),"")</f>
        <v/>
      </c>
      <c r="AD67" s="1672" t="str" cm="1">
        <f t="array" aca="1" ref="AD67" ca="1">IFERROR(IF($L67&lt;&gt;"",_xll.PBF($L67,"EV to EBITDA","FY",$AD$21,"","EUR",""),""),"")</f>
        <v/>
      </c>
      <c r="AE67" s="1672" t="str" cm="1">
        <f t="array" aca="1" ref="AE67" ca="1">IFERROR(IF($L67&lt;&gt;"",_xll.PBF($L67,"EV to EBIT","FY",$AE$21,"","EUR",""),""),"")</f>
        <v/>
      </c>
      <c r="AF67" s="1672"/>
      <c r="AG67" s="1672" t="str" cm="1">
        <f t="array" aca="1" ref="AG67" ca="1">IFERROR(IF($L67&lt;&gt;"",_xll.PBF($L67,"EV to Forward Revenue","FY",$AG$21,"","EUR",""),""),"")</f>
        <v/>
      </c>
      <c r="AH67" s="1672" t="str" cm="1">
        <f t="array" aca="1" ref="AH67" ca="1">IFERROR(IF($L67&lt;&gt;"",_xll.PBF($L67,"EV to Forward EBITDA","FY",$AH$21,"","EUR",""),""),"")</f>
        <v/>
      </c>
      <c r="AI67" s="1672" t="str" cm="1">
        <f t="array" aca="1" ref="AI67" ca="1">IFERROR(IF($L67&lt;&gt;"",_xll.PBF($L67,"EV to Forward EBIT","FY",$AI$21,"","EUR",""),""),"")</f>
        <v/>
      </c>
      <c r="AK67" s="1705"/>
      <c r="AL67" s="1693" t="str" cm="1">
        <f t="array" ref="AL67">IFERROR(IF(AK67&lt;&gt;"",_xll.PBD(AK67,"Deal Date","","EUR",""),""),"")</f>
        <v/>
      </c>
      <c r="AM67" s="1693" t="str" cm="1">
        <f t="array" ref="AM67">IFERROR(IF(AK67&lt;&gt;"",_xll.PBD(AK67,"Limit1.Deal Type 1","","EUR",""),""),"")</f>
        <v/>
      </c>
      <c r="AN67" s="1693" t="str" cm="1">
        <f t="array" ref="AN67">IFERROR(IF(AK67&lt;&gt;"",_xll.PBD(AK67,"Limit1.Company Id","","EUR",""),""),"")</f>
        <v/>
      </c>
      <c r="AO67" s="1640" t="str" cm="1">
        <f t="array" ref="AO67">IFERROR(IF(AN67&lt;&gt;"",_xll.PBD(AN67,"Name","","EUR",""),""),"")</f>
        <v/>
      </c>
      <c r="AP67" s="1640" t="str" cm="1">
        <f t="array" ref="AP67">IFERROR(IF(AN67&lt;&gt;"",_xll.PBD(AN67,"Primary Industry Code","","EUR",""),""),"")</f>
        <v/>
      </c>
      <c r="AQ67" s="1640" t="str" cm="1">
        <f t="array" ref="AQ67">IFERROR(IF(AN67&lt;&gt;"",_xll.PBD(AN67,"HQ Country","","EUR",""),""),"")</f>
        <v/>
      </c>
      <c r="AR67" s="1640" t="str" cm="1">
        <f t="array" ref="AR67">IFERROR(IF(AK67&lt;&gt;"",_xll.PBD(AK67,"Limit1.Investors Ids","","EUR",""),""),"")</f>
        <v/>
      </c>
      <c r="AS67" s="1640" t="str" cm="1">
        <f t="array" ref="AS67">IFERROR(IF(AR67&lt;&gt;"",_xll.PBD(AR67,"Name","","EUR",""),""),"")</f>
        <v/>
      </c>
      <c r="AT67" s="1640" t="str" cm="1">
        <f t="array" ref="AT67">IFERROR(IF(AR67&lt;&gt;"",_xll.PBD(AR67,"Primary Industry Code","","EUR",""),""),"")</f>
        <v/>
      </c>
      <c r="AU67" s="1640" t="str" cm="1">
        <f t="array" ref="AU67">IFERROR(IF(AR67&lt;&gt;"",_xll.PBD(AR67,"Limit2.Entity Types","","EUR",""),""),"")</f>
        <v/>
      </c>
      <c r="AV67" s="1640" t="str" cm="1">
        <f t="array" ref="AV67">IFERROR(IF(AR67&lt;&gt;"",_xll.PBD(AR67,"HQ Country","","EUR",""),""),"")</f>
        <v/>
      </c>
      <c r="AX67" s="1641" t="str" cm="1">
        <f t="array" ref="AX67">IFERROR(IF(AK67&lt;&gt;"",_xll.PBD(AK67,"Limit1.Deal Amount","","EUR","")/1000000,""),"")</f>
        <v/>
      </c>
      <c r="AY67" s="1641" t="str" cm="1">
        <f t="array" ref="AY67">IFERROR(IF(AK67&lt;&gt;"",_xll.PBD(AK67,"Limit1.Implied EV ","","EUR","")/1000000,""),"")</f>
        <v/>
      </c>
      <c r="AZ67" s="1694" t="str" cm="1">
        <f t="array" ref="AZ67">IFERROR(IF(AK67&lt;&gt;"",_xll.PBD(AK67,"Limit1.% Acquired ","","EUR",""),""),"")</f>
        <v/>
      </c>
      <c r="BB67" s="1695" t="str" cm="1">
        <f t="array" ref="BB67">IFERROR(IF(AK67&lt;&gt;"",_xll.PBD(AK67,"Implied EV / Revenue","","EUR",""),""),"")</f>
        <v/>
      </c>
      <c r="BC67" s="1695" t="str" cm="1">
        <f t="array" ref="BC67">IFERROR(IF(AK67&lt;&gt;"",_xll.PBD(AK67,"Implied EV / EBITDA","","EUR",""),""),"")</f>
        <v/>
      </c>
      <c r="BD67" s="1695" t="str" cm="1">
        <f t="array" ref="BD67">IFERROR(IF(AK67&lt;&gt;"",_xll.PBD(AK67,"Implied EV / EBIT","","EUR",""),""),"")</f>
        <v/>
      </c>
      <c r="BF67" s="1640" t="str" cm="1">
        <f t="array" ref="BF67">IFERROR(IF(AR67&lt;&gt;"",_xll.PBD(AR67,"Brief Description","","EUR",""),""),"")</f>
        <v/>
      </c>
    </row>
    <row r="68" spans="2:58" ht="13.9" customHeight="1">
      <c r="L68" s="1705"/>
      <c r="N68" s="1640" t="str" cm="1">
        <f t="array" ref="N68">IFERROR(IF($L68&lt;&gt;"",_xll.PBD($L68,"Name","","USD",""),""),"")</f>
        <v/>
      </c>
      <c r="O68" s="1640" t="str" cm="1">
        <f t="array" ref="O68">IFERROR(IF($L68&lt;&gt;"",_xll.PBD($L68,"Primary Industry Code","","",""),""),"")</f>
        <v/>
      </c>
      <c r="P68" s="1640" t="str" cm="1">
        <f t="array" ref="P68">IFERROR(IF($L68&lt;&gt;"",_xll.PBD($L68,"HQ Country","","",""),""),"")</f>
        <v/>
      </c>
      <c r="Q68" s="1640" t="str" cm="1">
        <f t="array" ref="Q68">IFERROR(IF($L68&lt;&gt;"",_xll.PBD($L68,"HQ City","","EUR",""),""),"")</f>
        <v/>
      </c>
      <c r="S68" s="1666" t="str" cm="1">
        <f t="array" aca="1" ref="S68" ca="1">IFERROR(IF($L68&lt;&gt;"",_xll.PBF($L68,"EV","TTM",$N$11,"","EUR","")/1000000,""),"")</f>
        <v/>
      </c>
      <c r="T68" s="1666" t="str" cm="1">
        <f t="array" aca="1" ref="T68" ca="1">IFERROR(IF($L68&lt;&gt;"",_xll.PBF($L68,"NET Debt","TTM",$N$11,"","EUR","")/1000000,""),"")</f>
        <v/>
      </c>
      <c r="U68" s="1666" t="str" cm="1">
        <f t="array" aca="1" ref="U68" ca="1">IFERROR(IF($L68&lt;&gt;"",_xll.PBF($L68,"Market Cap","TTM",$N$11,"","EUR","")/1000000,""),"")</f>
        <v/>
      </c>
      <c r="V68" s="1677" t="str" cm="1">
        <f t="array" aca="1" ref="V68" ca="1">IFERROR(IF($L68&lt;&gt;"",_xll.PBF($L68,"Total Debt to Equity","TTM",$V$21,"","EUR",""),""),"")</f>
        <v/>
      </c>
      <c r="W68" s="1677"/>
      <c r="X68" s="1666" t="str" cm="1">
        <f t="array" aca="1" ref="X68" ca="1">IFERROR(IF($L68&lt;&gt;"",_xll.PBF($L68,"Total Revenue","FY",$X$21,"","EUR","")/1000000,""),"")</f>
        <v/>
      </c>
      <c r="Y68" s="1666" t="str" cm="1">
        <f t="array" aca="1" ref="Y68" ca="1">IFERROR(IF($L68&lt;&gt;"",_xll.PBF($L68,"EBITDA","FY",$N$11,"","EUR","")/1000000,""),"")</f>
        <v/>
      </c>
      <c r="Z68" s="1666" t="str" cm="1">
        <f t="array" aca="1" ref="Z68" ca="1">IFERROR(IF($L68&lt;&gt;"",_xll.PBF($L68,"EBIT","FY",$N$11,"","EUR","")/1000000,""),"")</f>
        <v/>
      </c>
      <c r="AA68" s="1677" t="str" cm="1">
        <f t="array" aca="1" ref="AA68" ca="1">IFERROR(IF($L68&lt;&gt;"",_xll.PBF($L68,"Total Debt to EBITDA","FY",$AA$21,"","EUR",""),""),"")</f>
        <v/>
      </c>
      <c r="AB68" s="1670"/>
      <c r="AC68" s="1672" t="str" cm="1">
        <f t="array" aca="1" ref="AC68" ca="1">IFERROR(IF($L68&lt;&gt;"",_xll.PBF($L68,"EV to Revenue","FY",$N$11,"","EUR",""),""),"")</f>
        <v/>
      </c>
      <c r="AD68" s="1672" t="str" cm="1">
        <f t="array" aca="1" ref="AD68" ca="1">IFERROR(IF($L68&lt;&gt;"",_xll.PBF($L68,"EV to EBITDA","FY",$AD$21,"","EUR",""),""),"")</f>
        <v/>
      </c>
      <c r="AE68" s="1672" t="str" cm="1">
        <f t="array" aca="1" ref="AE68" ca="1">IFERROR(IF($L68&lt;&gt;"",_xll.PBF($L68,"EV to EBIT","FY",$AE$21,"","EUR",""),""),"")</f>
        <v/>
      </c>
      <c r="AF68" s="1672"/>
      <c r="AG68" s="1672" t="str" cm="1">
        <f t="array" aca="1" ref="AG68" ca="1">IFERROR(IF($L68&lt;&gt;"",_xll.PBF($L68,"EV to Forward Revenue","FY",$AG$21,"","EUR",""),""),"")</f>
        <v/>
      </c>
      <c r="AH68" s="1672" t="str" cm="1">
        <f t="array" aca="1" ref="AH68" ca="1">IFERROR(IF($L68&lt;&gt;"",_xll.PBF($L68,"EV to Forward EBITDA","FY",$AH$21,"","EUR",""),""),"")</f>
        <v/>
      </c>
      <c r="AI68" s="1672" t="str" cm="1">
        <f t="array" aca="1" ref="AI68" ca="1">IFERROR(IF($L68&lt;&gt;"",_xll.PBF($L68,"EV to Forward EBIT","FY",$AI$21,"","EUR",""),""),"")</f>
        <v/>
      </c>
      <c r="AK68" s="1705"/>
      <c r="AL68" s="1693" t="str" cm="1">
        <f t="array" ref="AL68">IFERROR(IF(AK68&lt;&gt;"",_xll.PBD(AK68,"Deal Date","","EUR",""),""),"")</f>
        <v/>
      </c>
      <c r="AM68" s="1693" t="str" cm="1">
        <f t="array" ref="AM68">IFERROR(IF(AK68&lt;&gt;"",_xll.PBD(AK68,"Limit1.Deal Type 1","","EUR",""),""),"")</f>
        <v/>
      </c>
      <c r="AN68" s="1693" t="str" cm="1">
        <f t="array" ref="AN68">IFERROR(IF(AK68&lt;&gt;"",_xll.PBD(AK68,"Limit1.Company Id","","EUR",""),""),"")</f>
        <v/>
      </c>
      <c r="AO68" s="1640" t="str" cm="1">
        <f t="array" ref="AO68">IFERROR(IF(AN68&lt;&gt;"",_xll.PBD(AN68,"Name","","EUR",""),""),"")</f>
        <v/>
      </c>
      <c r="AP68" s="1640" t="str" cm="1">
        <f t="array" ref="AP68">IFERROR(IF(AN68&lt;&gt;"",_xll.PBD(AN68,"Primary Industry Code","","EUR",""),""),"")</f>
        <v/>
      </c>
      <c r="AQ68" s="1640" t="str" cm="1">
        <f t="array" ref="AQ68">IFERROR(IF(AN68&lt;&gt;"",_xll.PBD(AN68,"HQ Country","","EUR",""),""),"")</f>
        <v/>
      </c>
      <c r="AR68" s="1640" t="str" cm="1">
        <f t="array" ref="AR68">IFERROR(IF(AK68&lt;&gt;"",_xll.PBD(AK68,"Limit1.Investors Ids","","EUR",""),""),"")</f>
        <v/>
      </c>
      <c r="AS68" s="1640" t="str" cm="1">
        <f t="array" ref="AS68">IFERROR(IF(AR68&lt;&gt;"",_xll.PBD(AR68,"Name","","EUR",""),""),"")</f>
        <v/>
      </c>
      <c r="AT68" s="1640" t="str" cm="1">
        <f t="array" ref="AT68">IFERROR(IF(AR68&lt;&gt;"",_xll.PBD(AR68,"Primary Industry Code","","EUR",""),""),"")</f>
        <v/>
      </c>
      <c r="AU68" s="1640" t="str" cm="1">
        <f t="array" ref="AU68">IFERROR(IF(AR68&lt;&gt;"",_xll.PBD(AR68,"Limit2.Entity Types","","EUR",""),""),"")</f>
        <v/>
      </c>
      <c r="AV68" s="1640" t="str" cm="1">
        <f t="array" ref="AV68">IFERROR(IF(AR68&lt;&gt;"",_xll.PBD(AR68,"HQ Country","","EUR",""),""),"")</f>
        <v/>
      </c>
      <c r="AX68" s="1641" t="str" cm="1">
        <f t="array" ref="AX68">IFERROR(IF(AK68&lt;&gt;"",_xll.PBD(AK68,"Limit1.Deal Amount","","EUR","")/1000000,""),"")</f>
        <v/>
      </c>
      <c r="AY68" s="1641" t="str" cm="1">
        <f t="array" ref="AY68">IFERROR(IF(AK68&lt;&gt;"",_xll.PBD(AK68,"Limit1.Implied EV ","","EUR","")/1000000,""),"")</f>
        <v/>
      </c>
      <c r="AZ68" s="1694" t="str" cm="1">
        <f t="array" ref="AZ68">IFERROR(IF(AK68&lt;&gt;"",_xll.PBD(AK68,"Limit1.% Acquired ","","EUR",""),""),"")</f>
        <v/>
      </c>
      <c r="BB68" s="1695" t="str" cm="1">
        <f t="array" ref="BB68">IFERROR(IF(AK68&lt;&gt;"",_xll.PBD(AK68,"Implied EV / Revenue","","EUR",""),""),"")</f>
        <v/>
      </c>
      <c r="BC68" s="1695" t="str" cm="1">
        <f t="array" ref="BC68">IFERROR(IF(AK68&lt;&gt;"",_xll.PBD(AK68,"Implied EV / EBITDA","","EUR",""),""),"")</f>
        <v/>
      </c>
      <c r="BD68" s="1695" t="str" cm="1">
        <f t="array" ref="BD68">IFERROR(IF(AK68&lt;&gt;"",_xll.PBD(AK68,"Implied EV / EBIT","","EUR",""),""),"")</f>
        <v/>
      </c>
      <c r="BF68" s="1640" t="str" cm="1">
        <f t="array" ref="BF68">IFERROR(IF(AR68&lt;&gt;"",_xll.PBD(AR68,"Brief Description","","EUR",""),""),"")</f>
        <v/>
      </c>
    </row>
    <row r="69" spans="2:58" ht="13.9" customHeight="1">
      <c r="L69" s="1705"/>
      <c r="N69" s="1640" t="str" cm="1">
        <f t="array" ref="N69">IFERROR(IF($L69&lt;&gt;"",_xll.PBD($L69,"Name","","USD",""),""),"")</f>
        <v/>
      </c>
      <c r="O69" s="1640" t="str" cm="1">
        <f t="array" ref="O69">IFERROR(IF($L69&lt;&gt;"",_xll.PBD($L69,"Primary Industry Code","","",""),""),"")</f>
        <v/>
      </c>
      <c r="P69" s="1640" t="str" cm="1">
        <f t="array" ref="P69">IFERROR(IF($L69&lt;&gt;"",_xll.PBD($L69,"HQ Country","","",""),""),"")</f>
        <v/>
      </c>
      <c r="Q69" s="1640" t="str" cm="1">
        <f t="array" ref="Q69">IFERROR(IF($L69&lt;&gt;"",_xll.PBD($L69,"HQ City","","EUR",""),""),"")</f>
        <v/>
      </c>
      <c r="S69" s="1666" t="str" cm="1">
        <f t="array" aca="1" ref="S69" ca="1">IFERROR(IF($L69&lt;&gt;"",_xll.PBF($L69,"EV","TTM",$N$11,"","EUR","")/1000000,""),"")</f>
        <v/>
      </c>
      <c r="T69" s="1666" t="str" cm="1">
        <f t="array" aca="1" ref="T69" ca="1">IFERROR(IF($L69&lt;&gt;"",_xll.PBF($L69,"NET Debt","TTM",$N$11,"","EUR","")/1000000,""),"")</f>
        <v/>
      </c>
      <c r="U69" s="1666" t="str" cm="1">
        <f t="array" aca="1" ref="U69" ca="1">IFERROR(IF($L69&lt;&gt;"",_xll.PBF($L69,"Market Cap","TTM",$N$11,"","EUR","")/1000000,""),"")</f>
        <v/>
      </c>
      <c r="V69" s="1677" t="str" cm="1">
        <f t="array" aca="1" ref="V69" ca="1">IFERROR(IF($L69&lt;&gt;"",_xll.PBF($L69,"Total Debt to Equity","TTM",$V$21,"","EUR",""),""),"")</f>
        <v/>
      </c>
      <c r="W69" s="1677"/>
      <c r="X69" s="1666" t="str" cm="1">
        <f t="array" aca="1" ref="X69" ca="1">IFERROR(IF($L69&lt;&gt;"",_xll.PBF($L69,"Total Revenue","FY",$X$21,"","EUR","")/1000000,""),"")</f>
        <v/>
      </c>
      <c r="Y69" s="1666" t="str" cm="1">
        <f t="array" aca="1" ref="Y69" ca="1">IFERROR(IF($L69&lt;&gt;"",_xll.PBF($L69,"EBITDA","FY",$N$11,"","EUR","")/1000000,""),"")</f>
        <v/>
      </c>
      <c r="Z69" s="1666" t="str" cm="1">
        <f t="array" aca="1" ref="Z69" ca="1">IFERROR(IF($L69&lt;&gt;"",_xll.PBF($L69,"EBIT","FY",$N$11,"","EUR","")/1000000,""),"")</f>
        <v/>
      </c>
      <c r="AA69" s="1677" t="str" cm="1">
        <f t="array" aca="1" ref="AA69" ca="1">IFERROR(IF($L69&lt;&gt;"",_xll.PBF($L69,"Total Debt to EBITDA","FY",$AA$21,"","EUR",""),""),"")</f>
        <v/>
      </c>
      <c r="AB69" s="1670"/>
      <c r="AC69" s="1672" t="str" cm="1">
        <f t="array" aca="1" ref="AC69" ca="1">IFERROR(IF($L69&lt;&gt;"",_xll.PBF($L69,"EV to Revenue","FY",$N$11,"","EUR",""),""),"")</f>
        <v/>
      </c>
      <c r="AD69" s="1672" t="str" cm="1">
        <f t="array" aca="1" ref="AD69" ca="1">IFERROR(IF($L69&lt;&gt;"",_xll.PBF($L69,"EV to EBITDA","FY",$AD$21,"","EUR",""),""),"")</f>
        <v/>
      </c>
      <c r="AE69" s="1672" t="str" cm="1">
        <f t="array" aca="1" ref="AE69" ca="1">IFERROR(IF($L69&lt;&gt;"",_xll.PBF($L69,"EV to EBIT","FY",$AE$21,"","EUR",""),""),"")</f>
        <v/>
      </c>
      <c r="AF69" s="1672"/>
      <c r="AG69" s="1672" t="str" cm="1">
        <f t="array" aca="1" ref="AG69" ca="1">IFERROR(IF($L69&lt;&gt;"",_xll.PBF($L69,"EV to Forward Revenue","FY",$AG$21,"","EUR",""),""),"")</f>
        <v/>
      </c>
      <c r="AH69" s="1672" t="str" cm="1">
        <f t="array" aca="1" ref="AH69" ca="1">IFERROR(IF($L69&lt;&gt;"",_xll.PBF($L69,"EV to Forward EBITDA","FY",$AH$21,"","EUR",""),""),"")</f>
        <v/>
      </c>
      <c r="AI69" s="1672" t="str" cm="1">
        <f t="array" aca="1" ref="AI69" ca="1">IFERROR(IF($L69&lt;&gt;"",_xll.PBF($L69,"EV to Forward EBIT","FY",$AI$21,"","EUR",""),""),"")</f>
        <v/>
      </c>
      <c r="AK69" s="1705"/>
      <c r="AL69" s="1693" t="str" cm="1">
        <f t="array" ref="AL69">IFERROR(IF(AK69&lt;&gt;"",_xll.PBD(AK69,"Deal Date","","EUR",""),""),"")</f>
        <v/>
      </c>
      <c r="AM69" s="1693" t="str" cm="1">
        <f t="array" ref="AM69">IFERROR(IF(AK69&lt;&gt;"",_xll.PBD(AK69,"Limit1.Deal Type 1","","EUR",""),""),"")</f>
        <v/>
      </c>
      <c r="AN69" s="1693" t="str" cm="1">
        <f t="array" ref="AN69">IFERROR(IF(AK69&lt;&gt;"",_xll.PBD(AK69,"Limit1.Company Id","","EUR",""),""),"")</f>
        <v/>
      </c>
      <c r="AO69" s="1640" t="str" cm="1">
        <f t="array" ref="AO69">IFERROR(IF(AN69&lt;&gt;"",_xll.PBD(AN69,"Name","","EUR",""),""),"")</f>
        <v/>
      </c>
      <c r="AP69" s="1640" t="str" cm="1">
        <f t="array" ref="AP69">IFERROR(IF(AN69&lt;&gt;"",_xll.PBD(AN69,"Primary Industry Code","","EUR",""),""),"")</f>
        <v/>
      </c>
      <c r="AQ69" s="1640" t="str" cm="1">
        <f t="array" ref="AQ69">IFERROR(IF(AN69&lt;&gt;"",_xll.PBD(AN69,"HQ Country","","EUR",""),""),"")</f>
        <v/>
      </c>
      <c r="AR69" s="1640" t="str" cm="1">
        <f t="array" ref="AR69">IFERROR(IF(AK69&lt;&gt;"",_xll.PBD(AK69,"Limit1.Investors Ids","","EUR",""),""),"")</f>
        <v/>
      </c>
      <c r="AS69" s="1640" t="str" cm="1">
        <f t="array" ref="AS69">IFERROR(IF(AR69&lt;&gt;"",_xll.PBD(AR69,"Name","","EUR",""),""),"")</f>
        <v/>
      </c>
      <c r="AT69" s="1640" t="str" cm="1">
        <f t="array" ref="AT69">IFERROR(IF(AR69&lt;&gt;"",_xll.PBD(AR69,"Primary Industry Code","","EUR",""),""),"")</f>
        <v/>
      </c>
      <c r="AU69" s="1640" t="str" cm="1">
        <f t="array" ref="AU69">IFERROR(IF(AR69&lt;&gt;"",_xll.PBD(AR69,"Limit2.Entity Types","","EUR",""),""),"")</f>
        <v/>
      </c>
      <c r="AV69" s="1640" t="str" cm="1">
        <f t="array" ref="AV69">IFERROR(IF(AR69&lt;&gt;"",_xll.PBD(AR69,"HQ Country","","EUR",""),""),"")</f>
        <v/>
      </c>
      <c r="AX69" s="1641" t="str" cm="1">
        <f t="array" ref="AX69">IFERROR(IF(AK69&lt;&gt;"",_xll.PBD(AK69,"Limit1.Deal Amount","","EUR","")/1000000,""),"")</f>
        <v/>
      </c>
      <c r="AY69" s="1641" t="str" cm="1">
        <f t="array" ref="AY69">IFERROR(IF(AK69&lt;&gt;"",_xll.PBD(AK69,"Limit1.Implied EV ","","EUR","")/1000000,""),"")</f>
        <v/>
      </c>
      <c r="AZ69" s="1694" t="str" cm="1">
        <f t="array" ref="AZ69">IFERROR(IF(AK69&lt;&gt;"",_xll.PBD(AK69,"Limit1.% Acquired ","","EUR",""),""),"")</f>
        <v/>
      </c>
      <c r="BB69" s="1695" t="str" cm="1">
        <f t="array" ref="BB69">IFERROR(IF(AK69&lt;&gt;"",_xll.PBD(AK69,"Implied EV / Revenue","","EUR",""),""),"")</f>
        <v/>
      </c>
      <c r="BC69" s="1695" t="str" cm="1">
        <f t="array" ref="BC69">IFERROR(IF(AK69&lt;&gt;"",_xll.PBD(AK69,"Implied EV / EBITDA","","EUR",""),""),"")</f>
        <v/>
      </c>
      <c r="BD69" s="1695" t="str" cm="1">
        <f t="array" ref="BD69">IFERROR(IF(AK69&lt;&gt;"",_xll.PBD(AK69,"Implied EV / EBIT","","EUR",""),""),"")</f>
        <v/>
      </c>
      <c r="BF69" s="1640" t="str" cm="1">
        <f t="array" ref="BF69">IFERROR(IF(AR69&lt;&gt;"",_xll.PBD(AR69,"Brief Description","","EUR",""),""),"")</f>
        <v/>
      </c>
    </row>
    <row r="70" spans="2:58" ht="13.9" customHeight="1">
      <c r="L70" s="1705"/>
      <c r="N70" s="1640" t="str" cm="1">
        <f t="array" ref="N70">IFERROR(IF($L70&lt;&gt;"",_xll.PBD($L70,"Name","","USD",""),""),"")</f>
        <v/>
      </c>
      <c r="O70" s="1640" t="str" cm="1">
        <f t="array" ref="O70">IFERROR(IF($L70&lt;&gt;"",_xll.PBD($L70,"Primary Industry Code","","",""),""),"")</f>
        <v/>
      </c>
      <c r="P70" s="1640" t="str" cm="1">
        <f t="array" ref="P70">IFERROR(IF($L70&lt;&gt;"",_xll.PBD($L70,"HQ Country","","",""),""),"")</f>
        <v/>
      </c>
      <c r="Q70" s="1640" t="str" cm="1">
        <f t="array" ref="Q70">IFERROR(IF($L70&lt;&gt;"",_xll.PBD($L70,"HQ City","","EUR",""),""),"")</f>
        <v/>
      </c>
      <c r="S70" s="1666" t="str" cm="1">
        <f t="array" aca="1" ref="S70" ca="1">IFERROR(IF($L70&lt;&gt;"",_xll.PBF($L70,"EV","TTM",$N$11,"","EUR","")/1000000,""),"")</f>
        <v/>
      </c>
      <c r="T70" s="1666" t="str" cm="1">
        <f t="array" aca="1" ref="T70" ca="1">IFERROR(IF($L70&lt;&gt;"",_xll.PBF($L70,"NET Debt","TTM",$N$11,"","EUR","")/1000000,""),"")</f>
        <v/>
      </c>
      <c r="U70" s="1666" t="str" cm="1">
        <f t="array" aca="1" ref="U70" ca="1">IFERROR(IF($L70&lt;&gt;"",_xll.PBF($L70,"Market Cap","TTM",$N$11,"","EUR","")/1000000,""),"")</f>
        <v/>
      </c>
      <c r="V70" s="1677" t="str" cm="1">
        <f t="array" aca="1" ref="V70" ca="1">IFERROR(IF($L70&lt;&gt;"",_xll.PBF($L70,"Total Debt to Equity","TTM",$V$21,"","EUR",""),""),"")</f>
        <v/>
      </c>
      <c r="W70" s="1677"/>
      <c r="X70" s="1666" t="str" cm="1">
        <f t="array" aca="1" ref="X70" ca="1">IFERROR(IF($L70&lt;&gt;"",_xll.PBF($L70,"Total Revenue","FY",$X$21,"","EUR","")/1000000,""),"")</f>
        <v/>
      </c>
      <c r="Y70" s="1666" t="str" cm="1">
        <f t="array" aca="1" ref="Y70" ca="1">IFERROR(IF($L70&lt;&gt;"",_xll.PBF($L70,"EBITDA","FY",$N$11,"","EUR","")/1000000,""),"")</f>
        <v/>
      </c>
      <c r="Z70" s="1666" t="str" cm="1">
        <f t="array" aca="1" ref="Z70" ca="1">IFERROR(IF($L70&lt;&gt;"",_xll.PBF($L70,"EBIT","FY",$N$11,"","EUR","")/1000000,""),"")</f>
        <v/>
      </c>
      <c r="AA70" s="1677" t="str" cm="1">
        <f t="array" aca="1" ref="AA70" ca="1">IFERROR(IF($L70&lt;&gt;"",_xll.PBF($L70,"Total Debt to EBITDA","FY",$AA$21,"","EUR",""),""),"")</f>
        <v/>
      </c>
      <c r="AB70" s="1670"/>
      <c r="AC70" s="1672" t="str" cm="1">
        <f t="array" aca="1" ref="AC70" ca="1">IFERROR(IF($L70&lt;&gt;"",_xll.PBF($L70,"EV to Revenue","FY",$N$11,"","EUR",""),""),"")</f>
        <v/>
      </c>
      <c r="AD70" s="1672" t="str" cm="1">
        <f t="array" aca="1" ref="AD70" ca="1">IFERROR(IF($L70&lt;&gt;"",_xll.PBF($L70,"EV to EBITDA","FY",$AD$21,"","EUR",""),""),"")</f>
        <v/>
      </c>
      <c r="AE70" s="1672" t="str" cm="1">
        <f t="array" aca="1" ref="AE70" ca="1">IFERROR(IF($L70&lt;&gt;"",_xll.PBF($L70,"EV to EBIT","FY",$AE$21,"","EUR",""),""),"")</f>
        <v/>
      </c>
      <c r="AF70" s="1672"/>
      <c r="AG70" s="1672" t="str" cm="1">
        <f t="array" aca="1" ref="AG70" ca="1">IFERROR(IF($L70&lt;&gt;"",_xll.PBF($L70,"EV to Forward Revenue","FY",$AG$21,"","EUR",""),""),"")</f>
        <v/>
      </c>
      <c r="AH70" s="1672" t="str" cm="1">
        <f t="array" aca="1" ref="AH70" ca="1">IFERROR(IF($L70&lt;&gt;"",_xll.PBF($L70,"EV to Forward EBITDA","FY",$AH$21,"","EUR",""),""),"")</f>
        <v/>
      </c>
      <c r="AI70" s="1672" t="str" cm="1">
        <f t="array" aca="1" ref="AI70" ca="1">IFERROR(IF($L70&lt;&gt;"",_xll.PBF($L70,"EV to Forward EBIT","FY",$AI$21,"","EUR",""),""),"")</f>
        <v/>
      </c>
      <c r="AK70" s="1705"/>
      <c r="AL70" s="1693" t="str" cm="1">
        <f t="array" ref="AL70">IFERROR(IF(AK70&lt;&gt;"",_xll.PBD(AK70,"Deal Date","","EUR",""),""),"")</f>
        <v/>
      </c>
      <c r="AM70" s="1693" t="str" cm="1">
        <f t="array" ref="AM70">IFERROR(IF(AK70&lt;&gt;"",_xll.PBD(AK70,"Limit1.Deal Type 1","","EUR",""),""),"")</f>
        <v/>
      </c>
      <c r="AN70" s="1693" t="str" cm="1">
        <f t="array" ref="AN70">IFERROR(IF(AK70&lt;&gt;"",_xll.PBD(AK70,"Limit1.Company Id","","EUR",""),""),"")</f>
        <v/>
      </c>
      <c r="AO70" s="1640" t="str" cm="1">
        <f t="array" ref="AO70">IFERROR(IF(AN70&lt;&gt;"",_xll.PBD(AN70,"Name","","EUR",""),""),"")</f>
        <v/>
      </c>
      <c r="AP70" s="1640" t="str" cm="1">
        <f t="array" ref="AP70">IFERROR(IF(AN70&lt;&gt;"",_xll.PBD(AN70,"Primary Industry Code","","EUR",""),""),"")</f>
        <v/>
      </c>
      <c r="AQ70" s="1640" t="str" cm="1">
        <f t="array" ref="AQ70">IFERROR(IF(AN70&lt;&gt;"",_xll.PBD(AN70,"HQ Country","","EUR",""),""),"")</f>
        <v/>
      </c>
      <c r="AR70" s="1640" t="str" cm="1">
        <f t="array" ref="AR70">IFERROR(IF(AK70&lt;&gt;"",_xll.PBD(AK70,"Limit1.Investors Ids","","EUR",""),""),"")</f>
        <v/>
      </c>
      <c r="AS70" s="1640" t="str" cm="1">
        <f t="array" ref="AS70">IFERROR(IF(AR70&lt;&gt;"",_xll.PBD(AR70,"Name","","EUR",""),""),"")</f>
        <v/>
      </c>
      <c r="AT70" s="1640" t="str" cm="1">
        <f t="array" ref="AT70">IFERROR(IF(AR70&lt;&gt;"",_xll.PBD(AR70,"Primary Industry Code","","EUR",""),""),"")</f>
        <v/>
      </c>
      <c r="AU70" s="1640" t="str" cm="1">
        <f t="array" ref="AU70">IFERROR(IF(AR70&lt;&gt;"",_xll.PBD(AR70,"Limit2.Entity Types","","EUR",""),""),"")</f>
        <v/>
      </c>
      <c r="AV70" s="1640" t="str" cm="1">
        <f t="array" ref="AV70">IFERROR(IF(AR70&lt;&gt;"",_xll.PBD(AR70,"HQ Country","","EUR",""),""),"")</f>
        <v/>
      </c>
      <c r="AX70" s="1641" t="str" cm="1">
        <f t="array" ref="AX70">IFERROR(IF(AK70&lt;&gt;"",_xll.PBD(AK70,"Limit1.Deal Amount","","EUR","")/1000000,""),"")</f>
        <v/>
      </c>
      <c r="AY70" s="1641" t="str" cm="1">
        <f t="array" ref="AY70">IFERROR(IF(AK70&lt;&gt;"",_xll.PBD(AK70,"Limit1.Implied EV ","","EUR","")/1000000,""),"")</f>
        <v/>
      </c>
      <c r="AZ70" s="1694" t="str" cm="1">
        <f t="array" ref="AZ70">IFERROR(IF(AK70&lt;&gt;"",_xll.PBD(AK70,"Limit1.% Acquired ","","EUR",""),""),"")</f>
        <v/>
      </c>
      <c r="BB70" s="1695" t="str" cm="1">
        <f t="array" ref="BB70">IFERROR(IF(AK70&lt;&gt;"",_xll.PBD(AK70,"Implied EV / Revenue","","EUR",""),""),"")</f>
        <v/>
      </c>
      <c r="BC70" s="1695" t="str" cm="1">
        <f t="array" ref="BC70">IFERROR(IF(AK70&lt;&gt;"",_xll.PBD(AK70,"Implied EV / EBITDA","","EUR",""),""),"")</f>
        <v/>
      </c>
      <c r="BD70" s="1695" t="str" cm="1">
        <f t="array" ref="BD70">IFERROR(IF(AK70&lt;&gt;"",_xll.PBD(AK70,"Implied EV / EBIT","","EUR",""),""),"")</f>
        <v/>
      </c>
      <c r="BF70" s="1640" t="str" cm="1">
        <f t="array" ref="BF70">IFERROR(IF(AR70&lt;&gt;"",_xll.PBD(AR70,"Brief Description","","EUR",""),""),"")</f>
        <v/>
      </c>
    </row>
    <row r="71" spans="2:58" ht="13.9" customHeight="1">
      <c r="B71" s="1592"/>
      <c r="C71" s="1592"/>
      <c r="D71" s="1592"/>
      <c r="E71" s="1592"/>
      <c r="F71" s="1592"/>
      <c r="G71" s="1592"/>
      <c r="H71" s="1592"/>
      <c r="I71" s="1592"/>
      <c r="J71" s="1592"/>
      <c r="K71" s="1592"/>
      <c r="L71" s="1705"/>
      <c r="M71" s="1592"/>
      <c r="N71" s="1640" t="str" cm="1">
        <f t="array" ref="N71">IFERROR(IF($L71&lt;&gt;"",_xll.PBD($L71,"Name","","USD",""),""),"")</f>
        <v/>
      </c>
      <c r="O71" s="1640" t="str" cm="1">
        <f t="array" ref="O71">IFERROR(IF($L71&lt;&gt;"",_xll.PBD($L71,"Primary Industry Code","","",""),""),"")</f>
        <v/>
      </c>
      <c r="P71" s="1640" t="str" cm="1">
        <f t="array" ref="P71">IFERROR(IF($L71&lt;&gt;"",_xll.PBD($L71,"HQ Country","","",""),""),"")</f>
        <v/>
      </c>
      <c r="Q71" s="1640" t="str" cm="1">
        <f t="array" ref="Q71">IFERROR(IF($L71&lt;&gt;"",_xll.PBD($L71,"HQ City","","EUR",""),""),"")</f>
        <v/>
      </c>
      <c r="S71" s="1666" t="str" cm="1">
        <f t="array" aca="1" ref="S71" ca="1">IFERROR(IF($L71&lt;&gt;"",_xll.PBF($L71,"EV","TTM",$N$11,"","EUR","")/1000000,""),"")</f>
        <v/>
      </c>
      <c r="T71" s="1666" t="str" cm="1">
        <f t="array" aca="1" ref="T71" ca="1">IFERROR(IF($L71&lt;&gt;"",_xll.PBF($L71,"NET Debt","TTM",$N$11,"","EUR","")/1000000,""),"")</f>
        <v/>
      </c>
      <c r="U71" s="1666" t="str" cm="1">
        <f t="array" aca="1" ref="U71" ca="1">IFERROR(IF($L71&lt;&gt;"",_xll.PBF($L71,"Market Cap","TTM",$N$11,"","EUR","")/1000000,""),"")</f>
        <v/>
      </c>
      <c r="V71" s="1677" t="str" cm="1">
        <f t="array" aca="1" ref="V71" ca="1">IFERROR(IF($L71&lt;&gt;"",_xll.PBF($L71,"Total Debt to Equity","TTM",$V$21,"","EUR",""),""),"")</f>
        <v/>
      </c>
      <c r="W71" s="1677"/>
      <c r="X71" s="1666" t="str" cm="1">
        <f t="array" aca="1" ref="X71" ca="1">IFERROR(IF($L71&lt;&gt;"",_xll.PBF($L71,"Total Revenue","FY",$X$21,"","EUR","")/1000000,""),"")</f>
        <v/>
      </c>
      <c r="Y71" s="1666" t="str" cm="1">
        <f t="array" aca="1" ref="Y71" ca="1">IFERROR(IF($L71&lt;&gt;"",_xll.PBF($L71,"EBITDA","FY",$N$11,"","EUR","")/1000000,""),"")</f>
        <v/>
      </c>
      <c r="Z71" s="1666" t="str" cm="1">
        <f t="array" aca="1" ref="Z71" ca="1">IFERROR(IF($L71&lt;&gt;"",_xll.PBF($L71,"EBIT","FY",$N$11,"","EUR","")/1000000,""),"")</f>
        <v/>
      </c>
      <c r="AA71" s="1677" t="str" cm="1">
        <f t="array" aca="1" ref="AA71" ca="1">IFERROR(IF($L71&lt;&gt;"",_xll.PBF($L71,"Total Debt to EBITDA","FY",$AA$21,"","EUR",""),""),"")</f>
        <v/>
      </c>
      <c r="AB71" s="1670"/>
      <c r="AC71" s="1672" t="str" cm="1">
        <f t="array" aca="1" ref="AC71" ca="1">IFERROR(IF($L71&lt;&gt;"",_xll.PBF($L71,"EV to Revenue","FY",$N$11,"","EUR",""),""),"")</f>
        <v/>
      </c>
      <c r="AD71" s="1672" t="str" cm="1">
        <f t="array" aca="1" ref="AD71" ca="1">IFERROR(IF($L71&lt;&gt;"",_xll.PBF($L71,"EV to EBITDA","FY",$AD$21,"","EUR",""),""),"")</f>
        <v/>
      </c>
      <c r="AE71" s="1672" t="str" cm="1">
        <f t="array" aca="1" ref="AE71" ca="1">IFERROR(IF($L71&lt;&gt;"",_xll.PBF($L71,"EV to EBIT","FY",$AE$21,"","EUR",""),""),"")</f>
        <v/>
      </c>
      <c r="AF71" s="1672"/>
      <c r="AG71" s="1672" t="str" cm="1">
        <f t="array" aca="1" ref="AG71" ca="1">IFERROR(IF($L71&lt;&gt;"",_xll.PBF($L71,"EV to Forward Revenue","FY",$AG$21,"","EUR",""),""),"")</f>
        <v/>
      </c>
      <c r="AH71" s="1672" t="str" cm="1">
        <f t="array" aca="1" ref="AH71" ca="1">IFERROR(IF($L71&lt;&gt;"",_xll.PBF($L71,"EV to Forward EBITDA","FY",$AH$21,"","EUR",""),""),"")</f>
        <v/>
      </c>
      <c r="AI71" s="1672" t="str" cm="1">
        <f t="array" aca="1" ref="AI71" ca="1">IFERROR(IF($L71&lt;&gt;"",_xll.PBF($L71,"EV to Forward EBIT","FY",$AI$21,"","EUR",""),""),"")</f>
        <v/>
      </c>
      <c r="AK71" s="1705"/>
      <c r="AL71" s="1693" t="str" cm="1">
        <f t="array" ref="AL71">IFERROR(IF(AK71&lt;&gt;"",_xll.PBD(AK71,"Deal Date","","EUR",""),""),"")</f>
        <v/>
      </c>
      <c r="AM71" s="1693" t="str" cm="1">
        <f t="array" ref="AM71">IFERROR(IF(AK71&lt;&gt;"",_xll.PBD(AK71,"Limit1.Deal Type 1","","EUR",""),""),"")</f>
        <v/>
      </c>
      <c r="AN71" s="1693" t="str" cm="1">
        <f t="array" ref="AN71">IFERROR(IF(AK71&lt;&gt;"",_xll.PBD(AK71,"Limit1.Company Id","","EUR",""),""),"")</f>
        <v/>
      </c>
      <c r="AO71" s="1640" t="str" cm="1">
        <f t="array" ref="AO71">IFERROR(IF(AN71&lt;&gt;"",_xll.PBD(AN71,"Name","","EUR",""),""),"")</f>
        <v/>
      </c>
      <c r="AP71" s="1640" t="str" cm="1">
        <f t="array" ref="AP71">IFERROR(IF(AN71&lt;&gt;"",_xll.PBD(AN71,"Primary Industry Code","","EUR",""),""),"")</f>
        <v/>
      </c>
      <c r="AQ71" s="1640" t="str" cm="1">
        <f t="array" ref="AQ71">IFERROR(IF(AN71&lt;&gt;"",_xll.PBD(AN71,"HQ Country","","EUR",""),""),"")</f>
        <v/>
      </c>
      <c r="AR71" s="1640" t="str" cm="1">
        <f t="array" ref="AR71">IFERROR(IF(AK71&lt;&gt;"",_xll.PBD(AK71,"Limit1.Investors Ids","","EUR",""),""),"")</f>
        <v/>
      </c>
      <c r="AS71" s="1640" t="str" cm="1">
        <f t="array" ref="AS71">IFERROR(IF(AR71&lt;&gt;"",_xll.PBD(AR71,"Name","","EUR",""),""),"")</f>
        <v/>
      </c>
      <c r="AT71" s="1640" t="str" cm="1">
        <f t="array" ref="AT71">IFERROR(IF(AR71&lt;&gt;"",_xll.PBD(AR71,"Primary Industry Code","","EUR",""),""),"")</f>
        <v/>
      </c>
      <c r="AU71" s="1640" t="str" cm="1">
        <f t="array" ref="AU71">IFERROR(IF(AR71&lt;&gt;"",_xll.PBD(AR71,"Limit2.Entity Types","","EUR",""),""),"")</f>
        <v/>
      </c>
      <c r="AV71" s="1640" t="str" cm="1">
        <f t="array" ref="AV71">IFERROR(IF(AR71&lt;&gt;"",_xll.PBD(AR71,"HQ Country","","EUR",""),""),"")</f>
        <v/>
      </c>
      <c r="AX71" s="1641" t="str" cm="1">
        <f t="array" ref="AX71">IFERROR(IF(AK71&lt;&gt;"",_xll.PBD(AK71,"Limit1.Deal Amount","","EUR","")/1000000,""),"")</f>
        <v/>
      </c>
      <c r="AY71" s="1641" t="str" cm="1">
        <f t="array" ref="AY71">IFERROR(IF(AK71&lt;&gt;"",_xll.PBD(AK71,"Limit1.Implied EV ","","EUR","")/1000000,""),"")</f>
        <v/>
      </c>
      <c r="AZ71" s="1694" t="str" cm="1">
        <f t="array" ref="AZ71">IFERROR(IF(AK71&lt;&gt;"",_xll.PBD(AK71,"Limit1.% Acquired ","","EUR",""),""),"")</f>
        <v/>
      </c>
      <c r="BB71" s="1695" t="str" cm="1">
        <f t="array" ref="BB71">IFERROR(IF(AK71&lt;&gt;"",_xll.PBD(AK71,"Implied EV / Revenue","","EUR",""),""),"")</f>
        <v/>
      </c>
      <c r="BC71" s="1695" t="str" cm="1">
        <f t="array" ref="BC71">IFERROR(IF(AK71&lt;&gt;"",_xll.PBD(AK71,"Implied EV / EBITDA","","EUR",""),""),"")</f>
        <v/>
      </c>
      <c r="BD71" s="1695" t="str" cm="1">
        <f t="array" ref="BD71">IFERROR(IF(AK71&lt;&gt;"",_xll.PBD(AK71,"Implied EV / EBIT","","EUR",""),""),"")</f>
        <v/>
      </c>
      <c r="BF71" s="1640" t="str" cm="1">
        <f t="array" ref="BF71">IFERROR(IF(AR71&lt;&gt;"",_xll.PBD(AR71,"Brief Description","","EUR",""),""),"")</f>
        <v/>
      </c>
    </row>
    <row r="72" spans="2:58" ht="13.9" customHeight="1">
      <c r="B72" s="1604"/>
      <c r="C72" s="1604"/>
      <c r="D72" s="1604"/>
      <c r="E72" s="1604"/>
      <c r="F72" s="1604"/>
      <c r="G72" s="1604"/>
      <c r="H72" s="1604"/>
      <c r="I72" s="1604"/>
      <c r="J72" s="1604"/>
      <c r="K72" s="1604"/>
      <c r="L72" s="1705"/>
      <c r="M72" s="1604"/>
      <c r="N72" s="1640" t="str" cm="1">
        <f t="array" ref="N72">IFERROR(IF($L72&lt;&gt;"",_xll.PBD($L72,"Name","","USD",""),""),"")</f>
        <v/>
      </c>
      <c r="O72" s="1640" t="str" cm="1">
        <f t="array" ref="O72">IFERROR(IF($L72&lt;&gt;"",_xll.PBD($L72,"Primary Industry Code","","",""),""),"")</f>
        <v/>
      </c>
      <c r="P72" s="1640" t="str" cm="1">
        <f t="array" ref="P72">IFERROR(IF($L72&lt;&gt;"",_xll.PBD($L72,"HQ Country","","",""),""),"")</f>
        <v/>
      </c>
      <c r="Q72" s="1640" t="str" cm="1">
        <f t="array" ref="Q72">IFERROR(IF($L72&lt;&gt;"",_xll.PBD($L72,"HQ City","","EUR",""),""),"")</f>
        <v/>
      </c>
      <c r="S72" s="1666" t="str" cm="1">
        <f t="array" aca="1" ref="S72" ca="1">IFERROR(IF($L72&lt;&gt;"",_xll.PBF($L72,"EV","TTM",$N$11,"","EUR","")/1000000,""),"")</f>
        <v/>
      </c>
      <c r="T72" s="1666" t="str" cm="1">
        <f t="array" aca="1" ref="T72" ca="1">IFERROR(IF($L72&lt;&gt;"",_xll.PBF($L72,"NET Debt","TTM",$N$11,"","EUR","")/1000000,""),"")</f>
        <v/>
      </c>
      <c r="U72" s="1666" t="str" cm="1">
        <f t="array" aca="1" ref="U72" ca="1">IFERROR(IF($L72&lt;&gt;"",_xll.PBF($L72,"Market Cap","TTM",$N$11,"","EUR","")/1000000,""),"")</f>
        <v/>
      </c>
      <c r="V72" s="1677" t="str" cm="1">
        <f t="array" aca="1" ref="V72" ca="1">IFERROR(IF($L72&lt;&gt;"",_xll.PBF($L72,"Total Debt to Equity","TTM",$V$21,"","EUR",""),""),"")</f>
        <v/>
      </c>
      <c r="W72" s="1677"/>
      <c r="X72" s="1666" t="str" cm="1">
        <f t="array" aca="1" ref="X72" ca="1">IFERROR(IF($L72&lt;&gt;"",_xll.PBF($L72,"Total Revenue","FY",$X$21,"","EUR","")/1000000,""),"")</f>
        <v/>
      </c>
      <c r="Y72" s="1666" t="str" cm="1">
        <f t="array" aca="1" ref="Y72" ca="1">IFERROR(IF($L72&lt;&gt;"",_xll.PBF($L72,"EBITDA","FY",$N$11,"","EUR","")/1000000,""),"")</f>
        <v/>
      </c>
      <c r="Z72" s="1666" t="str" cm="1">
        <f t="array" aca="1" ref="Z72" ca="1">IFERROR(IF($L72&lt;&gt;"",_xll.PBF($L72,"EBIT","FY",$N$11,"","EUR","")/1000000,""),"")</f>
        <v/>
      </c>
      <c r="AA72" s="1677" t="str" cm="1">
        <f t="array" aca="1" ref="AA72" ca="1">IFERROR(IF($L72&lt;&gt;"",_xll.PBF($L72,"Total Debt to EBITDA","FY",$AA$21,"","EUR",""),""),"")</f>
        <v/>
      </c>
      <c r="AB72" s="1670"/>
      <c r="AC72" s="1672" t="str" cm="1">
        <f t="array" aca="1" ref="AC72" ca="1">IFERROR(IF($L72&lt;&gt;"",_xll.PBF($L72,"EV to Revenue","FY",$N$11,"","EUR",""),""),"")</f>
        <v/>
      </c>
      <c r="AD72" s="1672" t="str" cm="1">
        <f t="array" aca="1" ref="AD72" ca="1">IFERROR(IF($L72&lt;&gt;"",_xll.PBF($L72,"EV to EBITDA","FY",$AD$21,"","EUR",""),""),"")</f>
        <v/>
      </c>
      <c r="AE72" s="1672" t="str" cm="1">
        <f t="array" aca="1" ref="AE72" ca="1">IFERROR(IF($L72&lt;&gt;"",_xll.PBF($L72,"EV to EBIT","FY",$AE$21,"","EUR",""),""),"")</f>
        <v/>
      </c>
      <c r="AF72" s="1672"/>
      <c r="AG72" s="1672" t="str" cm="1">
        <f t="array" aca="1" ref="AG72" ca="1">IFERROR(IF($L72&lt;&gt;"",_xll.PBF($L72,"EV to Forward Revenue","FY",$AG$21,"","EUR",""),""),"")</f>
        <v/>
      </c>
      <c r="AH72" s="1672" t="str" cm="1">
        <f t="array" aca="1" ref="AH72" ca="1">IFERROR(IF($L72&lt;&gt;"",_xll.PBF($L72,"EV to Forward EBITDA","FY",$AH$21,"","EUR",""),""),"")</f>
        <v/>
      </c>
      <c r="AI72" s="1672" t="str" cm="1">
        <f t="array" aca="1" ref="AI72" ca="1">IFERROR(IF($L72&lt;&gt;"",_xll.PBF($L72,"EV to Forward EBIT","FY",$AI$21,"","EUR",""),""),"")</f>
        <v/>
      </c>
      <c r="AK72" s="1705"/>
      <c r="AL72" s="1693" t="str" cm="1">
        <f t="array" ref="AL72">IFERROR(IF(AK72&lt;&gt;"",_xll.PBD(AK72,"Deal Date","","EUR",""),""),"")</f>
        <v/>
      </c>
      <c r="AM72" s="1693" t="str" cm="1">
        <f t="array" ref="AM72">IFERROR(IF(AK72&lt;&gt;"",_xll.PBD(AK72,"Limit1.Deal Type 1","","EUR",""),""),"")</f>
        <v/>
      </c>
      <c r="AN72" s="1693" t="str" cm="1">
        <f t="array" ref="AN72">IFERROR(IF(AK72&lt;&gt;"",_xll.PBD(AK72,"Limit1.Company Id","","EUR",""),""),"")</f>
        <v/>
      </c>
      <c r="AO72" s="1640" t="str" cm="1">
        <f t="array" ref="AO72">IFERROR(IF(AN72&lt;&gt;"",_xll.PBD(AN72,"Name","","EUR",""),""),"")</f>
        <v/>
      </c>
      <c r="AP72" s="1640" t="str" cm="1">
        <f t="array" ref="AP72">IFERROR(IF(AN72&lt;&gt;"",_xll.PBD(AN72,"Primary Industry Code","","EUR",""),""),"")</f>
        <v/>
      </c>
      <c r="AQ72" s="1640" t="str" cm="1">
        <f t="array" ref="AQ72">IFERROR(IF(AN72&lt;&gt;"",_xll.PBD(AN72,"HQ Country","","EUR",""),""),"")</f>
        <v/>
      </c>
      <c r="AR72" s="1640" t="str" cm="1">
        <f t="array" ref="AR72">IFERROR(IF(AK72&lt;&gt;"",_xll.PBD(AK72,"Limit1.Investors Ids","","EUR",""),""),"")</f>
        <v/>
      </c>
      <c r="AS72" s="1640" t="str" cm="1">
        <f t="array" ref="AS72">IFERROR(IF(AR72&lt;&gt;"",_xll.PBD(AR72,"Name","","EUR",""),""),"")</f>
        <v/>
      </c>
      <c r="AT72" s="1640" t="str" cm="1">
        <f t="array" ref="AT72">IFERROR(IF(AR72&lt;&gt;"",_xll.PBD(AR72,"Primary Industry Code","","EUR",""),""),"")</f>
        <v/>
      </c>
      <c r="AU72" s="1640" t="str" cm="1">
        <f t="array" ref="AU72">IFERROR(IF(AR72&lt;&gt;"",_xll.PBD(AR72,"Limit2.Entity Types","","EUR",""),""),"")</f>
        <v/>
      </c>
      <c r="AV72" s="1640" t="str" cm="1">
        <f t="array" ref="AV72">IFERROR(IF(AR72&lt;&gt;"",_xll.PBD(AR72,"HQ Country","","EUR",""),""),"")</f>
        <v/>
      </c>
      <c r="AX72" s="1641" t="str" cm="1">
        <f t="array" ref="AX72">IFERROR(IF(AK72&lt;&gt;"",_xll.PBD(AK72,"Limit1.Deal Amount","","EUR","")/1000000,""),"")</f>
        <v/>
      </c>
      <c r="AY72" s="1641" t="str" cm="1">
        <f t="array" ref="AY72">IFERROR(IF(AK72&lt;&gt;"",_xll.PBD(AK72,"Limit1.Implied EV ","","EUR","")/1000000,""),"")</f>
        <v/>
      </c>
      <c r="AZ72" s="1694" t="str" cm="1">
        <f t="array" ref="AZ72">IFERROR(IF(AK72&lt;&gt;"",_xll.PBD(AK72,"Limit1.% Acquired ","","EUR",""),""),"")</f>
        <v/>
      </c>
      <c r="BB72" s="1695" t="str" cm="1">
        <f t="array" ref="BB72">IFERROR(IF(AK72&lt;&gt;"",_xll.PBD(AK72,"Implied EV / Revenue","","EUR",""),""),"")</f>
        <v/>
      </c>
      <c r="BC72" s="1695" t="str" cm="1">
        <f t="array" ref="BC72">IFERROR(IF(AK72&lt;&gt;"",_xll.PBD(AK72,"Implied EV / EBITDA","","EUR",""),""),"")</f>
        <v/>
      </c>
      <c r="BD72" s="1695" t="str" cm="1">
        <f t="array" ref="BD72">IFERROR(IF(AK72&lt;&gt;"",_xll.PBD(AK72,"Implied EV / EBIT","","EUR",""),""),"")</f>
        <v/>
      </c>
      <c r="BF72" s="1640" t="str" cm="1">
        <f t="array" ref="BF72">IFERROR(IF(AR72&lt;&gt;"",_xll.PBD(AR72,"Brief Description","","EUR",""),""),"")</f>
        <v/>
      </c>
    </row>
    <row r="73" spans="2:58" ht="13.9" customHeight="1">
      <c r="B73" s="1576"/>
      <c r="C73" s="1578"/>
      <c r="D73" s="1578"/>
      <c r="G73" s="1578"/>
      <c r="H73" s="1578"/>
      <c r="I73" s="1578"/>
      <c r="L73" s="1705"/>
      <c r="N73" s="1640" t="str" cm="1">
        <f t="array" ref="N73">IFERROR(IF($L73&lt;&gt;"",_xll.PBD($L73,"Name","","USD",""),""),"")</f>
        <v/>
      </c>
      <c r="O73" s="1640" t="str" cm="1">
        <f t="array" ref="O73">IFERROR(IF($L73&lt;&gt;"",_xll.PBD($L73,"Primary Industry Code","","",""),""),"")</f>
        <v/>
      </c>
      <c r="P73" s="1640" t="str" cm="1">
        <f t="array" ref="P73">IFERROR(IF($L73&lt;&gt;"",_xll.PBD($L73,"HQ Country","","",""),""),"")</f>
        <v/>
      </c>
      <c r="Q73" s="1640" t="str" cm="1">
        <f t="array" ref="Q73">IFERROR(IF($L73&lt;&gt;"",_xll.PBD($L73,"HQ City","","EUR",""),""),"")</f>
        <v/>
      </c>
      <c r="S73" s="1666" t="str" cm="1">
        <f t="array" aca="1" ref="S73" ca="1">IFERROR(IF($L73&lt;&gt;"",_xll.PBF($L73,"EV","TTM",$N$11,"","EUR","")/1000000,""),"")</f>
        <v/>
      </c>
      <c r="T73" s="1666" t="str" cm="1">
        <f t="array" aca="1" ref="T73" ca="1">IFERROR(IF($L73&lt;&gt;"",_xll.PBF($L73,"NET Debt","TTM",$N$11,"","EUR","")/1000000,""),"")</f>
        <v/>
      </c>
      <c r="U73" s="1666" t="str" cm="1">
        <f t="array" aca="1" ref="U73" ca="1">IFERROR(IF($L73&lt;&gt;"",_xll.PBF($L73,"Market Cap","TTM",$N$11,"","EUR","")/1000000,""),"")</f>
        <v/>
      </c>
      <c r="V73" s="1677" t="str" cm="1">
        <f t="array" aca="1" ref="V73" ca="1">IFERROR(IF($L73&lt;&gt;"",_xll.PBF($L73,"Total Debt to Equity","TTM",$V$21,"","EUR",""),""),"")</f>
        <v/>
      </c>
      <c r="W73" s="1677"/>
      <c r="X73" s="1666" t="str" cm="1">
        <f t="array" aca="1" ref="X73" ca="1">IFERROR(IF($L73&lt;&gt;"",_xll.PBF($L73,"Total Revenue","FY",$X$21,"","EUR","")/1000000,""),"")</f>
        <v/>
      </c>
      <c r="Y73" s="1666" t="str" cm="1">
        <f t="array" aca="1" ref="Y73" ca="1">IFERROR(IF($L73&lt;&gt;"",_xll.PBF($L73,"EBITDA","FY",$N$11,"","EUR","")/1000000,""),"")</f>
        <v/>
      </c>
      <c r="Z73" s="1666" t="str" cm="1">
        <f t="array" aca="1" ref="Z73" ca="1">IFERROR(IF($L73&lt;&gt;"",_xll.PBF($L73,"EBIT","FY",$N$11,"","EUR","")/1000000,""),"")</f>
        <v/>
      </c>
      <c r="AA73" s="1677" t="str" cm="1">
        <f t="array" aca="1" ref="AA73" ca="1">IFERROR(IF($L73&lt;&gt;"",_xll.PBF($L73,"Total Debt to EBITDA","FY",$AA$21,"","EUR",""),""),"")</f>
        <v/>
      </c>
      <c r="AB73" s="1670"/>
      <c r="AC73" s="1672" t="str" cm="1">
        <f t="array" aca="1" ref="AC73" ca="1">IFERROR(IF($L73&lt;&gt;"",_xll.PBF($L73,"EV to Revenue","FY",$N$11,"","EUR",""),""),"")</f>
        <v/>
      </c>
      <c r="AD73" s="1672" t="str" cm="1">
        <f t="array" aca="1" ref="AD73" ca="1">IFERROR(IF($L73&lt;&gt;"",_xll.PBF($L73,"EV to EBITDA","FY",$AD$21,"","EUR",""),""),"")</f>
        <v/>
      </c>
      <c r="AE73" s="1672" t="str" cm="1">
        <f t="array" aca="1" ref="AE73" ca="1">IFERROR(IF($L73&lt;&gt;"",_xll.PBF($L73,"EV to EBIT","FY",$AE$21,"","EUR",""),""),"")</f>
        <v/>
      </c>
      <c r="AF73" s="1672"/>
      <c r="AG73" s="1672" t="str" cm="1">
        <f t="array" aca="1" ref="AG73" ca="1">IFERROR(IF($L73&lt;&gt;"",_xll.PBF($L73,"EV to Forward Revenue","FY",$AG$21,"","EUR",""),""),"")</f>
        <v/>
      </c>
      <c r="AH73" s="1672" t="str" cm="1">
        <f t="array" aca="1" ref="AH73" ca="1">IFERROR(IF($L73&lt;&gt;"",_xll.PBF($L73,"EV to Forward EBITDA","FY",$AH$21,"","EUR",""),""),"")</f>
        <v/>
      </c>
      <c r="AI73" s="1672" t="str" cm="1">
        <f t="array" aca="1" ref="AI73" ca="1">IFERROR(IF($L73&lt;&gt;"",_xll.PBF($L73,"EV to Forward EBIT","FY",$AI$21,"","EUR",""),""),"")</f>
        <v/>
      </c>
      <c r="AK73" s="1705"/>
      <c r="AL73" s="1693" t="str" cm="1">
        <f t="array" ref="AL73">IFERROR(IF(AK73&lt;&gt;"",_xll.PBD(AK73,"Deal Date","","EUR",""),""),"")</f>
        <v/>
      </c>
      <c r="AM73" s="1693" t="str" cm="1">
        <f t="array" ref="AM73">IFERROR(IF(AK73&lt;&gt;"",_xll.PBD(AK73,"Limit1.Deal Type 1","","EUR",""),""),"")</f>
        <v/>
      </c>
      <c r="AN73" s="1693" t="str" cm="1">
        <f t="array" ref="AN73">IFERROR(IF(AK73&lt;&gt;"",_xll.PBD(AK73,"Limit1.Company Id","","EUR",""),""),"")</f>
        <v/>
      </c>
      <c r="AO73" s="1640" t="str" cm="1">
        <f t="array" ref="AO73">IFERROR(IF(AN73&lt;&gt;"",_xll.PBD(AN73,"Name","","EUR",""),""),"")</f>
        <v/>
      </c>
      <c r="AP73" s="1640" t="str" cm="1">
        <f t="array" ref="AP73">IFERROR(IF(AN73&lt;&gt;"",_xll.PBD(AN73,"Primary Industry Code","","EUR",""),""),"")</f>
        <v/>
      </c>
      <c r="AQ73" s="1640" t="str" cm="1">
        <f t="array" ref="AQ73">IFERROR(IF(AN73&lt;&gt;"",_xll.PBD(AN73,"HQ Country","","EUR",""),""),"")</f>
        <v/>
      </c>
      <c r="AR73" s="1640" t="str" cm="1">
        <f t="array" ref="AR73">IFERROR(IF(AK73&lt;&gt;"",_xll.PBD(AK73,"Limit1.Investors Ids","","EUR",""),""),"")</f>
        <v/>
      </c>
      <c r="AS73" s="1640" t="str" cm="1">
        <f t="array" ref="AS73">IFERROR(IF(AR73&lt;&gt;"",_xll.PBD(AR73,"Name","","EUR",""),""),"")</f>
        <v/>
      </c>
      <c r="AT73" s="1640" t="str" cm="1">
        <f t="array" ref="AT73">IFERROR(IF(AR73&lt;&gt;"",_xll.PBD(AR73,"Primary Industry Code","","EUR",""),""),"")</f>
        <v/>
      </c>
      <c r="AU73" s="1640" t="str" cm="1">
        <f t="array" ref="AU73">IFERROR(IF(AR73&lt;&gt;"",_xll.PBD(AR73,"Limit2.Entity Types","","EUR",""),""),"")</f>
        <v/>
      </c>
      <c r="AV73" s="1640" t="str" cm="1">
        <f t="array" ref="AV73">IFERROR(IF(AR73&lt;&gt;"",_xll.PBD(AR73,"HQ Country","","EUR",""),""),"")</f>
        <v/>
      </c>
      <c r="AX73" s="1641" t="str" cm="1">
        <f t="array" ref="AX73">IFERROR(IF(AK73&lt;&gt;"",_xll.PBD(AK73,"Limit1.Deal Amount","","EUR","")/1000000,""),"")</f>
        <v/>
      </c>
      <c r="AY73" s="1641" t="str" cm="1">
        <f t="array" ref="AY73">IFERROR(IF(AK73&lt;&gt;"",_xll.PBD(AK73,"Limit1.Implied EV ","","EUR","")/1000000,""),"")</f>
        <v/>
      </c>
      <c r="AZ73" s="1694" t="str" cm="1">
        <f t="array" ref="AZ73">IFERROR(IF(AK73&lt;&gt;"",_xll.PBD(AK73,"Limit1.% Acquired ","","EUR",""),""),"")</f>
        <v/>
      </c>
      <c r="BB73" s="1695" t="str" cm="1">
        <f t="array" ref="BB73">IFERROR(IF(AK73&lt;&gt;"",_xll.PBD(AK73,"Implied EV / Revenue","","EUR",""),""),"")</f>
        <v/>
      </c>
      <c r="BC73" s="1695" t="str" cm="1">
        <f t="array" ref="BC73">IFERROR(IF(AK73&lt;&gt;"",_xll.PBD(AK73,"Implied EV / EBITDA","","EUR",""),""),"")</f>
        <v/>
      </c>
      <c r="BD73" s="1695" t="str" cm="1">
        <f t="array" ref="BD73">IFERROR(IF(AK73&lt;&gt;"",_xll.PBD(AK73,"Implied EV / EBIT","","EUR",""),""),"")</f>
        <v/>
      </c>
      <c r="BF73" s="1640" t="str" cm="1">
        <f t="array" ref="BF73">IFERROR(IF(AR73&lt;&gt;"",_xll.PBD(AR73,"Brief Description","","EUR",""),""),"")</f>
        <v/>
      </c>
    </row>
    <row r="74" spans="2:58" ht="13.9" customHeight="1">
      <c r="B74" s="1576"/>
      <c r="C74" s="1605"/>
      <c r="D74" s="1605"/>
      <c r="E74" s="678"/>
      <c r="F74" s="678"/>
      <c r="H74" s="1578"/>
      <c r="I74" s="1578"/>
      <c r="L74" s="1705"/>
      <c r="M74" s="1578"/>
      <c r="N74" s="1640" t="str" cm="1">
        <f t="array" ref="N74">IFERROR(IF($L74&lt;&gt;"",_xll.PBD($L74,"Name","","USD",""),""),"")</f>
        <v/>
      </c>
      <c r="O74" s="1640" t="str" cm="1">
        <f t="array" ref="O74">IFERROR(IF($L74&lt;&gt;"",_xll.PBD($L74,"Primary Industry Code","","",""),""),"")</f>
        <v/>
      </c>
      <c r="P74" s="1640" t="str" cm="1">
        <f t="array" ref="P74">IFERROR(IF($L74&lt;&gt;"",_xll.PBD($L74,"HQ Country","","",""),""),"")</f>
        <v/>
      </c>
      <c r="Q74" s="1640" t="str" cm="1">
        <f t="array" ref="Q74">IFERROR(IF($L74&lt;&gt;"",_xll.PBD($L74,"HQ City","","EUR",""),""),"")</f>
        <v/>
      </c>
      <c r="S74" s="1666" t="str" cm="1">
        <f t="array" aca="1" ref="S74" ca="1">IFERROR(IF($L74&lt;&gt;"",_xll.PBF($L74,"EV","TTM",$N$11,"","EUR","")/1000000,""),"")</f>
        <v/>
      </c>
      <c r="T74" s="1666" t="str" cm="1">
        <f t="array" aca="1" ref="T74" ca="1">IFERROR(IF($L74&lt;&gt;"",_xll.PBF($L74,"NET Debt","TTM",$N$11,"","EUR","")/1000000,""),"")</f>
        <v/>
      </c>
      <c r="U74" s="1666" t="str" cm="1">
        <f t="array" aca="1" ref="U74" ca="1">IFERROR(IF($L74&lt;&gt;"",_xll.PBF($L74,"Market Cap","TTM",$N$11,"","EUR","")/1000000,""),"")</f>
        <v/>
      </c>
      <c r="V74" s="1677" t="str" cm="1">
        <f t="array" aca="1" ref="V74" ca="1">IFERROR(IF($L74&lt;&gt;"",_xll.PBF($L74,"Total Debt to Equity","TTM",$V$21,"","EUR",""),""),"")</f>
        <v/>
      </c>
      <c r="W74" s="1677"/>
      <c r="X74" s="1666" t="str" cm="1">
        <f t="array" aca="1" ref="X74" ca="1">IFERROR(IF($L74&lt;&gt;"",_xll.PBF($L74,"Total Revenue","FY",$X$21,"","EUR","")/1000000,""),"")</f>
        <v/>
      </c>
      <c r="Y74" s="1666" t="str" cm="1">
        <f t="array" aca="1" ref="Y74" ca="1">IFERROR(IF($L74&lt;&gt;"",_xll.PBF($L74,"EBITDA","FY",$N$11,"","EUR","")/1000000,""),"")</f>
        <v/>
      </c>
      <c r="Z74" s="1666" t="str" cm="1">
        <f t="array" aca="1" ref="Z74" ca="1">IFERROR(IF($L74&lt;&gt;"",_xll.PBF($L74,"EBIT","FY",$N$11,"","EUR","")/1000000,""),"")</f>
        <v/>
      </c>
      <c r="AA74" s="1677" t="str" cm="1">
        <f t="array" aca="1" ref="AA74" ca="1">IFERROR(IF($L74&lt;&gt;"",_xll.PBF($L74,"Total Debt to EBITDA","FY",$AA$21,"","EUR",""),""),"")</f>
        <v/>
      </c>
      <c r="AB74" s="1670"/>
      <c r="AC74" s="1672" t="str" cm="1">
        <f t="array" aca="1" ref="AC74" ca="1">IFERROR(IF($L74&lt;&gt;"",_xll.PBF($L74,"EV to Revenue","FY",$N$11,"","EUR",""),""),"")</f>
        <v/>
      </c>
      <c r="AD74" s="1672" t="str" cm="1">
        <f t="array" aca="1" ref="AD74" ca="1">IFERROR(IF($L74&lt;&gt;"",_xll.PBF($L74,"EV to EBITDA","FY",$AD$21,"","EUR",""),""),"")</f>
        <v/>
      </c>
      <c r="AE74" s="1672" t="str" cm="1">
        <f t="array" aca="1" ref="AE74" ca="1">IFERROR(IF($L74&lt;&gt;"",_xll.PBF($L74,"EV to EBIT","FY",$AE$21,"","EUR",""),""),"")</f>
        <v/>
      </c>
      <c r="AF74" s="1672"/>
      <c r="AG74" s="1672" t="str" cm="1">
        <f t="array" aca="1" ref="AG74" ca="1">IFERROR(IF($L74&lt;&gt;"",_xll.PBF($L74,"EV to Forward Revenue","FY",$AG$21,"","EUR",""),""),"")</f>
        <v/>
      </c>
      <c r="AH74" s="1672" t="str" cm="1">
        <f t="array" aca="1" ref="AH74" ca="1">IFERROR(IF($L74&lt;&gt;"",_xll.PBF($L74,"EV to Forward EBITDA","FY",$AH$21,"","EUR",""),""),"")</f>
        <v/>
      </c>
      <c r="AI74" s="1672" t="str" cm="1">
        <f t="array" aca="1" ref="AI74" ca="1">IFERROR(IF($L74&lt;&gt;"",_xll.PBF($L74,"EV to Forward EBIT","FY",$AI$21,"","EUR",""),""),"")</f>
        <v/>
      </c>
      <c r="AK74" s="1705"/>
      <c r="AL74" s="1693" t="str" cm="1">
        <f t="array" ref="AL74">IFERROR(IF(AK74&lt;&gt;"",_xll.PBD(AK74,"Deal Date","","EUR",""),""),"")</f>
        <v/>
      </c>
      <c r="AM74" s="1693" t="str" cm="1">
        <f t="array" ref="AM74">IFERROR(IF(AK74&lt;&gt;"",_xll.PBD(AK74,"Limit1.Deal Type 1","","EUR",""),""),"")</f>
        <v/>
      </c>
      <c r="AN74" s="1693" t="str" cm="1">
        <f t="array" ref="AN74">IFERROR(IF(AK74&lt;&gt;"",_xll.PBD(AK74,"Limit1.Company Id","","EUR",""),""),"")</f>
        <v/>
      </c>
      <c r="AO74" s="1640" t="str" cm="1">
        <f t="array" ref="AO74">IFERROR(IF(AN74&lt;&gt;"",_xll.PBD(AN74,"Name","","EUR",""),""),"")</f>
        <v/>
      </c>
      <c r="AP74" s="1640" t="str" cm="1">
        <f t="array" ref="AP74">IFERROR(IF(AN74&lt;&gt;"",_xll.PBD(AN74,"Primary Industry Code","","EUR",""),""),"")</f>
        <v/>
      </c>
      <c r="AQ74" s="1640" t="str" cm="1">
        <f t="array" ref="AQ74">IFERROR(IF(AN74&lt;&gt;"",_xll.PBD(AN74,"HQ Country","","EUR",""),""),"")</f>
        <v/>
      </c>
      <c r="AR74" s="1640" t="str" cm="1">
        <f t="array" ref="AR74">IFERROR(IF(AK74&lt;&gt;"",_xll.PBD(AK74,"Limit1.Investors Ids","","EUR",""),""),"")</f>
        <v/>
      </c>
      <c r="AS74" s="1640" t="str" cm="1">
        <f t="array" ref="AS74">IFERROR(IF(AR74&lt;&gt;"",_xll.PBD(AR74,"Name","","EUR",""),""),"")</f>
        <v/>
      </c>
      <c r="AT74" s="1640" t="str" cm="1">
        <f t="array" ref="AT74">IFERROR(IF(AR74&lt;&gt;"",_xll.PBD(AR74,"Primary Industry Code","","EUR",""),""),"")</f>
        <v/>
      </c>
      <c r="AU74" s="1640" t="str" cm="1">
        <f t="array" ref="AU74">IFERROR(IF(AR74&lt;&gt;"",_xll.PBD(AR74,"Limit2.Entity Types","","EUR",""),""),"")</f>
        <v/>
      </c>
      <c r="AV74" s="1640" t="str" cm="1">
        <f t="array" ref="AV74">IFERROR(IF(AR74&lt;&gt;"",_xll.PBD(AR74,"HQ Country","","EUR",""),""),"")</f>
        <v/>
      </c>
      <c r="AX74" s="1641" t="str" cm="1">
        <f t="array" ref="AX74">IFERROR(IF(AK74&lt;&gt;"",_xll.PBD(AK74,"Limit1.Deal Amount","","EUR","")/1000000,""),"")</f>
        <v/>
      </c>
      <c r="AY74" s="1641" t="str" cm="1">
        <f t="array" ref="AY74">IFERROR(IF(AK74&lt;&gt;"",_xll.PBD(AK74,"Limit1.Implied EV ","","EUR","")/1000000,""),"")</f>
        <v/>
      </c>
      <c r="AZ74" s="1694" t="str" cm="1">
        <f t="array" ref="AZ74">IFERROR(IF(AK74&lt;&gt;"",_xll.PBD(AK74,"Limit1.% Acquired ","","EUR",""),""),"")</f>
        <v/>
      </c>
      <c r="BB74" s="1695" t="str" cm="1">
        <f t="array" ref="BB74">IFERROR(IF(AK74&lt;&gt;"",_xll.PBD(AK74,"Implied EV / Revenue","","EUR",""),""),"")</f>
        <v/>
      </c>
      <c r="BC74" s="1695" t="str" cm="1">
        <f t="array" ref="BC74">IFERROR(IF(AK74&lt;&gt;"",_xll.PBD(AK74,"Implied EV / EBITDA","","EUR",""),""),"")</f>
        <v/>
      </c>
      <c r="BD74" s="1695" t="str" cm="1">
        <f t="array" ref="BD74">IFERROR(IF(AK74&lt;&gt;"",_xll.PBD(AK74,"Implied EV / EBIT","","EUR",""),""),"")</f>
        <v/>
      </c>
      <c r="BF74" s="1640" t="str" cm="1">
        <f t="array" ref="BF74">IFERROR(IF(AR74&lt;&gt;"",_xll.PBD(AR74,"Brief Description","","EUR",""),""),"")</f>
        <v/>
      </c>
    </row>
    <row r="75" spans="2:58" ht="13.9" customHeight="1">
      <c r="B75" s="100"/>
      <c r="C75" s="1606"/>
      <c r="D75" s="1606"/>
      <c r="E75" s="22"/>
      <c r="F75" s="1607"/>
      <c r="G75" s="455"/>
      <c r="H75" s="455"/>
      <c r="I75" s="455"/>
      <c r="J75" s="455"/>
      <c r="K75" s="455"/>
      <c r="L75" s="1705"/>
      <c r="M75" s="1594"/>
      <c r="N75" s="1640" t="str" cm="1">
        <f t="array" ref="N75">IFERROR(IF($L75&lt;&gt;"",_xll.PBD($L75,"Name","","USD",""),""),"")</f>
        <v/>
      </c>
      <c r="O75" s="1640" t="str" cm="1">
        <f t="array" ref="O75">IFERROR(IF($L75&lt;&gt;"",_xll.PBD($L75,"Primary Industry Code","","",""),""),"")</f>
        <v/>
      </c>
      <c r="P75" s="1640" t="str" cm="1">
        <f t="array" ref="P75">IFERROR(IF($L75&lt;&gt;"",_xll.PBD($L75,"HQ Country","","",""),""),"")</f>
        <v/>
      </c>
      <c r="Q75" s="1640" t="str" cm="1">
        <f t="array" ref="Q75">IFERROR(IF($L75&lt;&gt;"",_xll.PBD($L75,"HQ City","","EUR",""),""),"")</f>
        <v/>
      </c>
      <c r="S75" s="1666" t="str" cm="1">
        <f t="array" aca="1" ref="S75" ca="1">IFERROR(IF($L75&lt;&gt;"",_xll.PBF($L75,"EV","TTM",$N$11,"","EUR","")/1000000,""),"")</f>
        <v/>
      </c>
      <c r="T75" s="1666" t="str" cm="1">
        <f t="array" aca="1" ref="T75" ca="1">IFERROR(IF($L75&lt;&gt;"",_xll.PBF($L75,"NET Debt","TTM",$N$11,"","EUR","")/1000000,""),"")</f>
        <v/>
      </c>
      <c r="U75" s="1666" t="str" cm="1">
        <f t="array" aca="1" ref="U75" ca="1">IFERROR(IF($L75&lt;&gt;"",_xll.PBF($L75,"Market Cap","TTM",$N$11,"","EUR","")/1000000,""),"")</f>
        <v/>
      </c>
      <c r="V75" s="1677" t="str" cm="1">
        <f t="array" aca="1" ref="V75" ca="1">IFERROR(IF($L75&lt;&gt;"",_xll.PBF($L75,"Total Debt to Equity","TTM",$V$21,"","EUR",""),""),"")</f>
        <v/>
      </c>
      <c r="W75" s="1677"/>
      <c r="X75" s="1666" t="str" cm="1">
        <f t="array" aca="1" ref="X75" ca="1">IFERROR(IF($L75&lt;&gt;"",_xll.PBF($L75,"Total Revenue","FY",$X$21,"","EUR","")/1000000,""),"")</f>
        <v/>
      </c>
      <c r="Y75" s="1666" t="str" cm="1">
        <f t="array" aca="1" ref="Y75" ca="1">IFERROR(IF($L75&lt;&gt;"",_xll.PBF($L75,"EBITDA","FY",$N$11,"","EUR","")/1000000,""),"")</f>
        <v/>
      </c>
      <c r="Z75" s="1666" t="str" cm="1">
        <f t="array" aca="1" ref="Z75" ca="1">IFERROR(IF($L75&lt;&gt;"",_xll.PBF($L75,"EBIT","FY",$N$11,"","EUR","")/1000000,""),"")</f>
        <v/>
      </c>
      <c r="AA75" s="1677" t="str" cm="1">
        <f t="array" aca="1" ref="AA75" ca="1">IFERROR(IF($L75&lt;&gt;"",_xll.PBF($L75,"Total Debt to EBITDA","FY",$AA$21,"","EUR",""),""),"")</f>
        <v/>
      </c>
      <c r="AB75" s="1670"/>
      <c r="AC75" s="1672" t="str" cm="1">
        <f t="array" aca="1" ref="AC75" ca="1">IFERROR(IF($L75&lt;&gt;"",_xll.PBF($L75,"EV to Revenue","FY",$N$11,"","EUR",""),""),"")</f>
        <v/>
      </c>
      <c r="AD75" s="1672" t="str" cm="1">
        <f t="array" aca="1" ref="AD75" ca="1">IFERROR(IF($L75&lt;&gt;"",_xll.PBF($L75,"EV to EBITDA","FY",$AD$21,"","EUR",""),""),"")</f>
        <v/>
      </c>
      <c r="AE75" s="1672" t="str" cm="1">
        <f t="array" aca="1" ref="AE75" ca="1">IFERROR(IF($L75&lt;&gt;"",_xll.PBF($L75,"EV to EBIT","FY",$AE$21,"","EUR",""),""),"")</f>
        <v/>
      </c>
      <c r="AF75" s="1672"/>
      <c r="AG75" s="1672" t="str" cm="1">
        <f t="array" aca="1" ref="AG75" ca="1">IFERROR(IF($L75&lt;&gt;"",_xll.PBF($L75,"EV to Forward Revenue","FY",$AG$21,"","EUR",""),""),"")</f>
        <v/>
      </c>
      <c r="AH75" s="1672" t="str" cm="1">
        <f t="array" aca="1" ref="AH75" ca="1">IFERROR(IF($L75&lt;&gt;"",_xll.PBF($L75,"EV to Forward EBITDA","FY",$AH$21,"","EUR",""),""),"")</f>
        <v/>
      </c>
      <c r="AI75" s="1672" t="str" cm="1">
        <f t="array" aca="1" ref="AI75" ca="1">IFERROR(IF($L75&lt;&gt;"",_xll.PBF($L75,"EV to Forward EBIT","FY",$AI$21,"","EUR",""),""),"")</f>
        <v/>
      </c>
      <c r="AK75" s="1705"/>
      <c r="AL75" s="1693" t="str" cm="1">
        <f t="array" ref="AL75">IFERROR(IF(AK75&lt;&gt;"",_xll.PBD(AK75,"Deal Date","","EUR",""),""),"")</f>
        <v/>
      </c>
      <c r="AM75" s="1693" t="str" cm="1">
        <f t="array" ref="AM75">IFERROR(IF(AK75&lt;&gt;"",_xll.PBD(AK75,"Limit1.Deal Type 1","","EUR",""),""),"")</f>
        <v/>
      </c>
      <c r="AN75" s="1693" t="str" cm="1">
        <f t="array" ref="AN75">IFERROR(IF(AK75&lt;&gt;"",_xll.PBD(AK75,"Limit1.Company Id","","EUR",""),""),"")</f>
        <v/>
      </c>
      <c r="AO75" s="1640" t="str" cm="1">
        <f t="array" ref="AO75">IFERROR(IF(AN75&lt;&gt;"",_xll.PBD(AN75,"Name","","EUR",""),""),"")</f>
        <v/>
      </c>
      <c r="AP75" s="1640" t="str" cm="1">
        <f t="array" ref="AP75">IFERROR(IF(AN75&lt;&gt;"",_xll.PBD(AN75,"Primary Industry Code","","EUR",""),""),"")</f>
        <v/>
      </c>
      <c r="AQ75" s="1640" t="str" cm="1">
        <f t="array" ref="AQ75">IFERROR(IF(AN75&lt;&gt;"",_xll.PBD(AN75,"HQ Country","","EUR",""),""),"")</f>
        <v/>
      </c>
      <c r="AR75" s="1640" t="str" cm="1">
        <f t="array" ref="AR75">IFERROR(IF(AK75&lt;&gt;"",_xll.PBD(AK75,"Limit1.Investors Ids","","EUR",""),""),"")</f>
        <v/>
      </c>
      <c r="AS75" s="1640" t="str" cm="1">
        <f t="array" ref="AS75">IFERROR(IF(AR75&lt;&gt;"",_xll.PBD(AR75,"Name","","EUR",""),""),"")</f>
        <v/>
      </c>
      <c r="AT75" s="1640" t="str" cm="1">
        <f t="array" ref="AT75">IFERROR(IF(AR75&lt;&gt;"",_xll.PBD(AR75,"Primary Industry Code","","EUR",""),""),"")</f>
        <v/>
      </c>
      <c r="AU75" s="1640" t="str" cm="1">
        <f t="array" ref="AU75">IFERROR(IF(AR75&lt;&gt;"",_xll.PBD(AR75,"Limit2.Entity Types","","EUR",""),""),"")</f>
        <v/>
      </c>
      <c r="AV75" s="1640" t="str" cm="1">
        <f t="array" ref="AV75">IFERROR(IF(AR75&lt;&gt;"",_xll.PBD(AR75,"HQ Country","","EUR",""),""),"")</f>
        <v/>
      </c>
      <c r="AX75" s="1641" t="str" cm="1">
        <f t="array" ref="AX75">IFERROR(IF(AK75&lt;&gt;"",_xll.PBD(AK75,"Limit1.Deal Amount","","EUR","")/1000000,""),"")</f>
        <v/>
      </c>
      <c r="AY75" s="1641" t="str" cm="1">
        <f t="array" ref="AY75">IFERROR(IF(AK75&lt;&gt;"",_xll.PBD(AK75,"Limit1.Implied EV ","","EUR","")/1000000,""),"")</f>
        <v/>
      </c>
      <c r="AZ75" s="1694" t="str" cm="1">
        <f t="array" ref="AZ75">IFERROR(IF(AK75&lt;&gt;"",_xll.PBD(AK75,"Limit1.% Acquired ","","EUR",""),""),"")</f>
        <v/>
      </c>
      <c r="BB75" s="1695" t="str" cm="1">
        <f t="array" ref="BB75">IFERROR(IF(AK75&lt;&gt;"",_xll.PBD(AK75,"Implied EV / Revenue","","EUR",""),""),"")</f>
        <v/>
      </c>
      <c r="BC75" s="1695" t="str" cm="1">
        <f t="array" ref="BC75">IFERROR(IF(AK75&lt;&gt;"",_xll.PBD(AK75,"Implied EV / EBITDA","","EUR",""),""),"")</f>
        <v/>
      </c>
      <c r="BD75" s="1695" t="str" cm="1">
        <f t="array" ref="BD75">IFERROR(IF(AK75&lt;&gt;"",_xll.PBD(AK75,"Implied EV / EBIT","","EUR",""),""),"")</f>
        <v/>
      </c>
      <c r="BF75" s="1640" t="str" cm="1">
        <f t="array" ref="BF75">IFERROR(IF(AR75&lt;&gt;"",_xll.PBD(AR75,"Brief Description","","EUR",""),""),"")</f>
        <v/>
      </c>
    </row>
    <row r="76" spans="2:58" ht="13.9" customHeight="1">
      <c r="B76" s="100"/>
      <c r="C76" s="1606"/>
      <c r="D76" s="1606"/>
      <c r="E76" s="22"/>
      <c r="F76" s="1607"/>
      <c r="G76" s="455"/>
      <c r="H76" s="455"/>
      <c r="I76" s="455"/>
      <c r="J76" s="455"/>
      <c r="K76" s="455"/>
      <c r="L76" s="1705"/>
      <c r="M76" s="1594"/>
      <c r="N76" s="1640" t="str" cm="1">
        <f t="array" ref="N76">IFERROR(IF($L76&lt;&gt;"",_xll.PBD($L76,"Name","","USD",""),""),"")</f>
        <v/>
      </c>
      <c r="O76" s="1640" t="str" cm="1">
        <f t="array" ref="O76">IFERROR(IF($L76&lt;&gt;"",_xll.PBD($L76,"Primary Industry Code","","",""),""),"")</f>
        <v/>
      </c>
      <c r="P76" s="1640" t="str" cm="1">
        <f t="array" ref="P76">IFERROR(IF($L76&lt;&gt;"",_xll.PBD($L76,"HQ Country","","",""),""),"")</f>
        <v/>
      </c>
      <c r="Q76" s="1640" t="str" cm="1">
        <f t="array" ref="Q76">IFERROR(IF($L76&lt;&gt;"",_xll.PBD($L76,"HQ City","","EUR",""),""),"")</f>
        <v/>
      </c>
      <c r="S76" s="1666" t="str" cm="1">
        <f t="array" aca="1" ref="S76" ca="1">IFERROR(IF($L76&lt;&gt;"",_xll.PBF($L76,"EV","TTM",$N$11,"","EUR","")/1000000,""),"")</f>
        <v/>
      </c>
      <c r="T76" s="1666" t="str" cm="1">
        <f t="array" aca="1" ref="T76" ca="1">IFERROR(IF($L76&lt;&gt;"",_xll.PBF($L76,"NET Debt","TTM",$N$11,"","EUR","")/1000000,""),"")</f>
        <v/>
      </c>
      <c r="U76" s="1666" t="str" cm="1">
        <f t="array" aca="1" ref="U76" ca="1">IFERROR(IF($L76&lt;&gt;"",_xll.PBF($L76,"Market Cap","TTM",$N$11,"","EUR","")/1000000,""),"")</f>
        <v/>
      </c>
      <c r="V76" s="1677" t="str" cm="1">
        <f t="array" aca="1" ref="V76" ca="1">IFERROR(IF($L76&lt;&gt;"",_xll.PBF($L76,"Total Debt to Equity","TTM",$V$21,"","EUR",""),""),"")</f>
        <v/>
      </c>
      <c r="W76" s="1677"/>
      <c r="X76" s="1666" t="str" cm="1">
        <f t="array" aca="1" ref="X76" ca="1">IFERROR(IF($L76&lt;&gt;"",_xll.PBF($L76,"Total Revenue","FY",$X$21,"","EUR","")/1000000,""),"")</f>
        <v/>
      </c>
      <c r="Y76" s="1666" t="str" cm="1">
        <f t="array" aca="1" ref="Y76" ca="1">IFERROR(IF($L76&lt;&gt;"",_xll.PBF($L76,"EBITDA","FY",$N$11,"","EUR","")/1000000,""),"")</f>
        <v/>
      </c>
      <c r="Z76" s="1666" t="str" cm="1">
        <f t="array" aca="1" ref="Z76" ca="1">IFERROR(IF($L76&lt;&gt;"",_xll.PBF($L76,"EBIT","FY",$N$11,"","EUR","")/1000000,""),"")</f>
        <v/>
      </c>
      <c r="AA76" s="1677" t="str" cm="1">
        <f t="array" aca="1" ref="AA76" ca="1">IFERROR(IF($L76&lt;&gt;"",_xll.PBF($L76,"Total Debt to EBITDA","FY",$AA$21,"","EUR",""),""),"")</f>
        <v/>
      </c>
      <c r="AB76" s="1670"/>
      <c r="AC76" s="1672" t="str" cm="1">
        <f t="array" aca="1" ref="AC76" ca="1">IFERROR(IF($L76&lt;&gt;"",_xll.PBF($L76,"EV to Revenue","FY",$N$11,"","EUR",""),""),"")</f>
        <v/>
      </c>
      <c r="AD76" s="1672" t="str" cm="1">
        <f t="array" aca="1" ref="AD76" ca="1">IFERROR(IF($L76&lt;&gt;"",_xll.PBF($L76,"EV to EBITDA","FY",$AD$21,"","EUR",""),""),"")</f>
        <v/>
      </c>
      <c r="AE76" s="1672" t="str" cm="1">
        <f t="array" aca="1" ref="AE76" ca="1">IFERROR(IF($L76&lt;&gt;"",_xll.PBF($L76,"EV to EBIT","FY",$AE$21,"","EUR",""),""),"")</f>
        <v/>
      </c>
      <c r="AF76" s="1672"/>
      <c r="AG76" s="1672" t="str" cm="1">
        <f t="array" aca="1" ref="AG76" ca="1">IFERROR(IF($L76&lt;&gt;"",_xll.PBF($L76,"EV to Forward Revenue","FY",$AG$21,"","EUR",""),""),"")</f>
        <v/>
      </c>
      <c r="AH76" s="1672" t="str" cm="1">
        <f t="array" aca="1" ref="AH76" ca="1">IFERROR(IF($L76&lt;&gt;"",_xll.PBF($L76,"EV to Forward EBITDA","FY",$AH$21,"","EUR",""),""),"")</f>
        <v/>
      </c>
      <c r="AI76" s="1672" t="str" cm="1">
        <f t="array" aca="1" ref="AI76" ca="1">IFERROR(IF($L76&lt;&gt;"",_xll.PBF($L76,"EV to Forward EBIT","FY",$AI$21,"","EUR",""),""),"")</f>
        <v/>
      </c>
      <c r="AK76" s="1705"/>
      <c r="AL76" s="1693" t="str" cm="1">
        <f t="array" ref="AL76">IFERROR(IF(AK76&lt;&gt;"",_xll.PBD(AK76,"Deal Date","","EUR",""),""),"")</f>
        <v/>
      </c>
      <c r="AM76" s="1693" t="str" cm="1">
        <f t="array" ref="AM76">IFERROR(IF(AK76&lt;&gt;"",_xll.PBD(AK76,"Limit1.Deal Type 1","","EUR",""),""),"")</f>
        <v/>
      </c>
      <c r="AN76" s="1693" t="str" cm="1">
        <f t="array" ref="AN76">IFERROR(IF(AK76&lt;&gt;"",_xll.PBD(AK76,"Limit1.Company Id","","EUR",""),""),"")</f>
        <v/>
      </c>
      <c r="AO76" s="1640" t="str" cm="1">
        <f t="array" ref="AO76">IFERROR(IF(AN76&lt;&gt;"",_xll.PBD(AN76,"Name","","EUR",""),""),"")</f>
        <v/>
      </c>
      <c r="AP76" s="1640" t="str" cm="1">
        <f t="array" ref="AP76">IFERROR(IF(AN76&lt;&gt;"",_xll.PBD(AN76,"Primary Industry Code","","EUR",""),""),"")</f>
        <v/>
      </c>
      <c r="AQ76" s="1640" t="str" cm="1">
        <f t="array" ref="AQ76">IFERROR(IF(AN76&lt;&gt;"",_xll.PBD(AN76,"HQ Country","","EUR",""),""),"")</f>
        <v/>
      </c>
      <c r="AR76" s="1640" t="str" cm="1">
        <f t="array" ref="AR76">IFERROR(IF(AK76&lt;&gt;"",_xll.PBD(AK76,"Limit1.Investors Ids","","EUR",""),""),"")</f>
        <v/>
      </c>
      <c r="AS76" s="1640" t="str" cm="1">
        <f t="array" ref="AS76">IFERROR(IF(AR76&lt;&gt;"",_xll.PBD(AR76,"Name","","EUR",""),""),"")</f>
        <v/>
      </c>
      <c r="AT76" s="1640" t="str" cm="1">
        <f t="array" ref="AT76">IFERROR(IF(AR76&lt;&gt;"",_xll.PBD(AR76,"Primary Industry Code","","EUR",""),""),"")</f>
        <v/>
      </c>
      <c r="AU76" s="1640" t="str" cm="1">
        <f t="array" ref="AU76">IFERROR(IF(AR76&lt;&gt;"",_xll.PBD(AR76,"Limit2.Entity Types","","EUR",""),""),"")</f>
        <v/>
      </c>
      <c r="AV76" s="1640" t="str" cm="1">
        <f t="array" ref="AV76">IFERROR(IF(AR76&lt;&gt;"",_xll.PBD(AR76,"HQ Country","","EUR",""),""),"")</f>
        <v/>
      </c>
      <c r="AX76" s="1641" t="str" cm="1">
        <f t="array" ref="AX76">IFERROR(IF(AK76&lt;&gt;"",_xll.PBD(AK76,"Limit1.Deal Amount","","EUR","")/1000000,""),"")</f>
        <v/>
      </c>
      <c r="AY76" s="1641" t="str" cm="1">
        <f t="array" ref="AY76">IFERROR(IF(AK76&lt;&gt;"",_xll.PBD(AK76,"Limit1.Implied EV ","","EUR","")/1000000,""),"")</f>
        <v/>
      </c>
      <c r="AZ76" s="1694" t="str" cm="1">
        <f t="array" ref="AZ76">IFERROR(IF(AK76&lt;&gt;"",_xll.PBD(AK76,"Limit1.% Acquired ","","EUR",""),""),"")</f>
        <v/>
      </c>
      <c r="BB76" s="1695" t="str" cm="1">
        <f t="array" ref="BB76">IFERROR(IF(AK76&lt;&gt;"",_xll.PBD(AK76,"Implied EV / Revenue","","EUR",""),""),"")</f>
        <v/>
      </c>
      <c r="BC76" s="1695" t="str" cm="1">
        <f t="array" ref="BC76">IFERROR(IF(AK76&lt;&gt;"",_xll.PBD(AK76,"Implied EV / EBITDA","","EUR",""),""),"")</f>
        <v/>
      </c>
      <c r="BD76" s="1695" t="str" cm="1">
        <f t="array" ref="BD76">IFERROR(IF(AK76&lt;&gt;"",_xll.PBD(AK76,"Implied EV / EBIT","","EUR",""),""),"")</f>
        <v/>
      </c>
      <c r="BF76" s="1640" t="str" cm="1">
        <f t="array" ref="BF76">IFERROR(IF(AR76&lt;&gt;"",_xll.PBD(AR76,"Brief Description","","EUR",""),""),"")</f>
        <v/>
      </c>
    </row>
    <row r="77" spans="2:58" ht="13.9" customHeight="1">
      <c r="B77" s="100"/>
      <c r="C77" s="1606"/>
      <c r="D77" s="1606"/>
      <c r="E77" s="22"/>
      <c r="F77" s="1607"/>
      <c r="G77" s="455"/>
      <c r="H77" s="455"/>
      <c r="I77" s="455"/>
      <c r="J77" s="455"/>
      <c r="K77" s="455"/>
      <c r="L77" s="1705"/>
      <c r="M77" s="1594"/>
      <c r="N77" s="1640" t="str" cm="1">
        <f t="array" ref="N77">IFERROR(IF($L77&lt;&gt;"",_xll.PBD($L77,"Name","","USD",""),""),"")</f>
        <v/>
      </c>
      <c r="O77" s="1640" t="str" cm="1">
        <f t="array" ref="O77">IFERROR(IF($L77&lt;&gt;"",_xll.PBD($L77,"Primary Industry Code","","",""),""),"")</f>
        <v/>
      </c>
      <c r="P77" s="1640" t="str" cm="1">
        <f t="array" ref="P77">IFERROR(IF($L77&lt;&gt;"",_xll.PBD($L77,"HQ Country","","",""),""),"")</f>
        <v/>
      </c>
      <c r="Q77" s="1640" t="str" cm="1">
        <f t="array" ref="Q77">IFERROR(IF($L77&lt;&gt;"",_xll.PBD($L77,"HQ City","","EUR",""),""),"")</f>
        <v/>
      </c>
      <c r="S77" s="1666" t="str" cm="1">
        <f t="array" aca="1" ref="S77" ca="1">IFERROR(IF($L77&lt;&gt;"",_xll.PBF($L77,"EV","TTM",$N$11,"","EUR","")/1000000,""),"")</f>
        <v/>
      </c>
      <c r="T77" s="1666" t="str" cm="1">
        <f t="array" aca="1" ref="T77" ca="1">IFERROR(IF($L77&lt;&gt;"",_xll.PBF($L77,"NET Debt","TTM",$N$11,"","EUR","")/1000000,""),"")</f>
        <v/>
      </c>
      <c r="U77" s="1666" t="str" cm="1">
        <f t="array" aca="1" ref="U77" ca="1">IFERROR(IF($L77&lt;&gt;"",_xll.PBF($L77,"Market Cap","TTM",$N$11,"","EUR","")/1000000,""),"")</f>
        <v/>
      </c>
      <c r="V77" s="1677" t="str" cm="1">
        <f t="array" aca="1" ref="V77" ca="1">IFERROR(IF($L77&lt;&gt;"",_xll.PBF($L77,"Total Debt to Equity","TTM",$V$21,"","EUR",""),""),"")</f>
        <v/>
      </c>
      <c r="W77" s="1677"/>
      <c r="X77" s="1666" t="str" cm="1">
        <f t="array" aca="1" ref="X77" ca="1">IFERROR(IF($L77&lt;&gt;"",_xll.PBF($L77,"Total Revenue","FY",$X$21,"","EUR","")/1000000,""),"")</f>
        <v/>
      </c>
      <c r="Y77" s="1666" t="str" cm="1">
        <f t="array" aca="1" ref="Y77" ca="1">IFERROR(IF($L77&lt;&gt;"",_xll.PBF($L77,"EBITDA","FY",$N$11,"","EUR","")/1000000,""),"")</f>
        <v/>
      </c>
      <c r="Z77" s="1666" t="str" cm="1">
        <f t="array" aca="1" ref="Z77" ca="1">IFERROR(IF($L77&lt;&gt;"",_xll.PBF($L77,"EBIT","FY",$N$11,"","EUR","")/1000000,""),"")</f>
        <v/>
      </c>
      <c r="AA77" s="1677" t="str" cm="1">
        <f t="array" aca="1" ref="AA77" ca="1">IFERROR(IF($L77&lt;&gt;"",_xll.PBF($L77,"Total Debt to EBITDA","FY",$AA$21,"","EUR",""),""),"")</f>
        <v/>
      </c>
      <c r="AB77" s="1670"/>
      <c r="AC77" s="1672" t="str" cm="1">
        <f t="array" aca="1" ref="AC77" ca="1">IFERROR(IF($L77&lt;&gt;"",_xll.PBF($L77,"EV to Revenue","FY",$N$11,"","EUR",""),""),"")</f>
        <v/>
      </c>
      <c r="AD77" s="1672" t="str" cm="1">
        <f t="array" aca="1" ref="AD77" ca="1">IFERROR(IF($L77&lt;&gt;"",_xll.PBF($L77,"EV to EBITDA","FY",$AD$21,"","EUR",""),""),"")</f>
        <v/>
      </c>
      <c r="AE77" s="1672" t="str" cm="1">
        <f t="array" aca="1" ref="AE77" ca="1">IFERROR(IF($L77&lt;&gt;"",_xll.PBF($L77,"EV to EBIT","FY",$AE$21,"","EUR",""),""),"")</f>
        <v/>
      </c>
      <c r="AF77" s="1672"/>
      <c r="AG77" s="1672" t="str" cm="1">
        <f t="array" aca="1" ref="AG77" ca="1">IFERROR(IF($L77&lt;&gt;"",_xll.PBF($L77,"EV to Forward Revenue","FY",$AG$21,"","EUR",""),""),"")</f>
        <v/>
      </c>
      <c r="AH77" s="1672" t="str" cm="1">
        <f t="array" aca="1" ref="AH77" ca="1">IFERROR(IF($L77&lt;&gt;"",_xll.PBF($L77,"EV to Forward EBITDA","FY",$AH$21,"","EUR",""),""),"")</f>
        <v/>
      </c>
      <c r="AI77" s="1672" t="str" cm="1">
        <f t="array" aca="1" ref="AI77" ca="1">IFERROR(IF($L77&lt;&gt;"",_xll.PBF($L77,"EV to Forward EBIT","FY",$AI$21,"","EUR",""),""),"")</f>
        <v/>
      </c>
      <c r="AK77" s="1705"/>
      <c r="AL77" s="1693" t="str" cm="1">
        <f t="array" ref="AL77">IFERROR(IF(AK77&lt;&gt;"",_xll.PBD(AK77,"Deal Date","","EUR",""),""),"")</f>
        <v/>
      </c>
      <c r="AM77" s="1693" t="str" cm="1">
        <f t="array" ref="AM77">IFERROR(IF(AK77&lt;&gt;"",_xll.PBD(AK77,"Limit1.Deal Type 1","","EUR",""),""),"")</f>
        <v/>
      </c>
      <c r="AN77" s="1693" t="str" cm="1">
        <f t="array" ref="AN77">IFERROR(IF(AK77&lt;&gt;"",_xll.PBD(AK77,"Limit1.Company Id","","EUR",""),""),"")</f>
        <v/>
      </c>
      <c r="AO77" s="1640" t="str" cm="1">
        <f t="array" ref="AO77">IFERROR(IF(AN77&lt;&gt;"",_xll.PBD(AN77,"Name","","EUR",""),""),"")</f>
        <v/>
      </c>
      <c r="AP77" s="1640" t="str" cm="1">
        <f t="array" ref="AP77">IFERROR(IF(AN77&lt;&gt;"",_xll.PBD(AN77,"Primary Industry Code","","EUR",""),""),"")</f>
        <v/>
      </c>
      <c r="AQ77" s="1640" t="str" cm="1">
        <f t="array" ref="AQ77">IFERROR(IF(AN77&lt;&gt;"",_xll.PBD(AN77,"HQ Country","","EUR",""),""),"")</f>
        <v/>
      </c>
      <c r="AR77" s="1640" t="str" cm="1">
        <f t="array" ref="AR77">IFERROR(IF(AK77&lt;&gt;"",_xll.PBD(AK77,"Limit1.Investors Ids","","EUR",""),""),"")</f>
        <v/>
      </c>
      <c r="AS77" s="1640" t="str" cm="1">
        <f t="array" ref="AS77">IFERROR(IF(AR77&lt;&gt;"",_xll.PBD(AR77,"Name","","EUR",""),""),"")</f>
        <v/>
      </c>
      <c r="AT77" s="1640" t="str" cm="1">
        <f t="array" ref="AT77">IFERROR(IF(AR77&lt;&gt;"",_xll.PBD(AR77,"Primary Industry Code","","EUR",""),""),"")</f>
        <v/>
      </c>
      <c r="AU77" s="1640" t="str" cm="1">
        <f t="array" ref="AU77">IFERROR(IF(AR77&lt;&gt;"",_xll.PBD(AR77,"Limit2.Entity Types","","EUR",""),""),"")</f>
        <v/>
      </c>
      <c r="AV77" s="1640" t="str" cm="1">
        <f t="array" ref="AV77">IFERROR(IF(AR77&lt;&gt;"",_xll.PBD(AR77,"HQ Country","","EUR",""),""),"")</f>
        <v/>
      </c>
      <c r="AX77" s="1641" t="str" cm="1">
        <f t="array" ref="AX77">IFERROR(IF(AK77&lt;&gt;"",_xll.PBD(AK77,"Limit1.Deal Amount","","EUR","")/1000000,""),"")</f>
        <v/>
      </c>
      <c r="AY77" s="1641" t="str" cm="1">
        <f t="array" ref="AY77">IFERROR(IF(AK77&lt;&gt;"",_xll.PBD(AK77,"Limit1.Implied EV ","","EUR","")/1000000,""),"")</f>
        <v/>
      </c>
      <c r="AZ77" s="1694" t="str" cm="1">
        <f t="array" ref="AZ77">IFERROR(IF(AK77&lt;&gt;"",_xll.PBD(AK77,"Limit1.% Acquired ","","EUR",""),""),"")</f>
        <v/>
      </c>
      <c r="BB77" s="1695" t="str" cm="1">
        <f t="array" ref="BB77">IFERROR(IF(AK77&lt;&gt;"",_xll.PBD(AK77,"Implied EV / Revenue","","EUR",""),""),"")</f>
        <v/>
      </c>
      <c r="BC77" s="1695" t="str" cm="1">
        <f t="array" ref="BC77">IFERROR(IF(AK77&lt;&gt;"",_xll.PBD(AK77,"Implied EV / EBITDA","","EUR",""),""),"")</f>
        <v/>
      </c>
      <c r="BD77" s="1695" t="str" cm="1">
        <f t="array" ref="BD77">IFERROR(IF(AK77&lt;&gt;"",_xll.PBD(AK77,"Implied EV / EBIT","","EUR",""),""),"")</f>
        <v/>
      </c>
      <c r="BF77" s="1640" t="str" cm="1">
        <f t="array" ref="BF77">IFERROR(IF(AR77&lt;&gt;"",_xll.PBD(AR77,"Brief Description","","EUR",""),""),"")</f>
        <v/>
      </c>
    </row>
    <row r="78" spans="2:58" ht="13.9" customHeight="1">
      <c r="B78" s="100"/>
      <c r="C78" s="1599"/>
      <c r="D78" s="1599"/>
      <c r="E78" s="678"/>
      <c r="F78" s="1608"/>
      <c r="L78" s="1705"/>
      <c r="M78" s="1594"/>
      <c r="N78" s="1640" t="str" cm="1">
        <f t="array" ref="N78">IFERROR(IF($L78&lt;&gt;"",_xll.PBD($L78,"Name","","USD",""),""),"")</f>
        <v/>
      </c>
      <c r="O78" s="1640" t="str" cm="1">
        <f t="array" ref="O78">IFERROR(IF($L78&lt;&gt;"",_xll.PBD($L78,"Primary Industry Code","","",""),""),"")</f>
        <v/>
      </c>
      <c r="P78" s="1640" t="str" cm="1">
        <f t="array" ref="P78">IFERROR(IF($L78&lt;&gt;"",_xll.PBD($L78,"HQ Country","","",""),""),"")</f>
        <v/>
      </c>
      <c r="Q78" s="1640" t="str" cm="1">
        <f t="array" ref="Q78">IFERROR(IF($L78&lt;&gt;"",_xll.PBD($L78,"HQ City","","EUR",""),""),"")</f>
        <v/>
      </c>
      <c r="S78" s="1666" t="str" cm="1">
        <f t="array" aca="1" ref="S78" ca="1">IFERROR(IF($L78&lt;&gt;"",_xll.PBF($L78,"EV","TTM",$N$11,"","EUR","")/1000000,""),"")</f>
        <v/>
      </c>
      <c r="T78" s="1666" t="str" cm="1">
        <f t="array" aca="1" ref="T78" ca="1">IFERROR(IF($L78&lt;&gt;"",_xll.PBF($L78,"NET Debt","TTM",$N$11,"","EUR","")/1000000,""),"")</f>
        <v/>
      </c>
      <c r="U78" s="1666" t="str" cm="1">
        <f t="array" aca="1" ref="U78" ca="1">IFERROR(IF($L78&lt;&gt;"",_xll.PBF($L78,"Market Cap","TTM",$N$11,"","EUR","")/1000000,""),"")</f>
        <v/>
      </c>
      <c r="V78" s="1677" t="str" cm="1">
        <f t="array" aca="1" ref="V78" ca="1">IFERROR(IF($L78&lt;&gt;"",_xll.PBF($L78,"Total Debt to Equity","TTM",$V$21,"","EUR",""),""),"")</f>
        <v/>
      </c>
      <c r="W78" s="1677"/>
      <c r="X78" s="1666" t="str" cm="1">
        <f t="array" aca="1" ref="X78" ca="1">IFERROR(IF($L78&lt;&gt;"",_xll.PBF($L78,"Total Revenue","FY",$X$21,"","EUR","")/1000000,""),"")</f>
        <v/>
      </c>
      <c r="Y78" s="1666" t="str" cm="1">
        <f t="array" aca="1" ref="Y78" ca="1">IFERROR(IF($L78&lt;&gt;"",_xll.PBF($L78,"EBITDA","FY",$N$11,"","EUR","")/1000000,""),"")</f>
        <v/>
      </c>
      <c r="Z78" s="1666" t="str" cm="1">
        <f t="array" aca="1" ref="Z78" ca="1">IFERROR(IF($L78&lt;&gt;"",_xll.PBF($L78,"EBIT","FY",$N$11,"","EUR","")/1000000,""),"")</f>
        <v/>
      </c>
      <c r="AA78" s="1677" t="str" cm="1">
        <f t="array" aca="1" ref="AA78" ca="1">IFERROR(IF($L78&lt;&gt;"",_xll.PBF($L78,"Total Debt to EBITDA","FY",$AA$21,"","EUR",""),""),"")</f>
        <v/>
      </c>
      <c r="AB78" s="1670"/>
      <c r="AC78" s="1672" t="str" cm="1">
        <f t="array" aca="1" ref="AC78" ca="1">IFERROR(IF($L78&lt;&gt;"",_xll.PBF($L78,"EV to Revenue","FY",$N$11,"","EUR",""),""),"")</f>
        <v/>
      </c>
      <c r="AD78" s="1672" t="str" cm="1">
        <f t="array" aca="1" ref="AD78" ca="1">IFERROR(IF($L78&lt;&gt;"",_xll.PBF($L78,"EV to EBITDA","FY",$AD$21,"","EUR",""),""),"")</f>
        <v/>
      </c>
      <c r="AE78" s="1672" t="str" cm="1">
        <f t="array" aca="1" ref="AE78" ca="1">IFERROR(IF($L78&lt;&gt;"",_xll.PBF($L78,"EV to EBIT","FY",$AE$21,"","EUR",""),""),"")</f>
        <v/>
      </c>
      <c r="AF78" s="1672"/>
      <c r="AG78" s="1672" t="str" cm="1">
        <f t="array" aca="1" ref="AG78" ca="1">IFERROR(IF($L78&lt;&gt;"",_xll.PBF($L78,"EV to Forward Revenue","FY",$AG$21,"","EUR",""),""),"")</f>
        <v/>
      </c>
      <c r="AH78" s="1672" t="str" cm="1">
        <f t="array" aca="1" ref="AH78" ca="1">IFERROR(IF($L78&lt;&gt;"",_xll.PBF($L78,"EV to Forward EBITDA","FY",$AH$21,"","EUR",""),""),"")</f>
        <v/>
      </c>
      <c r="AI78" s="1672" t="str" cm="1">
        <f t="array" aca="1" ref="AI78" ca="1">IFERROR(IF($L78&lt;&gt;"",_xll.PBF($L78,"EV to Forward EBIT","FY",$AI$21,"","EUR",""),""),"")</f>
        <v/>
      </c>
      <c r="AK78" s="1705"/>
      <c r="AL78" s="1693" t="str" cm="1">
        <f t="array" ref="AL78">IFERROR(IF(AK78&lt;&gt;"",_xll.PBD(AK78,"Deal Date","","EUR",""),""),"")</f>
        <v/>
      </c>
      <c r="AM78" s="1693" t="str" cm="1">
        <f t="array" ref="AM78">IFERROR(IF(AK78&lt;&gt;"",_xll.PBD(AK78,"Limit1.Deal Type 1","","EUR",""),""),"")</f>
        <v/>
      </c>
      <c r="AN78" s="1693" t="str" cm="1">
        <f t="array" ref="AN78">IFERROR(IF(AK78&lt;&gt;"",_xll.PBD(AK78,"Limit1.Company Id","","EUR",""),""),"")</f>
        <v/>
      </c>
      <c r="AO78" s="1640" t="str" cm="1">
        <f t="array" ref="AO78">IFERROR(IF(AN78&lt;&gt;"",_xll.PBD(AN78,"Name","","EUR",""),""),"")</f>
        <v/>
      </c>
      <c r="AP78" s="1640" t="str" cm="1">
        <f t="array" ref="AP78">IFERROR(IF(AN78&lt;&gt;"",_xll.PBD(AN78,"Primary Industry Code","","EUR",""),""),"")</f>
        <v/>
      </c>
      <c r="AQ78" s="1640" t="str" cm="1">
        <f t="array" ref="AQ78">IFERROR(IF(AN78&lt;&gt;"",_xll.PBD(AN78,"HQ Country","","EUR",""),""),"")</f>
        <v/>
      </c>
      <c r="AR78" s="1640" t="str" cm="1">
        <f t="array" ref="AR78">IFERROR(IF(AK78&lt;&gt;"",_xll.PBD(AK78,"Limit1.Investors Ids","","EUR",""),""),"")</f>
        <v/>
      </c>
      <c r="AS78" s="1640" t="str" cm="1">
        <f t="array" ref="AS78">IFERROR(IF(AR78&lt;&gt;"",_xll.PBD(AR78,"Name","","EUR",""),""),"")</f>
        <v/>
      </c>
      <c r="AT78" s="1640" t="str" cm="1">
        <f t="array" ref="AT78">IFERROR(IF(AR78&lt;&gt;"",_xll.PBD(AR78,"Primary Industry Code","","EUR",""),""),"")</f>
        <v/>
      </c>
      <c r="AU78" s="1640" t="str" cm="1">
        <f t="array" ref="AU78">IFERROR(IF(AR78&lt;&gt;"",_xll.PBD(AR78,"Limit2.Entity Types","","EUR",""),""),"")</f>
        <v/>
      </c>
      <c r="AV78" s="1640" t="str" cm="1">
        <f t="array" ref="AV78">IFERROR(IF(AR78&lt;&gt;"",_xll.PBD(AR78,"HQ Country","","EUR",""),""),"")</f>
        <v/>
      </c>
      <c r="AX78" s="1641" t="str" cm="1">
        <f t="array" ref="AX78">IFERROR(IF(AK78&lt;&gt;"",_xll.PBD(AK78,"Limit1.Deal Amount","","EUR","")/1000000,""),"")</f>
        <v/>
      </c>
      <c r="AY78" s="1641" t="str" cm="1">
        <f t="array" ref="AY78">IFERROR(IF(AK78&lt;&gt;"",_xll.PBD(AK78,"Limit1.Implied EV ","","EUR","")/1000000,""),"")</f>
        <v/>
      </c>
      <c r="AZ78" s="1694" t="str" cm="1">
        <f t="array" ref="AZ78">IFERROR(IF(AK78&lt;&gt;"",_xll.PBD(AK78,"Limit1.% Acquired ","","EUR",""),""),"")</f>
        <v/>
      </c>
      <c r="BB78" s="1695" t="str" cm="1">
        <f t="array" ref="BB78">IFERROR(IF(AK78&lt;&gt;"",_xll.PBD(AK78,"Implied EV / Revenue","","EUR",""),""),"")</f>
        <v/>
      </c>
      <c r="BC78" s="1695" t="str" cm="1">
        <f t="array" ref="BC78">IFERROR(IF(AK78&lt;&gt;"",_xll.PBD(AK78,"Implied EV / EBITDA","","EUR",""),""),"")</f>
        <v/>
      </c>
      <c r="BD78" s="1695" t="str" cm="1">
        <f t="array" ref="BD78">IFERROR(IF(AK78&lt;&gt;"",_xll.PBD(AK78,"Implied EV / EBIT","","EUR",""),""),"")</f>
        <v/>
      </c>
      <c r="BF78" s="1640" t="str" cm="1">
        <f t="array" ref="BF78">IFERROR(IF(AR78&lt;&gt;"",_xll.PBD(AR78,"Brief Description","","EUR",""),""),"")</f>
        <v/>
      </c>
    </row>
    <row r="79" spans="2:58" ht="13.9" customHeight="1">
      <c r="B79" s="1596"/>
      <c r="C79" s="1599"/>
      <c r="D79" s="1599"/>
      <c r="E79" s="678"/>
      <c r="F79" s="1600"/>
      <c r="L79" s="1705"/>
      <c r="M79" s="1595"/>
      <c r="N79" s="1640" t="str" cm="1">
        <f t="array" ref="N79">IFERROR(IF($L79&lt;&gt;"",_xll.PBD($L79,"Name","","USD",""),""),"")</f>
        <v/>
      </c>
      <c r="O79" s="1640" t="str" cm="1">
        <f t="array" ref="O79">IFERROR(IF($L79&lt;&gt;"",_xll.PBD($L79,"Primary Industry Code","","",""),""),"")</f>
        <v/>
      </c>
      <c r="P79" s="1640" t="str" cm="1">
        <f t="array" ref="P79">IFERROR(IF($L79&lt;&gt;"",_xll.PBD($L79,"HQ Country","","",""),""),"")</f>
        <v/>
      </c>
      <c r="Q79" s="1640" t="str" cm="1">
        <f t="array" ref="Q79">IFERROR(IF($L79&lt;&gt;"",_xll.PBD($L79,"HQ City","","EUR",""),""),"")</f>
        <v/>
      </c>
      <c r="S79" s="1666" t="str" cm="1">
        <f t="array" aca="1" ref="S79" ca="1">IFERROR(IF($L79&lt;&gt;"",_xll.PBF($L79,"EV","TTM",$N$11,"","EUR","")/1000000,""),"")</f>
        <v/>
      </c>
      <c r="T79" s="1666" t="str" cm="1">
        <f t="array" aca="1" ref="T79" ca="1">IFERROR(IF($L79&lt;&gt;"",_xll.PBF($L79,"NET Debt","TTM",$N$11,"","EUR","")/1000000,""),"")</f>
        <v/>
      </c>
      <c r="U79" s="1666" t="str" cm="1">
        <f t="array" aca="1" ref="U79" ca="1">IFERROR(IF($L79&lt;&gt;"",_xll.PBF($L79,"Market Cap","TTM",$N$11,"","EUR","")/1000000,""),"")</f>
        <v/>
      </c>
      <c r="V79" s="1677" t="str" cm="1">
        <f t="array" aca="1" ref="V79" ca="1">IFERROR(IF($L79&lt;&gt;"",_xll.PBF($L79,"Total Debt to Equity","TTM",$V$21,"","EUR",""),""),"")</f>
        <v/>
      </c>
      <c r="W79" s="1677"/>
      <c r="X79" s="1666" t="str" cm="1">
        <f t="array" aca="1" ref="X79" ca="1">IFERROR(IF($L79&lt;&gt;"",_xll.PBF($L79,"Total Revenue","FY",$X$21,"","EUR","")/1000000,""),"")</f>
        <v/>
      </c>
      <c r="Y79" s="1666" t="str" cm="1">
        <f t="array" aca="1" ref="Y79" ca="1">IFERROR(IF($L79&lt;&gt;"",_xll.PBF($L79,"EBITDA","FY",$N$11,"","EUR","")/1000000,""),"")</f>
        <v/>
      </c>
      <c r="Z79" s="1666" t="str" cm="1">
        <f t="array" aca="1" ref="Z79" ca="1">IFERROR(IF($L79&lt;&gt;"",_xll.PBF($L79,"EBIT","FY",$N$11,"","EUR","")/1000000,""),"")</f>
        <v/>
      </c>
      <c r="AA79" s="1677" t="str" cm="1">
        <f t="array" aca="1" ref="AA79" ca="1">IFERROR(IF($L79&lt;&gt;"",_xll.PBF($L79,"Total Debt to EBITDA","FY",$AA$21,"","EUR",""),""),"")</f>
        <v/>
      </c>
      <c r="AB79" s="1670"/>
      <c r="AC79" s="1672" t="str" cm="1">
        <f t="array" aca="1" ref="AC79" ca="1">IFERROR(IF($L79&lt;&gt;"",_xll.PBF($L79,"EV to Revenue","FY",$N$11,"","EUR",""),""),"")</f>
        <v/>
      </c>
      <c r="AD79" s="1672" t="str" cm="1">
        <f t="array" aca="1" ref="AD79" ca="1">IFERROR(IF($L79&lt;&gt;"",_xll.PBF($L79,"EV to EBITDA","FY",$AD$21,"","EUR",""),""),"")</f>
        <v/>
      </c>
      <c r="AE79" s="1672" t="str" cm="1">
        <f t="array" aca="1" ref="AE79" ca="1">IFERROR(IF($L79&lt;&gt;"",_xll.PBF($L79,"EV to EBIT","FY",$AE$21,"","EUR",""),""),"")</f>
        <v/>
      </c>
      <c r="AF79" s="1672"/>
      <c r="AG79" s="1672" t="str" cm="1">
        <f t="array" aca="1" ref="AG79" ca="1">IFERROR(IF($L79&lt;&gt;"",_xll.PBF($L79,"EV to Forward Revenue","FY",$AG$21,"","EUR",""),""),"")</f>
        <v/>
      </c>
      <c r="AH79" s="1672" t="str" cm="1">
        <f t="array" aca="1" ref="AH79" ca="1">IFERROR(IF($L79&lt;&gt;"",_xll.PBF($L79,"EV to Forward EBITDA","FY",$AH$21,"","EUR",""),""),"")</f>
        <v/>
      </c>
      <c r="AI79" s="1672" t="str" cm="1">
        <f t="array" aca="1" ref="AI79" ca="1">IFERROR(IF($L79&lt;&gt;"",_xll.PBF($L79,"EV to Forward EBIT","FY",$AI$21,"","EUR",""),""),"")</f>
        <v/>
      </c>
      <c r="AK79" s="1705"/>
      <c r="AL79" s="1693" t="str" cm="1">
        <f t="array" ref="AL79">IFERROR(IF(AK79&lt;&gt;"",_xll.PBD(AK79,"Deal Date","","EUR",""),""),"")</f>
        <v/>
      </c>
      <c r="AM79" s="1693" t="str" cm="1">
        <f t="array" ref="AM79">IFERROR(IF(AK79&lt;&gt;"",_xll.PBD(AK79,"Limit1.Deal Type 1","","EUR",""),""),"")</f>
        <v/>
      </c>
      <c r="AN79" s="1693" t="str" cm="1">
        <f t="array" ref="AN79">IFERROR(IF(AK79&lt;&gt;"",_xll.PBD(AK79,"Limit1.Company Id","","EUR",""),""),"")</f>
        <v/>
      </c>
      <c r="AO79" s="1640" t="str" cm="1">
        <f t="array" ref="AO79">IFERROR(IF(AN79&lt;&gt;"",_xll.PBD(AN79,"Name","","EUR",""),""),"")</f>
        <v/>
      </c>
      <c r="AP79" s="1640" t="str" cm="1">
        <f t="array" ref="AP79">IFERROR(IF(AN79&lt;&gt;"",_xll.PBD(AN79,"Primary Industry Code","","EUR",""),""),"")</f>
        <v/>
      </c>
      <c r="AQ79" s="1640" t="str" cm="1">
        <f t="array" ref="AQ79">IFERROR(IF(AN79&lt;&gt;"",_xll.PBD(AN79,"HQ Country","","EUR",""),""),"")</f>
        <v/>
      </c>
      <c r="AR79" s="1640" t="str" cm="1">
        <f t="array" ref="AR79">IFERROR(IF(AK79&lt;&gt;"",_xll.PBD(AK79,"Limit1.Investors Ids","","EUR",""),""),"")</f>
        <v/>
      </c>
      <c r="AS79" s="1640" t="str" cm="1">
        <f t="array" ref="AS79">IFERROR(IF(AR79&lt;&gt;"",_xll.PBD(AR79,"Name","","EUR",""),""),"")</f>
        <v/>
      </c>
      <c r="AT79" s="1640" t="str" cm="1">
        <f t="array" ref="AT79">IFERROR(IF(AR79&lt;&gt;"",_xll.PBD(AR79,"Primary Industry Code","","EUR",""),""),"")</f>
        <v/>
      </c>
      <c r="AU79" s="1640" t="str" cm="1">
        <f t="array" ref="AU79">IFERROR(IF(AR79&lt;&gt;"",_xll.PBD(AR79,"Limit2.Entity Types","","EUR",""),""),"")</f>
        <v/>
      </c>
      <c r="AV79" s="1640" t="str" cm="1">
        <f t="array" ref="AV79">IFERROR(IF(AR79&lt;&gt;"",_xll.PBD(AR79,"HQ Country","","EUR",""),""),"")</f>
        <v/>
      </c>
      <c r="AX79" s="1641" t="str" cm="1">
        <f t="array" ref="AX79">IFERROR(IF(AK79&lt;&gt;"",_xll.PBD(AK79,"Limit1.Deal Amount","","EUR","")/1000000,""),"")</f>
        <v/>
      </c>
      <c r="AY79" s="1641" t="str" cm="1">
        <f t="array" ref="AY79">IFERROR(IF(AK79&lt;&gt;"",_xll.PBD(AK79,"Limit1.Implied EV ","","EUR","")/1000000,""),"")</f>
        <v/>
      </c>
      <c r="AZ79" s="1694" t="str" cm="1">
        <f t="array" ref="AZ79">IFERROR(IF(AK79&lt;&gt;"",_xll.PBD(AK79,"Limit1.% Acquired ","","EUR",""),""),"")</f>
        <v/>
      </c>
      <c r="BB79" s="1695" t="str" cm="1">
        <f t="array" ref="BB79">IFERROR(IF(AK79&lt;&gt;"",_xll.PBD(AK79,"Implied EV / Revenue","","EUR",""),""),"")</f>
        <v/>
      </c>
      <c r="BC79" s="1695" t="str" cm="1">
        <f t="array" ref="BC79">IFERROR(IF(AK79&lt;&gt;"",_xll.PBD(AK79,"Implied EV / EBITDA","","EUR",""),""),"")</f>
        <v/>
      </c>
      <c r="BD79" s="1695" t="str" cm="1">
        <f t="array" ref="BD79">IFERROR(IF(AK79&lt;&gt;"",_xll.PBD(AK79,"Implied EV / EBIT","","EUR",""),""),"")</f>
        <v/>
      </c>
      <c r="BF79" s="1640" t="str" cm="1">
        <f t="array" ref="BF79">IFERROR(IF(AR79&lt;&gt;"",_xll.PBD(AR79,"Brief Description","","EUR",""),""),"")</f>
        <v/>
      </c>
    </row>
    <row r="80" spans="2:58" ht="13.9" customHeight="1">
      <c r="B80" s="1596"/>
      <c r="C80" s="446"/>
      <c r="D80" s="446"/>
      <c r="E80" s="446"/>
      <c r="L80" s="1705"/>
      <c r="M80" s="1595"/>
      <c r="N80" s="1640" t="str" cm="1">
        <f t="array" ref="N80">IFERROR(IF($L80&lt;&gt;"",_xll.PBD($L80,"Name","","USD",""),""),"")</f>
        <v/>
      </c>
      <c r="O80" s="1640" t="str" cm="1">
        <f t="array" ref="O80">IFERROR(IF($L80&lt;&gt;"",_xll.PBD($L80,"Primary Industry Code","","",""),""),"")</f>
        <v/>
      </c>
      <c r="P80" s="1640" t="str" cm="1">
        <f t="array" ref="P80">IFERROR(IF($L80&lt;&gt;"",_xll.PBD($L80,"HQ Country","","",""),""),"")</f>
        <v/>
      </c>
      <c r="Q80" s="1640" t="str" cm="1">
        <f t="array" ref="Q80">IFERROR(IF($L80&lt;&gt;"",_xll.PBD($L80,"HQ City","","EUR",""),""),"")</f>
        <v/>
      </c>
      <c r="S80" s="1666" t="str" cm="1">
        <f t="array" aca="1" ref="S80" ca="1">IFERROR(IF($L80&lt;&gt;"",_xll.PBF($L80,"EV","TTM",$N$11,"","EUR","")/1000000,""),"")</f>
        <v/>
      </c>
      <c r="T80" s="1666" t="str" cm="1">
        <f t="array" aca="1" ref="T80" ca="1">IFERROR(IF($L80&lt;&gt;"",_xll.PBF($L80,"NET Debt","TTM",$N$11,"","EUR","")/1000000,""),"")</f>
        <v/>
      </c>
      <c r="U80" s="1666" t="str" cm="1">
        <f t="array" aca="1" ref="U80" ca="1">IFERROR(IF($L80&lt;&gt;"",_xll.PBF($L80,"Market Cap","TTM",$N$11,"","EUR","")/1000000,""),"")</f>
        <v/>
      </c>
      <c r="V80" s="1677" t="str" cm="1">
        <f t="array" aca="1" ref="V80" ca="1">IFERROR(IF($L80&lt;&gt;"",_xll.PBF($L80,"Total Debt to Equity","TTM",$V$21,"","EUR",""),""),"")</f>
        <v/>
      </c>
      <c r="W80" s="1677"/>
      <c r="X80" s="1666" t="str" cm="1">
        <f t="array" aca="1" ref="X80" ca="1">IFERROR(IF($L80&lt;&gt;"",_xll.PBF($L80,"Total Revenue","FY",$X$21,"","EUR","")/1000000,""),"")</f>
        <v/>
      </c>
      <c r="Y80" s="1666" t="str" cm="1">
        <f t="array" aca="1" ref="Y80" ca="1">IFERROR(IF($L80&lt;&gt;"",_xll.PBF($L80,"EBITDA","FY",$N$11,"","EUR","")/1000000,""),"")</f>
        <v/>
      </c>
      <c r="Z80" s="1666" t="str" cm="1">
        <f t="array" aca="1" ref="Z80" ca="1">IFERROR(IF($L80&lt;&gt;"",_xll.PBF($L80,"EBIT","FY",$N$11,"","EUR","")/1000000,""),"")</f>
        <v/>
      </c>
      <c r="AA80" s="1677" t="str" cm="1">
        <f t="array" aca="1" ref="AA80" ca="1">IFERROR(IF($L80&lt;&gt;"",_xll.PBF($L80,"Total Debt to EBITDA","FY",$AA$21,"","EUR",""),""),"")</f>
        <v/>
      </c>
      <c r="AB80" s="1670"/>
      <c r="AC80" s="1672" t="str" cm="1">
        <f t="array" aca="1" ref="AC80" ca="1">IFERROR(IF($L80&lt;&gt;"",_xll.PBF($L80,"EV to Revenue","FY",$N$11,"","EUR",""),""),"")</f>
        <v/>
      </c>
      <c r="AD80" s="1672" t="str" cm="1">
        <f t="array" aca="1" ref="AD80" ca="1">IFERROR(IF($L80&lt;&gt;"",_xll.PBF($L80,"EV to EBITDA","FY",$AD$21,"","EUR",""),""),"")</f>
        <v/>
      </c>
      <c r="AE80" s="1672" t="str" cm="1">
        <f t="array" aca="1" ref="AE80" ca="1">IFERROR(IF($L80&lt;&gt;"",_xll.PBF($L80,"EV to EBIT","FY",$AE$21,"","EUR",""),""),"")</f>
        <v/>
      </c>
      <c r="AF80" s="1672"/>
      <c r="AG80" s="1672" t="str" cm="1">
        <f t="array" aca="1" ref="AG80" ca="1">IFERROR(IF($L80&lt;&gt;"",_xll.PBF($L80,"EV to Forward Revenue","FY",$AG$21,"","EUR",""),""),"")</f>
        <v/>
      </c>
      <c r="AH80" s="1672" t="str" cm="1">
        <f t="array" aca="1" ref="AH80" ca="1">IFERROR(IF($L80&lt;&gt;"",_xll.PBF($L80,"EV to Forward EBITDA","FY",$AH$21,"","EUR",""),""),"")</f>
        <v/>
      </c>
      <c r="AI80" s="1672" t="str" cm="1">
        <f t="array" aca="1" ref="AI80" ca="1">IFERROR(IF($L80&lt;&gt;"",_xll.PBF($L80,"EV to Forward EBIT","FY",$AI$21,"","EUR",""),""),"")</f>
        <v/>
      </c>
      <c r="AK80" s="1705"/>
      <c r="AL80" s="1693" t="str" cm="1">
        <f t="array" ref="AL80">IFERROR(IF(AK80&lt;&gt;"",_xll.PBD(AK80,"Deal Date","","EUR",""),""),"")</f>
        <v/>
      </c>
      <c r="AM80" s="1693" t="str" cm="1">
        <f t="array" ref="AM80">IFERROR(IF(AK80&lt;&gt;"",_xll.PBD(AK80,"Limit1.Deal Type 1","","EUR",""),""),"")</f>
        <v/>
      </c>
      <c r="AN80" s="1693" t="str" cm="1">
        <f t="array" ref="AN80">IFERROR(IF(AK80&lt;&gt;"",_xll.PBD(AK80,"Limit1.Company Id","","EUR",""),""),"")</f>
        <v/>
      </c>
      <c r="AO80" s="1640" t="str" cm="1">
        <f t="array" ref="AO80">IFERROR(IF(AN80&lt;&gt;"",_xll.PBD(AN80,"Name","","EUR",""),""),"")</f>
        <v/>
      </c>
      <c r="AP80" s="1640" t="str" cm="1">
        <f t="array" ref="AP80">IFERROR(IF(AN80&lt;&gt;"",_xll.PBD(AN80,"Primary Industry Code","","EUR",""),""),"")</f>
        <v/>
      </c>
      <c r="AQ80" s="1640" t="str" cm="1">
        <f t="array" ref="AQ80">IFERROR(IF(AN80&lt;&gt;"",_xll.PBD(AN80,"HQ Country","","EUR",""),""),"")</f>
        <v/>
      </c>
      <c r="AR80" s="1640" t="str" cm="1">
        <f t="array" ref="AR80">IFERROR(IF(AK80&lt;&gt;"",_xll.PBD(AK80,"Limit1.Investors Ids","","EUR",""),""),"")</f>
        <v/>
      </c>
      <c r="AS80" s="1640" t="str" cm="1">
        <f t="array" ref="AS80">IFERROR(IF(AR80&lt;&gt;"",_xll.PBD(AR80,"Name","","EUR",""),""),"")</f>
        <v/>
      </c>
      <c r="AT80" s="1640" t="str" cm="1">
        <f t="array" ref="AT80">IFERROR(IF(AR80&lt;&gt;"",_xll.PBD(AR80,"Primary Industry Code","","EUR",""),""),"")</f>
        <v/>
      </c>
      <c r="AU80" s="1640" t="str" cm="1">
        <f t="array" ref="AU80">IFERROR(IF(AR80&lt;&gt;"",_xll.PBD(AR80,"Limit2.Entity Types","","EUR",""),""),"")</f>
        <v/>
      </c>
      <c r="AV80" s="1640" t="str" cm="1">
        <f t="array" ref="AV80">IFERROR(IF(AR80&lt;&gt;"",_xll.PBD(AR80,"HQ Country","","EUR",""),""),"")</f>
        <v/>
      </c>
      <c r="AX80" s="1641" t="str" cm="1">
        <f t="array" ref="AX80">IFERROR(IF(AK80&lt;&gt;"",_xll.PBD(AK80,"Limit1.Deal Amount","","EUR","")/1000000,""),"")</f>
        <v/>
      </c>
      <c r="AY80" s="1641" t="str" cm="1">
        <f t="array" ref="AY80">IFERROR(IF(AK80&lt;&gt;"",_xll.PBD(AK80,"Limit1.Implied EV ","","EUR","")/1000000,""),"")</f>
        <v/>
      </c>
      <c r="AZ80" s="1694" t="str" cm="1">
        <f t="array" ref="AZ80">IFERROR(IF(AK80&lt;&gt;"",_xll.PBD(AK80,"Limit1.% Acquired ","","EUR",""),""),"")</f>
        <v/>
      </c>
      <c r="BB80" s="1695" t="str" cm="1">
        <f t="array" ref="BB80">IFERROR(IF(AK80&lt;&gt;"",_xll.PBD(AK80,"Implied EV / Revenue","","EUR",""),""),"")</f>
        <v/>
      </c>
      <c r="BC80" s="1695" t="str" cm="1">
        <f t="array" ref="BC80">IFERROR(IF(AK80&lt;&gt;"",_xll.PBD(AK80,"Implied EV / EBITDA","","EUR",""),""),"")</f>
        <v/>
      </c>
      <c r="BD80" s="1695" t="str" cm="1">
        <f t="array" ref="BD80">IFERROR(IF(AK80&lt;&gt;"",_xll.PBD(AK80,"Implied EV / EBIT","","EUR",""),""),"")</f>
        <v/>
      </c>
      <c r="BF80" s="1640" t="str" cm="1">
        <f t="array" ref="BF80">IFERROR(IF(AR80&lt;&gt;"",_xll.PBD(AR80,"Brief Description","","EUR",""),""),"")</f>
        <v/>
      </c>
    </row>
    <row r="81" spans="3:58" ht="13.9" customHeight="1">
      <c r="C81" s="446"/>
      <c r="D81" s="446"/>
      <c r="L81" s="1705"/>
      <c r="M81" s="1593"/>
      <c r="N81" s="1640" t="str" cm="1">
        <f t="array" ref="N81">IFERROR(IF($L81&lt;&gt;"",_xll.PBD($L81,"Name","","USD",""),""),"")</f>
        <v/>
      </c>
      <c r="O81" s="1640" t="str" cm="1">
        <f t="array" ref="O81">IFERROR(IF($L81&lt;&gt;"",_xll.PBD($L81,"Primary Industry Code","","",""),""),"")</f>
        <v/>
      </c>
      <c r="P81" s="1640" t="str" cm="1">
        <f t="array" ref="P81">IFERROR(IF($L81&lt;&gt;"",_xll.PBD($L81,"HQ Country","","",""),""),"")</f>
        <v/>
      </c>
      <c r="Q81" s="1640" t="str" cm="1">
        <f t="array" ref="Q81">IFERROR(IF($L81&lt;&gt;"",_xll.PBD($L81,"HQ City","","EUR",""),""),"")</f>
        <v/>
      </c>
      <c r="S81" s="1666" t="str" cm="1">
        <f t="array" aca="1" ref="S81" ca="1">IFERROR(IF($L81&lt;&gt;"",_xll.PBF($L81,"EV","TTM",$N$11,"","EUR","")/1000000,""),"")</f>
        <v/>
      </c>
      <c r="T81" s="1666" t="str" cm="1">
        <f t="array" aca="1" ref="T81" ca="1">IFERROR(IF($L81&lt;&gt;"",_xll.PBF($L81,"NET Debt","TTM",$N$11,"","EUR","")/1000000,""),"")</f>
        <v/>
      </c>
      <c r="U81" s="1666" t="str" cm="1">
        <f t="array" aca="1" ref="U81" ca="1">IFERROR(IF($L81&lt;&gt;"",_xll.PBF($L81,"Market Cap","TTM",$N$11,"","EUR","")/1000000,""),"")</f>
        <v/>
      </c>
      <c r="V81" s="1677" t="str" cm="1">
        <f t="array" aca="1" ref="V81" ca="1">IFERROR(IF($L81&lt;&gt;"",_xll.PBF($L81,"Total Debt to Equity","TTM",$V$21,"","EUR",""),""),"")</f>
        <v/>
      </c>
      <c r="W81" s="1677"/>
      <c r="X81" s="1666" t="str" cm="1">
        <f t="array" aca="1" ref="X81" ca="1">IFERROR(IF($L81&lt;&gt;"",_xll.PBF($L81,"Total Revenue","FY",$X$21,"","EUR","")/1000000,""),"")</f>
        <v/>
      </c>
      <c r="Y81" s="1666" t="str" cm="1">
        <f t="array" aca="1" ref="Y81" ca="1">IFERROR(IF($L81&lt;&gt;"",_xll.PBF($L81,"EBITDA","FY",$N$11,"","EUR","")/1000000,""),"")</f>
        <v/>
      </c>
      <c r="Z81" s="1666" t="str" cm="1">
        <f t="array" aca="1" ref="Z81" ca="1">IFERROR(IF($L81&lt;&gt;"",_xll.PBF($L81,"EBIT","FY",$N$11,"","EUR","")/1000000,""),"")</f>
        <v/>
      </c>
      <c r="AA81" s="1677" t="str" cm="1">
        <f t="array" aca="1" ref="AA81" ca="1">IFERROR(IF($L81&lt;&gt;"",_xll.PBF($L81,"Total Debt to EBITDA","FY",$AA$21,"","EUR",""),""),"")</f>
        <v/>
      </c>
      <c r="AB81" s="1670"/>
      <c r="AC81" s="1672" t="str" cm="1">
        <f t="array" aca="1" ref="AC81" ca="1">IFERROR(IF($L81&lt;&gt;"",_xll.PBF($L81,"EV to Revenue","FY",$N$11,"","EUR",""),""),"")</f>
        <v/>
      </c>
      <c r="AD81" s="1672" t="str" cm="1">
        <f t="array" aca="1" ref="AD81" ca="1">IFERROR(IF($L81&lt;&gt;"",_xll.PBF($L81,"EV to EBITDA","FY",$AD$21,"","EUR",""),""),"")</f>
        <v/>
      </c>
      <c r="AE81" s="1672" t="str" cm="1">
        <f t="array" aca="1" ref="AE81" ca="1">IFERROR(IF($L81&lt;&gt;"",_xll.PBF($L81,"EV to EBIT","FY",$AE$21,"","EUR",""),""),"")</f>
        <v/>
      </c>
      <c r="AF81" s="1672"/>
      <c r="AG81" s="1672" t="str" cm="1">
        <f t="array" aca="1" ref="AG81" ca="1">IFERROR(IF($L81&lt;&gt;"",_xll.PBF($L81,"EV to Forward Revenue","FY",$AG$21,"","EUR",""),""),"")</f>
        <v/>
      </c>
      <c r="AH81" s="1672" t="str" cm="1">
        <f t="array" aca="1" ref="AH81" ca="1">IFERROR(IF($L81&lt;&gt;"",_xll.PBF($L81,"EV to Forward EBITDA","FY",$AH$21,"","EUR",""),""),"")</f>
        <v/>
      </c>
      <c r="AI81" s="1672" t="str" cm="1">
        <f t="array" aca="1" ref="AI81" ca="1">IFERROR(IF($L81&lt;&gt;"",_xll.PBF($L81,"EV to Forward EBIT","FY",$AI$21,"","EUR",""),""),"")</f>
        <v/>
      </c>
      <c r="AK81" s="1705"/>
      <c r="AL81" s="1693" t="str" cm="1">
        <f t="array" ref="AL81">IFERROR(IF(AK81&lt;&gt;"",_xll.PBD(AK81,"Deal Date","","EUR",""),""),"")</f>
        <v/>
      </c>
      <c r="AM81" s="1693" t="str" cm="1">
        <f t="array" ref="AM81">IFERROR(IF(AK81&lt;&gt;"",_xll.PBD(AK81,"Limit1.Deal Type 1","","EUR",""),""),"")</f>
        <v/>
      </c>
      <c r="AN81" s="1693" t="str" cm="1">
        <f t="array" ref="AN81">IFERROR(IF(AK81&lt;&gt;"",_xll.PBD(AK81,"Limit1.Company Id","","EUR",""),""),"")</f>
        <v/>
      </c>
      <c r="AO81" s="1640" t="str" cm="1">
        <f t="array" ref="AO81">IFERROR(IF(AN81&lt;&gt;"",_xll.PBD(AN81,"Name","","EUR",""),""),"")</f>
        <v/>
      </c>
      <c r="AP81" s="1640" t="str" cm="1">
        <f t="array" ref="AP81">IFERROR(IF(AN81&lt;&gt;"",_xll.PBD(AN81,"Primary Industry Code","","EUR",""),""),"")</f>
        <v/>
      </c>
      <c r="AQ81" s="1640" t="str" cm="1">
        <f t="array" ref="AQ81">IFERROR(IF(AN81&lt;&gt;"",_xll.PBD(AN81,"HQ Country","","EUR",""),""),"")</f>
        <v/>
      </c>
      <c r="AR81" s="1640" t="str" cm="1">
        <f t="array" ref="AR81">IFERROR(IF(AK81&lt;&gt;"",_xll.PBD(AK81,"Limit1.Investors Ids","","EUR",""),""),"")</f>
        <v/>
      </c>
      <c r="AS81" s="1640" t="str" cm="1">
        <f t="array" ref="AS81">IFERROR(IF(AR81&lt;&gt;"",_xll.PBD(AR81,"Name","","EUR",""),""),"")</f>
        <v/>
      </c>
      <c r="AT81" s="1640" t="str" cm="1">
        <f t="array" ref="AT81">IFERROR(IF(AR81&lt;&gt;"",_xll.PBD(AR81,"Primary Industry Code","","EUR",""),""),"")</f>
        <v/>
      </c>
      <c r="AU81" s="1640" t="str" cm="1">
        <f t="array" ref="AU81">IFERROR(IF(AR81&lt;&gt;"",_xll.PBD(AR81,"Limit2.Entity Types","","EUR",""),""),"")</f>
        <v/>
      </c>
      <c r="AV81" s="1640" t="str" cm="1">
        <f t="array" ref="AV81">IFERROR(IF(AR81&lt;&gt;"",_xll.PBD(AR81,"HQ Country","","EUR",""),""),"")</f>
        <v/>
      </c>
      <c r="AX81" s="1641" t="str" cm="1">
        <f t="array" ref="AX81">IFERROR(IF(AK81&lt;&gt;"",_xll.PBD(AK81,"Limit1.Deal Amount","","EUR","")/1000000,""),"")</f>
        <v/>
      </c>
      <c r="AY81" s="1641" t="str" cm="1">
        <f t="array" ref="AY81">IFERROR(IF(AK81&lt;&gt;"",_xll.PBD(AK81,"Limit1.Implied EV ","","EUR","")/1000000,""),"")</f>
        <v/>
      </c>
      <c r="AZ81" s="1694" t="str" cm="1">
        <f t="array" ref="AZ81">IFERROR(IF(AK81&lt;&gt;"",_xll.PBD(AK81,"Limit1.% Acquired ","","EUR",""),""),"")</f>
        <v/>
      </c>
      <c r="BB81" s="1695" t="str" cm="1">
        <f t="array" ref="BB81">IFERROR(IF(AK81&lt;&gt;"",_xll.PBD(AK81,"Implied EV / Revenue","","EUR",""),""),"")</f>
        <v/>
      </c>
      <c r="BC81" s="1695" t="str" cm="1">
        <f t="array" ref="BC81">IFERROR(IF(AK81&lt;&gt;"",_xll.PBD(AK81,"Implied EV / EBITDA","","EUR",""),""),"")</f>
        <v/>
      </c>
      <c r="BD81" s="1695" t="str" cm="1">
        <f t="array" ref="BD81">IFERROR(IF(AK81&lt;&gt;"",_xll.PBD(AK81,"Implied EV / EBIT","","EUR",""),""),"")</f>
        <v/>
      </c>
      <c r="BF81" s="1640" t="str" cm="1">
        <f t="array" ref="BF81">IFERROR(IF(AR81&lt;&gt;"",_xll.PBD(AR81,"Brief Description","","EUR",""),""),"")</f>
        <v/>
      </c>
    </row>
    <row r="82" spans="3:58" ht="13.9" customHeight="1">
      <c r="L82" s="1705"/>
      <c r="N82" s="1640" t="str" cm="1">
        <f t="array" ref="N82">IFERROR(IF($L82&lt;&gt;"",_xll.PBD($L82,"Name","","USD",""),""),"")</f>
        <v/>
      </c>
      <c r="O82" s="1640" t="str" cm="1">
        <f t="array" ref="O82">IFERROR(IF($L82&lt;&gt;"",_xll.PBD($L82,"Primary Industry Code","","",""),""),"")</f>
        <v/>
      </c>
      <c r="P82" s="1640" t="str" cm="1">
        <f t="array" ref="P82">IFERROR(IF($L82&lt;&gt;"",_xll.PBD($L82,"HQ Country","","",""),""),"")</f>
        <v/>
      </c>
      <c r="Q82" s="1640" t="str" cm="1">
        <f t="array" ref="Q82">IFERROR(IF($L82&lt;&gt;"",_xll.PBD($L82,"HQ City","","EUR",""),""),"")</f>
        <v/>
      </c>
      <c r="S82" s="1666" t="str" cm="1">
        <f t="array" aca="1" ref="S82" ca="1">IFERROR(IF($L82&lt;&gt;"",_xll.PBF($L82,"EV","TTM",$N$11,"","EUR","")/1000000,""),"")</f>
        <v/>
      </c>
      <c r="T82" s="1666" t="str" cm="1">
        <f t="array" aca="1" ref="T82" ca="1">IFERROR(IF($L82&lt;&gt;"",_xll.PBF($L82,"NET Debt","TTM",$N$11,"","EUR","")/1000000,""),"")</f>
        <v/>
      </c>
      <c r="U82" s="1666" t="str" cm="1">
        <f t="array" aca="1" ref="U82" ca="1">IFERROR(IF($L82&lt;&gt;"",_xll.PBF($L82,"Market Cap","TTM",$N$11,"","EUR","")/1000000,""),"")</f>
        <v/>
      </c>
      <c r="V82" s="1677" t="str" cm="1">
        <f t="array" aca="1" ref="V82" ca="1">IFERROR(IF($L82&lt;&gt;"",_xll.PBF($L82,"Total Debt to Equity","TTM",$V$21,"","EUR",""),""),"")</f>
        <v/>
      </c>
      <c r="W82" s="1677"/>
      <c r="X82" s="1666" t="str" cm="1">
        <f t="array" aca="1" ref="X82" ca="1">IFERROR(IF($L82&lt;&gt;"",_xll.PBF($L82,"Total Revenue","FY",$X$21,"","EUR","")/1000000,""),"")</f>
        <v/>
      </c>
      <c r="Y82" s="1666" t="str" cm="1">
        <f t="array" aca="1" ref="Y82" ca="1">IFERROR(IF($L82&lt;&gt;"",_xll.PBF($L82,"EBITDA","FY",$N$11,"","EUR","")/1000000,""),"")</f>
        <v/>
      </c>
      <c r="Z82" s="1666" t="str" cm="1">
        <f t="array" aca="1" ref="Z82" ca="1">IFERROR(IF($L82&lt;&gt;"",_xll.PBF($L82,"EBIT","FY",$N$11,"","EUR","")/1000000,""),"")</f>
        <v/>
      </c>
      <c r="AA82" s="1677" t="str" cm="1">
        <f t="array" aca="1" ref="AA82" ca="1">IFERROR(IF($L82&lt;&gt;"",_xll.PBF($L82,"Total Debt to EBITDA","FY",$AA$21,"","EUR",""),""),"")</f>
        <v/>
      </c>
      <c r="AB82" s="1670"/>
      <c r="AC82" s="1672" t="str" cm="1">
        <f t="array" aca="1" ref="AC82" ca="1">IFERROR(IF($L82&lt;&gt;"",_xll.PBF($L82,"EV to Revenue","FY",$N$11,"","EUR",""),""),"")</f>
        <v/>
      </c>
      <c r="AD82" s="1672" t="str" cm="1">
        <f t="array" aca="1" ref="AD82" ca="1">IFERROR(IF($L82&lt;&gt;"",_xll.PBF($L82,"EV to EBITDA","FY",$AD$21,"","EUR",""),""),"")</f>
        <v/>
      </c>
      <c r="AE82" s="1672" t="str" cm="1">
        <f t="array" aca="1" ref="AE82" ca="1">IFERROR(IF($L82&lt;&gt;"",_xll.PBF($L82,"EV to EBIT","FY",$AE$21,"","EUR",""),""),"")</f>
        <v/>
      </c>
      <c r="AF82" s="1672"/>
      <c r="AG82" s="1672" t="str" cm="1">
        <f t="array" aca="1" ref="AG82" ca="1">IFERROR(IF($L82&lt;&gt;"",_xll.PBF($L82,"EV to Forward Revenue","FY",$AG$21,"","EUR",""),""),"")</f>
        <v/>
      </c>
      <c r="AH82" s="1672" t="str" cm="1">
        <f t="array" aca="1" ref="AH82" ca="1">IFERROR(IF($L82&lt;&gt;"",_xll.PBF($L82,"EV to Forward EBITDA","FY",$AH$21,"","EUR",""),""),"")</f>
        <v/>
      </c>
      <c r="AI82" s="1672" t="str" cm="1">
        <f t="array" aca="1" ref="AI82" ca="1">IFERROR(IF($L82&lt;&gt;"",_xll.PBF($L82,"EV to Forward EBIT","FY",$AI$21,"","EUR",""),""),"")</f>
        <v/>
      </c>
      <c r="AK82" s="1705"/>
      <c r="AL82" s="1693" t="str" cm="1">
        <f t="array" ref="AL82">IFERROR(IF(AK82&lt;&gt;"",_xll.PBD(AK82,"Deal Date","","EUR",""),""),"")</f>
        <v/>
      </c>
      <c r="AM82" s="1693" t="str" cm="1">
        <f t="array" ref="AM82">IFERROR(IF(AK82&lt;&gt;"",_xll.PBD(AK82,"Limit1.Deal Type 1","","EUR",""),""),"")</f>
        <v/>
      </c>
      <c r="AN82" s="1693" t="str" cm="1">
        <f t="array" ref="AN82">IFERROR(IF(AK82&lt;&gt;"",_xll.PBD(AK82,"Limit1.Company Id","","EUR",""),""),"")</f>
        <v/>
      </c>
      <c r="AO82" s="1640" t="str" cm="1">
        <f t="array" ref="AO82">IFERROR(IF(AN82&lt;&gt;"",_xll.PBD(AN82,"Name","","EUR",""),""),"")</f>
        <v/>
      </c>
      <c r="AP82" s="1640" t="str" cm="1">
        <f t="array" ref="AP82">IFERROR(IF(AN82&lt;&gt;"",_xll.PBD(AN82,"Primary Industry Code","","EUR",""),""),"")</f>
        <v/>
      </c>
      <c r="AQ82" s="1640" t="str" cm="1">
        <f t="array" ref="AQ82">IFERROR(IF(AN82&lt;&gt;"",_xll.PBD(AN82,"HQ Country","","EUR",""),""),"")</f>
        <v/>
      </c>
      <c r="AR82" s="1640" t="str" cm="1">
        <f t="array" ref="AR82">IFERROR(IF(AK82&lt;&gt;"",_xll.PBD(AK82,"Limit1.Investors Ids","","EUR",""),""),"")</f>
        <v/>
      </c>
      <c r="AS82" s="1640" t="str" cm="1">
        <f t="array" ref="AS82">IFERROR(IF(AR82&lt;&gt;"",_xll.PBD(AR82,"Name","","EUR",""),""),"")</f>
        <v/>
      </c>
      <c r="AT82" s="1640" t="str" cm="1">
        <f t="array" ref="AT82">IFERROR(IF(AR82&lt;&gt;"",_xll.PBD(AR82,"Primary Industry Code","","EUR",""),""),"")</f>
        <v/>
      </c>
      <c r="AU82" s="1640" t="str" cm="1">
        <f t="array" ref="AU82">IFERROR(IF(AR82&lt;&gt;"",_xll.PBD(AR82,"Limit2.Entity Types","","EUR",""),""),"")</f>
        <v/>
      </c>
      <c r="AV82" s="1640" t="str" cm="1">
        <f t="array" ref="AV82">IFERROR(IF(AR82&lt;&gt;"",_xll.PBD(AR82,"HQ Country","","EUR",""),""),"")</f>
        <v/>
      </c>
      <c r="AX82" s="1641" t="str" cm="1">
        <f t="array" ref="AX82">IFERROR(IF(AK82&lt;&gt;"",_xll.PBD(AK82,"Limit1.Deal Amount","","EUR","")/1000000,""),"")</f>
        <v/>
      </c>
      <c r="AY82" s="1641" t="str" cm="1">
        <f t="array" ref="AY82">IFERROR(IF(AK82&lt;&gt;"",_xll.PBD(AK82,"Limit1.Implied EV ","","EUR","")/1000000,""),"")</f>
        <v/>
      </c>
      <c r="AZ82" s="1694" t="str" cm="1">
        <f t="array" ref="AZ82">IFERROR(IF(AK82&lt;&gt;"",_xll.PBD(AK82,"Limit1.% Acquired ","","EUR",""),""),"")</f>
        <v/>
      </c>
      <c r="BB82" s="1695" t="str" cm="1">
        <f t="array" ref="BB82">IFERROR(IF(AK82&lt;&gt;"",_xll.PBD(AK82,"Implied EV / Revenue","","EUR",""),""),"")</f>
        <v/>
      </c>
      <c r="BC82" s="1695" t="str" cm="1">
        <f t="array" ref="BC82">IFERROR(IF(AK82&lt;&gt;"",_xll.PBD(AK82,"Implied EV / EBITDA","","EUR",""),""),"")</f>
        <v/>
      </c>
      <c r="BD82" s="1695" t="str" cm="1">
        <f t="array" ref="BD82">IFERROR(IF(AK82&lt;&gt;"",_xll.PBD(AK82,"Implied EV / EBIT","","EUR",""),""),"")</f>
        <v/>
      </c>
      <c r="BF82" s="1640" t="str" cm="1">
        <f t="array" ref="BF82">IFERROR(IF(AR82&lt;&gt;"",_xll.PBD(AR82,"Brief Description","","EUR",""),""),"")</f>
        <v/>
      </c>
    </row>
    <row r="83" spans="3:58" ht="13.9" customHeight="1">
      <c r="L83" s="1705"/>
      <c r="N83" s="1640" t="str" cm="1">
        <f t="array" ref="N83">IFERROR(IF($L83&lt;&gt;"",_xll.PBD($L83,"Name","","USD",""),""),"")</f>
        <v/>
      </c>
      <c r="O83" s="1640" t="str" cm="1">
        <f t="array" ref="O83">IFERROR(IF($L83&lt;&gt;"",_xll.PBD($L83,"Primary Industry Code","","",""),""),"")</f>
        <v/>
      </c>
      <c r="P83" s="1640" t="str" cm="1">
        <f t="array" ref="P83">IFERROR(IF($L83&lt;&gt;"",_xll.PBD($L83,"HQ Country","","",""),""),"")</f>
        <v/>
      </c>
      <c r="Q83" s="1640" t="str" cm="1">
        <f t="array" ref="Q83">IFERROR(IF($L83&lt;&gt;"",_xll.PBD($L83,"HQ City","","EUR",""),""),"")</f>
        <v/>
      </c>
      <c r="S83" s="1666" t="str" cm="1">
        <f t="array" aca="1" ref="S83" ca="1">IFERROR(IF($L83&lt;&gt;"",_xll.PBF($L83,"EV","TTM",$N$11,"","EUR","")/1000000,""),"")</f>
        <v/>
      </c>
      <c r="T83" s="1666" t="str" cm="1">
        <f t="array" aca="1" ref="T83" ca="1">IFERROR(IF($L83&lt;&gt;"",_xll.PBF($L83,"NET Debt","TTM",$N$11,"","EUR","")/1000000,""),"")</f>
        <v/>
      </c>
      <c r="U83" s="1666" t="str" cm="1">
        <f t="array" aca="1" ref="U83" ca="1">IFERROR(IF($L83&lt;&gt;"",_xll.PBF($L83,"Market Cap","TTM",$N$11,"","EUR","")/1000000,""),"")</f>
        <v/>
      </c>
      <c r="V83" s="1677" t="str" cm="1">
        <f t="array" aca="1" ref="V83" ca="1">IFERROR(IF($L83&lt;&gt;"",_xll.PBF($L83,"Total Debt to Equity","TTM",$V$21,"","EUR",""),""),"")</f>
        <v/>
      </c>
      <c r="W83" s="1677"/>
      <c r="X83" s="1666" t="str" cm="1">
        <f t="array" aca="1" ref="X83" ca="1">IFERROR(IF($L83&lt;&gt;"",_xll.PBF($L83,"Total Revenue","FY",$X$21,"","EUR","")/1000000,""),"")</f>
        <v/>
      </c>
      <c r="Y83" s="1666" t="str" cm="1">
        <f t="array" aca="1" ref="Y83" ca="1">IFERROR(IF($L83&lt;&gt;"",_xll.PBF($L83,"EBITDA","FY",$N$11,"","EUR","")/1000000,""),"")</f>
        <v/>
      </c>
      <c r="Z83" s="1666" t="str" cm="1">
        <f t="array" aca="1" ref="Z83" ca="1">IFERROR(IF($L83&lt;&gt;"",_xll.PBF($L83,"EBIT","FY",$N$11,"","EUR","")/1000000,""),"")</f>
        <v/>
      </c>
      <c r="AA83" s="1677" t="str" cm="1">
        <f t="array" aca="1" ref="AA83" ca="1">IFERROR(IF($L83&lt;&gt;"",_xll.PBF($L83,"Total Debt to EBITDA","FY",$AA$21,"","EUR",""),""),"")</f>
        <v/>
      </c>
      <c r="AB83" s="1670"/>
      <c r="AC83" s="1672" t="str" cm="1">
        <f t="array" aca="1" ref="AC83" ca="1">IFERROR(IF($L83&lt;&gt;"",_xll.PBF($L83,"EV to Revenue","FY",$N$11,"","EUR",""),""),"")</f>
        <v/>
      </c>
      <c r="AD83" s="1672" t="str" cm="1">
        <f t="array" aca="1" ref="AD83" ca="1">IFERROR(IF($L83&lt;&gt;"",_xll.PBF($L83,"EV to EBITDA","FY",$AD$21,"","EUR",""),""),"")</f>
        <v/>
      </c>
      <c r="AE83" s="1672" t="str" cm="1">
        <f t="array" aca="1" ref="AE83" ca="1">IFERROR(IF($L83&lt;&gt;"",_xll.PBF($L83,"EV to EBIT","FY",$AE$21,"","EUR",""),""),"")</f>
        <v/>
      </c>
      <c r="AF83" s="1672"/>
      <c r="AG83" s="1672" t="str" cm="1">
        <f t="array" aca="1" ref="AG83" ca="1">IFERROR(IF($L83&lt;&gt;"",_xll.PBF($L83,"EV to Forward Revenue","FY",$AG$21,"","EUR",""),""),"")</f>
        <v/>
      </c>
      <c r="AH83" s="1672" t="str" cm="1">
        <f t="array" aca="1" ref="AH83" ca="1">IFERROR(IF($L83&lt;&gt;"",_xll.PBF($L83,"EV to Forward EBITDA","FY",$AH$21,"","EUR",""),""),"")</f>
        <v/>
      </c>
      <c r="AI83" s="1672" t="str" cm="1">
        <f t="array" aca="1" ref="AI83" ca="1">IFERROR(IF($L83&lt;&gt;"",_xll.PBF($L83,"EV to Forward EBIT","FY",$AI$21,"","EUR",""),""),"")</f>
        <v/>
      </c>
      <c r="AK83" s="1705"/>
      <c r="AL83" s="1693" t="str" cm="1">
        <f t="array" ref="AL83">IFERROR(IF(AK83&lt;&gt;"",_xll.PBD(AK83,"Deal Date","","EUR",""),""),"")</f>
        <v/>
      </c>
      <c r="AM83" s="1693" t="str" cm="1">
        <f t="array" ref="AM83">IFERROR(IF(AK83&lt;&gt;"",_xll.PBD(AK83,"Limit1.Deal Type 1","","EUR",""),""),"")</f>
        <v/>
      </c>
      <c r="AN83" s="1693" t="str" cm="1">
        <f t="array" ref="AN83">IFERROR(IF(AK83&lt;&gt;"",_xll.PBD(AK83,"Limit1.Company Id","","EUR",""),""),"")</f>
        <v/>
      </c>
      <c r="AO83" s="1640" t="str" cm="1">
        <f t="array" ref="AO83">IFERROR(IF(AN83&lt;&gt;"",_xll.PBD(AN83,"Name","","EUR",""),""),"")</f>
        <v/>
      </c>
      <c r="AP83" s="1640" t="str" cm="1">
        <f t="array" ref="AP83">IFERROR(IF(AN83&lt;&gt;"",_xll.PBD(AN83,"Primary Industry Code","","EUR",""),""),"")</f>
        <v/>
      </c>
      <c r="AQ83" s="1640" t="str" cm="1">
        <f t="array" ref="AQ83">IFERROR(IF(AN83&lt;&gt;"",_xll.PBD(AN83,"HQ Country","","EUR",""),""),"")</f>
        <v/>
      </c>
      <c r="AR83" s="1640" t="str" cm="1">
        <f t="array" ref="AR83">IFERROR(IF(AK83&lt;&gt;"",_xll.PBD(AK83,"Limit1.Investors Ids","","EUR",""),""),"")</f>
        <v/>
      </c>
      <c r="AS83" s="1640" t="str" cm="1">
        <f t="array" ref="AS83">IFERROR(IF(AR83&lt;&gt;"",_xll.PBD(AR83,"Name","","EUR",""),""),"")</f>
        <v/>
      </c>
      <c r="AT83" s="1640" t="str" cm="1">
        <f t="array" ref="AT83">IFERROR(IF(AR83&lt;&gt;"",_xll.PBD(AR83,"Primary Industry Code","","EUR",""),""),"")</f>
        <v/>
      </c>
      <c r="AU83" s="1640" t="str" cm="1">
        <f t="array" ref="AU83">IFERROR(IF(AR83&lt;&gt;"",_xll.PBD(AR83,"Limit2.Entity Types","","EUR",""),""),"")</f>
        <v/>
      </c>
      <c r="AV83" s="1640" t="str" cm="1">
        <f t="array" ref="AV83">IFERROR(IF(AR83&lt;&gt;"",_xll.PBD(AR83,"HQ Country","","EUR",""),""),"")</f>
        <v/>
      </c>
      <c r="AX83" s="1641" t="str" cm="1">
        <f t="array" ref="AX83">IFERROR(IF(AK83&lt;&gt;"",_xll.PBD(AK83,"Limit1.Deal Amount","","EUR","")/1000000,""),"")</f>
        <v/>
      </c>
      <c r="AY83" s="1641" t="str" cm="1">
        <f t="array" ref="AY83">IFERROR(IF(AK83&lt;&gt;"",_xll.PBD(AK83,"Limit1.Implied EV ","","EUR","")/1000000,""),"")</f>
        <v/>
      </c>
      <c r="AZ83" s="1694" t="str" cm="1">
        <f t="array" ref="AZ83">IFERROR(IF(AK83&lt;&gt;"",_xll.PBD(AK83,"Limit1.% Acquired ","","EUR",""),""),"")</f>
        <v/>
      </c>
      <c r="BB83" s="1695" t="str" cm="1">
        <f t="array" ref="BB83">IFERROR(IF(AK83&lt;&gt;"",_xll.PBD(AK83,"Implied EV / Revenue","","EUR",""),""),"")</f>
        <v/>
      </c>
      <c r="BC83" s="1695" t="str" cm="1">
        <f t="array" ref="BC83">IFERROR(IF(AK83&lt;&gt;"",_xll.PBD(AK83,"Implied EV / EBITDA","","EUR",""),""),"")</f>
        <v/>
      </c>
      <c r="BD83" s="1695" t="str" cm="1">
        <f t="array" ref="BD83">IFERROR(IF(AK83&lt;&gt;"",_xll.PBD(AK83,"Implied EV / EBIT","","EUR",""),""),"")</f>
        <v/>
      </c>
      <c r="BF83" s="1640" t="str" cm="1">
        <f t="array" ref="BF83">IFERROR(IF(AR83&lt;&gt;"",_xll.PBD(AR83,"Brief Description","","EUR",""),""),"")</f>
        <v/>
      </c>
    </row>
    <row r="84" spans="3:58" ht="13.9" customHeight="1">
      <c r="L84" s="1705"/>
      <c r="N84" s="1640" t="str" cm="1">
        <f t="array" ref="N84">IFERROR(IF($L84&lt;&gt;"",_xll.PBD($L84,"Name","","USD",""),""),"")</f>
        <v/>
      </c>
      <c r="O84" s="1640" t="str" cm="1">
        <f t="array" ref="O84">IFERROR(IF($L84&lt;&gt;"",_xll.PBD($L84,"Primary Industry Code","","",""),""),"")</f>
        <v/>
      </c>
      <c r="P84" s="1640" t="str" cm="1">
        <f t="array" ref="P84">IFERROR(IF($L84&lt;&gt;"",_xll.PBD($L84,"HQ Country","","",""),""),"")</f>
        <v/>
      </c>
      <c r="Q84" s="1640" t="str" cm="1">
        <f t="array" ref="Q84">IFERROR(IF($L84&lt;&gt;"",_xll.PBD($L84,"HQ City","","EUR",""),""),"")</f>
        <v/>
      </c>
      <c r="S84" s="1666" t="str" cm="1">
        <f t="array" aca="1" ref="S84" ca="1">IFERROR(IF($L84&lt;&gt;"",_xll.PBF($L84,"EV","TTM",$N$11,"","EUR","")/1000000,""),"")</f>
        <v/>
      </c>
      <c r="T84" s="1666" t="str" cm="1">
        <f t="array" aca="1" ref="T84" ca="1">IFERROR(IF($L84&lt;&gt;"",_xll.PBF($L84,"NET Debt","TTM",$N$11,"","EUR","")/1000000,""),"")</f>
        <v/>
      </c>
      <c r="U84" s="1666" t="str" cm="1">
        <f t="array" aca="1" ref="U84" ca="1">IFERROR(IF($L84&lt;&gt;"",_xll.PBF($L84,"Market Cap","TTM",$N$11,"","EUR","")/1000000,""),"")</f>
        <v/>
      </c>
      <c r="V84" s="1677" t="str" cm="1">
        <f t="array" aca="1" ref="V84" ca="1">IFERROR(IF($L84&lt;&gt;"",_xll.PBF($L84,"Total Debt to Equity","TTM",$V$21,"","EUR",""),""),"")</f>
        <v/>
      </c>
      <c r="W84" s="1677"/>
      <c r="X84" s="1666" t="str" cm="1">
        <f t="array" aca="1" ref="X84" ca="1">IFERROR(IF($L84&lt;&gt;"",_xll.PBF($L84,"Total Revenue","FY",$X$21,"","EUR","")/1000000,""),"")</f>
        <v/>
      </c>
      <c r="Y84" s="1666" t="str" cm="1">
        <f t="array" aca="1" ref="Y84" ca="1">IFERROR(IF($L84&lt;&gt;"",_xll.PBF($L84,"EBITDA","FY",$N$11,"","EUR","")/1000000,""),"")</f>
        <v/>
      </c>
      <c r="Z84" s="1666" t="str" cm="1">
        <f t="array" aca="1" ref="Z84" ca="1">IFERROR(IF($L84&lt;&gt;"",_xll.PBF($L84,"EBIT","FY",$N$11,"","EUR","")/1000000,""),"")</f>
        <v/>
      </c>
      <c r="AA84" s="1677" t="str" cm="1">
        <f t="array" aca="1" ref="AA84" ca="1">IFERROR(IF($L84&lt;&gt;"",_xll.PBF($L84,"Total Debt to EBITDA","FY",$AA$21,"","EUR",""),""),"")</f>
        <v/>
      </c>
      <c r="AB84" s="1670"/>
      <c r="AC84" s="1672" t="str" cm="1">
        <f t="array" aca="1" ref="AC84" ca="1">IFERROR(IF($L84&lt;&gt;"",_xll.PBF($L84,"EV to Revenue","FY",$N$11,"","EUR",""),""),"")</f>
        <v/>
      </c>
      <c r="AD84" s="1672" t="str" cm="1">
        <f t="array" aca="1" ref="AD84" ca="1">IFERROR(IF($L84&lt;&gt;"",_xll.PBF($L84,"EV to EBITDA","FY",$AD$21,"","EUR",""),""),"")</f>
        <v/>
      </c>
      <c r="AE84" s="1672" t="str" cm="1">
        <f t="array" aca="1" ref="AE84" ca="1">IFERROR(IF($L84&lt;&gt;"",_xll.PBF($L84,"EV to EBIT","FY",$AE$21,"","EUR",""),""),"")</f>
        <v/>
      </c>
      <c r="AF84" s="1672"/>
      <c r="AG84" s="1672" t="str" cm="1">
        <f t="array" aca="1" ref="AG84" ca="1">IFERROR(IF($L84&lt;&gt;"",_xll.PBF($L84,"EV to Forward Revenue","FY",$AG$21,"","EUR",""),""),"")</f>
        <v/>
      </c>
      <c r="AH84" s="1672" t="str" cm="1">
        <f t="array" aca="1" ref="AH84" ca="1">IFERROR(IF($L84&lt;&gt;"",_xll.PBF($L84,"EV to Forward EBITDA","FY",$AH$21,"","EUR",""),""),"")</f>
        <v/>
      </c>
      <c r="AI84" s="1672" t="str" cm="1">
        <f t="array" aca="1" ref="AI84" ca="1">IFERROR(IF($L84&lt;&gt;"",_xll.PBF($L84,"EV to Forward EBIT","FY",$AI$21,"","EUR",""),""),"")</f>
        <v/>
      </c>
      <c r="AK84" s="1705"/>
      <c r="AL84" s="1693" t="str" cm="1">
        <f t="array" ref="AL84">IFERROR(IF(AK84&lt;&gt;"",_xll.PBD(AK84,"Deal Date","","EUR",""),""),"")</f>
        <v/>
      </c>
      <c r="AM84" s="1693" t="str" cm="1">
        <f t="array" ref="AM84">IFERROR(IF(AK84&lt;&gt;"",_xll.PBD(AK84,"Limit1.Deal Type 1","","EUR",""),""),"")</f>
        <v/>
      </c>
      <c r="AN84" s="1693" t="str" cm="1">
        <f t="array" ref="AN84">IFERROR(IF(AK84&lt;&gt;"",_xll.PBD(AK84,"Limit1.Company Id","","EUR",""),""),"")</f>
        <v/>
      </c>
      <c r="AO84" s="1640" t="str" cm="1">
        <f t="array" ref="AO84">IFERROR(IF(AN84&lt;&gt;"",_xll.PBD(AN84,"Name","","EUR",""),""),"")</f>
        <v/>
      </c>
      <c r="AP84" s="1640" t="str" cm="1">
        <f t="array" ref="AP84">IFERROR(IF(AN84&lt;&gt;"",_xll.PBD(AN84,"Primary Industry Code","","EUR",""),""),"")</f>
        <v/>
      </c>
      <c r="AQ84" s="1640" t="str" cm="1">
        <f t="array" ref="AQ84">IFERROR(IF(AN84&lt;&gt;"",_xll.PBD(AN84,"HQ Country","","EUR",""),""),"")</f>
        <v/>
      </c>
      <c r="AR84" s="1640" t="str" cm="1">
        <f t="array" ref="AR84">IFERROR(IF(AK84&lt;&gt;"",_xll.PBD(AK84,"Limit1.Investors Ids","","EUR",""),""),"")</f>
        <v/>
      </c>
      <c r="AS84" s="1640" t="str" cm="1">
        <f t="array" ref="AS84">IFERROR(IF(AR84&lt;&gt;"",_xll.PBD(AR84,"Name","","EUR",""),""),"")</f>
        <v/>
      </c>
      <c r="AT84" s="1640" t="str" cm="1">
        <f t="array" ref="AT84">IFERROR(IF(AR84&lt;&gt;"",_xll.PBD(AR84,"Primary Industry Code","","EUR",""),""),"")</f>
        <v/>
      </c>
      <c r="AU84" s="1640" t="str" cm="1">
        <f t="array" ref="AU84">IFERROR(IF(AR84&lt;&gt;"",_xll.PBD(AR84,"Limit2.Entity Types","","EUR",""),""),"")</f>
        <v/>
      </c>
      <c r="AV84" s="1640" t="str" cm="1">
        <f t="array" ref="AV84">IFERROR(IF(AR84&lt;&gt;"",_xll.PBD(AR84,"HQ Country","","EUR",""),""),"")</f>
        <v/>
      </c>
      <c r="AX84" s="1641" t="str" cm="1">
        <f t="array" ref="AX84">IFERROR(IF(AK84&lt;&gt;"",_xll.PBD(AK84,"Limit1.Deal Amount","","EUR","")/1000000,""),"")</f>
        <v/>
      </c>
      <c r="AY84" s="1641" t="str" cm="1">
        <f t="array" ref="AY84">IFERROR(IF(AK84&lt;&gt;"",_xll.PBD(AK84,"Limit1.Implied EV ","","EUR","")/1000000,""),"")</f>
        <v/>
      </c>
      <c r="AZ84" s="1694" t="str" cm="1">
        <f t="array" ref="AZ84">IFERROR(IF(AK84&lt;&gt;"",_xll.PBD(AK84,"Limit1.% Acquired ","","EUR",""),""),"")</f>
        <v/>
      </c>
      <c r="BB84" s="1695" t="str" cm="1">
        <f t="array" ref="BB84">IFERROR(IF(AK84&lt;&gt;"",_xll.PBD(AK84,"Implied EV / Revenue","","EUR",""),""),"")</f>
        <v/>
      </c>
      <c r="BC84" s="1695" t="str" cm="1">
        <f t="array" ref="BC84">IFERROR(IF(AK84&lt;&gt;"",_xll.PBD(AK84,"Implied EV / EBITDA","","EUR",""),""),"")</f>
        <v/>
      </c>
      <c r="BD84" s="1695" t="str" cm="1">
        <f t="array" ref="BD84">IFERROR(IF(AK84&lt;&gt;"",_xll.PBD(AK84,"Implied EV / EBIT","","EUR",""),""),"")</f>
        <v/>
      </c>
      <c r="BF84" s="1640" t="str" cm="1">
        <f t="array" ref="BF84">IFERROR(IF(AR84&lt;&gt;"",_xll.PBD(AR84,"Brief Description","","EUR",""),""),"")</f>
        <v/>
      </c>
    </row>
    <row r="85" spans="3:58" ht="13.9" customHeight="1">
      <c r="L85" s="1705"/>
      <c r="N85" s="1640" t="str" cm="1">
        <f t="array" ref="N85">IFERROR(IF($L85&lt;&gt;"",_xll.PBD($L85,"Name","","USD",""),""),"")</f>
        <v/>
      </c>
      <c r="O85" s="1640" t="str" cm="1">
        <f t="array" ref="O85">IFERROR(IF($L85&lt;&gt;"",_xll.PBD($L85,"Primary Industry Code","","",""),""),"")</f>
        <v/>
      </c>
      <c r="P85" s="1640" t="str" cm="1">
        <f t="array" ref="P85">IFERROR(IF($L85&lt;&gt;"",_xll.PBD($L85,"HQ Country","","",""),""),"")</f>
        <v/>
      </c>
      <c r="Q85" s="1640" t="str" cm="1">
        <f t="array" ref="Q85">IFERROR(IF($L85&lt;&gt;"",_xll.PBD($L85,"HQ City","","EUR",""),""),"")</f>
        <v/>
      </c>
      <c r="S85" s="1666" t="str" cm="1">
        <f t="array" aca="1" ref="S85" ca="1">IFERROR(IF($L85&lt;&gt;"",_xll.PBF($L85,"EV","TTM",$N$11,"","EUR","")/1000000,""),"")</f>
        <v/>
      </c>
      <c r="T85" s="1666" t="str" cm="1">
        <f t="array" aca="1" ref="T85" ca="1">IFERROR(IF($L85&lt;&gt;"",_xll.PBF($L85,"NET Debt","TTM",$N$11,"","EUR","")/1000000,""),"")</f>
        <v/>
      </c>
      <c r="U85" s="1666" t="str" cm="1">
        <f t="array" aca="1" ref="U85" ca="1">IFERROR(IF($L85&lt;&gt;"",_xll.PBF($L85,"Market Cap","TTM",$N$11,"","EUR","")/1000000,""),"")</f>
        <v/>
      </c>
      <c r="V85" s="1677" t="str" cm="1">
        <f t="array" aca="1" ref="V85" ca="1">IFERROR(IF($L85&lt;&gt;"",_xll.PBF($L85,"Total Debt to Equity","TTM",$V$21,"","EUR",""),""),"")</f>
        <v/>
      </c>
      <c r="W85" s="1677"/>
      <c r="X85" s="1666" t="str" cm="1">
        <f t="array" aca="1" ref="X85" ca="1">IFERROR(IF($L85&lt;&gt;"",_xll.PBF($L85,"Total Revenue","FY",$X$21,"","EUR","")/1000000,""),"")</f>
        <v/>
      </c>
      <c r="Y85" s="1666" t="str" cm="1">
        <f t="array" aca="1" ref="Y85" ca="1">IFERROR(IF($L85&lt;&gt;"",_xll.PBF($L85,"EBITDA","FY",$N$11,"","EUR","")/1000000,""),"")</f>
        <v/>
      </c>
      <c r="Z85" s="1666" t="str" cm="1">
        <f t="array" aca="1" ref="Z85" ca="1">IFERROR(IF($L85&lt;&gt;"",_xll.PBF($L85,"EBIT","FY",$N$11,"","EUR","")/1000000,""),"")</f>
        <v/>
      </c>
      <c r="AA85" s="1677" t="str" cm="1">
        <f t="array" aca="1" ref="AA85" ca="1">IFERROR(IF($L85&lt;&gt;"",_xll.PBF($L85,"Total Debt to EBITDA","FY",$AA$21,"","EUR",""),""),"")</f>
        <v/>
      </c>
      <c r="AB85" s="1670"/>
      <c r="AC85" s="1672" t="str" cm="1">
        <f t="array" aca="1" ref="AC85" ca="1">IFERROR(IF($L85&lt;&gt;"",_xll.PBF($L85,"EV to Revenue","FY",$N$11,"","EUR",""),""),"")</f>
        <v/>
      </c>
      <c r="AD85" s="1672" t="str" cm="1">
        <f t="array" aca="1" ref="AD85" ca="1">IFERROR(IF($L85&lt;&gt;"",_xll.PBF($L85,"EV to EBITDA","FY",$AD$21,"","EUR",""),""),"")</f>
        <v/>
      </c>
      <c r="AE85" s="1672" t="str" cm="1">
        <f t="array" aca="1" ref="AE85" ca="1">IFERROR(IF($L85&lt;&gt;"",_xll.PBF($L85,"EV to EBIT","FY",$AE$21,"","EUR",""),""),"")</f>
        <v/>
      </c>
      <c r="AF85" s="1672"/>
      <c r="AG85" s="1672" t="str" cm="1">
        <f t="array" aca="1" ref="AG85" ca="1">IFERROR(IF($L85&lt;&gt;"",_xll.PBF($L85,"EV to Forward Revenue","FY",$AG$21,"","EUR",""),""),"")</f>
        <v/>
      </c>
      <c r="AH85" s="1672" t="str" cm="1">
        <f t="array" aca="1" ref="AH85" ca="1">IFERROR(IF($L85&lt;&gt;"",_xll.PBF($L85,"EV to Forward EBITDA","FY",$AH$21,"","EUR",""),""),"")</f>
        <v/>
      </c>
      <c r="AI85" s="1672" t="str" cm="1">
        <f t="array" aca="1" ref="AI85" ca="1">IFERROR(IF($L85&lt;&gt;"",_xll.PBF($L85,"EV to Forward EBIT","FY",$AI$21,"","EUR",""),""),"")</f>
        <v/>
      </c>
      <c r="AK85" s="1705"/>
      <c r="AL85" s="1693" t="str" cm="1">
        <f t="array" ref="AL85">IFERROR(IF(AK85&lt;&gt;"",_xll.PBD(AK85,"Deal Date","","EUR",""),""),"")</f>
        <v/>
      </c>
      <c r="AM85" s="1693" t="str" cm="1">
        <f t="array" ref="AM85">IFERROR(IF(AK85&lt;&gt;"",_xll.PBD(AK85,"Limit1.Deal Type 1","","EUR",""),""),"")</f>
        <v/>
      </c>
      <c r="AN85" s="1693" t="str" cm="1">
        <f t="array" ref="AN85">IFERROR(IF(AK85&lt;&gt;"",_xll.PBD(AK85,"Limit1.Company Id","","EUR",""),""),"")</f>
        <v/>
      </c>
      <c r="AO85" s="1640" t="str" cm="1">
        <f t="array" ref="AO85">IFERROR(IF(AN85&lt;&gt;"",_xll.PBD(AN85,"Name","","EUR",""),""),"")</f>
        <v/>
      </c>
      <c r="AP85" s="1640" t="str" cm="1">
        <f t="array" ref="AP85">IFERROR(IF(AN85&lt;&gt;"",_xll.PBD(AN85,"Primary Industry Code","","EUR",""),""),"")</f>
        <v/>
      </c>
      <c r="AQ85" s="1640" t="str" cm="1">
        <f t="array" ref="AQ85">IFERROR(IF(AN85&lt;&gt;"",_xll.PBD(AN85,"HQ Country","","EUR",""),""),"")</f>
        <v/>
      </c>
      <c r="AR85" s="1640" t="str" cm="1">
        <f t="array" ref="AR85">IFERROR(IF(AK85&lt;&gt;"",_xll.PBD(AK85,"Limit1.Investors Ids","","EUR",""),""),"")</f>
        <v/>
      </c>
      <c r="AS85" s="1640" t="str" cm="1">
        <f t="array" ref="AS85">IFERROR(IF(AR85&lt;&gt;"",_xll.PBD(AR85,"Name","","EUR",""),""),"")</f>
        <v/>
      </c>
      <c r="AT85" s="1640" t="str" cm="1">
        <f t="array" ref="AT85">IFERROR(IF(AR85&lt;&gt;"",_xll.PBD(AR85,"Primary Industry Code","","EUR",""),""),"")</f>
        <v/>
      </c>
      <c r="AU85" s="1640" t="str" cm="1">
        <f t="array" ref="AU85">IFERROR(IF(AR85&lt;&gt;"",_xll.PBD(AR85,"Limit2.Entity Types","","EUR",""),""),"")</f>
        <v/>
      </c>
      <c r="AV85" s="1640" t="str" cm="1">
        <f t="array" ref="AV85">IFERROR(IF(AR85&lt;&gt;"",_xll.PBD(AR85,"HQ Country","","EUR",""),""),"")</f>
        <v/>
      </c>
      <c r="AX85" s="1641" t="str" cm="1">
        <f t="array" ref="AX85">IFERROR(IF(AK85&lt;&gt;"",_xll.PBD(AK85,"Limit1.Deal Amount","","EUR","")/1000000,""),"")</f>
        <v/>
      </c>
      <c r="AY85" s="1641" t="str" cm="1">
        <f t="array" ref="AY85">IFERROR(IF(AK85&lt;&gt;"",_xll.PBD(AK85,"Limit1.Implied EV ","","EUR","")/1000000,""),"")</f>
        <v/>
      </c>
      <c r="AZ85" s="1694" t="str" cm="1">
        <f t="array" ref="AZ85">IFERROR(IF(AK85&lt;&gt;"",_xll.PBD(AK85,"Limit1.% Acquired ","","EUR",""),""),"")</f>
        <v/>
      </c>
      <c r="BB85" s="1695" t="str" cm="1">
        <f t="array" ref="BB85">IFERROR(IF(AK85&lt;&gt;"",_xll.PBD(AK85,"Implied EV / Revenue","","EUR",""),""),"")</f>
        <v/>
      </c>
      <c r="BC85" s="1695" t="str" cm="1">
        <f t="array" ref="BC85">IFERROR(IF(AK85&lt;&gt;"",_xll.PBD(AK85,"Implied EV / EBITDA","","EUR",""),""),"")</f>
        <v/>
      </c>
      <c r="BD85" s="1695" t="str" cm="1">
        <f t="array" ref="BD85">IFERROR(IF(AK85&lt;&gt;"",_xll.PBD(AK85,"Implied EV / EBIT","","EUR",""),""),"")</f>
        <v/>
      </c>
      <c r="BF85" s="1640" t="str" cm="1">
        <f t="array" ref="BF85">IFERROR(IF(AR85&lt;&gt;"",_xll.PBD(AR85,"Brief Description","","EUR",""),""),"")</f>
        <v/>
      </c>
    </row>
    <row r="86" spans="3:58" ht="13.9" customHeight="1">
      <c r="L86" s="1705"/>
      <c r="N86" s="1640" t="str" cm="1">
        <f t="array" ref="N86">IFERROR(IF($L86&lt;&gt;"",_xll.PBD($L86,"Name","","USD",""),""),"")</f>
        <v/>
      </c>
      <c r="O86" s="1640" t="str" cm="1">
        <f t="array" ref="O86">IFERROR(IF($L86&lt;&gt;"",_xll.PBD($L86,"Primary Industry Code","","",""),""),"")</f>
        <v/>
      </c>
      <c r="P86" s="1640" t="str" cm="1">
        <f t="array" ref="P86">IFERROR(IF($L86&lt;&gt;"",_xll.PBD($L86,"HQ Country","","",""),""),"")</f>
        <v/>
      </c>
      <c r="Q86" s="1640" t="str" cm="1">
        <f t="array" ref="Q86">IFERROR(IF($L86&lt;&gt;"",_xll.PBD($L86,"HQ City","","EUR",""),""),"")</f>
        <v/>
      </c>
      <c r="S86" s="1666" t="str" cm="1">
        <f t="array" aca="1" ref="S86" ca="1">IFERROR(IF($L86&lt;&gt;"",_xll.PBF($L86,"EV","TTM",$N$11,"","EUR","")/1000000,""),"")</f>
        <v/>
      </c>
      <c r="T86" s="1666" t="str" cm="1">
        <f t="array" aca="1" ref="T86" ca="1">IFERROR(IF($L86&lt;&gt;"",_xll.PBF($L86,"NET Debt","TTM",$N$11,"","EUR","")/1000000,""),"")</f>
        <v/>
      </c>
      <c r="U86" s="1666" t="str" cm="1">
        <f t="array" aca="1" ref="U86" ca="1">IFERROR(IF($L86&lt;&gt;"",_xll.PBF($L86,"Market Cap","TTM",$N$11,"","EUR","")/1000000,""),"")</f>
        <v/>
      </c>
      <c r="V86" s="1677" t="str" cm="1">
        <f t="array" aca="1" ref="V86" ca="1">IFERROR(IF($L86&lt;&gt;"",_xll.PBF($L86,"Total Debt to Equity","TTM",$V$21,"","EUR",""),""),"")</f>
        <v/>
      </c>
      <c r="W86" s="1677"/>
      <c r="X86" s="1666" t="str" cm="1">
        <f t="array" aca="1" ref="X86" ca="1">IFERROR(IF($L86&lt;&gt;"",_xll.PBF($L86,"Total Revenue","FY",$X$21,"","EUR","")/1000000,""),"")</f>
        <v/>
      </c>
      <c r="Y86" s="1666" t="str" cm="1">
        <f t="array" aca="1" ref="Y86" ca="1">IFERROR(IF($L86&lt;&gt;"",_xll.PBF($L86,"EBITDA","FY",$N$11,"","EUR","")/1000000,""),"")</f>
        <v/>
      </c>
      <c r="Z86" s="1666" t="str" cm="1">
        <f t="array" aca="1" ref="Z86" ca="1">IFERROR(IF($L86&lt;&gt;"",_xll.PBF($L86,"EBIT","FY",$N$11,"","EUR","")/1000000,""),"")</f>
        <v/>
      </c>
      <c r="AA86" s="1677" t="str" cm="1">
        <f t="array" aca="1" ref="AA86" ca="1">IFERROR(IF($L86&lt;&gt;"",_xll.PBF($L86,"Total Debt to EBITDA","FY",$AA$21,"","EUR",""),""),"")</f>
        <v/>
      </c>
      <c r="AB86" s="1670"/>
      <c r="AC86" s="1672" t="str" cm="1">
        <f t="array" aca="1" ref="AC86" ca="1">IFERROR(IF($L86&lt;&gt;"",_xll.PBF($L86,"EV to Revenue","FY",$N$11,"","EUR",""),""),"")</f>
        <v/>
      </c>
      <c r="AD86" s="1672" t="str" cm="1">
        <f t="array" aca="1" ref="AD86" ca="1">IFERROR(IF($L86&lt;&gt;"",_xll.PBF($L86,"EV to EBITDA","FY",$AD$21,"","EUR",""),""),"")</f>
        <v/>
      </c>
      <c r="AE86" s="1672" t="str" cm="1">
        <f t="array" aca="1" ref="AE86" ca="1">IFERROR(IF($L86&lt;&gt;"",_xll.PBF($L86,"EV to EBIT","FY",$AE$21,"","EUR",""),""),"")</f>
        <v/>
      </c>
      <c r="AF86" s="1672"/>
      <c r="AG86" s="1672" t="str" cm="1">
        <f t="array" aca="1" ref="AG86" ca="1">IFERROR(IF($L86&lt;&gt;"",_xll.PBF($L86,"EV to Forward Revenue","FY",$AG$21,"","EUR",""),""),"")</f>
        <v/>
      </c>
      <c r="AH86" s="1672" t="str" cm="1">
        <f t="array" aca="1" ref="AH86" ca="1">IFERROR(IF($L86&lt;&gt;"",_xll.PBF($L86,"EV to Forward EBITDA","FY",$AH$21,"","EUR",""),""),"")</f>
        <v/>
      </c>
      <c r="AI86" s="1672" t="str" cm="1">
        <f t="array" aca="1" ref="AI86" ca="1">IFERROR(IF($L86&lt;&gt;"",_xll.PBF($L86,"EV to Forward EBIT","FY",$AI$21,"","EUR",""),""),"")</f>
        <v/>
      </c>
      <c r="AK86" s="1705"/>
      <c r="AL86" s="1693" t="str" cm="1">
        <f t="array" ref="AL86">IFERROR(IF(AK86&lt;&gt;"",_xll.PBD(AK86,"Deal Date","","EUR",""),""),"")</f>
        <v/>
      </c>
      <c r="AM86" s="1693" t="str" cm="1">
        <f t="array" ref="AM86">IFERROR(IF(AK86&lt;&gt;"",_xll.PBD(AK86,"Limit1.Deal Type 1","","EUR",""),""),"")</f>
        <v/>
      </c>
      <c r="AN86" s="1693" t="str" cm="1">
        <f t="array" ref="AN86">IFERROR(IF(AK86&lt;&gt;"",_xll.PBD(AK86,"Limit1.Company Id","","EUR",""),""),"")</f>
        <v/>
      </c>
      <c r="AO86" s="1640" t="str" cm="1">
        <f t="array" ref="AO86">IFERROR(IF(AN86&lt;&gt;"",_xll.PBD(AN86,"Name","","EUR",""),""),"")</f>
        <v/>
      </c>
      <c r="AP86" s="1640" t="str" cm="1">
        <f t="array" ref="AP86">IFERROR(IF(AN86&lt;&gt;"",_xll.PBD(AN86,"Primary Industry Code","","EUR",""),""),"")</f>
        <v/>
      </c>
      <c r="AQ86" s="1640" t="str" cm="1">
        <f t="array" ref="AQ86">IFERROR(IF(AN86&lt;&gt;"",_xll.PBD(AN86,"HQ Country","","EUR",""),""),"")</f>
        <v/>
      </c>
      <c r="AR86" s="1640" t="str" cm="1">
        <f t="array" ref="AR86">IFERROR(IF(AK86&lt;&gt;"",_xll.PBD(AK86,"Limit1.Investors Ids","","EUR",""),""),"")</f>
        <v/>
      </c>
      <c r="AS86" s="1640" t="str" cm="1">
        <f t="array" ref="AS86">IFERROR(IF(AR86&lt;&gt;"",_xll.PBD(AR86,"Name","","EUR",""),""),"")</f>
        <v/>
      </c>
      <c r="AT86" s="1640" t="str" cm="1">
        <f t="array" ref="AT86">IFERROR(IF(AR86&lt;&gt;"",_xll.PBD(AR86,"Primary Industry Code","","EUR",""),""),"")</f>
        <v/>
      </c>
      <c r="AU86" s="1640" t="str" cm="1">
        <f t="array" ref="AU86">IFERROR(IF(AR86&lt;&gt;"",_xll.PBD(AR86,"Limit2.Entity Types","","EUR",""),""),"")</f>
        <v/>
      </c>
      <c r="AV86" s="1640" t="str" cm="1">
        <f t="array" ref="AV86">IFERROR(IF(AR86&lt;&gt;"",_xll.PBD(AR86,"HQ Country","","EUR",""),""),"")</f>
        <v/>
      </c>
      <c r="AX86" s="1641" t="str" cm="1">
        <f t="array" ref="AX86">IFERROR(IF(AK86&lt;&gt;"",_xll.PBD(AK86,"Limit1.Deal Amount","","EUR","")/1000000,""),"")</f>
        <v/>
      </c>
      <c r="AY86" s="1641" t="str" cm="1">
        <f t="array" ref="AY86">IFERROR(IF(AK86&lt;&gt;"",_xll.PBD(AK86,"Limit1.Implied EV ","","EUR","")/1000000,""),"")</f>
        <v/>
      </c>
      <c r="AZ86" s="1694" t="str" cm="1">
        <f t="array" ref="AZ86">IFERROR(IF(AK86&lt;&gt;"",_xll.PBD(AK86,"Limit1.% Acquired ","","EUR",""),""),"")</f>
        <v/>
      </c>
      <c r="BB86" s="1695" t="str" cm="1">
        <f t="array" ref="BB86">IFERROR(IF(AK86&lt;&gt;"",_xll.PBD(AK86,"Implied EV / Revenue","","EUR",""),""),"")</f>
        <v/>
      </c>
      <c r="BC86" s="1695" t="str" cm="1">
        <f t="array" ref="BC86">IFERROR(IF(AK86&lt;&gt;"",_xll.PBD(AK86,"Implied EV / EBITDA","","EUR",""),""),"")</f>
        <v/>
      </c>
      <c r="BD86" s="1695" t="str" cm="1">
        <f t="array" ref="BD86">IFERROR(IF(AK86&lt;&gt;"",_xll.PBD(AK86,"Implied EV / EBIT","","EUR",""),""),"")</f>
        <v/>
      </c>
      <c r="BF86" s="1640" t="str" cm="1">
        <f t="array" ref="BF86">IFERROR(IF(AR86&lt;&gt;"",_xll.PBD(AR86,"Brief Description","","EUR",""),""),"")</f>
        <v/>
      </c>
    </row>
    <row r="87" spans="3:58" ht="13.9" customHeight="1">
      <c r="L87" s="1705"/>
      <c r="N87" s="1640" t="str" cm="1">
        <f t="array" ref="N87">IFERROR(IF($L87&lt;&gt;"",_xll.PBD($L87,"Name","","USD",""),""),"")</f>
        <v/>
      </c>
      <c r="O87" s="1640" t="str" cm="1">
        <f t="array" ref="O87">IFERROR(IF($L87&lt;&gt;"",_xll.PBD($L87,"Primary Industry Code","","",""),""),"")</f>
        <v/>
      </c>
      <c r="P87" s="1640" t="str" cm="1">
        <f t="array" ref="P87">IFERROR(IF($L87&lt;&gt;"",_xll.PBD($L87,"HQ Country","","",""),""),"")</f>
        <v/>
      </c>
      <c r="Q87" s="1640" t="str" cm="1">
        <f t="array" ref="Q87">IFERROR(IF($L87&lt;&gt;"",_xll.PBD($L87,"HQ City","","EUR",""),""),"")</f>
        <v/>
      </c>
      <c r="S87" s="1666" t="str" cm="1">
        <f t="array" aca="1" ref="S87" ca="1">IFERROR(IF($L87&lt;&gt;"",_xll.PBF($L87,"EV","TTM",$N$11,"","EUR","")/1000000,""),"")</f>
        <v/>
      </c>
      <c r="T87" s="1666" t="str" cm="1">
        <f t="array" aca="1" ref="T87" ca="1">IFERROR(IF($L87&lt;&gt;"",_xll.PBF($L87,"NET Debt","TTM",$N$11,"","EUR","")/1000000,""),"")</f>
        <v/>
      </c>
      <c r="U87" s="1666" t="str" cm="1">
        <f t="array" aca="1" ref="U87" ca="1">IFERROR(IF($L87&lt;&gt;"",_xll.PBF($L87,"Market Cap","TTM",$N$11,"","EUR","")/1000000,""),"")</f>
        <v/>
      </c>
      <c r="V87" s="1677" t="str" cm="1">
        <f t="array" aca="1" ref="V87" ca="1">IFERROR(IF($L87&lt;&gt;"",_xll.PBF($L87,"Total Debt to Equity","TTM",$V$21,"","EUR",""),""),"")</f>
        <v/>
      </c>
      <c r="W87" s="1677"/>
      <c r="X87" s="1666" t="str" cm="1">
        <f t="array" aca="1" ref="X87" ca="1">IFERROR(IF($L87&lt;&gt;"",_xll.PBF($L87,"Total Revenue","FY",$X$21,"","EUR","")/1000000,""),"")</f>
        <v/>
      </c>
      <c r="Y87" s="1666" t="str" cm="1">
        <f t="array" aca="1" ref="Y87" ca="1">IFERROR(IF($L87&lt;&gt;"",_xll.PBF($L87,"EBITDA","FY",$N$11,"","EUR","")/1000000,""),"")</f>
        <v/>
      </c>
      <c r="Z87" s="1666" t="str" cm="1">
        <f t="array" aca="1" ref="Z87" ca="1">IFERROR(IF($L87&lt;&gt;"",_xll.PBF($L87,"EBIT","FY",$N$11,"","EUR","")/1000000,""),"")</f>
        <v/>
      </c>
      <c r="AA87" s="1677" t="str" cm="1">
        <f t="array" aca="1" ref="AA87" ca="1">IFERROR(IF($L87&lt;&gt;"",_xll.PBF($L87,"Total Debt to EBITDA","FY",$AA$21,"","EUR",""),""),"")</f>
        <v/>
      </c>
      <c r="AB87" s="1670"/>
      <c r="AC87" s="1672" t="str" cm="1">
        <f t="array" aca="1" ref="AC87" ca="1">IFERROR(IF($L87&lt;&gt;"",_xll.PBF($L87,"EV to Revenue","FY",$N$11,"","EUR",""),""),"")</f>
        <v/>
      </c>
      <c r="AD87" s="1672" t="str" cm="1">
        <f t="array" aca="1" ref="AD87" ca="1">IFERROR(IF($L87&lt;&gt;"",_xll.PBF($L87,"EV to EBITDA","FY",$AD$21,"","EUR",""),""),"")</f>
        <v/>
      </c>
      <c r="AE87" s="1672" t="str" cm="1">
        <f t="array" aca="1" ref="AE87" ca="1">IFERROR(IF($L87&lt;&gt;"",_xll.PBF($L87,"EV to EBIT","FY",$AE$21,"","EUR",""),""),"")</f>
        <v/>
      </c>
      <c r="AF87" s="1672"/>
      <c r="AG87" s="1672" t="str" cm="1">
        <f t="array" aca="1" ref="AG87" ca="1">IFERROR(IF($L87&lt;&gt;"",_xll.PBF($L87,"EV to Forward Revenue","FY",$AG$21,"","EUR",""),""),"")</f>
        <v/>
      </c>
      <c r="AH87" s="1672" t="str" cm="1">
        <f t="array" aca="1" ref="AH87" ca="1">IFERROR(IF($L87&lt;&gt;"",_xll.PBF($L87,"EV to Forward EBITDA","FY",$AH$21,"","EUR",""),""),"")</f>
        <v/>
      </c>
      <c r="AI87" s="1672" t="str" cm="1">
        <f t="array" aca="1" ref="AI87" ca="1">IFERROR(IF($L87&lt;&gt;"",_xll.PBF($L87,"EV to Forward EBIT","FY",$AI$21,"","EUR",""),""),"")</f>
        <v/>
      </c>
      <c r="AK87" s="1705"/>
      <c r="AL87" s="1693" t="str" cm="1">
        <f t="array" ref="AL87">IFERROR(IF(AK87&lt;&gt;"",_xll.PBD(AK87,"Deal Date","","EUR",""),""),"")</f>
        <v/>
      </c>
      <c r="AM87" s="1693" t="str" cm="1">
        <f t="array" ref="AM87">IFERROR(IF(AK87&lt;&gt;"",_xll.PBD(AK87,"Limit1.Deal Type 1","","EUR",""),""),"")</f>
        <v/>
      </c>
      <c r="AN87" s="1693" t="str" cm="1">
        <f t="array" ref="AN87">IFERROR(IF(AK87&lt;&gt;"",_xll.PBD(AK87,"Limit1.Company Id","","EUR",""),""),"")</f>
        <v/>
      </c>
      <c r="AO87" s="1640" t="str" cm="1">
        <f t="array" ref="AO87">IFERROR(IF(AN87&lt;&gt;"",_xll.PBD(AN87,"Name","","EUR",""),""),"")</f>
        <v/>
      </c>
      <c r="AP87" s="1640" t="str" cm="1">
        <f t="array" ref="AP87">IFERROR(IF(AN87&lt;&gt;"",_xll.PBD(AN87,"Primary Industry Code","","EUR",""),""),"")</f>
        <v/>
      </c>
      <c r="AQ87" s="1640" t="str" cm="1">
        <f t="array" ref="AQ87">IFERROR(IF(AN87&lt;&gt;"",_xll.PBD(AN87,"HQ Country","","EUR",""),""),"")</f>
        <v/>
      </c>
      <c r="AR87" s="1640" t="str" cm="1">
        <f t="array" ref="AR87">IFERROR(IF(AK87&lt;&gt;"",_xll.PBD(AK87,"Limit1.Investors Ids","","EUR",""),""),"")</f>
        <v/>
      </c>
      <c r="AS87" s="1640" t="str" cm="1">
        <f t="array" ref="AS87">IFERROR(IF(AR87&lt;&gt;"",_xll.PBD(AR87,"Name","","EUR",""),""),"")</f>
        <v/>
      </c>
      <c r="AT87" s="1640" t="str" cm="1">
        <f t="array" ref="AT87">IFERROR(IF(AR87&lt;&gt;"",_xll.PBD(AR87,"Primary Industry Code","","EUR",""),""),"")</f>
        <v/>
      </c>
      <c r="AU87" s="1640" t="str" cm="1">
        <f t="array" ref="AU87">IFERROR(IF(AR87&lt;&gt;"",_xll.PBD(AR87,"Limit2.Entity Types","","EUR",""),""),"")</f>
        <v/>
      </c>
      <c r="AV87" s="1640" t="str" cm="1">
        <f t="array" ref="AV87">IFERROR(IF(AR87&lt;&gt;"",_xll.PBD(AR87,"HQ Country","","EUR",""),""),"")</f>
        <v/>
      </c>
      <c r="AX87" s="1641" t="str" cm="1">
        <f t="array" ref="AX87">IFERROR(IF(AK87&lt;&gt;"",_xll.PBD(AK87,"Limit1.Deal Amount","","EUR","")/1000000,""),"")</f>
        <v/>
      </c>
      <c r="AY87" s="1641" t="str" cm="1">
        <f t="array" ref="AY87">IFERROR(IF(AK87&lt;&gt;"",_xll.PBD(AK87,"Limit1.Implied EV ","","EUR","")/1000000,""),"")</f>
        <v/>
      </c>
      <c r="AZ87" s="1694" t="str" cm="1">
        <f t="array" ref="AZ87">IFERROR(IF(AK87&lt;&gt;"",_xll.PBD(AK87,"Limit1.% Acquired ","","EUR",""),""),"")</f>
        <v/>
      </c>
      <c r="BB87" s="1695" t="str" cm="1">
        <f t="array" ref="BB87">IFERROR(IF(AK87&lt;&gt;"",_xll.PBD(AK87,"Implied EV / Revenue","","EUR",""),""),"")</f>
        <v/>
      </c>
      <c r="BC87" s="1695" t="str" cm="1">
        <f t="array" ref="BC87">IFERROR(IF(AK87&lt;&gt;"",_xll.PBD(AK87,"Implied EV / EBITDA","","EUR",""),""),"")</f>
        <v/>
      </c>
      <c r="BD87" s="1695" t="str" cm="1">
        <f t="array" ref="BD87">IFERROR(IF(AK87&lt;&gt;"",_xll.PBD(AK87,"Implied EV / EBIT","","EUR",""),""),"")</f>
        <v/>
      </c>
      <c r="BF87" s="1640" t="str" cm="1">
        <f t="array" ref="BF87">IFERROR(IF(AR87&lt;&gt;"",_xll.PBD(AR87,"Brief Description","","EUR",""),""),"")</f>
        <v/>
      </c>
    </row>
    <row r="88" spans="3:58" ht="13.9" customHeight="1">
      <c r="L88" s="1705"/>
      <c r="N88" s="1640" t="str" cm="1">
        <f t="array" ref="N88">IFERROR(IF($L88&lt;&gt;"",_xll.PBD($L88,"Name","","USD",""),""),"")</f>
        <v/>
      </c>
      <c r="O88" s="1640" t="str" cm="1">
        <f t="array" ref="O88">IFERROR(IF($L88&lt;&gt;"",_xll.PBD($L88,"Primary Industry Code","","",""),""),"")</f>
        <v/>
      </c>
      <c r="P88" s="1640" t="str" cm="1">
        <f t="array" ref="P88">IFERROR(IF($L88&lt;&gt;"",_xll.PBD($L88,"HQ Country","","",""),""),"")</f>
        <v/>
      </c>
      <c r="Q88" s="1640" t="str" cm="1">
        <f t="array" ref="Q88">IFERROR(IF($L88&lt;&gt;"",_xll.PBD($L88,"HQ City","","EUR",""),""),"")</f>
        <v/>
      </c>
      <c r="S88" s="1666" t="str" cm="1">
        <f t="array" aca="1" ref="S88" ca="1">IFERROR(IF($L88&lt;&gt;"",_xll.PBF($L88,"EV","TTM",$N$11,"","EUR","")/1000000,""),"")</f>
        <v/>
      </c>
      <c r="T88" s="1666" t="str" cm="1">
        <f t="array" aca="1" ref="T88" ca="1">IFERROR(IF($L88&lt;&gt;"",_xll.PBF($L88,"NET Debt","TTM",$N$11,"","EUR","")/1000000,""),"")</f>
        <v/>
      </c>
      <c r="U88" s="1666" t="str" cm="1">
        <f t="array" aca="1" ref="U88" ca="1">IFERROR(IF($L88&lt;&gt;"",_xll.PBF($L88,"Market Cap","TTM",$N$11,"","EUR","")/1000000,""),"")</f>
        <v/>
      </c>
      <c r="V88" s="1677" t="str" cm="1">
        <f t="array" aca="1" ref="V88" ca="1">IFERROR(IF($L88&lt;&gt;"",_xll.PBF($L88,"Total Debt to Equity","TTM",$V$21,"","EUR",""),""),"")</f>
        <v/>
      </c>
      <c r="W88" s="1677"/>
      <c r="X88" s="1666" t="str" cm="1">
        <f t="array" aca="1" ref="X88" ca="1">IFERROR(IF($L88&lt;&gt;"",_xll.PBF($L88,"Total Revenue","FY",$X$21,"","EUR","")/1000000,""),"")</f>
        <v/>
      </c>
      <c r="Y88" s="1666" t="str" cm="1">
        <f t="array" aca="1" ref="Y88" ca="1">IFERROR(IF($L88&lt;&gt;"",_xll.PBF($L88,"EBITDA","FY",$N$11,"","EUR","")/1000000,""),"")</f>
        <v/>
      </c>
      <c r="Z88" s="1666" t="str" cm="1">
        <f t="array" aca="1" ref="Z88" ca="1">IFERROR(IF($L88&lt;&gt;"",_xll.PBF($L88,"EBIT","FY",$N$11,"","EUR","")/1000000,""),"")</f>
        <v/>
      </c>
      <c r="AA88" s="1677" t="str" cm="1">
        <f t="array" aca="1" ref="AA88" ca="1">IFERROR(IF($L88&lt;&gt;"",_xll.PBF($L88,"Total Debt to EBITDA","FY",$AA$21,"","EUR",""),""),"")</f>
        <v/>
      </c>
      <c r="AB88" s="1670"/>
      <c r="AC88" s="1672" t="str" cm="1">
        <f t="array" aca="1" ref="AC88" ca="1">IFERROR(IF($L88&lt;&gt;"",_xll.PBF($L88,"EV to Revenue","FY",$N$11,"","EUR",""),""),"")</f>
        <v/>
      </c>
      <c r="AD88" s="1672" t="str" cm="1">
        <f t="array" aca="1" ref="AD88" ca="1">IFERROR(IF($L88&lt;&gt;"",_xll.PBF($L88,"EV to EBITDA","FY",$AD$21,"","EUR",""),""),"")</f>
        <v/>
      </c>
      <c r="AE88" s="1672" t="str" cm="1">
        <f t="array" aca="1" ref="AE88" ca="1">IFERROR(IF($L88&lt;&gt;"",_xll.PBF($L88,"EV to EBIT","FY",$AE$21,"","EUR",""),""),"")</f>
        <v/>
      </c>
      <c r="AF88" s="1672"/>
      <c r="AG88" s="1672" t="str" cm="1">
        <f t="array" aca="1" ref="AG88" ca="1">IFERROR(IF($L88&lt;&gt;"",_xll.PBF($L88,"EV to Forward Revenue","FY",$AG$21,"","EUR",""),""),"")</f>
        <v/>
      </c>
      <c r="AH88" s="1672" t="str" cm="1">
        <f t="array" aca="1" ref="AH88" ca="1">IFERROR(IF($L88&lt;&gt;"",_xll.PBF($L88,"EV to Forward EBITDA","FY",$AH$21,"","EUR",""),""),"")</f>
        <v/>
      </c>
      <c r="AI88" s="1672" t="str" cm="1">
        <f t="array" aca="1" ref="AI88" ca="1">IFERROR(IF($L88&lt;&gt;"",_xll.PBF($L88,"EV to Forward EBIT","FY",$AI$21,"","EUR",""),""),"")</f>
        <v/>
      </c>
      <c r="AK88" s="1705"/>
      <c r="AL88" s="1693" t="str" cm="1">
        <f t="array" ref="AL88">IFERROR(IF(AK88&lt;&gt;"",_xll.PBD(AK88,"Deal Date","","EUR",""),""),"")</f>
        <v/>
      </c>
      <c r="AM88" s="1693" t="str" cm="1">
        <f t="array" ref="AM88">IFERROR(IF(AK88&lt;&gt;"",_xll.PBD(AK88,"Limit1.Deal Type 1","","EUR",""),""),"")</f>
        <v/>
      </c>
      <c r="AN88" s="1693" t="str" cm="1">
        <f t="array" ref="AN88">IFERROR(IF(AK88&lt;&gt;"",_xll.PBD(AK88,"Limit1.Company Id","","EUR",""),""),"")</f>
        <v/>
      </c>
      <c r="AO88" s="1640" t="str" cm="1">
        <f t="array" ref="AO88">IFERROR(IF(AN88&lt;&gt;"",_xll.PBD(AN88,"Name","","EUR",""),""),"")</f>
        <v/>
      </c>
      <c r="AP88" s="1640" t="str" cm="1">
        <f t="array" ref="AP88">IFERROR(IF(AN88&lt;&gt;"",_xll.PBD(AN88,"Primary Industry Code","","EUR",""),""),"")</f>
        <v/>
      </c>
      <c r="AQ88" s="1640" t="str" cm="1">
        <f t="array" ref="AQ88">IFERROR(IF(AN88&lt;&gt;"",_xll.PBD(AN88,"HQ Country","","EUR",""),""),"")</f>
        <v/>
      </c>
      <c r="AR88" s="1640" t="str" cm="1">
        <f t="array" ref="AR88">IFERROR(IF(AK88&lt;&gt;"",_xll.PBD(AK88,"Limit1.Investors Ids","","EUR",""),""),"")</f>
        <v/>
      </c>
      <c r="AS88" s="1640" t="str" cm="1">
        <f t="array" ref="AS88">IFERROR(IF(AR88&lt;&gt;"",_xll.PBD(AR88,"Name","","EUR",""),""),"")</f>
        <v/>
      </c>
      <c r="AT88" s="1640" t="str" cm="1">
        <f t="array" ref="AT88">IFERROR(IF(AR88&lt;&gt;"",_xll.PBD(AR88,"Primary Industry Code","","EUR",""),""),"")</f>
        <v/>
      </c>
      <c r="AU88" s="1640" t="str" cm="1">
        <f t="array" ref="AU88">IFERROR(IF(AR88&lt;&gt;"",_xll.PBD(AR88,"Limit2.Entity Types","","EUR",""),""),"")</f>
        <v/>
      </c>
      <c r="AV88" s="1640" t="str" cm="1">
        <f t="array" ref="AV88">IFERROR(IF(AR88&lt;&gt;"",_xll.PBD(AR88,"HQ Country","","EUR",""),""),"")</f>
        <v/>
      </c>
      <c r="AX88" s="1641" t="str" cm="1">
        <f t="array" ref="AX88">IFERROR(IF(AK88&lt;&gt;"",_xll.PBD(AK88,"Limit1.Deal Amount","","EUR","")/1000000,""),"")</f>
        <v/>
      </c>
      <c r="AY88" s="1641" t="str" cm="1">
        <f t="array" ref="AY88">IFERROR(IF(AK88&lt;&gt;"",_xll.PBD(AK88,"Limit1.Implied EV ","","EUR","")/1000000,""),"")</f>
        <v/>
      </c>
      <c r="AZ88" s="1694" t="str" cm="1">
        <f t="array" ref="AZ88">IFERROR(IF(AK88&lt;&gt;"",_xll.PBD(AK88,"Limit1.% Acquired ","","EUR",""),""),"")</f>
        <v/>
      </c>
      <c r="BB88" s="1695" t="str" cm="1">
        <f t="array" ref="BB88">IFERROR(IF(AK88&lt;&gt;"",_xll.PBD(AK88,"Implied EV / Revenue","","EUR",""),""),"")</f>
        <v/>
      </c>
      <c r="BC88" s="1695" t="str" cm="1">
        <f t="array" ref="BC88">IFERROR(IF(AK88&lt;&gt;"",_xll.PBD(AK88,"Implied EV / EBITDA","","EUR",""),""),"")</f>
        <v/>
      </c>
      <c r="BD88" s="1695" t="str" cm="1">
        <f t="array" ref="BD88">IFERROR(IF(AK88&lt;&gt;"",_xll.PBD(AK88,"Implied EV / EBIT","","EUR",""),""),"")</f>
        <v/>
      </c>
      <c r="BF88" s="1640" t="str" cm="1">
        <f t="array" ref="BF88">IFERROR(IF(AR88&lt;&gt;"",_xll.PBD(AR88,"Brief Description","","EUR",""),""),"")</f>
        <v/>
      </c>
    </row>
    <row r="89" spans="3:58" ht="13.9" customHeight="1">
      <c r="L89" s="1705"/>
      <c r="N89" s="1640" t="str" cm="1">
        <f t="array" ref="N89">IFERROR(IF($L89&lt;&gt;"",_xll.PBD($L89,"Name","","USD",""),""),"")</f>
        <v/>
      </c>
      <c r="O89" s="1640" t="str" cm="1">
        <f t="array" ref="O89">IFERROR(IF($L89&lt;&gt;"",_xll.PBD($L89,"Primary Industry Code","","",""),""),"")</f>
        <v/>
      </c>
      <c r="P89" s="1640" t="str" cm="1">
        <f t="array" ref="P89">IFERROR(IF($L89&lt;&gt;"",_xll.PBD($L89,"HQ Country","","",""),""),"")</f>
        <v/>
      </c>
      <c r="Q89" s="1640" t="str" cm="1">
        <f t="array" ref="Q89">IFERROR(IF($L89&lt;&gt;"",_xll.PBD($L89,"HQ City","","EUR",""),""),"")</f>
        <v/>
      </c>
      <c r="S89" s="1666" t="str" cm="1">
        <f t="array" aca="1" ref="S89" ca="1">IFERROR(IF($L89&lt;&gt;"",_xll.PBF($L89,"EV","TTM",$N$11,"","EUR","")/1000000,""),"")</f>
        <v/>
      </c>
      <c r="T89" s="1666" t="str" cm="1">
        <f t="array" aca="1" ref="T89" ca="1">IFERROR(IF($L89&lt;&gt;"",_xll.PBF($L89,"NET Debt","TTM",$N$11,"","EUR","")/1000000,""),"")</f>
        <v/>
      </c>
      <c r="U89" s="1666" t="str" cm="1">
        <f t="array" aca="1" ref="U89" ca="1">IFERROR(IF($L89&lt;&gt;"",_xll.PBF($L89,"Market Cap","TTM",$N$11,"","EUR","")/1000000,""),"")</f>
        <v/>
      </c>
      <c r="V89" s="1677" t="str" cm="1">
        <f t="array" aca="1" ref="V89" ca="1">IFERROR(IF($L89&lt;&gt;"",_xll.PBF($L89,"Total Debt to Equity","TTM",$V$21,"","EUR",""),""),"")</f>
        <v/>
      </c>
      <c r="W89" s="1677"/>
      <c r="X89" s="1666" t="str" cm="1">
        <f t="array" aca="1" ref="X89" ca="1">IFERROR(IF($L89&lt;&gt;"",_xll.PBF($L89,"Total Revenue","FY",$X$21,"","EUR","")/1000000,""),"")</f>
        <v/>
      </c>
      <c r="Y89" s="1666" t="str" cm="1">
        <f t="array" aca="1" ref="Y89" ca="1">IFERROR(IF($L89&lt;&gt;"",_xll.PBF($L89,"EBITDA","FY",$N$11,"","EUR","")/1000000,""),"")</f>
        <v/>
      </c>
      <c r="Z89" s="1666" t="str" cm="1">
        <f t="array" aca="1" ref="Z89" ca="1">IFERROR(IF($L89&lt;&gt;"",_xll.PBF($L89,"EBIT","FY",$N$11,"","EUR","")/1000000,""),"")</f>
        <v/>
      </c>
      <c r="AA89" s="1677" t="str" cm="1">
        <f t="array" aca="1" ref="AA89" ca="1">IFERROR(IF($L89&lt;&gt;"",_xll.PBF($L89,"Total Debt to EBITDA","FY",$AA$21,"","EUR",""),""),"")</f>
        <v/>
      </c>
      <c r="AB89" s="1670"/>
      <c r="AC89" s="1672" t="str" cm="1">
        <f t="array" aca="1" ref="AC89" ca="1">IFERROR(IF($L89&lt;&gt;"",_xll.PBF($L89,"EV to Revenue","FY",$N$11,"","EUR",""),""),"")</f>
        <v/>
      </c>
      <c r="AD89" s="1672" t="str" cm="1">
        <f t="array" aca="1" ref="AD89" ca="1">IFERROR(IF($L89&lt;&gt;"",_xll.PBF($L89,"EV to EBITDA","FY",$AD$21,"","EUR",""),""),"")</f>
        <v/>
      </c>
      <c r="AE89" s="1672" t="str" cm="1">
        <f t="array" aca="1" ref="AE89" ca="1">IFERROR(IF($L89&lt;&gt;"",_xll.PBF($L89,"EV to EBIT","FY",$AE$21,"","EUR",""),""),"")</f>
        <v/>
      </c>
      <c r="AF89" s="1672"/>
      <c r="AG89" s="1672" t="str" cm="1">
        <f t="array" aca="1" ref="AG89" ca="1">IFERROR(IF($L89&lt;&gt;"",_xll.PBF($L89,"EV to Forward Revenue","FY",$AG$21,"","EUR",""),""),"")</f>
        <v/>
      </c>
      <c r="AH89" s="1672" t="str" cm="1">
        <f t="array" aca="1" ref="AH89" ca="1">IFERROR(IF($L89&lt;&gt;"",_xll.PBF($L89,"EV to Forward EBITDA","FY",$AH$21,"","EUR",""),""),"")</f>
        <v/>
      </c>
      <c r="AI89" s="1672" t="str" cm="1">
        <f t="array" aca="1" ref="AI89" ca="1">IFERROR(IF($L89&lt;&gt;"",_xll.PBF($L89,"EV to Forward EBIT","FY",$AI$21,"","EUR",""),""),"")</f>
        <v/>
      </c>
      <c r="AK89" s="1705"/>
      <c r="AL89" s="1693" t="str" cm="1">
        <f t="array" ref="AL89">IFERROR(IF(AK89&lt;&gt;"",_xll.PBD(AK89,"Deal Date","","EUR",""),""),"")</f>
        <v/>
      </c>
      <c r="AM89" s="1693" t="str" cm="1">
        <f t="array" ref="AM89">IFERROR(IF(AK89&lt;&gt;"",_xll.PBD(AK89,"Limit1.Deal Type 1","","EUR",""),""),"")</f>
        <v/>
      </c>
      <c r="AN89" s="1693" t="str" cm="1">
        <f t="array" ref="AN89">IFERROR(IF(AK89&lt;&gt;"",_xll.PBD(AK89,"Limit1.Company Id","","EUR",""),""),"")</f>
        <v/>
      </c>
      <c r="AO89" s="1640" t="str" cm="1">
        <f t="array" ref="AO89">IFERROR(IF(AN89&lt;&gt;"",_xll.PBD(AN89,"Name","","EUR",""),""),"")</f>
        <v/>
      </c>
      <c r="AP89" s="1640" t="str" cm="1">
        <f t="array" ref="AP89">IFERROR(IF(AN89&lt;&gt;"",_xll.PBD(AN89,"Primary Industry Code","","EUR",""),""),"")</f>
        <v/>
      </c>
      <c r="AQ89" s="1640" t="str" cm="1">
        <f t="array" ref="AQ89">IFERROR(IF(AN89&lt;&gt;"",_xll.PBD(AN89,"HQ Country","","EUR",""),""),"")</f>
        <v/>
      </c>
      <c r="AR89" s="1640" t="str" cm="1">
        <f t="array" ref="AR89">IFERROR(IF(AK89&lt;&gt;"",_xll.PBD(AK89,"Limit1.Investors Ids","","EUR",""),""),"")</f>
        <v/>
      </c>
      <c r="AS89" s="1640" t="str" cm="1">
        <f t="array" ref="AS89">IFERROR(IF(AR89&lt;&gt;"",_xll.PBD(AR89,"Name","","EUR",""),""),"")</f>
        <v/>
      </c>
      <c r="AT89" s="1640" t="str" cm="1">
        <f t="array" ref="AT89">IFERROR(IF(AR89&lt;&gt;"",_xll.PBD(AR89,"Primary Industry Code","","EUR",""),""),"")</f>
        <v/>
      </c>
      <c r="AU89" s="1640" t="str" cm="1">
        <f t="array" ref="AU89">IFERROR(IF(AR89&lt;&gt;"",_xll.PBD(AR89,"Limit2.Entity Types","","EUR",""),""),"")</f>
        <v/>
      </c>
      <c r="AV89" s="1640" t="str" cm="1">
        <f t="array" ref="AV89">IFERROR(IF(AR89&lt;&gt;"",_xll.PBD(AR89,"HQ Country","","EUR",""),""),"")</f>
        <v/>
      </c>
      <c r="AX89" s="1641" t="str" cm="1">
        <f t="array" ref="AX89">IFERROR(IF(AK89&lt;&gt;"",_xll.PBD(AK89,"Limit1.Deal Amount","","EUR","")/1000000,""),"")</f>
        <v/>
      </c>
      <c r="AY89" s="1641" t="str" cm="1">
        <f t="array" ref="AY89">IFERROR(IF(AK89&lt;&gt;"",_xll.PBD(AK89,"Limit1.Implied EV ","","EUR","")/1000000,""),"")</f>
        <v/>
      </c>
      <c r="AZ89" s="1694" t="str" cm="1">
        <f t="array" ref="AZ89">IFERROR(IF(AK89&lt;&gt;"",_xll.PBD(AK89,"Limit1.% Acquired ","","EUR",""),""),"")</f>
        <v/>
      </c>
      <c r="BB89" s="1695" t="str" cm="1">
        <f t="array" ref="BB89">IFERROR(IF(AK89&lt;&gt;"",_xll.PBD(AK89,"Implied EV / Revenue","","EUR",""),""),"")</f>
        <v/>
      </c>
      <c r="BC89" s="1695" t="str" cm="1">
        <f t="array" ref="BC89">IFERROR(IF(AK89&lt;&gt;"",_xll.PBD(AK89,"Implied EV / EBITDA","","EUR",""),""),"")</f>
        <v/>
      </c>
      <c r="BD89" s="1695" t="str" cm="1">
        <f t="array" ref="BD89">IFERROR(IF(AK89&lt;&gt;"",_xll.PBD(AK89,"Implied EV / EBIT","","EUR",""),""),"")</f>
        <v/>
      </c>
      <c r="BF89" s="1640" t="str" cm="1">
        <f t="array" ref="BF89">IFERROR(IF(AR89&lt;&gt;"",_xll.PBD(AR89,"Brief Description","","EUR",""),""),"")</f>
        <v/>
      </c>
    </row>
    <row r="90" spans="3:58" ht="13.9" customHeight="1">
      <c r="L90" s="1705"/>
      <c r="N90" s="1640" t="str" cm="1">
        <f t="array" ref="N90">IFERROR(IF($L90&lt;&gt;"",_xll.PBD($L90,"Name","","USD",""),""),"")</f>
        <v/>
      </c>
      <c r="O90" s="1640" t="str" cm="1">
        <f t="array" ref="O90">IFERROR(IF($L90&lt;&gt;"",_xll.PBD($L90,"Primary Industry Code","","",""),""),"")</f>
        <v/>
      </c>
      <c r="P90" s="1640" t="str" cm="1">
        <f t="array" ref="P90">IFERROR(IF($L90&lt;&gt;"",_xll.PBD($L90,"HQ Country","","",""),""),"")</f>
        <v/>
      </c>
      <c r="Q90" s="1640" t="str" cm="1">
        <f t="array" ref="Q90">IFERROR(IF($L90&lt;&gt;"",_xll.PBD($L90,"HQ City","","EUR",""),""),"")</f>
        <v/>
      </c>
      <c r="S90" s="1666" t="str" cm="1">
        <f t="array" aca="1" ref="S90" ca="1">IFERROR(IF($L90&lt;&gt;"",_xll.PBF($L90,"EV","TTM",$N$11,"","EUR","")/1000000,""),"")</f>
        <v/>
      </c>
      <c r="T90" s="1666" t="str" cm="1">
        <f t="array" aca="1" ref="T90" ca="1">IFERROR(IF($L90&lt;&gt;"",_xll.PBF($L90,"NET Debt","TTM",$N$11,"","EUR","")/1000000,""),"")</f>
        <v/>
      </c>
      <c r="U90" s="1666" t="str" cm="1">
        <f t="array" aca="1" ref="U90" ca="1">IFERROR(IF($L90&lt;&gt;"",_xll.PBF($L90,"Market Cap","TTM",$N$11,"","EUR","")/1000000,""),"")</f>
        <v/>
      </c>
      <c r="V90" s="1677" t="str" cm="1">
        <f t="array" aca="1" ref="V90" ca="1">IFERROR(IF($L90&lt;&gt;"",_xll.PBF($L90,"Total Debt to Equity","TTM",$V$21,"","EUR",""),""),"")</f>
        <v/>
      </c>
      <c r="W90" s="1677"/>
      <c r="X90" s="1666" t="str" cm="1">
        <f t="array" aca="1" ref="X90" ca="1">IFERROR(IF($L90&lt;&gt;"",_xll.PBF($L90,"Total Revenue","FY",$X$21,"","EUR","")/1000000,""),"")</f>
        <v/>
      </c>
      <c r="Y90" s="1666" t="str" cm="1">
        <f t="array" aca="1" ref="Y90" ca="1">IFERROR(IF($L90&lt;&gt;"",_xll.PBF($L90,"EBITDA","FY",$N$11,"","EUR","")/1000000,""),"")</f>
        <v/>
      </c>
      <c r="Z90" s="1666" t="str" cm="1">
        <f t="array" aca="1" ref="Z90" ca="1">IFERROR(IF($L90&lt;&gt;"",_xll.PBF($L90,"EBIT","FY",$N$11,"","EUR","")/1000000,""),"")</f>
        <v/>
      </c>
      <c r="AA90" s="1677" t="str" cm="1">
        <f t="array" aca="1" ref="AA90" ca="1">IFERROR(IF($L90&lt;&gt;"",_xll.PBF($L90,"Total Debt to EBITDA","FY",$AA$21,"","EUR",""),""),"")</f>
        <v/>
      </c>
      <c r="AB90" s="1670"/>
      <c r="AC90" s="1672" t="str" cm="1">
        <f t="array" aca="1" ref="AC90" ca="1">IFERROR(IF($L90&lt;&gt;"",_xll.PBF($L90,"EV to Revenue","FY",$N$11,"","EUR",""),""),"")</f>
        <v/>
      </c>
      <c r="AD90" s="1672" t="str" cm="1">
        <f t="array" aca="1" ref="AD90" ca="1">IFERROR(IF($L90&lt;&gt;"",_xll.PBF($L90,"EV to EBITDA","FY",$AD$21,"","EUR",""),""),"")</f>
        <v/>
      </c>
      <c r="AE90" s="1672" t="str" cm="1">
        <f t="array" aca="1" ref="AE90" ca="1">IFERROR(IF($L90&lt;&gt;"",_xll.PBF($L90,"EV to EBIT","FY",$AE$21,"","EUR",""),""),"")</f>
        <v/>
      </c>
      <c r="AF90" s="1672"/>
      <c r="AG90" s="1672" t="str" cm="1">
        <f t="array" aca="1" ref="AG90" ca="1">IFERROR(IF($L90&lt;&gt;"",_xll.PBF($L90,"EV to Forward Revenue","FY",$AG$21,"","EUR",""),""),"")</f>
        <v/>
      </c>
      <c r="AH90" s="1672" t="str" cm="1">
        <f t="array" aca="1" ref="AH90" ca="1">IFERROR(IF($L90&lt;&gt;"",_xll.PBF($L90,"EV to Forward EBITDA","FY",$AH$21,"","EUR",""),""),"")</f>
        <v/>
      </c>
      <c r="AI90" s="1672" t="str" cm="1">
        <f t="array" aca="1" ref="AI90" ca="1">IFERROR(IF($L90&lt;&gt;"",_xll.PBF($L90,"EV to Forward EBIT","FY",$AI$21,"","EUR",""),""),"")</f>
        <v/>
      </c>
      <c r="AK90" s="1705"/>
      <c r="AL90" s="1693" t="str" cm="1">
        <f t="array" ref="AL90">IFERROR(IF(AK90&lt;&gt;"",_xll.PBD(AK90,"Deal Date","","EUR",""),""),"")</f>
        <v/>
      </c>
      <c r="AM90" s="1693" t="str" cm="1">
        <f t="array" ref="AM90">IFERROR(IF(AK90&lt;&gt;"",_xll.PBD(AK90,"Limit1.Deal Type 1","","EUR",""),""),"")</f>
        <v/>
      </c>
      <c r="AN90" s="1693" t="str" cm="1">
        <f t="array" ref="AN90">IFERROR(IF(AK90&lt;&gt;"",_xll.PBD(AK90,"Limit1.Company Id","","EUR",""),""),"")</f>
        <v/>
      </c>
      <c r="AO90" s="1640" t="str" cm="1">
        <f t="array" ref="AO90">IFERROR(IF(AN90&lt;&gt;"",_xll.PBD(AN90,"Name","","EUR",""),""),"")</f>
        <v/>
      </c>
      <c r="AP90" s="1640" t="str" cm="1">
        <f t="array" ref="AP90">IFERROR(IF(AN90&lt;&gt;"",_xll.PBD(AN90,"Primary Industry Code","","EUR",""),""),"")</f>
        <v/>
      </c>
      <c r="AQ90" s="1640" t="str" cm="1">
        <f t="array" ref="AQ90">IFERROR(IF(AN90&lt;&gt;"",_xll.PBD(AN90,"HQ Country","","EUR",""),""),"")</f>
        <v/>
      </c>
      <c r="AR90" s="1640" t="str" cm="1">
        <f t="array" ref="AR90">IFERROR(IF(AK90&lt;&gt;"",_xll.PBD(AK90,"Limit1.Investors Ids","","EUR",""),""),"")</f>
        <v/>
      </c>
      <c r="AS90" s="1640" t="str" cm="1">
        <f t="array" ref="AS90">IFERROR(IF(AR90&lt;&gt;"",_xll.PBD(AR90,"Name","","EUR",""),""),"")</f>
        <v/>
      </c>
      <c r="AT90" s="1640" t="str" cm="1">
        <f t="array" ref="AT90">IFERROR(IF(AR90&lt;&gt;"",_xll.PBD(AR90,"Primary Industry Code","","EUR",""),""),"")</f>
        <v/>
      </c>
      <c r="AU90" s="1640" t="str" cm="1">
        <f t="array" ref="AU90">IFERROR(IF(AR90&lt;&gt;"",_xll.PBD(AR90,"Limit2.Entity Types","","EUR",""),""),"")</f>
        <v/>
      </c>
      <c r="AV90" s="1640" t="str" cm="1">
        <f t="array" ref="AV90">IFERROR(IF(AR90&lt;&gt;"",_xll.PBD(AR90,"HQ Country","","EUR",""),""),"")</f>
        <v/>
      </c>
      <c r="AX90" s="1641" t="str" cm="1">
        <f t="array" ref="AX90">IFERROR(IF(AK90&lt;&gt;"",_xll.PBD(AK90,"Limit1.Deal Amount","","EUR","")/1000000,""),"")</f>
        <v/>
      </c>
      <c r="AY90" s="1641" t="str" cm="1">
        <f t="array" ref="AY90">IFERROR(IF(AK90&lt;&gt;"",_xll.PBD(AK90,"Limit1.Implied EV ","","EUR","")/1000000,""),"")</f>
        <v/>
      </c>
      <c r="AZ90" s="1694" t="str" cm="1">
        <f t="array" ref="AZ90">IFERROR(IF(AK90&lt;&gt;"",_xll.PBD(AK90,"Limit1.% Acquired ","","EUR",""),""),"")</f>
        <v/>
      </c>
      <c r="BB90" s="1695" t="str" cm="1">
        <f t="array" ref="BB90">IFERROR(IF(AK90&lt;&gt;"",_xll.PBD(AK90,"Implied EV / Revenue","","EUR",""),""),"")</f>
        <v/>
      </c>
      <c r="BC90" s="1695" t="str" cm="1">
        <f t="array" ref="BC90">IFERROR(IF(AK90&lt;&gt;"",_xll.PBD(AK90,"Implied EV / EBITDA","","EUR",""),""),"")</f>
        <v/>
      </c>
      <c r="BD90" s="1695" t="str" cm="1">
        <f t="array" ref="BD90">IFERROR(IF(AK90&lt;&gt;"",_xll.PBD(AK90,"Implied EV / EBIT","","EUR",""),""),"")</f>
        <v/>
      </c>
      <c r="BF90" s="1640" t="str" cm="1">
        <f t="array" ref="BF90">IFERROR(IF(AR90&lt;&gt;"",_xll.PBD(AR90,"Brief Description","","EUR",""),""),"")</f>
        <v/>
      </c>
    </row>
    <row r="91" spans="3:58" ht="13.9" customHeight="1">
      <c r="L91" s="1705"/>
      <c r="N91" s="1640" t="str" cm="1">
        <f t="array" ref="N91">IFERROR(IF($L91&lt;&gt;"",_xll.PBD($L91,"Name","","USD",""),""),"")</f>
        <v/>
      </c>
      <c r="O91" s="1640" t="str" cm="1">
        <f t="array" ref="O91">IFERROR(IF($L91&lt;&gt;"",_xll.PBD($L91,"Primary Industry Code","","",""),""),"")</f>
        <v/>
      </c>
      <c r="P91" s="1640" t="str" cm="1">
        <f t="array" ref="P91">IFERROR(IF($L91&lt;&gt;"",_xll.PBD($L91,"HQ Country","","",""),""),"")</f>
        <v/>
      </c>
      <c r="Q91" s="1640" t="str" cm="1">
        <f t="array" ref="Q91">IFERROR(IF($L91&lt;&gt;"",_xll.PBD($L91,"HQ City","","EUR",""),""),"")</f>
        <v/>
      </c>
      <c r="S91" s="1666" t="str" cm="1">
        <f t="array" aca="1" ref="S91" ca="1">IFERROR(IF($L91&lt;&gt;"",_xll.PBF($L91,"EV","TTM",$N$11,"","EUR","")/1000000,""),"")</f>
        <v/>
      </c>
      <c r="T91" s="1666" t="str" cm="1">
        <f t="array" aca="1" ref="T91" ca="1">IFERROR(IF($L91&lt;&gt;"",_xll.PBF($L91,"NET Debt","TTM",$N$11,"","EUR","")/1000000,""),"")</f>
        <v/>
      </c>
      <c r="U91" s="1666" t="str" cm="1">
        <f t="array" aca="1" ref="U91" ca="1">IFERROR(IF($L91&lt;&gt;"",_xll.PBF($L91,"Market Cap","TTM",$N$11,"","EUR","")/1000000,""),"")</f>
        <v/>
      </c>
      <c r="V91" s="1677" t="str" cm="1">
        <f t="array" aca="1" ref="V91" ca="1">IFERROR(IF($L91&lt;&gt;"",_xll.PBF($L91,"Total Debt to Equity","TTM",$V$21,"","EUR",""),""),"")</f>
        <v/>
      </c>
      <c r="W91" s="1677"/>
      <c r="X91" s="1666" t="str" cm="1">
        <f t="array" aca="1" ref="X91" ca="1">IFERROR(IF($L91&lt;&gt;"",_xll.PBF($L91,"Total Revenue","FY",$X$21,"","EUR","")/1000000,""),"")</f>
        <v/>
      </c>
      <c r="Y91" s="1666" t="str" cm="1">
        <f t="array" aca="1" ref="Y91" ca="1">IFERROR(IF($L91&lt;&gt;"",_xll.PBF($L91,"EBITDA","FY",$N$11,"","EUR","")/1000000,""),"")</f>
        <v/>
      </c>
      <c r="Z91" s="1666" t="str" cm="1">
        <f t="array" aca="1" ref="Z91" ca="1">IFERROR(IF($L91&lt;&gt;"",_xll.PBF($L91,"EBIT","FY",$N$11,"","EUR","")/1000000,""),"")</f>
        <v/>
      </c>
      <c r="AA91" s="1677" t="str" cm="1">
        <f t="array" aca="1" ref="AA91" ca="1">IFERROR(IF($L91&lt;&gt;"",_xll.PBF($L91,"Total Debt to EBITDA","FY",$AA$21,"","EUR",""),""),"")</f>
        <v/>
      </c>
      <c r="AB91" s="1670"/>
      <c r="AC91" s="1672" t="str" cm="1">
        <f t="array" aca="1" ref="AC91" ca="1">IFERROR(IF($L91&lt;&gt;"",_xll.PBF($L91,"EV to Revenue","FY",$N$11,"","EUR",""),""),"")</f>
        <v/>
      </c>
      <c r="AD91" s="1672" t="str" cm="1">
        <f t="array" aca="1" ref="AD91" ca="1">IFERROR(IF($L91&lt;&gt;"",_xll.PBF($L91,"EV to EBITDA","FY",$AD$21,"","EUR",""),""),"")</f>
        <v/>
      </c>
      <c r="AE91" s="1672" t="str" cm="1">
        <f t="array" aca="1" ref="AE91" ca="1">IFERROR(IF($L91&lt;&gt;"",_xll.PBF($L91,"EV to EBIT","FY",$AE$21,"","EUR",""),""),"")</f>
        <v/>
      </c>
      <c r="AF91" s="1672"/>
      <c r="AG91" s="1672" t="str" cm="1">
        <f t="array" aca="1" ref="AG91" ca="1">IFERROR(IF($L91&lt;&gt;"",_xll.PBF($L91,"EV to Forward Revenue","FY",$AG$21,"","EUR",""),""),"")</f>
        <v/>
      </c>
      <c r="AH91" s="1672" t="str" cm="1">
        <f t="array" aca="1" ref="AH91" ca="1">IFERROR(IF($L91&lt;&gt;"",_xll.PBF($L91,"EV to Forward EBITDA","FY",$AH$21,"","EUR",""),""),"")</f>
        <v/>
      </c>
      <c r="AI91" s="1672" t="str" cm="1">
        <f t="array" aca="1" ref="AI91" ca="1">IFERROR(IF($L91&lt;&gt;"",_xll.PBF($L91,"EV to Forward EBIT","FY",$AI$21,"","EUR",""),""),"")</f>
        <v/>
      </c>
      <c r="AK91" s="1705"/>
      <c r="AL91" s="1693" t="str" cm="1">
        <f t="array" ref="AL91">IFERROR(IF(AK91&lt;&gt;"",_xll.PBD(AK91,"Deal Date","","EUR",""),""),"")</f>
        <v/>
      </c>
      <c r="AM91" s="1693" t="str" cm="1">
        <f t="array" ref="AM91">IFERROR(IF(AK91&lt;&gt;"",_xll.PBD(AK91,"Limit1.Deal Type 1","","EUR",""),""),"")</f>
        <v/>
      </c>
      <c r="AN91" s="1693" t="str" cm="1">
        <f t="array" ref="AN91">IFERROR(IF(AK91&lt;&gt;"",_xll.PBD(AK91,"Limit1.Company Id","","EUR",""),""),"")</f>
        <v/>
      </c>
      <c r="AO91" s="1640" t="str" cm="1">
        <f t="array" ref="AO91">IFERROR(IF(AN91&lt;&gt;"",_xll.PBD(AN91,"Name","","EUR",""),""),"")</f>
        <v/>
      </c>
      <c r="AP91" s="1640" t="str" cm="1">
        <f t="array" ref="AP91">IFERROR(IF(AN91&lt;&gt;"",_xll.PBD(AN91,"Primary Industry Code","","EUR",""),""),"")</f>
        <v/>
      </c>
      <c r="AQ91" s="1640" t="str" cm="1">
        <f t="array" ref="AQ91">IFERROR(IF(AN91&lt;&gt;"",_xll.PBD(AN91,"HQ Country","","EUR",""),""),"")</f>
        <v/>
      </c>
      <c r="AR91" s="1640" t="str" cm="1">
        <f t="array" ref="AR91">IFERROR(IF(AK91&lt;&gt;"",_xll.PBD(AK91,"Limit1.Investors Ids","","EUR",""),""),"")</f>
        <v/>
      </c>
      <c r="AS91" s="1640" t="str" cm="1">
        <f t="array" ref="AS91">IFERROR(IF(AR91&lt;&gt;"",_xll.PBD(AR91,"Name","","EUR",""),""),"")</f>
        <v/>
      </c>
      <c r="AT91" s="1640" t="str" cm="1">
        <f t="array" ref="AT91">IFERROR(IF(AR91&lt;&gt;"",_xll.PBD(AR91,"Primary Industry Code","","EUR",""),""),"")</f>
        <v/>
      </c>
      <c r="AU91" s="1640" t="str" cm="1">
        <f t="array" ref="AU91">IFERROR(IF(AR91&lt;&gt;"",_xll.PBD(AR91,"Limit2.Entity Types","","EUR",""),""),"")</f>
        <v/>
      </c>
      <c r="AV91" s="1640" t="str" cm="1">
        <f t="array" ref="AV91">IFERROR(IF(AR91&lt;&gt;"",_xll.PBD(AR91,"HQ Country","","EUR",""),""),"")</f>
        <v/>
      </c>
      <c r="AX91" s="1641" t="str" cm="1">
        <f t="array" ref="AX91">IFERROR(IF(AK91&lt;&gt;"",_xll.PBD(AK91,"Limit1.Deal Amount","","EUR","")/1000000,""),"")</f>
        <v/>
      </c>
      <c r="AY91" s="1641" t="str" cm="1">
        <f t="array" ref="AY91">IFERROR(IF(AK91&lt;&gt;"",_xll.PBD(AK91,"Limit1.Implied EV ","","EUR","")/1000000,""),"")</f>
        <v/>
      </c>
      <c r="AZ91" s="1694" t="str" cm="1">
        <f t="array" ref="AZ91">IFERROR(IF(AK91&lt;&gt;"",_xll.PBD(AK91,"Limit1.% Acquired ","","EUR",""),""),"")</f>
        <v/>
      </c>
      <c r="BB91" s="1695" t="str" cm="1">
        <f t="array" ref="BB91">IFERROR(IF(AK91&lt;&gt;"",_xll.PBD(AK91,"Implied EV / Revenue","","EUR",""),""),"")</f>
        <v/>
      </c>
      <c r="BC91" s="1695" t="str" cm="1">
        <f t="array" ref="BC91">IFERROR(IF(AK91&lt;&gt;"",_xll.PBD(AK91,"Implied EV / EBITDA","","EUR",""),""),"")</f>
        <v/>
      </c>
      <c r="BD91" s="1695" t="str" cm="1">
        <f t="array" ref="BD91">IFERROR(IF(AK91&lt;&gt;"",_xll.PBD(AK91,"Implied EV / EBIT","","EUR",""),""),"")</f>
        <v/>
      </c>
      <c r="BF91" s="1640" t="str" cm="1">
        <f t="array" ref="BF91">IFERROR(IF(AR91&lt;&gt;"",_xll.PBD(AR91,"Brief Description","","EUR",""),""),"")</f>
        <v/>
      </c>
    </row>
    <row r="92" spans="3:58" ht="13.9" customHeight="1">
      <c r="L92" s="1705"/>
      <c r="N92" s="1640" t="str" cm="1">
        <f t="array" ref="N92">IFERROR(IF($L92&lt;&gt;"",_xll.PBD($L92,"Name","","USD",""),""),"")</f>
        <v/>
      </c>
      <c r="O92" s="1640" t="str" cm="1">
        <f t="array" ref="O92">IFERROR(IF($L92&lt;&gt;"",_xll.PBD($L92,"Primary Industry Code","","",""),""),"")</f>
        <v/>
      </c>
      <c r="P92" s="1640" t="str" cm="1">
        <f t="array" ref="P92">IFERROR(IF($L92&lt;&gt;"",_xll.PBD($L92,"HQ Country","","",""),""),"")</f>
        <v/>
      </c>
      <c r="Q92" s="1640" t="str" cm="1">
        <f t="array" ref="Q92">IFERROR(IF($L92&lt;&gt;"",_xll.PBD($L92,"HQ City","","EUR",""),""),"")</f>
        <v/>
      </c>
      <c r="S92" s="1666" t="str" cm="1">
        <f t="array" aca="1" ref="S92" ca="1">IFERROR(IF($L92&lt;&gt;"",_xll.PBF($L92,"EV","TTM",$N$11,"","EUR","")/1000000,""),"")</f>
        <v/>
      </c>
      <c r="T92" s="1666" t="str" cm="1">
        <f t="array" aca="1" ref="T92" ca="1">IFERROR(IF($L92&lt;&gt;"",_xll.PBF($L92,"NET Debt","TTM",$N$11,"","EUR","")/1000000,""),"")</f>
        <v/>
      </c>
      <c r="U92" s="1666" t="str" cm="1">
        <f t="array" aca="1" ref="U92" ca="1">IFERROR(IF($L92&lt;&gt;"",_xll.PBF($L92,"Market Cap","TTM",$N$11,"","EUR","")/1000000,""),"")</f>
        <v/>
      </c>
      <c r="V92" s="1677" t="str" cm="1">
        <f t="array" aca="1" ref="V92" ca="1">IFERROR(IF($L92&lt;&gt;"",_xll.PBF($L92,"Total Debt to Equity","TTM",$V$21,"","EUR",""),""),"")</f>
        <v/>
      </c>
      <c r="W92" s="1677"/>
      <c r="X92" s="1666" t="str" cm="1">
        <f t="array" aca="1" ref="X92" ca="1">IFERROR(IF($L92&lt;&gt;"",_xll.PBF($L92,"Total Revenue","FY",$X$21,"","EUR","")/1000000,""),"")</f>
        <v/>
      </c>
      <c r="Y92" s="1666" t="str" cm="1">
        <f t="array" aca="1" ref="Y92" ca="1">IFERROR(IF($L92&lt;&gt;"",_xll.PBF($L92,"EBITDA","FY",$N$11,"","EUR","")/1000000,""),"")</f>
        <v/>
      </c>
      <c r="Z92" s="1666" t="str" cm="1">
        <f t="array" aca="1" ref="Z92" ca="1">IFERROR(IF($L92&lt;&gt;"",_xll.PBF($L92,"EBIT","FY",$N$11,"","EUR","")/1000000,""),"")</f>
        <v/>
      </c>
      <c r="AA92" s="1677" t="str" cm="1">
        <f t="array" aca="1" ref="AA92" ca="1">IFERROR(IF($L92&lt;&gt;"",_xll.PBF($L92,"Total Debt to EBITDA","FY",$AA$21,"","EUR",""),""),"")</f>
        <v/>
      </c>
      <c r="AB92" s="1670"/>
      <c r="AC92" s="1672" t="str" cm="1">
        <f t="array" aca="1" ref="AC92" ca="1">IFERROR(IF($L92&lt;&gt;"",_xll.PBF($L92,"EV to Revenue","FY",$N$11,"","EUR",""),""),"")</f>
        <v/>
      </c>
      <c r="AD92" s="1672" t="str" cm="1">
        <f t="array" aca="1" ref="AD92" ca="1">IFERROR(IF($L92&lt;&gt;"",_xll.PBF($L92,"EV to EBITDA","FY",$AD$21,"","EUR",""),""),"")</f>
        <v/>
      </c>
      <c r="AE92" s="1672" t="str" cm="1">
        <f t="array" aca="1" ref="AE92" ca="1">IFERROR(IF($L92&lt;&gt;"",_xll.PBF($L92,"EV to EBIT","FY",$AE$21,"","EUR",""),""),"")</f>
        <v/>
      </c>
      <c r="AF92" s="1672"/>
      <c r="AG92" s="1672" t="str" cm="1">
        <f t="array" aca="1" ref="AG92" ca="1">IFERROR(IF($L92&lt;&gt;"",_xll.PBF($L92,"EV to Forward Revenue","FY",$AG$21,"","EUR",""),""),"")</f>
        <v/>
      </c>
      <c r="AH92" s="1672" t="str" cm="1">
        <f t="array" aca="1" ref="AH92" ca="1">IFERROR(IF($L92&lt;&gt;"",_xll.PBF($L92,"EV to Forward EBITDA","FY",$AH$21,"","EUR",""),""),"")</f>
        <v/>
      </c>
      <c r="AI92" s="1672" t="str" cm="1">
        <f t="array" aca="1" ref="AI92" ca="1">IFERROR(IF($L92&lt;&gt;"",_xll.PBF($L92,"EV to Forward EBIT","FY",$AI$21,"","EUR",""),""),"")</f>
        <v/>
      </c>
      <c r="AK92" s="1705"/>
      <c r="AL92" s="1693" t="str" cm="1">
        <f t="array" ref="AL92">IFERROR(IF(AK92&lt;&gt;"",_xll.PBD(AK92,"Deal Date","","EUR",""),""),"")</f>
        <v/>
      </c>
      <c r="AM92" s="1693" t="str" cm="1">
        <f t="array" ref="AM92">IFERROR(IF(AK92&lt;&gt;"",_xll.PBD(AK92,"Limit1.Deal Type 1","","EUR",""),""),"")</f>
        <v/>
      </c>
      <c r="AN92" s="1693" t="str" cm="1">
        <f t="array" ref="AN92">IFERROR(IF(AK92&lt;&gt;"",_xll.PBD(AK92,"Limit1.Company Id","","EUR",""),""),"")</f>
        <v/>
      </c>
      <c r="AO92" s="1640" t="str" cm="1">
        <f t="array" ref="AO92">IFERROR(IF(AN92&lt;&gt;"",_xll.PBD(AN92,"Name","","EUR",""),""),"")</f>
        <v/>
      </c>
      <c r="AP92" s="1640" t="str" cm="1">
        <f t="array" ref="AP92">IFERROR(IF(AN92&lt;&gt;"",_xll.PBD(AN92,"Primary Industry Code","","EUR",""),""),"")</f>
        <v/>
      </c>
      <c r="AQ92" s="1640" t="str" cm="1">
        <f t="array" ref="AQ92">IFERROR(IF(AN92&lt;&gt;"",_xll.PBD(AN92,"HQ Country","","EUR",""),""),"")</f>
        <v/>
      </c>
      <c r="AR92" s="1640" t="str" cm="1">
        <f t="array" ref="AR92">IFERROR(IF(AK92&lt;&gt;"",_xll.PBD(AK92,"Limit1.Investors Ids","","EUR",""),""),"")</f>
        <v/>
      </c>
      <c r="AS92" s="1640" t="str" cm="1">
        <f t="array" ref="AS92">IFERROR(IF(AR92&lt;&gt;"",_xll.PBD(AR92,"Name","","EUR",""),""),"")</f>
        <v/>
      </c>
      <c r="AT92" s="1640" t="str" cm="1">
        <f t="array" ref="AT92">IFERROR(IF(AR92&lt;&gt;"",_xll.PBD(AR92,"Primary Industry Code","","EUR",""),""),"")</f>
        <v/>
      </c>
      <c r="AU92" s="1640" t="str" cm="1">
        <f t="array" ref="AU92">IFERROR(IF(AR92&lt;&gt;"",_xll.PBD(AR92,"Limit2.Entity Types","","EUR",""),""),"")</f>
        <v/>
      </c>
      <c r="AV92" s="1640" t="str" cm="1">
        <f t="array" ref="AV92">IFERROR(IF(AR92&lt;&gt;"",_xll.PBD(AR92,"HQ Country","","EUR",""),""),"")</f>
        <v/>
      </c>
      <c r="AX92" s="1641" t="str" cm="1">
        <f t="array" ref="AX92">IFERROR(IF(AK92&lt;&gt;"",_xll.PBD(AK92,"Limit1.Deal Amount","","EUR","")/1000000,""),"")</f>
        <v/>
      </c>
      <c r="AY92" s="1641" t="str" cm="1">
        <f t="array" ref="AY92">IFERROR(IF(AK92&lt;&gt;"",_xll.PBD(AK92,"Limit1.Implied EV ","","EUR","")/1000000,""),"")</f>
        <v/>
      </c>
      <c r="AZ92" s="1694" t="str" cm="1">
        <f t="array" ref="AZ92">IFERROR(IF(AK92&lt;&gt;"",_xll.PBD(AK92,"Limit1.% Acquired ","","EUR",""),""),"")</f>
        <v/>
      </c>
      <c r="BB92" s="1695" t="str" cm="1">
        <f t="array" ref="BB92">IFERROR(IF(AK92&lt;&gt;"",_xll.PBD(AK92,"Implied EV / Revenue","","EUR",""),""),"")</f>
        <v/>
      </c>
      <c r="BC92" s="1695" t="str" cm="1">
        <f t="array" ref="BC92">IFERROR(IF(AK92&lt;&gt;"",_xll.PBD(AK92,"Implied EV / EBITDA","","EUR",""),""),"")</f>
        <v/>
      </c>
      <c r="BD92" s="1695" t="str" cm="1">
        <f t="array" ref="BD92">IFERROR(IF(AK92&lt;&gt;"",_xll.PBD(AK92,"Implied EV / EBIT","","EUR",""),""),"")</f>
        <v/>
      </c>
      <c r="BF92" s="1640" t="str" cm="1">
        <f t="array" ref="BF92">IFERROR(IF(AR92&lt;&gt;"",_xll.PBD(AR92,"Brief Description","","EUR",""),""),"")</f>
        <v/>
      </c>
    </row>
    <row r="93" spans="3:58" ht="13.9" customHeight="1">
      <c r="L93" s="1705"/>
      <c r="N93" s="1640" t="str" cm="1">
        <f t="array" ref="N93">IFERROR(IF($L93&lt;&gt;"",_xll.PBD($L93,"Name","","USD",""),""),"")</f>
        <v/>
      </c>
      <c r="O93" s="1640" t="str" cm="1">
        <f t="array" ref="O93">IFERROR(IF($L93&lt;&gt;"",_xll.PBD($L93,"Primary Industry Code","","",""),""),"")</f>
        <v/>
      </c>
      <c r="P93" s="1640" t="str" cm="1">
        <f t="array" ref="P93">IFERROR(IF($L93&lt;&gt;"",_xll.PBD($L93,"HQ Country","","",""),""),"")</f>
        <v/>
      </c>
      <c r="Q93" s="1640" t="str" cm="1">
        <f t="array" ref="Q93">IFERROR(IF($L93&lt;&gt;"",_xll.PBD($L93,"HQ City","","EUR",""),""),"")</f>
        <v/>
      </c>
      <c r="S93" s="1666" t="str" cm="1">
        <f t="array" aca="1" ref="S93" ca="1">IFERROR(IF($L93&lt;&gt;"",_xll.PBF($L93,"EV","TTM",$N$11,"","EUR","")/1000000,""),"")</f>
        <v/>
      </c>
      <c r="T93" s="1666" t="str" cm="1">
        <f t="array" aca="1" ref="T93" ca="1">IFERROR(IF($L93&lt;&gt;"",_xll.PBF($L93,"NET Debt","TTM",$N$11,"","EUR","")/1000000,""),"")</f>
        <v/>
      </c>
      <c r="U93" s="1666" t="str" cm="1">
        <f t="array" aca="1" ref="U93" ca="1">IFERROR(IF($L93&lt;&gt;"",_xll.PBF($L93,"Market Cap","TTM",$N$11,"","EUR","")/1000000,""),"")</f>
        <v/>
      </c>
      <c r="V93" s="1677" t="str" cm="1">
        <f t="array" aca="1" ref="V93" ca="1">IFERROR(IF($L93&lt;&gt;"",_xll.PBF($L93,"Total Debt to Equity","TTM",$V$21,"","EUR",""),""),"")</f>
        <v/>
      </c>
      <c r="W93" s="1677"/>
      <c r="X93" s="1666" t="str" cm="1">
        <f t="array" aca="1" ref="X93" ca="1">IFERROR(IF($L93&lt;&gt;"",_xll.PBF($L93,"Total Revenue","FY",$X$21,"","EUR","")/1000000,""),"")</f>
        <v/>
      </c>
      <c r="Y93" s="1666" t="str" cm="1">
        <f t="array" aca="1" ref="Y93" ca="1">IFERROR(IF($L93&lt;&gt;"",_xll.PBF($L93,"EBITDA","FY",$N$11,"","EUR","")/1000000,""),"")</f>
        <v/>
      </c>
      <c r="Z93" s="1666" t="str" cm="1">
        <f t="array" aca="1" ref="Z93" ca="1">IFERROR(IF($L93&lt;&gt;"",_xll.PBF($L93,"EBIT","FY",$N$11,"","EUR","")/1000000,""),"")</f>
        <v/>
      </c>
      <c r="AA93" s="1677" t="str" cm="1">
        <f t="array" aca="1" ref="AA93" ca="1">IFERROR(IF($L93&lt;&gt;"",_xll.PBF($L93,"Total Debt to EBITDA","FY",$AA$21,"","EUR",""),""),"")</f>
        <v/>
      </c>
      <c r="AB93" s="1670"/>
      <c r="AC93" s="1672" t="str" cm="1">
        <f t="array" aca="1" ref="AC93" ca="1">IFERROR(IF($L93&lt;&gt;"",_xll.PBF($L93,"EV to Revenue","FY",$N$11,"","EUR",""),""),"")</f>
        <v/>
      </c>
      <c r="AD93" s="1672" t="str" cm="1">
        <f t="array" aca="1" ref="AD93" ca="1">IFERROR(IF($L93&lt;&gt;"",_xll.PBF($L93,"EV to EBITDA","FY",$AD$21,"","EUR",""),""),"")</f>
        <v/>
      </c>
      <c r="AE93" s="1672" t="str" cm="1">
        <f t="array" aca="1" ref="AE93" ca="1">IFERROR(IF($L93&lt;&gt;"",_xll.PBF($L93,"EV to EBIT","FY",$AE$21,"","EUR",""),""),"")</f>
        <v/>
      </c>
      <c r="AF93" s="1672"/>
      <c r="AG93" s="1672" t="str" cm="1">
        <f t="array" aca="1" ref="AG93" ca="1">IFERROR(IF($L93&lt;&gt;"",_xll.PBF($L93,"EV to Forward Revenue","FY",$AG$21,"","EUR",""),""),"")</f>
        <v/>
      </c>
      <c r="AH93" s="1672" t="str" cm="1">
        <f t="array" aca="1" ref="AH93" ca="1">IFERROR(IF($L93&lt;&gt;"",_xll.PBF($L93,"EV to Forward EBITDA","FY",$AH$21,"","EUR",""),""),"")</f>
        <v/>
      </c>
      <c r="AI93" s="1672" t="str" cm="1">
        <f t="array" aca="1" ref="AI93" ca="1">IFERROR(IF($L93&lt;&gt;"",_xll.PBF($L93,"EV to Forward EBIT","FY",$AI$21,"","EUR",""),""),"")</f>
        <v/>
      </c>
      <c r="AK93" s="1705"/>
      <c r="AL93" s="1693" t="str" cm="1">
        <f t="array" ref="AL93">IFERROR(IF(AK93&lt;&gt;"",_xll.PBD(AK93,"Deal Date","","EUR",""),""),"")</f>
        <v/>
      </c>
      <c r="AM93" s="1693" t="str" cm="1">
        <f t="array" ref="AM93">IFERROR(IF(AK93&lt;&gt;"",_xll.PBD(AK93,"Limit1.Deal Type 1","","EUR",""),""),"")</f>
        <v/>
      </c>
      <c r="AN93" s="1693" t="str" cm="1">
        <f t="array" ref="AN93">IFERROR(IF(AK93&lt;&gt;"",_xll.PBD(AK93,"Limit1.Company Id","","EUR",""),""),"")</f>
        <v/>
      </c>
      <c r="AO93" s="1640" t="str" cm="1">
        <f t="array" ref="AO93">IFERROR(IF(AN93&lt;&gt;"",_xll.PBD(AN93,"Name","","EUR",""),""),"")</f>
        <v/>
      </c>
      <c r="AP93" s="1640" t="str" cm="1">
        <f t="array" ref="AP93">IFERROR(IF(AN93&lt;&gt;"",_xll.PBD(AN93,"Primary Industry Code","","EUR",""),""),"")</f>
        <v/>
      </c>
      <c r="AQ93" s="1640" t="str" cm="1">
        <f t="array" ref="AQ93">IFERROR(IF(AN93&lt;&gt;"",_xll.PBD(AN93,"HQ Country","","EUR",""),""),"")</f>
        <v/>
      </c>
      <c r="AR93" s="1640" t="str" cm="1">
        <f t="array" ref="AR93">IFERROR(IF(AK93&lt;&gt;"",_xll.PBD(AK93,"Limit1.Investors Ids","","EUR",""),""),"")</f>
        <v/>
      </c>
      <c r="AS93" s="1640" t="str" cm="1">
        <f t="array" ref="AS93">IFERROR(IF(AR93&lt;&gt;"",_xll.PBD(AR93,"Name","","EUR",""),""),"")</f>
        <v/>
      </c>
      <c r="AT93" s="1640" t="str" cm="1">
        <f t="array" ref="AT93">IFERROR(IF(AR93&lt;&gt;"",_xll.PBD(AR93,"Primary Industry Code","","EUR",""),""),"")</f>
        <v/>
      </c>
      <c r="AU93" s="1640" t="str" cm="1">
        <f t="array" ref="AU93">IFERROR(IF(AR93&lt;&gt;"",_xll.PBD(AR93,"Limit2.Entity Types","","EUR",""),""),"")</f>
        <v/>
      </c>
      <c r="AV93" s="1640" t="str" cm="1">
        <f t="array" ref="AV93">IFERROR(IF(AR93&lt;&gt;"",_xll.PBD(AR93,"HQ Country","","EUR",""),""),"")</f>
        <v/>
      </c>
      <c r="AX93" s="1641" t="str" cm="1">
        <f t="array" ref="AX93">IFERROR(IF(AK93&lt;&gt;"",_xll.PBD(AK93,"Limit1.Deal Amount","","EUR","")/1000000,""),"")</f>
        <v/>
      </c>
      <c r="AY93" s="1641" t="str" cm="1">
        <f t="array" ref="AY93">IFERROR(IF(AK93&lt;&gt;"",_xll.PBD(AK93,"Limit1.Implied EV ","","EUR","")/1000000,""),"")</f>
        <v/>
      </c>
      <c r="AZ93" s="1694" t="str" cm="1">
        <f t="array" ref="AZ93">IFERROR(IF(AK93&lt;&gt;"",_xll.PBD(AK93,"Limit1.% Acquired ","","EUR",""),""),"")</f>
        <v/>
      </c>
      <c r="BB93" s="1695" t="str" cm="1">
        <f t="array" ref="BB93">IFERROR(IF(AK93&lt;&gt;"",_xll.PBD(AK93,"Implied EV / Revenue","","EUR",""),""),"")</f>
        <v/>
      </c>
      <c r="BC93" s="1695" t="str" cm="1">
        <f t="array" ref="BC93">IFERROR(IF(AK93&lt;&gt;"",_xll.PBD(AK93,"Implied EV / EBITDA","","EUR",""),""),"")</f>
        <v/>
      </c>
      <c r="BD93" s="1695" t="str" cm="1">
        <f t="array" ref="BD93">IFERROR(IF(AK93&lt;&gt;"",_xll.PBD(AK93,"Implied EV / EBIT","","EUR",""),""),"")</f>
        <v/>
      </c>
      <c r="BF93" s="1640" t="str" cm="1">
        <f t="array" ref="BF93">IFERROR(IF(AR93&lt;&gt;"",_xll.PBD(AR93,"Brief Description","","EUR",""),""),"")</f>
        <v/>
      </c>
    </row>
    <row r="94" spans="3:58" ht="13.9" customHeight="1">
      <c r="L94" s="1705"/>
      <c r="N94" s="1640" t="str" cm="1">
        <f t="array" ref="N94">IFERROR(IF($L94&lt;&gt;"",_xll.PBD($L94,"Name","","USD",""),""),"")</f>
        <v/>
      </c>
      <c r="O94" s="1640" t="str" cm="1">
        <f t="array" ref="O94">IFERROR(IF($L94&lt;&gt;"",_xll.PBD($L94,"Primary Industry Code","","",""),""),"")</f>
        <v/>
      </c>
      <c r="P94" s="1640" t="str" cm="1">
        <f t="array" ref="P94">IFERROR(IF($L94&lt;&gt;"",_xll.PBD($L94,"HQ Country","","",""),""),"")</f>
        <v/>
      </c>
      <c r="Q94" s="1640" t="str" cm="1">
        <f t="array" ref="Q94">IFERROR(IF($L94&lt;&gt;"",_xll.PBD($L94,"HQ City","","EUR",""),""),"")</f>
        <v/>
      </c>
      <c r="S94" s="1666" t="str" cm="1">
        <f t="array" aca="1" ref="S94" ca="1">IFERROR(IF($L94&lt;&gt;"",_xll.PBF($L94,"EV","TTM",$N$11,"","EUR","")/1000000,""),"")</f>
        <v/>
      </c>
      <c r="T94" s="1666" t="str" cm="1">
        <f t="array" aca="1" ref="T94" ca="1">IFERROR(IF($L94&lt;&gt;"",_xll.PBF($L94,"NET Debt","TTM",$N$11,"","EUR","")/1000000,""),"")</f>
        <v/>
      </c>
      <c r="U94" s="1666" t="str" cm="1">
        <f t="array" aca="1" ref="U94" ca="1">IFERROR(IF($L94&lt;&gt;"",_xll.PBF($L94,"Market Cap","TTM",$N$11,"","EUR","")/1000000,""),"")</f>
        <v/>
      </c>
      <c r="V94" s="1677" t="str" cm="1">
        <f t="array" aca="1" ref="V94" ca="1">IFERROR(IF($L94&lt;&gt;"",_xll.PBF($L94,"Total Debt to Equity","TTM",$V$21,"","EUR",""),""),"")</f>
        <v/>
      </c>
      <c r="W94" s="1677"/>
      <c r="X94" s="1666" t="str" cm="1">
        <f t="array" aca="1" ref="X94" ca="1">IFERROR(IF($L94&lt;&gt;"",_xll.PBF($L94,"Total Revenue","FY",$X$21,"","EUR","")/1000000,""),"")</f>
        <v/>
      </c>
      <c r="Y94" s="1666" t="str" cm="1">
        <f t="array" aca="1" ref="Y94" ca="1">IFERROR(IF($L94&lt;&gt;"",_xll.PBF($L94,"EBITDA","FY",$N$11,"","EUR","")/1000000,""),"")</f>
        <v/>
      </c>
      <c r="Z94" s="1666" t="str" cm="1">
        <f t="array" aca="1" ref="Z94" ca="1">IFERROR(IF($L94&lt;&gt;"",_xll.PBF($L94,"EBIT","FY",$N$11,"","EUR","")/1000000,""),"")</f>
        <v/>
      </c>
      <c r="AA94" s="1677" t="str" cm="1">
        <f t="array" aca="1" ref="AA94" ca="1">IFERROR(IF($L94&lt;&gt;"",_xll.PBF($L94,"Total Debt to EBITDA","FY",$AA$21,"","EUR",""),""),"")</f>
        <v/>
      </c>
      <c r="AB94" s="1670"/>
      <c r="AC94" s="1672" t="str" cm="1">
        <f t="array" aca="1" ref="AC94" ca="1">IFERROR(IF($L94&lt;&gt;"",_xll.PBF($L94,"EV to Revenue","FY",$N$11,"","EUR",""),""),"")</f>
        <v/>
      </c>
      <c r="AD94" s="1672" t="str" cm="1">
        <f t="array" aca="1" ref="AD94" ca="1">IFERROR(IF($L94&lt;&gt;"",_xll.PBF($L94,"EV to EBITDA","FY",$AD$21,"","EUR",""),""),"")</f>
        <v/>
      </c>
      <c r="AE94" s="1672" t="str" cm="1">
        <f t="array" aca="1" ref="AE94" ca="1">IFERROR(IF($L94&lt;&gt;"",_xll.PBF($L94,"EV to EBIT","FY",$AE$21,"","EUR",""),""),"")</f>
        <v/>
      </c>
      <c r="AF94" s="1672"/>
      <c r="AG94" s="1672" t="str" cm="1">
        <f t="array" aca="1" ref="AG94" ca="1">IFERROR(IF($L94&lt;&gt;"",_xll.PBF($L94,"EV to Forward Revenue","FY",$AG$21,"","EUR",""),""),"")</f>
        <v/>
      </c>
      <c r="AH94" s="1672" t="str" cm="1">
        <f t="array" aca="1" ref="AH94" ca="1">IFERROR(IF($L94&lt;&gt;"",_xll.PBF($L94,"EV to Forward EBITDA","FY",$AH$21,"","EUR",""),""),"")</f>
        <v/>
      </c>
      <c r="AI94" s="1672" t="str" cm="1">
        <f t="array" aca="1" ref="AI94" ca="1">IFERROR(IF($L94&lt;&gt;"",_xll.PBF($L94,"EV to Forward EBIT","FY",$AI$21,"","EUR",""),""),"")</f>
        <v/>
      </c>
      <c r="AK94" s="1705"/>
      <c r="AL94" s="1693" t="str" cm="1">
        <f t="array" ref="AL94">IFERROR(IF(AK94&lt;&gt;"",_xll.PBD(AK94,"Deal Date","","EUR",""),""),"")</f>
        <v/>
      </c>
      <c r="AM94" s="1693" t="str" cm="1">
        <f t="array" ref="AM94">IFERROR(IF(AK94&lt;&gt;"",_xll.PBD(AK94,"Limit1.Deal Type 1","","EUR",""),""),"")</f>
        <v/>
      </c>
      <c r="AN94" s="1693" t="str" cm="1">
        <f t="array" ref="AN94">IFERROR(IF(AK94&lt;&gt;"",_xll.PBD(AK94,"Limit1.Company Id","","EUR",""),""),"")</f>
        <v/>
      </c>
      <c r="AO94" s="1640" t="str" cm="1">
        <f t="array" ref="AO94">IFERROR(IF(AN94&lt;&gt;"",_xll.PBD(AN94,"Name","","EUR",""),""),"")</f>
        <v/>
      </c>
      <c r="AP94" s="1640" t="str" cm="1">
        <f t="array" ref="AP94">IFERROR(IF(AN94&lt;&gt;"",_xll.PBD(AN94,"Primary Industry Code","","EUR",""),""),"")</f>
        <v/>
      </c>
      <c r="AQ94" s="1640" t="str" cm="1">
        <f t="array" ref="AQ94">IFERROR(IF(AN94&lt;&gt;"",_xll.PBD(AN94,"HQ Country","","EUR",""),""),"")</f>
        <v/>
      </c>
      <c r="AR94" s="1640" t="str" cm="1">
        <f t="array" ref="AR94">IFERROR(IF(AK94&lt;&gt;"",_xll.PBD(AK94,"Limit1.Investors Ids","","EUR",""),""),"")</f>
        <v/>
      </c>
      <c r="AS94" s="1640" t="str" cm="1">
        <f t="array" ref="AS94">IFERROR(IF(AR94&lt;&gt;"",_xll.PBD(AR94,"Name","","EUR",""),""),"")</f>
        <v/>
      </c>
      <c r="AT94" s="1640" t="str" cm="1">
        <f t="array" ref="AT94">IFERROR(IF(AR94&lt;&gt;"",_xll.PBD(AR94,"Primary Industry Code","","EUR",""),""),"")</f>
        <v/>
      </c>
      <c r="AU94" s="1640" t="str" cm="1">
        <f t="array" ref="AU94">IFERROR(IF(AR94&lt;&gt;"",_xll.PBD(AR94,"Limit2.Entity Types","","EUR",""),""),"")</f>
        <v/>
      </c>
      <c r="AV94" s="1640" t="str" cm="1">
        <f t="array" ref="AV94">IFERROR(IF(AR94&lt;&gt;"",_xll.PBD(AR94,"HQ Country","","EUR",""),""),"")</f>
        <v/>
      </c>
      <c r="AX94" s="1641" t="str" cm="1">
        <f t="array" ref="AX94">IFERROR(IF(AK94&lt;&gt;"",_xll.PBD(AK94,"Limit1.Deal Amount","","EUR","")/1000000,""),"")</f>
        <v/>
      </c>
      <c r="AY94" s="1641" t="str" cm="1">
        <f t="array" ref="AY94">IFERROR(IF(AK94&lt;&gt;"",_xll.PBD(AK94,"Limit1.Implied EV ","","EUR","")/1000000,""),"")</f>
        <v/>
      </c>
      <c r="AZ94" s="1694" t="str" cm="1">
        <f t="array" ref="AZ94">IFERROR(IF(AK94&lt;&gt;"",_xll.PBD(AK94,"Limit1.% Acquired ","","EUR",""),""),"")</f>
        <v/>
      </c>
      <c r="BB94" s="1695" t="str" cm="1">
        <f t="array" ref="BB94">IFERROR(IF(AK94&lt;&gt;"",_xll.PBD(AK94,"Implied EV / Revenue","","EUR",""),""),"")</f>
        <v/>
      </c>
      <c r="BC94" s="1695" t="str" cm="1">
        <f t="array" ref="BC94">IFERROR(IF(AK94&lt;&gt;"",_xll.PBD(AK94,"Implied EV / EBITDA","","EUR",""),""),"")</f>
        <v/>
      </c>
      <c r="BD94" s="1695" t="str" cm="1">
        <f t="array" ref="BD94">IFERROR(IF(AK94&lt;&gt;"",_xll.PBD(AK94,"Implied EV / EBIT","","EUR",""),""),"")</f>
        <v/>
      </c>
      <c r="BF94" s="1640" t="str" cm="1">
        <f t="array" ref="BF94">IFERROR(IF(AR94&lt;&gt;"",_xll.PBD(AR94,"Brief Description","","EUR",""),""),"")</f>
        <v/>
      </c>
    </row>
    <row r="95" spans="3:58" ht="13.9" customHeight="1">
      <c r="L95" s="1705"/>
      <c r="N95" s="1640" t="str" cm="1">
        <f t="array" ref="N95">IFERROR(IF($L95&lt;&gt;"",_xll.PBD($L95,"Name","","USD",""),""),"")</f>
        <v/>
      </c>
      <c r="O95" s="1640" t="str" cm="1">
        <f t="array" ref="O95">IFERROR(IF($L95&lt;&gt;"",_xll.PBD($L95,"Primary Industry Code","","",""),""),"")</f>
        <v/>
      </c>
      <c r="P95" s="1640" t="str" cm="1">
        <f t="array" ref="P95">IFERROR(IF($L95&lt;&gt;"",_xll.PBD($L95,"HQ Country","","",""),""),"")</f>
        <v/>
      </c>
      <c r="Q95" s="1640" t="str" cm="1">
        <f t="array" ref="Q95">IFERROR(IF($L95&lt;&gt;"",_xll.PBD($L95,"HQ City","","EUR",""),""),"")</f>
        <v/>
      </c>
      <c r="S95" s="1666" t="str" cm="1">
        <f t="array" aca="1" ref="S95" ca="1">IFERROR(IF($L95&lt;&gt;"",_xll.PBF($L95,"EV","TTM",$N$11,"","EUR","")/1000000,""),"")</f>
        <v/>
      </c>
      <c r="T95" s="1666" t="str" cm="1">
        <f t="array" aca="1" ref="T95" ca="1">IFERROR(IF($L95&lt;&gt;"",_xll.PBF($L95,"NET Debt","TTM",$N$11,"","EUR","")/1000000,""),"")</f>
        <v/>
      </c>
      <c r="U95" s="1666" t="str" cm="1">
        <f t="array" aca="1" ref="U95" ca="1">IFERROR(IF($L95&lt;&gt;"",_xll.PBF($L95,"Market Cap","TTM",$N$11,"","EUR","")/1000000,""),"")</f>
        <v/>
      </c>
      <c r="V95" s="1677" t="str" cm="1">
        <f t="array" aca="1" ref="V95" ca="1">IFERROR(IF($L95&lt;&gt;"",_xll.PBF($L95,"Total Debt to Equity","TTM",$V$21,"","EUR",""),""),"")</f>
        <v/>
      </c>
      <c r="W95" s="1677"/>
      <c r="X95" s="1666" t="str" cm="1">
        <f t="array" aca="1" ref="X95" ca="1">IFERROR(IF($L95&lt;&gt;"",_xll.PBF($L95,"Total Revenue","FY",$X$21,"","EUR","")/1000000,""),"")</f>
        <v/>
      </c>
      <c r="Y95" s="1666" t="str" cm="1">
        <f t="array" aca="1" ref="Y95" ca="1">IFERROR(IF($L95&lt;&gt;"",_xll.PBF($L95,"EBITDA","FY",$N$11,"","EUR","")/1000000,""),"")</f>
        <v/>
      </c>
      <c r="Z95" s="1666" t="str" cm="1">
        <f t="array" aca="1" ref="Z95" ca="1">IFERROR(IF($L95&lt;&gt;"",_xll.PBF($L95,"EBIT","FY",$N$11,"","EUR","")/1000000,""),"")</f>
        <v/>
      </c>
      <c r="AA95" s="1677" t="str" cm="1">
        <f t="array" aca="1" ref="AA95" ca="1">IFERROR(IF($L95&lt;&gt;"",_xll.PBF($L95,"Total Debt to EBITDA","FY",$AA$21,"","EUR",""),""),"")</f>
        <v/>
      </c>
      <c r="AB95" s="1670"/>
      <c r="AC95" s="1672" t="str" cm="1">
        <f t="array" aca="1" ref="AC95" ca="1">IFERROR(IF($L95&lt;&gt;"",_xll.PBF($L95,"EV to Revenue","FY",$N$11,"","EUR",""),""),"")</f>
        <v/>
      </c>
      <c r="AD95" s="1672" t="str" cm="1">
        <f t="array" aca="1" ref="AD95" ca="1">IFERROR(IF($L95&lt;&gt;"",_xll.PBF($L95,"EV to EBITDA","FY",$AD$21,"","EUR",""),""),"")</f>
        <v/>
      </c>
      <c r="AE95" s="1672" t="str" cm="1">
        <f t="array" aca="1" ref="AE95" ca="1">IFERROR(IF($L95&lt;&gt;"",_xll.PBF($L95,"EV to EBIT","FY",$AE$21,"","EUR",""),""),"")</f>
        <v/>
      </c>
      <c r="AF95" s="1672"/>
      <c r="AG95" s="1672" t="str" cm="1">
        <f t="array" aca="1" ref="AG95" ca="1">IFERROR(IF($L95&lt;&gt;"",_xll.PBF($L95,"EV to Forward Revenue","FY",$AG$21,"","EUR",""),""),"")</f>
        <v/>
      </c>
      <c r="AH95" s="1672" t="str" cm="1">
        <f t="array" aca="1" ref="AH95" ca="1">IFERROR(IF($L95&lt;&gt;"",_xll.PBF($L95,"EV to Forward EBITDA","FY",$AH$21,"","EUR",""),""),"")</f>
        <v/>
      </c>
      <c r="AI95" s="1672" t="str" cm="1">
        <f t="array" aca="1" ref="AI95" ca="1">IFERROR(IF($L95&lt;&gt;"",_xll.PBF($L95,"EV to Forward EBIT","FY",$AI$21,"","EUR",""),""),"")</f>
        <v/>
      </c>
      <c r="AK95" s="1705"/>
      <c r="AL95" s="1693" t="str" cm="1">
        <f t="array" ref="AL95">IFERROR(IF(AK95&lt;&gt;"",_xll.PBD(AK95,"Deal Date","","EUR",""),""),"")</f>
        <v/>
      </c>
      <c r="AM95" s="1693" t="str" cm="1">
        <f t="array" ref="AM95">IFERROR(IF(AK95&lt;&gt;"",_xll.PBD(AK95,"Limit1.Deal Type 1","","EUR",""),""),"")</f>
        <v/>
      </c>
      <c r="AN95" s="1693" t="str" cm="1">
        <f t="array" ref="AN95">IFERROR(IF(AK95&lt;&gt;"",_xll.PBD(AK95,"Limit1.Company Id","","EUR",""),""),"")</f>
        <v/>
      </c>
      <c r="AO95" s="1640" t="str" cm="1">
        <f t="array" ref="AO95">IFERROR(IF(AN95&lt;&gt;"",_xll.PBD(AN95,"Name","","EUR",""),""),"")</f>
        <v/>
      </c>
      <c r="AP95" s="1640" t="str" cm="1">
        <f t="array" ref="AP95">IFERROR(IF(AN95&lt;&gt;"",_xll.PBD(AN95,"Primary Industry Code","","EUR",""),""),"")</f>
        <v/>
      </c>
      <c r="AQ95" s="1640" t="str" cm="1">
        <f t="array" ref="AQ95">IFERROR(IF(AN95&lt;&gt;"",_xll.PBD(AN95,"HQ Country","","EUR",""),""),"")</f>
        <v/>
      </c>
      <c r="AR95" s="1640" t="str" cm="1">
        <f t="array" ref="AR95">IFERROR(IF(AK95&lt;&gt;"",_xll.PBD(AK95,"Limit1.Investors Ids","","EUR",""),""),"")</f>
        <v/>
      </c>
      <c r="AS95" s="1640" t="str" cm="1">
        <f t="array" ref="AS95">IFERROR(IF(AR95&lt;&gt;"",_xll.PBD(AR95,"Name","","EUR",""),""),"")</f>
        <v/>
      </c>
      <c r="AT95" s="1640" t="str" cm="1">
        <f t="array" ref="AT95">IFERROR(IF(AR95&lt;&gt;"",_xll.PBD(AR95,"Primary Industry Code","","EUR",""),""),"")</f>
        <v/>
      </c>
      <c r="AU95" s="1640" t="str" cm="1">
        <f t="array" ref="AU95">IFERROR(IF(AR95&lt;&gt;"",_xll.PBD(AR95,"Limit2.Entity Types","","EUR",""),""),"")</f>
        <v/>
      </c>
      <c r="AV95" s="1640" t="str" cm="1">
        <f t="array" ref="AV95">IFERROR(IF(AR95&lt;&gt;"",_xll.PBD(AR95,"HQ Country","","EUR",""),""),"")</f>
        <v/>
      </c>
      <c r="AX95" s="1641" t="str" cm="1">
        <f t="array" ref="AX95">IFERROR(IF(AK95&lt;&gt;"",_xll.PBD(AK95,"Limit1.Deal Amount","","EUR","")/1000000,""),"")</f>
        <v/>
      </c>
      <c r="AY95" s="1641" t="str" cm="1">
        <f t="array" ref="AY95">IFERROR(IF(AK95&lt;&gt;"",_xll.PBD(AK95,"Limit1.Implied EV ","","EUR","")/1000000,""),"")</f>
        <v/>
      </c>
      <c r="AZ95" s="1694" t="str" cm="1">
        <f t="array" ref="AZ95">IFERROR(IF(AK95&lt;&gt;"",_xll.PBD(AK95,"Limit1.% Acquired ","","EUR",""),""),"")</f>
        <v/>
      </c>
      <c r="BB95" s="1695" t="str" cm="1">
        <f t="array" ref="BB95">IFERROR(IF(AK95&lt;&gt;"",_xll.PBD(AK95,"Implied EV / Revenue","","EUR",""),""),"")</f>
        <v/>
      </c>
      <c r="BC95" s="1695" t="str" cm="1">
        <f t="array" ref="BC95">IFERROR(IF(AK95&lt;&gt;"",_xll.PBD(AK95,"Implied EV / EBITDA","","EUR",""),""),"")</f>
        <v/>
      </c>
      <c r="BD95" s="1695" t="str" cm="1">
        <f t="array" ref="BD95">IFERROR(IF(AK95&lt;&gt;"",_xll.PBD(AK95,"Implied EV / EBIT","","EUR",""),""),"")</f>
        <v/>
      </c>
      <c r="BF95" s="1640" t="str" cm="1">
        <f t="array" ref="BF95">IFERROR(IF(AR95&lt;&gt;"",_xll.PBD(AR95,"Brief Description","","EUR",""),""),"")</f>
        <v/>
      </c>
    </row>
    <row r="96" spans="3:58" ht="13.9" customHeight="1">
      <c r="L96" s="1705"/>
      <c r="N96" s="1640" t="str" cm="1">
        <f t="array" ref="N96">IFERROR(IF($L96&lt;&gt;"",_xll.PBD($L96,"Name","","USD",""),""),"")</f>
        <v/>
      </c>
      <c r="O96" s="1640" t="str" cm="1">
        <f t="array" ref="O96">IFERROR(IF($L96&lt;&gt;"",_xll.PBD($L96,"Primary Industry Code","","",""),""),"")</f>
        <v/>
      </c>
      <c r="P96" s="1640" t="str" cm="1">
        <f t="array" ref="P96">IFERROR(IF($L96&lt;&gt;"",_xll.PBD($L96,"HQ Country","","",""),""),"")</f>
        <v/>
      </c>
      <c r="Q96" s="1640" t="str" cm="1">
        <f t="array" ref="Q96">IFERROR(IF($L96&lt;&gt;"",_xll.PBD($L96,"HQ City","","EUR",""),""),"")</f>
        <v/>
      </c>
      <c r="S96" s="1666" t="str" cm="1">
        <f t="array" aca="1" ref="S96" ca="1">IFERROR(IF($L96&lt;&gt;"",_xll.PBF($L96,"EV","TTM",$N$11,"","EUR","")/1000000,""),"")</f>
        <v/>
      </c>
      <c r="T96" s="1666" t="str" cm="1">
        <f t="array" aca="1" ref="T96" ca="1">IFERROR(IF($L96&lt;&gt;"",_xll.PBF($L96,"NET Debt","TTM",$N$11,"","EUR","")/1000000,""),"")</f>
        <v/>
      </c>
      <c r="U96" s="1666" t="str" cm="1">
        <f t="array" aca="1" ref="U96" ca="1">IFERROR(IF($L96&lt;&gt;"",_xll.PBF($L96,"Market Cap","TTM",$N$11,"","EUR","")/1000000,""),"")</f>
        <v/>
      </c>
      <c r="V96" s="1677" t="str" cm="1">
        <f t="array" aca="1" ref="V96" ca="1">IFERROR(IF($L96&lt;&gt;"",_xll.PBF($L96,"Total Debt to Equity","TTM",$V$21,"","EUR",""),""),"")</f>
        <v/>
      </c>
      <c r="W96" s="1677"/>
      <c r="X96" s="1666" t="str" cm="1">
        <f t="array" aca="1" ref="X96" ca="1">IFERROR(IF($L96&lt;&gt;"",_xll.PBF($L96,"Total Revenue","FY",$X$21,"","EUR","")/1000000,""),"")</f>
        <v/>
      </c>
      <c r="Y96" s="1666" t="str" cm="1">
        <f t="array" aca="1" ref="Y96" ca="1">IFERROR(IF($L96&lt;&gt;"",_xll.PBF($L96,"EBITDA","FY",$N$11,"","EUR","")/1000000,""),"")</f>
        <v/>
      </c>
      <c r="Z96" s="1666" t="str" cm="1">
        <f t="array" aca="1" ref="Z96" ca="1">IFERROR(IF($L96&lt;&gt;"",_xll.PBF($L96,"EBIT","FY",$N$11,"","EUR","")/1000000,""),"")</f>
        <v/>
      </c>
      <c r="AA96" s="1677" t="str" cm="1">
        <f t="array" aca="1" ref="AA96" ca="1">IFERROR(IF($L96&lt;&gt;"",_xll.PBF($L96,"Total Debt to EBITDA","FY",$AA$21,"","EUR",""),""),"")</f>
        <v/>
      </c>
      <c r="AB96" s="1670"/>
      <c r="AC96" s="1672" t="str" cm="1">
        <f t="array" aca="1" ref="AC96" ca="1">IFERROR(IF($L96&lt;&gt;"",_xll.PBF($L96,"EV to Revenue","FY",$N$11,"","EUR",""),""),"")</f>
        <v/>
      </c>
      <c r="AD96" s="1672" t="str" cm="1">
        <f t="array" aca="1" ref="AD96" ca="1">IFERROR(IF($L96&lt;&gt;"",_xll.PBF($L96,"EV to EBITDA","FY",$AD$21,"","EUR",""),""),"")</f>
        <v/>
      </c>
      <c r="AE96" s="1672" t="str" cm="1">
        <f t="array" aca="1" ref="AE96" ca="1">IFERROR(IF($L96&lt;&gt;"",_xll.PBF($L96,"EV to EBIT","FY",$AE$21,"","EUR",""),""),"")</f>
        <v/>
      </c>
      <c r="AF96" s="1672"/>
      <c r="AG96" s="1672" t="str" cm="1">
        <f t="array" aca="1" ref="AG96" ca="1">IFERROR(IF($L96&lt;&gt;"",_xll.PBF($L96,"EV to Forward Revenue","FY",$AG$21,"","EUR",""),""),"")</f>
        <v/>
      </c>
      <c r="AH96" s="1672" t="str" cm="1">
        <f t="array" aca="1" ref="AH96" ca="1">IFERROR(IF($L96&lt;&gt;"",_xll.PBF($L96,"EV to Forward EBITDA","FY",$AH$21,"","EUR",""),""),"")</f>
        <v/>
      </c>
      <c r="AI96" s="1672" t="str" cm="1">
        <f t="array" aca="1" ref="AI96" ca="1">IFERROR(IF($L96&lt;&gt;"",_xll.PBF($L96,"EV to Forward EBIT","FY",$AI$21,"","EUR",""),""),"")</f>
        <v/>
      </c>
      <c r="AK96" s="1705"/>
      <c r="AL96" s="1693" t="str" cm="1">
        <f t="array" ref="AL96">IFERROR(IF(AK96&lt;&gt;"",_xll.PBD(AK96,"Deal Date","","EUR",""),""),"")</f>
        <v/>
      </c>
      <c r="AM96" s="1693" t="str" cm="1">
        <f t="array" ref="AM96">IFERROR(IF(AK96&lt;&gt;"",_xll.PBD(AK96,"Limit1.Deal Type 1","","EUR",""),""),"")</f>
        <v/>
      </c>
      <c r="AN96" s="1693" t="str" cm="1">
        <f t="array" ref="AN96">IFERROR(IF(AK96&lt;&gt;"",_xll.PBD(AK96,"Limit1.Company Id","","EUR",""),""),"")</f>
        <v/>
      </c>
      <c r="AO96" s="1640" t="str" cm="1">
        <f t="array" ref="AO96">IFERROR(IF(AN96&lt;&gt;"",_xll.PBD(AN96,"Name","","EUR",""),""),"")</f>
        <v/>
      </c>
      <c r="AP96" s="1640" t="str" cm="1">
        <f t="array" ref="AP96">IFERROR(IF(AN96&lt;&gt;"",_xll.PBD(AN96,"Primary Industry Code","","EUR",""),""),"")</f>
        <v/>
      </c>
      <c r="AQ96" s="1640" t="str" cm="1">
        <f t="array" ref="AQ96">IFERROR(IF(AN96&lt;&gt;"",_xll.PBD(AN96,"HQ Country","","EUR",""),""),"")</f>
        <v/>
      </c>
      <c r="AR96" s="1640" t="str" cm="1">
        <f t="array" ref="AR96">IFERROR(IF(AK96&lt;&gt;"",_xll.PBD(AK96,"Limit1.Investors Ids","","EUR",""),""),"")</f>
        <v/>
      </c>
      <c r="AS96" s="1640" t="str" cm="1">
        <f t="array" ref="AS96">IFERROR(IF(AR96&lt;&gt;"",_xll.PBD(AR96,"Name","","EUR",""),""),"")</f>
        <v/>
      </c>
      <c r="AT96" s="1640" t="str" cm="1">
        <f t="array" ref="AT96">IFERROR(IF(AR96&lt;&gt;"",_xll.PBD(AR96,"Primary Industry Code","","EUR",""),""),"")</f>
        <v/>
      </c>
      <c r="AU96" s="1640" t="str" cm="1">
        <f t="array" ref="AU96">IFERROR(IF(AR96&lt;&gt;"",_xll.PBD(AR96,"Limit2.Entity Types","","EUR",""),""),"")</f>
        <v/>
      </c>
      <c r="AV96" s="1640" t="str" cm="1">
        <f t="array" ref="AV96">IFERROR(IF(AR96&lt;&gt;"",_xll.PBD(AR96,"HQ Country","","EUR",""),""),"")</f>
        <v/>
      </c>
      <c r="AX96" s="1641" t="str" cm="1">
        <f t="array" ref="AX96">IFERROR(IF(AK96&lt;&gt;"",_xll.PBD(AK96,"Limit1.Deal Amount","","EUR","")/1000000,""),"")</f>
        <v/>
      </c>
      <c r="AY96" s="1641" t="str" cm="1">
        <f t="array" ref="AY96">IFERROR(IF(AK96&lt;&gt;"",_xll.PBD(AK96,"Limit1.Implied EV ","","EUR","")/1000000,""),"")</f>
        <v/>
      </c>
      <c r="AZ96" s="1694" t="str" cm="1">
        <f t="array" ref="AZ96">IFERROR(IF(AK96&lt;&gt;"",_xll.PBD(AK96,"Limit1.% Acquired ","","EUR",""),""),"")</f>
        <v/>
      </c>
      <c r="BB96" s="1695" t="str" cm="1">
        <f t="array" ref="BB96">IFERROR(IF(AK96&lt;&gt;"",_xll.PBD(AK96,"Implied EV / Revenue","","EUR",""),""),"")</f>
        <v/>
      </c>
      <c r="BC96" s="1695" t="str" cm="1">
        <f t="array" ref="BC96">IFERROR(IF(AK96&lt;&gt;"",_xll.PBD(AK96,"Implied EV / EBITDA","","EUR",""),""),"")</f>
        <v/>
      </c>
      <c r="BD96" s="1695" t="str" cm="1">
        <f t="array" ref="BD96">IFERROR(IF(AK96&lt;&gt;"",_xll.PBD(AK96,"Implied EV / EBIT","","EUR",""),""),"")</f>
        <v/>
      </c>
      <c r="BF96" s="1640" t="str" cm="1">
        <f t="array" ref="BF96">IFERROR(IF(AR96&lt;&gt;"",_xll.PBD(AR96,"Brief Description","","EUR",""),""),"")</f>
        <v/>
      </c>
    </row>
    <row r="97" spans="12:58" ht="13.9" customHeight="1">
      <c r="L97" s="1705"/>
      <c r="N97" s="1640" t="str" cm="1">
        <f t="array" ref="N97">IFERROR(IF($L97&lt;&gt;"",_xll.PBD($L97,"Name","","USD",""),""),"")</f>
        <v/>
      </c>
      <c r="O97" s="1640" t="str" cm="1">
        <f t="array" ref="O97">IFERROR(IF($L97&lt;&gt;"",_xll.PBD($L97,"Primary Industry Code","","",""),""),"")</f>
        <v/>
      </c>
      <c r="P97" s="1640" t="str" cm="1">
        <f t="array" ref="P97">IFERROR(IF($L97&lt;&gt;"",_xll.PBD($L97,"HQ Country","","",""),""),"")</f>
        <v/>
      </c>
      <c r="Q97" s="1640" t="str" cm="1">
        <f t="array" ref="Q97">IFERROR(IF($L97&lt;&gt;"",_xll.PBD($L97,"HQ City","","EUR",""),""),"")</f>
        <v/>
      </c>
      <c r="S97" s="1666" t="str" cm="1">
        <f t="array" aca="1" ref="S97" ca="1">IFERROR(IF($L97&lt;&gt;"",_xll.PBF($L97,"EV","TTM",$N$11,"","EUR","")/1000000,""),"")</f>
        <v/>
      </c>
      <c r="T97" s="1666" t="str" cm="1">
        <f t="array" aca="1" ref="T97" ca="1">IFERROR(IF($L97&lt;&gt;"",_xll.PBF($L97,"NET Debt","TTM",$N$11,"","EUR","")/1000000,""),"")</f>
        <v/>
      </c>
      <c r="U97" s="1666" t="str" cm="1">
        <f t="array" aca="1" ref="U97" ca="1">IFERROR(IF($L97&lt;&gt;"",_xll.PBF($L97,"Market Cap","TTM",$N$11,"","EUR","")/1000000,""),"")</f>
        <v/>
      </c>
      <c r="V97" s="1677" t="str" cm="1">
        <f t="array" aca="1" ref="V97" ca="1">IFERROR(IF($L97&lt;&gt;"",_xll.PBF($L97,"Total Debt to Equity","TTM",$V$21,"","EUR",""),""),"")</f>
        <v/>
      </c>
      <c r="W97" s="1677"/>
      <c r="X97" s="1666" t="str" cm="1">
        <f t="array" aca="1" ref="X97" ca="1">IFERROR(IF($L97&lt;&gt;"",_xll.PBF($L97,"Total Revenue","FY",$X$21,"","EUR","")/1000000,""),"")</f>
        <v/>
      </c>
      <c r="Y97" s="1666" t="str" cm="1">
        <f t="array" aca="1" ref="Y97" ca="1">IFERROR(IF($L97&lt;&gt;"",_xll.PBF($L97,"EBITDA","FY",$N$11,"","EUR","")/1000000,""),"")</f>
        <v/>
      </c>
      <c r="Z97" s="1666" t="str" cm="1">
        <f t="array" aca="1" ref="Z97" ca="1">IFERROR(IF($L97&lt;&gt;"",_xll.PBF($L97,"EBIT","FY",$N$11,"","EUR","")/1000000,""),"")</f>
        <v/>
      </c>
      <c r="AA97" s="1677" t="str" cm="1">
        <f t="array" aca="1" ref="AA97" ca="1">IFERROR(IF($L97&lt;&gt;"",_xll.PBF($L97,"Total Debt to EBITDA","FY",$AA$21,"","EUR",""),""),"")</f>
        <v/>
      </c>
      <c r="AB97" s="1670"/>
      <c r="AC97" s="1672" t="str" cm="1">
        <f t="array" aca="1" ref="AC97" ca="1">IFERROR(IF($L97&lt;&gt;"",_xll.PBF($L97,"EV to Revenue","FY",$N$11,"","EUR",""),""),"")</f>
        <v/>
      </c>
      <c r="AD97" s="1672" t="str" cm="1">
        <f t="array" aca="1" ref="AD97" ca="1">IFERROR(IF($L97&lt;&gt;"",_xll.PBF($L97,"EV to EBITDA","FY",$AD$21,"","EUR",""),""),"")</f>
        <v/>
      </c>
      <c r="AE97" s="1672" t="str" cm="1">
        <f t="array" aca="1" ref="AE97" ca="1">IFERROR(IF($L97&lt;&gt;"",_xll.PBF($L97,"EV to EBIT","FY",$AE$21,"","EUR",""),""),"")</f>
        <v/>
      </c>
      <c r="AF97" s="1672"/>
      <c r="AG97" s="1672" t="str" cm="1">
        <f t="array" aca="1" ref="AG97" ca="1">IFERROR(IF($L97&lt;&gt;"",_xll.PBF($L97,"EV to Forward Revenue","FY",$AG$21,"","EUR",""),""),"")</f>
        <v/>
      </c>
      <c r="AH97" s="1672" t="str" cm="1">
        <f t="array" aca="1" ref="AH97" ca="1">IFERROR(IF($L97&lt;&gt;"",_xll.PBF($L97,"EV to Forward EBITDA","FY",$AH$21,"","EUR",""),""),"")</f>
        <v/>
      </c>
      <c r="AI97" s="1672" t="str" cm="1">
        <f t="array" aca="1" ref="AI97" ca="1">IFERROR(IF($L97&lt;&gt;"",_xll.PBF($L97,"EV to Forward EBIT","FY",$AI$21,"","EUR",""),""),"")</f>
        <v/>
      </c>
      <c r="AK97" s="1705"/>
      <c r="AL97" s="1693" t="str" cm="1">
        <f t="array" ref="AL97">IFERROR(IF(AK97&lt;&gt;"",_xll.PBD(AK97,"Deal Date","","EUR",""),""),"")</f>
        <v/>
      </c>
      <c r="AM97" s="1693" t="str" cm="1">
        <f t="array" ref="AM97">IFERROR(IF(AK97&lt;&gt;"",_xll.PBD(AK97,"Limit1.Deal Type 1","","EUR",""),""),"")</f>
        <v/>
      </c>
      <c r="AN97" s="1693" t="str" cm="1">
        <f t="array" ref="AN97">IFERROR(IF(AK97&lt;&gt;"",_xll.PBD(AK97,"Limit1.Company Id","","EUR",""),""),"")</f>
        <v/>
      </c>
      <c r="AO97" s="1640" t="str" cm="1">
        <f t="array" ref="AO97">IFERROR(IF(AN97&lt;&gt;"",_xll.PBD(AN97,"Name","","EUR",""),""),"")</f>
        <v/>
      </c>
      <c r="AP97" s="1640" t="str" cm="1">
        <f t="array" ref="AP97">IFERROR(IF(AN97&lt;&gt;"",_xll.PBD(AN97,"Primary Industry Code","","EUR",""),""),"")</f>
        <v/>
      </c>
      <c r="AQ97" s="1640" t="str" cm="1">
        <f t="array" ref="AQ97">IFERROR(IF(AN97&lt;&gt;"",_xll.PBD(AN97,"HQ Country","","EUR",""),""),"")</f>
        <v/>
      </c>
      <c r="AR97" s="1640" t="str" cm="1">
        <f t="array" ref="AR97">IFERROR(IF(AK97&lt;&gt;"",_xll.PBD(AK97,"Limit1.Investors Ids","","EUR",""),""),"")</f>
        <v/>
      </c>
      <c r="AS97" s="1640" t="str" cm="1">
        <f t="array" ref="AS97">IFERROR(IF(AR97&lt;&gt;"",_xll.PBD(AR97,"Name","","EUR",""),""),"")</f>
        <v/>
      </c>
      <c r="AT97" s="1640" t="str" cm="1">
        <f t="array" ref="AT97">IFERROR(IF(AR97&lt;&gt;"",_xll.PBD(AR97,"Primary Industry Code","","EUR",""),""),"")</f>
        <v/>
      </c>
      <c r="AU97" s="1640" t="str" cm="1">
        <f t="array" ref="AU97">IFERROR(IF(AR97&lt;&gt;"",_xll.PBD(AR97,"Limit2.Entity Types","","EUR",""),""),"")</f>
        <v/>
      </c>
      <c r="AV97" s="1640" t="str" cm="1">
        <f t="array" ref="AV97">IFERROR(IF(AR97&lt;&gt;"",_xll.PBD(AR97,"HQ Country","","EUR",""),""),"")</f>
        <v/>
      </c>
      <c r="AX97" s="1641" t="str" cm="1">
        <f t="array" ref="AX97">IFERROR(IF(AK97&lt;&gt;"",_xll.PBD(AK97,"Limit1.Deal Amount","","EUR","")/1000000,""),"")</f>
        <v/>
      </c>
      <c r="AY97" s="1641" t="str" cm="1">
        <f t="array" ref="AY97">IFERROR(IF(AK97&lt;&gt;"",_xll.PBD(AK97,"Limit1.Implied EV ","","EUR","")/1000000,""),"")</f>
        <v/>
      </c>
      <c r="AZ97" s="1694" t="str" cm="1">
        <f t="array" ref="AZ97">IFERROR(IF(AK97&lt;&gt;"",_xll.PBD(AK97,"Limit1.% Acquired ","","EUR",""),""),"")</f>
        <v/>
      </c>
      <c r="BB97" s="1695" t="str" cm="1">
        <f t="array" ref="BB97">IFERROR(IF(AK97&lt;&gt;"",_xll.PBD(AK97,"Implied EV / Revenue","","EUR",""),""),"")</f>
        <v/>
      </c>
      <c r="BC97" s="1695" t="str" cm="1">
        <f t="array" ref="BC97">IFERROR(IF(AK97&lt;&gt;"",_xll.PBD(AK97,"Implied EV / EBITDA","","EUR",""),""),"")</f>
        <v/>
      </c>
      <c r="BD97" s="1695" t="str" cm="1">
        <f t="array" ref="BD97">IFERROR(IF(AK97&lt;&gt;"",_xll.PBD(AK97,"Implied EV / EBIT","","EUR",""),""),"")</f>
        <v/>
      </c>
      <c r="BF97" s="1640" t="str" cm="1">
        <f t="array" ref="BF97">IFERROR(IF(AR97&lt;&gt;"",_xll.PBD(AR97,"Brief Description","","EUR",""),""),"")</f>
        <v/>
      </c>
    </row>
    <row r="98" spans="12:58" ht="13.9" customHeight="1">
      <c r="L98" s="1705"/>
      <c r="N98" s="1640" t="str" cm="1">
        <f t="array" ref="N98">IFERROR(IF($L98&lt;&gt;"",_xll.PBD($L98,"Name","","USD",""),""),"")</f>
        <v/>
      </c>
      <c r="O98" s="1640" t="str" cm="1">
        <f t="array" ref="O98">IFERROR(IF($L98&lt;&gt;"",_xll.PBD($L98,"Primary Industry Code","","",""),""),"")</f>
        <v/>
      </c>
      <c r="P98" s="1640" t="str" cm="1">
        <f t="array" ref="P98">IFERROR(IF($L98&lt;&gt;"",_xll.PBD($L98,"HQ Country","","",""),""),"")</f>
        <v/>
      </c>
      <c r="Q98" s="1640" t="str" cm="1">
        <f t="array" ref="Q98">IFERROR(IF($L98&lt;&gt;"",_xll.PBD($L98,"HQ City","","EUR",""),""),"")</f>
        <v/>
      </c>
      <c r="S98" s="1666" t="str" cm="1">
        <f t="array" aca="1" ref="S98" ca="1">IFERROR(IF($L98&lt;&gt;"",_xll.PBF($L98,"EV","TTM",$N$11,"","EUR","")/1000000,""),"")</f>
        <v/>
      </c>
      <c r="T98" s="1666" t="str" cm="1">
        <f t="array" aca="1" ref="T98" ca="1">IFERROR(IF($L98&lt;&gt;"",_xll.PBF($L98,"NET Debt","TTM",$N$11,"","EUR","")/1000000,""),"")</f>
        <v/>
      </c>
      <c r="U98" s="1666" t="str" cm="1">
        <f t="array" aca="1" ref="U98" ca="1">IFERROR(IF($L98&lt;&gt;"",_xll.PBF($L98,"Market Cap","TTM",$N$11,"","EUR","")/1000000,""),"")</f>
        <v/>
      </c>
      <c r="V98" s="1677" t="str" cm="1">
        <f t="array" aca="1" ref="V98" ca="1">IFERROR(IF($L98&lt;&gt;"",_xll.PBF($L98,"Total Debt to Equity","TTM",$V$21,"","EUR",""),""),"")</f>
        <v/>
      </c>
      <c r="W98" s="1677"/>
      <c r="X98" s="1666" t="str" cm="1">
        <f t="array" aca="1" ref="X98" ca="1">IFERROR(IF($L98&lt;&gt;"",_xll.PBF($L98,"Total Revenue","FY",$X$21,"","EUR","")/1000000,""),"")</f>
        <v/>
      </c>
      <c r="Y98" s="1666" t="str" cm="1">
        <f t="array" aca="1" ref="Y98" ca="1">IFERROR(IF($L98&lt;&gt;"",_xll.PBF($L98,"EBITDA","FY",$N$11,"","EUR","")/1000000,""),"")</f>
        <v/>
      </c>
      <c r="Z98" s="1666" t="str" cm="1">
        <f t="array" aca="1" ref="Z98" ca="1">IFERROR(IF($L98&lt;&gt;"",_xll.PBF($L98,"EBIT","FY",$N$11,"","EUR","")/1000000,""),"")</f>
        <v/>
      </c>
      <c r="AA98" s="1677" t="str" cm="1">
        <f t="array" aca="1" ref="AA98" ca="1">IFERROR(IF($L98&lt;&gt;"",_xll.PBF($L98,"Total Debt to EBITDA","FY",$AA$21,"","EUR",""),""),"")</f>
        <v/>
      </c>
      <c r="AB98" s="1670"/>
      <c r="AC98" s="1672" t="str" cm="1">
        <f t="array" aca="1" ref="AC98" ca="1">IFERROR(IF($L98&lt;&gt;"",_xll.PBF($L98,"EV to Revenue","FY",$N$11,"","EUR",""),""),"")</f>
        <v/>
      </c>
      <c r="AD98" s="1672" t="str" cm="1">
        <f t="array" aca="1" ref="AD98" ca="1">IFERROR(IF($L98&lt;&gt;"",_xll.PBF($L98,"EV to EBITDA","FY",$AD$21,"","EUR",""),""),"")</f>
        <v/>
      </c>
      <c r="AE98" s="1672" t="str" cm="1">
        <f t="array" aca="1" ref="AE98" ca="1">IFERROR(IF($L98&lt;&gt;"",_xll.PBF($L98,"EV to EBIT","FY",$AE$21,"","EUR",""),""),"")</f>
        <v/>
      </c>
      <c r="AF98" s="1672"/>
      <c r="AG98" s="1672" t="str" cm="1">
        <f t="array" aca="1" ref="AG98" ca="1">IFERROR(IF($L98&lt;&gt;"",_xll.PBF($L98,"EV to Forward Revenue","FY",$AG$21,"","EUR",""),""),"")</f>
        <v/>
      </c>
      <c r="AH98" s="1672" t="str" cm="1">
        <f t="array" aca="1" ref="AH98" ca="1">IFERROR(IF($L98&lt;&gt;"",_xll.PBF($L98,"EV to Forward EBITDA","FY",$AH$21,"","EUR",""),""),"")</f>
        <v/>
      </c>
      <c r="AI98" s="1672" t="str" cm="1">
        <f t="array" aca="1" ref="AI98" ca="1">IFERROR(IF($L98&lt;&gt;"",_xll.PBF($L98,"EV to Forward EBIT","FY",$AI$21,"","EUR",""),""),"")</f>
        <v/>
      </c>
      <c r="AK98" s="1705"/>
      <c r="AL98" s="1693" t="str" cm="1">
        <f t="array" ref="AL98">IFERROR(IF(AK98&lt;&gt;"",_xll.PBD(AK98,"Deal Date","","EUR",""),""),"")</f>
        <v/>
      </c>
      <c r="AM98" s="1693" t="str" cm="1">
        <f t="array" ref="AM98">IFERROR(IF(AK98&lt;&gt;"",_xll.PBD(AK98,"Limit1.Deal Type 1","","EUR",""),""),"")</f>
        <v/>
      </c>
      <c r="AN98" s="1693" t="str" cm="1">
        <f t="array" ref="AN98">IFERROR(IF(AK98&lt;&gt;"",_xll.PBD(AK98,"Limit1.Company Id","","EUR",""),""),"")</f>
        <v/>
      </c>
      <c r="AO98" s="1640" t="str" cm="1">
        <f t="array" ref="AO98">IFERROR(IF(AN98&lt;&gt;"",_xll.PBD(AN98,"Name","","EUR",""),""),"")</f>
        <v/>
      </c>
      <c r="AP98" s="1640" t="str" cm="1">
        <f t="array" ref="AP98">IFERROR(IF(AN98&lt;&gt;"",_xll.PBD(AN98,"Primary Industry Code","","EUR",""),""),"")</f>
        <v/>
      </c>
      <c r="AQ98" s="1640" t="str" cm="1">
        <f t="array" ref="AQ98">IFERROR(IF(AN98&lt;&gt;"",_xll.PBD(AN98,"HQ Country","","EUR",""),""),"")</f>
        <v/>
      </c>
      <c r="AR98" s="1640" t="str" cm="1">
        <f t="array" ref="AR98">IFERROR(IF(AK98&lt;&gt;"",_xll.PBD(AK98,"Limit1.Investors Ids","","EUR",""),""),"")</f>
        <v/>
      </c>
      <c r="AS98" s="1640" t="str" cm="1">
        <f t="array" ref="AS98">IFERROR(IF(AR98&lt;&gt;"",_xll.PBD(AR98,"Name","","EUR",""),""),"")</f>
        <v/>
      </c>
      <c r="AT98" s="1640" t="str" cm="1">
        <f t="array" ref="AT98">IFERROR(IF(AR98&lt;&gt;"",_xll.PBD(AR98,"Primary Industry Code","","EUR",""),""),"")</f>
        <v/>
      </c>
      <c r="AU98" s="1640" t="str" cm="1">
        <f t="array" ref="AU98">IFERROR(IF(AR98&lt;&gt;"",_xll.PBD(AR98,"Limit2.Entity Types","","EUR",""),""),"")</f>
        <v/>
      </c>
      <c r="AV98" s="1640" t="str" cm="1">
        <f t="array" ref="AV98">IFERROR(IF(AR98&lt;&gt;"",_xll.PBD(AR98,"HQ Country","","EUR",""),""),"")</f>
        <v/>
      </c>
      <c r="AX98" s="1641" t="str" cm="1">
        <f t="array" ref="AX98">IFERROR(IF(AK98&lt;&gt;"",_xll.PBD(AK98,"Limit1.Deal Amount","","EUR","")/1000000,""),"")</f>
        <v/>
      </c>
      <c r="AY98" s="1641" t="str" cm="1">
        <f t="array" ref="AY98">IFERROR(IF(AK98&lt;&gt;"",_xll.PBD(AK98,"Limit1.Implied EV ","","EUR","")/1000000,""),"")</f>
        <v/>
      </c>
      <c r="AZ98" s="1694" t="str" cm="1">
        <f t="array" ref="AZ98">IFERROR(IF(AK98&lt;&gt;"",_xll.PBD(AK98,"Limit1.% Acquired ","","EUR",""),""),"")</f>
        <v/>
      </c>
      <c r="BB98" s="1695" t="str" cm="1">
        <f t="array" ref="BB98">IFERROR(IF(AK98&lt;&gt;"",_xll.PBD(AK98,"Implied EV / Revenue","","EUR",""),""),"")</f>
        <v/>
      </c>
      <c r="BC98" s="1695" t="str" cm="1">
        <f t="array" ref="BC98">IFERROR(IF(AK98&lt;&gt;"",_xll.PBD(AK98,"Implied EV / EBITDA","","EUR",""),""),"")</f>
        <v/>
      </c>
      <c r="BD98" s="1695" t="str" cm="1">
        <f t="array" ref="BD98">IFERROR(IF(AK98&lt;&gt;"",_xll.PBD(AK98,"Implied EV / EBIT","","EUR",""),""),"")</f>
        <v/>
      </c>
      <c r="BF98" s="1640" t="str" cm="1">
        <f t="array" ref="BF98">IFERROR(IF(AR98&lt;&gt;"",_xll.PBD(AR98,"Brief Description","","EUR",""),""),"")</f>
        <v/>
      </c>
    </row>
    <row r="99" spans="12:58" ht="13.9" customHeight="1">
      <c r="L99" s="1705"/>
      <c r="N99" s="1640" t="str" cm="1">
        <f t="array" ref="N99">IFERROR(IF($L99&lt;&gt;"",_xll.PBD($L99,"Name","","USD",""),""),"")</f>
        <v/>
      </c>
      <c r="O99" s="1640" t="str" cm="1">
        <f t="array" ref="O99">IFERROR(IF($L99&lt;&gt;"",_xll.PBD($L99,"Primary Industry Code","","",""),""),"")</f>
        <v/>
      </c>
      <c r="P99" s="1640" t="str" cm="1">
        <f t="array" ref="P99">IFERROR(IF($L99&lt;&gt;"",_xll.PBD($L99,"HQ Country","","",""),""),"")</f>
        <v/>
      </c>
      <c r="Q99" s="1640" t="str" cm="1">
        <f t="array" ref="Q99">IFERROR(IF($L99&lt;&gt;"",_xll.PBD($L99,"HQ City","","EUR",""),""),"")</f>
        <v/>
      </c>
      <c r="S99" s="1666" t="str" cm="1">
        <f t="array" aca="1" ref="S99" ca="1">IFERROR(IF($L99&lt;&gt;"",_xll.PBF($L99,"EV","TTM",$N$11,"","EUR","")/1000000,""),"")</f>
        <v/>
      </c>
      <c r="T99" s="1666" t="str" cm="1">
        <f t="array" aca="1" ref="T99" ca="1">IFERROR(IF($L99&lt;&gt;"",_xll.PBF($L99,"NET Debt","TTM",$N$11,"","EUR","")/1000000,""),"")</f>
        <v/>
      </c>
      <c r="U99" s="1666" t="str" cm="1">
        <f t="array" aca="1" ref="U99" ca="1">IFERROR(IF($L99&lt;&gt;"",_xll.PBF($L99,"Market Cap","TTM",$N$11,"","EUR","")/1000000,""),"")</f>
        <v/>
      </c>
      <c r="V99" s="1677" t="str" cm="1">
        <f t="array" aca="1" ref="V99" ca="1">IFERROR(IF($L99&lt;&gt;"",_xll.PBF($L99,"Total Debt to Equity","TTM",$V$21,"","EUR",""),""),"")</f>
        <v/>
      </c>
      <c r="W99" s="1677"/>
      <c r="X99" s="1666" t="str" cm="1">
        <f t="array" aca="1" ref="X99" ca="1">IFERROR(IF($L99&lt;&gt;"",_xll.PBF($L99,"Total Revenue","FY",$X$21,"","EUR","")/1000000,""),"")</f>
        <v/>
      </c>
      <c r="Y99" s="1666" t="str" cm="1">
        <f t="array" aca="1" ref="Y99" ca="1">IFERROR(IF($L99&lt;&gt;"",_xll.PBF($L99,"EBITDA","FY",$N$11,"","EUR","")/1000000,""),"")</f>
        <v/>
      </c>
      <c r="Z99" s="1666" t="str" cm="1">
        <f t="array" aca="1" ref="Z99" ca="1">IFERROR(IF($L99&lt;&gt;"",_xll.PBF($L99,"EBIT","FY",$N$11,"","EUR","")/1000000,""),"")</f>
        <v/>
      </c>
      <c r="AA99" s="1677" t="str" cm="1">
        <f t="array" aca="1" ref="AA99" ca="1">IFERROR(IF($L99&lt;&gt;"",_xll.PBF($L99,"Total Debt to EBITDA","FY",$AA$21,"","EUR",""),""),"")</f>
        <v/>
      </c>
      <c r="AB99" s="1670"/>
      <c r="AC99" s="1672" t="str" cm="1">
        <f t="array" aca="1" ref="AC99" ca="1">IFERROR(IF($L99&lt;&gt;"",_xll.PBF($L99,"EV to Revenue","FY",$N$11,"","EUR",""),""),"")</f>
        <v/>
      </c>
      <c r="AD99" s="1672" t="str" cm="1">
        <f t="array" aca="1" ref="AD99" ca="1">IFERROR(IF($L99&lt;&gt;"",_xll.PBF($L99,"EV to EBITDA","FY",$AD$21,"","EUR",""),""),"")</f>
        <v/>
      </c>
      <c r="AE99" s="1672" t="str" cm="1">
        <f t="array" aca="1" ref="AE99" ca="1">IFERROR(IF($L99&lt;&gt;"",_xll.PBF($L99,"EV to EBIT","FY",$AE$21,"","EUR",""),""),"")</f>
        <v/>
      </c>
      <c r="AF99" s="1672"/>
      <c r="AG99" s="1672" t="str" cm="1">
        <f t="array" aca="1" ref="AG99" ca="1">IFERROR(IF($L99&lt;&gt;"",_xll.PBF($L99,"EV to Forward Revenue","FY",$AG$21,"","EUR",""),""),"")</f>
        <v/>
      </c>
      <c r="AH99" s="1672" t="str" cm="1">
        <f t="array" aca="1" ref="AH99" ca="1">IFERROR(IF($L99&lt;&gt;"",_xll.PBF($L99,"EV to Forward EBITDA","FY",$AH$21,"","EUR",""),""),"")</f>
        <v/>
      </c>
      <c r="AI99" s="1672" t="str" cm="1">
        <f t="array" aca="1" ref="AI99" ca="1">IFERROR(IF($L99&lt;&gt;"",_xll.PBF($L99,"EV to Forward EBIT","FY",$AI$21,"","EUR",""),""),"")</f>
        <v/>
      </c>
      <c r="AK99" s="1705"/>
      <c r="AL99" s="1693" t="str" cm="1">
        <f t="array" ref="AL99">IFERROR(IF(AK99&lt;&gt;"",_xll.PBD(AK99,"Deal Date","","EUR",""),""),"")</f>
        <v/>
      </c>
      <c r="AM99" s="1693" t="str" cm="1">
        <f t="array" ref="AM99">IFERROR(IF(AK99&lt;&gt;"",_xll.PBD(AK99,"Limit1.Deal Type 1","","EUR",""),""),"")</f>
        <v/>
      </c>
      <c r="AN99" s="1693" t="str" cm="1">
        <f t="array" ref="AN99">IFERROR(IF(AK99&lt;&gt;"",_xll.PBD(AK99,"Limit1.Company Id","","EUR",""),""),"")</f>
        <v/>
      </c>
      <c r="AO99" s="1640" t="str" cm="1">
        <f t="array" ref="AO99">IFERROR(IF(AN99&lt;&gt;"",_xll.PBD(AN99,"Name","","EUR",""),""),"")</f>
        <v/>
      </c>
      <c r="AP99" s="1640" t="str" cm="1">
        <f t="array" ref="AP99">IFERROR(IF(AN99&lt;&gt;"",_xll.PBD(AN99,"Primary Industry Code","","EUR",""),""),"")</f>
        <v/>
      </c>
      <c r="AQ99" s="1640" t="str" cm="1">
        <f t="array" ref="AQ99">IFERROR(IF(AN99&lt;&gt;"",_xll.PBD(AN99,"HQ Country","","EUR",""),""),"")</f>
        <v/>
      </c>
      <c r="AR99" s="1640" t="str" cm="1">
        <f t="array" ref="AR99">IFERROR(IF(AK99&lt;&gt;"",_xll.PBD(AK99,"Limit1.Investors Ids","","EUR",""),""),"")</f>
        <v/>
      </c>
      <c r="AS99" s="1640" t="str" cm="1">
        <f t="array" ref="AS99">IFERROR(IF(AR99&lt;&gt;"",_xll.PBD(AR99,"Name","","EUR",""),""),"")</f>
        <v/>
      </c>
      <c r="AT99" s="1640" t="str" cm="1">
        <f t="array" ref="AT99">IFERROR(IF(AR99&lt;&gt;"",_xll.PBD(AR99,"Primary Industry Code","","EUR",""),""),"")</f>
        <v/>
      </c>
      <c r="AU99" s="1640" t="str" cm="1">
        <f t="array" ref="AU99">IFERROR(IF(AR99&lt;&gt;"",_xll.PBD(AR99,"Limit2.Entity Types","","EUR",""),""),"")</f>
        <v/>
      </c>
      <c r="AV99" s="1640" t="str" cm="1">
        <f t="array" ref="AV99">IFERROR(IF(AR99&lt;&gt;"",_xll.PBD(AR99,"HQ Country","","EUR",""),""),"")</f>
        <v/>
      </c>
      <c r="AX99" s="1641" t="str" cm="1">
        <f t="array" ref="AX99">IFERROR(IF(AK99&lt;&gt;"",_xll.PBD(AK99,"Limit1.Deal Amount","","EUR","")/1000000,""),"")</f>
        <v/>
      </c>
      <c r="AY99" s="1641" t="str" cm="1">
        <f t="array" ref="AY99">IFERROR(IF(AK99&lt;&gt;"",_xll.PBD(AK99,"Limit1.Implied EV ","","EUR","")/1000000,""),"")</f>
        <v/>
      </c>
      <c r="AZ99" s="1694" t="str" cm="1">
        <f t="array" ref="AZ99">IFERROR(IF(AK99&lt;&gt;"",_xll.PBD(AK99,"Limit1.% Acquired ","","EUR",""),""),"")</f>
        <v/>
      </c>
      <c r="BB99" s="1695" t="str" cm="1">
        <f t="array" ref="BB99">IFERROR(IF(AK99&lt;&gt;"",_xll.PBD(AK99,"Implied EV / Revenue","","EUR",""),""),"")</f>
        <v/>
      </c>
      <c r="BC99" s="1695" t="str" cm="1">
        <f t="array" ref="BC99">IFERROR(IF(AK99&lt;&gt;"",_xll.PBD(AK99,"Implied EV / EBITDA","","EUR",""),""),"")</f>
        <v/>
      </c>
      <c r="BD99" s="1695" t="str" cm="1">
        <f t="array" ref="BD99">IFERROR(IF(AK99&lt;&gt;"",_xll.PBD(AK99,"Implied EV / EBIT","","EUR",""),""),"")</f>
        <v/>
      </c>
      <c r="BF99" s="1640" t="str" cm="1">
        <f t="array" ref="BF99">IFERROR(IF(AR99&lt;&gt;"",_xll.PBD(AR99,"Brief Description","","EUR",""),""),"")</f>
        <v/>
      </c>
    </row>
    <row r="100" spans="12:58" ht="13.9" customHeight="1">
      <c r="L100" s="1705"/>
      <c r="N100" s="1640" t="str" cm="1">
        <f t="array" ref="N100">IFERROR(IF($L100&lt;&gt;"",_xll.PBD($L100,"Name","","USD",""),""),"")</f>
        <v/>
      </c>
      <c r="O100" s="1640" t="str" cm="1">
        <f t="array" ref="O100">IFERROR(IF($L100&lt;&gt;"",_xll.PBD($L100,"Primary Industry Code","","",""),""),"")</f>
        <v/>
      </c>
      <c r="P100" s="1640" t="str" cm="1">
        <f t="array" ref="P100">IFERROR(IF($L100&lt;&gt;"",_xll.PBD($L100,"HQ Country","","",""),""),"")</f>
        <v/>
      </c>
      <c r="Q100" s="1640" t="str" cm="1">
        <f t="array" ref="Q100">IFERROR(IF($L100&lt;&gt;"",_xll.PBD($L100,"HQ City","","EUR",""),""),"")</f>
        <v/>
      </c>
      <c r="S100" s="1666" t="str" cm="1">
        <f t="array" aca="1" ref="S100" ca="1">IFERROR(IF($L100&lt;&gt;"",_xll.PBF($L100,"EV","TTM",$N$11,"","EUR","")/1000000,""),"")</f>
        <v/>
      </c>
      <c r="T100" s="1666" t="str" cm="1">
        <f t="array" aca="1" ref="T100" ca="1">IFERROR(IF($L100&lt;&gt;"",_xll.PBF($L100,"NET Debt","TTM",$N$11,"","EUR","")/1000000,""),"")</f>
        <v/>
      </c>
      <c r="U100" s="1666" t="str" cm="1">
        <f t="array" aca="1" ref="U100" ca="1">IFERROR(IF($L100&lt;&gt;"",_xll.PBF($L100,"Market Cap","TTM",$N$11,"","EUR","")/1000000,""),"")</f>
        <v/>
      </c>
      <c r="V100" s="1677" t="str" cm="1">
        <f t="array" aca="1" ref="V100" ca="1">IFERROR(IF($L100&lt;&gt;"",_xll.PBF($L100,"Total Debt to Equity","TTM",$V$21,"","EUR",""),""),"")</f>
        <v/>
      </c>
      <c r="W100" s="1677"/>
      <c r="X100" s="1666" t="str" cm="1">
        <f t="array" aca="1" ref="X100" ca="1">IFERROR(IF($L100&lt;&gt;"",_xll.PBF($L100,"Total Revenue","FY",$X$21,"","EUR","")/1000000,""),"")</f>
        <v/>
      </c>
      <c r="Y100" s="1666" t="str" cm="1">
        <f t="array" aca="1" ref="Y100" ca="1">IFERROR(IF($L100&lt;&gt;"",_xll.PBF($L100,"EBITDA","FY",$N$11,"","EUR","")/1000000,""),"")</f>
        <v/>
      </c>
      <c r="Z100" s="1666" t="str" cm="1">
        <f t="array" aca="1" ref="Z100" ca="1">IFERROR(IF($L100&lt;&gt;"",_xll.PBF($L100,"EBIT","FY",$N$11,"","EUR","")/1000000,""),"")</f>
        <v/>
      </c>
      <c r="AA100" s="1677" t="str" cm="1">
        <f t="array" aca="1" ref="AA100" ca="1">IFERROR(IF($L100&lt;&gt;"",_xll.PBF($L100,"Total Debt to EBITDA","FY",$AA$21,"","EUR",""),""),"")</f>
        <v/>
      </c>
      <c r="AB100" s="1670"/>
      <c r="AC100" s="1672" t="str" cm="1">
        <f t="array" aca="1" ref="AC100" ca="1">IFERROR(IF($L100&lt;&gt;"",_xll.PBF($L100,"EV to Revenue","FY",$N$11,"","EUR",""),""),"")</f>
        <v/>
      </c>
      <c r="AD100" s="1672" t="str" cm="1">
        <f t="array" aca="1" ref="AD100" ca="1">IFERROR(IF($L100&lt;&gt;"",_xll.PBF($L100,"EV to EBITDA","FY",$AD$21,"","EUR",""),""),"")</f>
        <v/>
      </c>
      <c r="AE100" s="1672" t="str" cm="1">
        <f t="array" aca="1" ref="AE100" ca="1">IFERROR(IF($L100&lt;&gt;"",_xll.PBF($L100,"EV to EBIT","FY",$AE$21,"","EUR",""),""),"")</f>
        <v/>
      </c>
      <c r="AF100" s="1672"/>
      <c r="AG100" s="1672" t="str" cm="1">
        <f t="array" aca="1" ref="AG100" ca="1">IFERROR(IF($L100&lt;&gt;"",_xll.PBF($L100,"EV to Forward Revenue","FY",$AG$21,"","EUR",""),""),"")</f>
        <v/>
      </c>
      <c r="AH100" s="1672" t="str" cm="1">
        <f t="array" aca="1" ref="AH100" ca="1">IFERROR(IF($L100&lt;&gt;"",_xll.PBF($L100,"EV to Forward EBITDA","FY",$AH$21,"","EUR",""),""),"")</f>
        <v/>
      </c>
      <c r="AI100" s="1672" t="str" cm="1">
        <f t="array" aca="1" ref="AI100" ca="1">IFERROR(IF($L100&lt;&gt;"",_xll.PBF($L100,"EV to Forward EBIT","FY",$AI$21,"","EUR",""),""),"")</f>
        <v/>
      </c>
      <c r="AK100" s="1705"/>
      <c r="AL100" s="1693" t="str" cm="1">
        <f t="array" ref="AL100">IFERROR(IF(AK100&lt;&gt;"",_xll.PBD(AK100,"Deal Date","","EUR",""),""),"")</f>
        <v/>
      </c>
      <c r="AM100" s="1693" t="str" cm="1">
        <f t="array" ref="AM100">IFERROR(IF(AK100&lt;&gt;"",_xll.PBD(AK100,"Limit1.Deal Type 1","","EUR",""),""),"")</f>
        <v/>
      </c>
      <c r="AN100" s="1693" t="str" cm="1">
        <f t="array" ref="AN100">IFERROR(IF(AK100&lt;&gt;"",_xll.PBD(AK100,"Limit1.Company Id","","EUR",""),""),"")</f>
        <v/>
      </c>
      <c r="AO100" s="1640" t="str" cm="1">
        <f t="array" ref="AO100">IFERROR(IF(AN100&lt;&gt;"",_xll.PBD(AN100,"Name","","EUR",""),""),"")</f>
        <v/>
      </c>
      <c r="AP100" s="1640" t="str" cm="1">
        <f t="array" ref="AP100">IFERROR(IF(AN100&lt;&gt;"",_xll.PBD(AN100,"Primary Industry Code","","EUR",""),""),"")</f>
        <v/>
      </c>
      <c r="AQ100" s="1640" t="str" cm="1">
        <f t="array" ref="AQ100">IFERROR(IF(AN100&lt;&gt;"",_xll.PBD(AN100,"HQ Country","","EUR",""),""),"")</f>
        <v/>
      </c>
      <c r="AR100" s="1640" t="str" cm="1">
        <f t="array" ref="AR100">IFERROR(IF(AK100&lt;&gt;"",_xll.PBD(AK100,"Limit1.Investors Ids","","EUR",""),""),"")</f>
        <v/>
      </c>
      <c r="AS100" s="1640" t="str" cm="1">
        <f t="array" ref="AS100">IFERROR(IF(AR100&lt;&gt;"",_xll.PBD(AR100,"Name","","EUR",""),""),"")</f>
        <v/>
      </c>
      <c r="AT100" s="1640" t="str" cm="1">
        <f t="array" ref="AT100">IFERROR(IF(AR100&lt;&gt;"",_xll.PBD(AR100,"Primary Industry Code","","EUR",""),""),"")</f>
        <v/>
      </c>
      <c r="AU100" s="1640" t="str" cm="1">
        <f t="array" ref="AU100">IFERROR(IF(AR100&lt;&gt;"",_xll.PBD(AR100,"Limit2.Entity Types","","EUR",""),""),"")</f>
        <v/>
      </c>
      <c r="AV100" s="1640" t="str" cm="1">
        <f t="array" ref="AV100">IFERROR(IF(AR100&lt;&gt;"",_xll.PBD(AR100,"HQ Country","","EUR",""),""),"")</f>
        <v/>
      </c>
      <c r="AX100" s="1641" t="str" cm="1">
        <f t="array" ref="AX100">IFERROR(IF(AK100&lt;&gt;"",_xll.PBD(AK100,"Limit1.Deal Amount","","EUR","")/1000000,""),"")</f>
        <v/>
      </c>
      <c r="AY100" s="1641" t="str" cm="1">
        <f t="array" ref="AY100">IFERROR(IF(AK100&lt;&gt;"",_xll.PBD(AK100,"Limit1.Implied EV ","","EUR","")/1000000,""),"")</f>
        <v/>
      </c>
      <c r="AZ100" s="1694" t="str" cm="1">
        <f t="array" ref="AZ100">IFERROR(IF(AK100&lt;&gt;"",_xll.PBD(AK100,"Limit1.% Acquired ","","EUR",""),""),"")</f>
        <v/>
      </c>
      <c r="BB100" s="1695" t="str" cm="1">
        <f t="array" ref="BB100">IFERROR(IF(AK100&lt;&gt;"",_xll.PBD(AK100,"Implied EV / Revenue","","EUR",""),""),"")</f>
        <v/>
      </c>
      <c r="BC100" s="1695" t="str" cm="1">
        <f t="array" ref="BC100">IFERROR(IF(AK100&lt;&gt;"",_xll.PBD(AK100,"Implied EV / EBITDA","","EUR",""),""),"")</f>
        <v/>
      </c>
      <c r="BD100" s="1695" t="str" cm="1">
        <f t="array" ref="BD100">IFERROR(IF(AK100&lt;&gt;"",_xll.PBD(AK100,"Implied EV / EBIT","","EUR",""),""),"")</f>
        <v/>
      </c>
      <c r="BF100" s="1640" t="str" cm="1">
        <f t="array" ref="BF100">IFERROR(IF(AR100&lt;&gt;"",_xll.PBD(AR100,"Brief Description","","EUR",""),""),"")</f>
        <v/>
      </c>
    </row>
    <row r="101" spans="12:58" ht="13.9" customHeight="1">
      <c r="L101" s="1705"/>
      <c r="N101" s="1640" t="str" cm="1">
        <f t="array" ref="N101">IFERROR(IF($L101&lt;&gt;"",_xll.PBD($L101,"Name","","USD",""),""),"")</f>
        <v/>
      </c>
      <c r="O101" s="1640" t="str" cm="1">
        <f t="array" ref="O101">IFERROR(IF($L101&lt;&gt;"",_xll.PBD($L101,"Primary Industry Code","","",""),""),"")</f>
        <v/>
      </c>
      <c r="P101" s="1640" t="str" cm="1">
        <f t="array" ref="P101">IFERROR(IF($L101&lt;&gt;"",_xll.PBD($L101,"HQ Country","","",""),""),"")</f>
        <v/>
      </c>
      <c r="Q101" s="1640" t="str" cm="1">
        <f t="array" ref="Q101">IFERROR(IF($L101&lt;&gt;"",_xll.PBD($L101,"HQ City","","EUR",""),""),"")</f>
        <v/>
      </c>
      <c r="S101" s="1666" t="str" cm="1">
        <f t="array" aca="1" ref="S101" ca="1">IFERROR(IF($L101&lt;&gt;"",_xll.PBF($L101,"EV","TTM",$N$11,"","EUR","")/1000000,""),"")</f>
        <v/>
      </c>
      <c r="T101" s="1666" t="str" cm="1">
        <f t="array" aca="1" ref="T101" ca="1">IFERROR(IF($L101&lt;&gt;"",_xll.PBF($L101,"NET Debt","TTM",$N$11,"","EUR","")/1000000,""),"")</f>
        <v/>
      </c>
      <c r="U101" s="1666" t="str" cm="1">
        <f t="array" aca="1" ref="U101" ca="1">IFERROR(IF($L101&lt;&gt;"",_xll.PBF($L101,"Market Cap","TTM",$N$11,"","EUR","")/1000000,""),"")</f>
        <v/>
      </c>
      <c r="V101" s="1677" t="str" cm="1">
        <f t="array" aca="1" ref="V101" ca="1">IFERROR(IF($L101&lt;&gt;"",_xll.PBF($L101,"Total Debt to Equity","TTM",$V$21,"","EUR",""),""),"")</f>
        <v/>
      </c>
      <c r="W101" s="1677"/>
      <c r="X101" s="1666" t="str" cm="1">
        <f t="array" aca="1" ref="X101" ca="1">IFERROR(IF($L101&lt;&gt;"",_xll.PBF($L101,"Total Revenue","FY",$X$21,"","EUR","")/1000000,""),"")</f>
        <v/>
      </c>
      <c r="Y101" s="1666" t="str" cm="1">
        <f t="array" aca="1" ref="Y101" ca="1">IFERROR(IF($L101&lt;&gt;"",_xll.PBF($L101,"EBITDA","FY",$N$11,"","EUR","")/1000000,""),"")</f>
        <v/>
      </c>
      <c r="Z101" s="1666" t="str" cm="1">
        <f t="array" aca="1" ref="Z101" ca="1">IFERROR(IF($L101&lt;&gt;"",_xll.PBF($L101,"EBIT","FY",$N$11,"","EUR","")/1000000,""),"")</f>
        <v/>
      </c>
      <c r="AA101" s="1677" t="str" cm="1">
        <f t="array" aca="1" ref="AA101" ca="1">IFERROR(IF($L101&lt;&gt;"",_xll.PBF($L101,"Total Debt to EBITDA","FY",$AA$21,"","EUR",""),""),"")</f>
        <v/>
      </c>
      <c r="AB101" s="1670"/>
      <c r="AC101" s="1672" t="str" cm="1">
        <f t="array" aca="1" ref="AC101" ca="1">IFERROR(IF($L101&lt;&gt;"",_xll.PBF($L101,"EV to Revenue","FY",$N$11,"","EUR",""),""),"")</f>
        <v/>
      </c>
      <c r="AD101" s="1672" t="str" cm="1">
        <f t="array" aca="1" ref="AD101" ca="1">IFERROR(IF($L101&lt;&gt;"",_xll.PBF($L101,"EV to EBITDA","FY",$AD$21,"","EUR",""),""),"")</f>
        <v/>
      </c>
      <c r="AE101" s="1672" t="str" cm="1">
        <f t="array" aca="1" ref="AE101" ca="1">IFERROR(IF($L101&lt;&gt;"",_xll.PBF($L101,"EV to EBIT","FY",$AE$21,"","EUR",""),""),"")</f>
        <v/>
      </c>
      <c r="AF101" s="1672"/>
      <c r="AG101" s="1672" t="str" cm="1">
        <f t="array" aca="1" ref="AG101" ca="1">IFERROR(IF($L101&lt;&gt;"",_xll.PBF($L101,"EV to Forward Revenue","FY",$AG$21,"","EUR",""),""),"")</f>
        <v/>
      </c>
      <c r="AH101" s="1672" t="str" cm="1">
        <f t="array" aca="1" ref="AH101" ca="1">IFERROR(IF($L101&lt;&gt;"",_xll.PBF($L101,"EV to Forward EBITDA","FY",$AH$21,"","EUR",""),""),"")</f>
        <v/>
      </c>
      <c r="AI101" s="1672" t="str" cm="1">
        <f t="array" aca="1" ref="AI101" ca="1">IFERROR(IF($L101&lt;&gt;"",_xll.PBF($L101,"EV to Forward EBIT","FY",$AI$21,"","EUR",""),""),"")</f>
        <v/>
      </c>
      <c r="AK101" s="1705"/>
      <c r="AL101" s="1693" t="str" cm="1">
        <f t="array" ref="AL101">IFERROR(IF(AK101&lt;&gt;"",_xll.PBD(AK101,"Deal Date","","EUR",""),""),"")</f>
        <v/>
      </c>
      <c r="AM101" s="1693" t="str" cm="1">
        <f t="array" ref="AM101">IFERROR(IF(AK101&lt;&gt;"",_xll.PBD(AK101,"Limit1.Deal Type 1","","EUR",""),""),"")</f>
        <v/>
      </c>
      <c r="AN101" s="1693" t="str" cm="1">
        <f t="array" ref="AN101">IFERROR(IF(AK101&lt;&gt;"",_xll.PBD(AK101,"Limit1.Company Id","","EUR",""),""),"")</f>
        <v/>
      </c>
      <c r="AO101" s="1640" t="str" cm="1">
        <f t="array" ref="AO101">IFERROR(IF(AN101&lt;&gt;"",_xll.PBD(AN101,"Name","","EUR",""),""),"")</f>
        <v/>
      </c>
      <c r="AP101" s="1640" t="str" cm="1">
        <f t="array" ref="AP101">IFERROR(IF(AN101&lt;&gt;"",_xll.PBD(AN101,"Primary Industry Code","","EUR",""),""),"")</f>
        <v/>
      </c>
      <c r="AQ101" s="1640" t="str" cm="1">
        <f t="array" ref="AQ101">IFERROR(IF(AN101&lt;&gt;"",_xll.PBD(AN101,"HQ Country","","EUR",""),""),"")</f>
        <v/>
      </c>
      <c r="AR101" s="1640" t="str" cm="1">
        <f t="array" ref="AR101">IFERROR(IF(AK101&lt;&gt;"",_xll.PBD(AK101,"Limit1.Investors Ids","","EUR",""),""),"")</f>
        <v/>
      </c>
      <c r="AS101" s="1640" t="str" cm="1">
        <f t="array" ref="AS101">IFERROR(IF(AR101&lt;&gt;"",_xll.PBD(AR101,"Name","","EUR",""),""),"")</f>
        <v/>
      </c>
      <c r="AT101" s="1640" t="str" cm="1">
        <f t="array" ref="AT101">IFERROR(IF(AR101&lt;&gt;"",_xll.PBD(AR101,"Primary Industry Code","","EUR",""),""),"")</f>
        <v/>
      </c>
      <c r="AU101" s="1640" t="str" cm="1">
        <f t="array" ref="AU101">IFERROR(IF(AR101&lt;&gt;"",_xll.PBD(AR101,"Limit2.Entity Types","","EUR",""),""),"")</f>
        <v/>
      </c>
      <c r="AV101" s="1640" t="str" cm="1">
        <f t="array" ref="AV101">IFERROR(IF(AR101&lt;&gt;"",_xll.PBD(AR101,"HQ Country","","EUR",""),""),"")</f>
        <v/>
      </c>
      <c r="AX101" s="1641" t="str" cm="1">
        <f t="array" ref="AX101">IFERROR(IF(AK101&lt;&gt;"",_xll.PBD(AK101,"Limit1.Deal Amount","","EUR","")/1000000,""),"")</f>
        <v/>
      </c>
      <c r="AY101" s="1641" t="str" cm="1">
        <f t="array" ref="AY101">IFERROR(IF(AK101&lt;&gt;"",_xll.PBD(AK101,"Limit1.Implied EV ","","EUR","")/1000000,""),"")</f>
        <v/>
      </c>
      <c r="AZ101" s="1694" t="str" cm="1">
        <f t="array" ref="AZ101">IFERROR(IF(AK101&lt;&gt;"",_xll.PBD(AK101,"Limit1.% Acquired ","","EUR",""),""),"")</f>
        <v/>
      </c>
      <c r="BB101" s="1695" t="str" cm="1">
        <f t="array" ref="BB101">IFERROR(IF(AK101&lt;&gt;"",_xll.PBD(AK101,"Implied EV / Revenue","","EUR",""),""),"")</f>
        <v/>
      </c>
      <c r="BC101" s="1695" t="str" cm="1">
        <f t="array" ref="BC101">IFERROR(IF(AK101&lt;&gt;"",_xll.PBD(AK101,"Implied EV / EBITDA","","EUR",""),""),"")</f>
        <v/>
      </c>
      <c r="BD101" s="1695" t="str" cm="1">
        <f t="array" ref="BD101">IFERROR(IF(AK101&lt;&gt;"",_xll.PBD(AK101,"Implied EV / EBIT","","EUR",""),""),"")</f>
        <v/>
      </c>
      <c r="BF101" s="1640" t="str" cm="1">
        <f t="array" ref="BF101">IFERROR(IF(AR101&lt;&gt;"",_xll.PBD(AR101,"Brief Description","","EUR",""),""),"")</f>
        <v/>
      </c>
    </row>
    <row r="102" spans="12:58" ht="13.9" customHeight="1">
      <c r="L102" s="1705"/>
      <c r="N102" s="1640" t="str" cm="1">
        <f t="array" ref="N102">IFERROR(IF($L102&lt;&gt;"",_xll.PBD($L102,"Name","","USD",""),""),"")</f>
        <v/>
      </c>
      <c r="O102" s="1640" t="str" cm="1">
        <f t="array" ref="O102">IFERROR(IF($L102&lt;&gt;"",_xll.PBD($L102,"Primary Industry Code","","",""),""),"")</f>
        <v/>
      </c>
      <c r="P102" s="1640" t="str" cm="1">
        <f t="array" ref="P102">IFERROR(IF($L102&lt;&gt;"",_xll.PBD($L102,"HQ Country","","",""),""),"")</f>
        <v/>
      </c>
      <c r="Q102" s="1640" t="str" cm="1">
        <f t="array" ref="Q102">IFERROR(IF($L102&lt;&gt;"",_xll.PBD($L102,"HQ City","","EUR",""),""),"")</f>
        <v/>
      </c>
      <c r="S102" s="1666" t="str" cm="1">
        <f t="array" aca="1" ref="S102" ca="1">IFERROR(IF($L102&lt;&gt;"",_xll.PBF($L102,"EV","TTM",$N$11,"","EUR","")/1000000,""),"")</f>
        <v/>
      </c>
      <c r="T102" s="1666" t="str" cm="1">
        <f t="array" aca="1" ref="T102" ca="1">IFERROR(IF($L102&lt;&gt;"",_xll.PBF($L102,"NET Debt","TTM",$N$11,"","EUR","")/1000000,""),"")</f>
        <v/>
      </c>
      <c r="U102" s="1666" t="str" cm="1">
        <f t="array" aca="1" ref="U102" ca="1">IFERROR(IF($L102&lt;&gt;"",_xll.PBF($L102,"Market Cap","TTM",$N$11,"","EUR","")/1000000,""),"")</f>
        <v/>
      </c>
      <c r="V102" s="1677" t="str" cm="1">
        <f t="array" aca="1" ref="V102" ca="1">IFERROR(IF($L102&lt;&gt;"",_xll.PBF($L102,"Total Debt to Equity","TTM",$V$21,"","EUR",""),""),"")</f>
        <v/>
      </c>
      <c r="W102" s="1677"/>
      <c r="X102" s="1666" t="str" cm="1">
        <f t="array" aca="1" ref="X102" ca="1">IFERROR(IF($L102&lt;&gt;"",_xll.PBF($L102,"Total Revenue","FY",$X$21,"","EUR","")/1000000,""),"")</f>
        <v/>
      </c>
      <c r="Y102" s="1666" t="str" cm="1">
        <f t="array" aca="1" ref="Y102" ca="1">IFERROR(IF($L102&lt;&gt;"",_xll.PBF($L102,"EBITDA","FY",$N$11,"","EUR","")/1000000,""),"")</f>
        <v/>
      </c>
      <c r="Z102" s="1666" t="str" cm="1">
        <f t="array" aca="1" ref="Z102" ca="1">IFERROR(IF($L102&lt;&gt;"",_xll.PBF($L102,"EBIT","FY",$N$11,"","EUR","")/1000000,""),"")</f>
        <v/>
      </c>
      <c r="AA102" s="1677" t="str" cm="1">
        <f t="array" aca="1" ref="AA102" ca="1">IFERROR(IF($L102&lt;&gt;"",_xll.PBF($L102,"Total Debt to EBITDA","FY",$AA$21,"","EUR",""),""),"")</f>
        <v/>
      </c>
      <c r="AB102" s="1670"/>
      <c r="AC102" s="1672" t="str" cm="1">
        <f t="array" aca="1" ref="AC102" ca="1">IFERROR(IF($L102&lt;&gt;"",_xll.PBF($L102,"EV to Revenue","FY",$N$11,"","EUR",""),""),"")</f>
        <v/>
      </c>
      <c r="AD102" s="1672" t="str" cm="1">
        <f t="array" aca="1" ref="AD102" ca="1">IFERROR(IF($L102&lt;&gt;"",_xll.PBF($L102,"EV to EBITDA","FY",$AD$21,"","EUR",""),""),"")</f>
        <v/>
      </c>
      <c r="AE102" s="1672" t="str" cm="1">
        <f t="array" aca="1" ref="AE102" ca="1">IFERROR(IF($L102&lt;&gt;"",_xll.PBF($L102,"EV to EBIT","FY",$AE$21,"","EUR",""),""),"")</f>
        <v/>
      </c>
      <c r="AF102" s="1672"/>
      <c r="AG102" s="1672" t="str" cm="1">
        <f t="array" aca="1" ref="AG102" ca="1">IFERROR(IF($L102&lt;&gt;"",_xll.PBF($L102,"EV to Forward Revenue","FY",$AG$21,"","EUR",""),""),"")</f>
        <v/>
      </c>
      <c r="AH102" s="1672" t="str" cm="1">
        <f t="array" aca="1" ref="AH102" ca="1">IFERROR(IF($L102&lt;&gt;"",_xll.PBF($L102,"EV to Forward EBITDA","FY",$AH$21,"","EUR",""),""),"")</f>
        <v/>
      </c>
      <c r="AI102" s="1672" t="str" cm="1">
        <f t="array" aca="1" ref="AI102" ca="1">IFERROR(IF($L102&lt;&gt;"",_xll.PBF($L102,"EV to Forward EBIT","FY",$AI$21,"","EUR",""),""),"")</f>
        <v/>
      </c>
      <c r="AK102" s="1705"/>
      <c r="AL102" s="1693" t="str" cm="1">
        <f t="array" ref="AL102">IFERROR(IF(AK102&lt;&gt;"",_xll.PBD(AK102,"Deal Date","","EUR",""),""),"")</f>
        <v/>
      </c>
      <c r="AM102" s="1693" t="str" cm="1">
        <f t="array" ref="AM102">IFERROR(IF(AK102&lt;&gt;"",_xll.PBD(AK102,"Limit1.Deal Type 1","","EUR",""),""),"")</f>
        <v/>
      </c>
      <c r="AN102" s="1693" t="str" cm="1">
        <f t="array" ref="AN102">IFERROR(IF(AK102&lt;&gt;"",_xll.PBD(AK102,"Limit1.Company Id","","EUR",""),""),"")</f>
        <v/>
      </c>
      <c r="AO102" s="1640" t="str" cm="1">
        <f t="array" ref="AO102">IFERROR(IF(AN102&lt;&gt;"",_xll.PBD(AN102,"Name","","EUR",""),""),"")</f>
        <v/>
      </c>
      <c r="AP102" s="1640" t="str" cm="1">
        <f t="array" ref="AP102">IFERROR(IF(AN102&lt;&gt;"",_xll.PBD(AN102,"Primary Industry Code","","EUR",""),""),"")</f>
        <v/>
      </c>
      <c r="AQ102" s="1640" t="str" cm="1">
        <f t="array" ref="AQ102">IFERROR(IF(AN102&lt;&gt;"",_xll.PBD(AN102,"HQ Country","","EUR",""),""),"")</f>
        <v/>
      </c>
      <c r="AR102" s="1640" t="str" cm="1">
        <f t="array" ref="AR102">IFERROR(IF(AK102&lt;&gt;"",_xll.PBD(AK102,"Limit1.Investors Ids","","EUR",""),""),"")</f>
        <v/>
      </c>
      <c r="AS102" s="1640" t="str" cm="1">
        <f t="array" ref="AS102">IFERROR(IF(AR102&lt;&gt;"",_xll.PBD(AR102,"Name","","EUR",""),""),"")</f>
        <v/>
      </c>
      <c r="AT102" s="1640" t="str" cm="1">
        <f t="array" ref="AT102">IFERROR(IF(AR102&lt;&gt;"",_xll.PBD(AR102,"Primary Industry Code","","EUR",""),""),"")</f>
        <v/>
      </c>
      <c r="AU102" s="1640" t="str" cm="1">
        <f t="array" ref="AU102">IFERROR(IF(AR102&lt;&gt;"",_xll.PBD(AR102,"Limit2.Entity Types","","EUR",""),""),"")</f>
        <v/>
      </c>
      <c r="AV102" s="1640" t="str" cm="1">
        <f t="array" ref="AV102">IFERROR(IF(AR102&lt;&gt;"",_xll.PBD(AR102,"HQ Country","","EUR",""),""),"")</f>
        <v/>
      </c>
      <c r="AX102" s="1641" t="str" cm="1">
        <f t="array" ref="AX102">IFERROR(IF(AK102&lt;&gt;"",_xll.PBD(AK102,"Limit1.Deal Amount","","EUR","")/1000000,""),"")</f>
        <v/>
      </c>
      <c r="AY102" s="1641" t="str" cm="1">
        <f t="array" ref="AY102">IFERROR(IF(AK102&lt;&gt;"",_xll.PBD(AK102,"Limit1.Implied EV ","","EUR","")/1000000,""),"")</f>
        <v/>
      </c>
      <c r="AZ102" s="1694" t="str" cm="1">
        <f t="array" ref="AZ102">IFERROR(IF(AK102&lt;&gt;"",_xll.PBD(AK102,"Limit1.% Acquired ","","EUR",""),""),"")</f>
        <v/>
      </c>
      <c r="BB102" s="1695" t="str" cm="1">
        <f t="array" ref="BB102">IFERROR(IF(AK102&lt;&gt;"",_xll.PBD(AK102,"Implied EV / Revenue","","EUR",""),""),"")</f>
        <v/>
      </c>
      <c r="BC102" s="1695" t="str" cm="1">
        <f t="array" ref="BC102">IFERROR(IF(AK102&lt;&gt;"",_xll.PBD(AK102,"Implied EV / EBITDA","","EUR",""),""),"")</f>
        <v/>
      </c>
      <c r="BD102" s="1695" t="str" cm="1">
        <f t="array" ref="BD102">IFERROR(IF(AK102&lt;&gt;"",_xll.PBD(AK102,"Implied EV / EBIT","","EUR",""),""),"")</f>
        <v/>
      </c>
      <c r="BF102" s="1640" t="str" cm="1">
        <f t="array" ref="BF102">IFERROR(IF(AR102&lt;&gt;"",_xll.PBD(AR102,"Brief Description","","EUR",""),""),"")</f>
        <v/>
      </c>
    </row>
    <row r="103" spans="12:58" ht="13.9" customHeight="1">
      <c r="L103" s="1705"/>
      <c r="N103" s="1640" t="str" cm="1">
        <f t="array" ref="N103">IFERROR(IF($L103&lt;&gt;"",_xll.PBD($L103,"Name","","USD",""),""),"")</f>
        <v/>
      </c>
      <c r="O103" s="1640" t="str" cm="1">
        <f t="array" ref="O103">IFERROR(IF($L103&lt;&gt;"",_xll.PBD($L103,"Primary Industry Code","","",""),""),"")</f>
        <v/>
      </c>
      <c r="P103" s="1640" t="str" cm="1">
        <f t="array" ref="P103">IFERROR(IF($L103&lt;&gt;"",_xll.PBD($L103,"HQ Country","","",""),""),"")</f>
        <v/>
      </c>
      <c r="Q103" s="1640" t="str" cm="1">
        <f t="array" ref="Q103">IFERROR(IF($L103&lt;&gt;"",_xll.PBD($L103,"HQ City","","EUR",""),""),"")</f>
        <v/>
      </c>
      <c r="S103" s="1666" t="str" cm="1">
        <f t="array" aca="1" ref="S103" ca="1">IFERROR(IF($L103&lt;&gt;"",_xll.PBF($L103,"EV","TTM",$N$11,"","EUR","")/1000000,""),"")</f>
        <v/>
      </c>
      <c r="T103" s="1666" t="str" cm="1">
        <f t="array" aca="1" ref="T103" ca="1">IFERROR(IF($L103&lt;&gt;"",_xll.PBF($L103,"NET Debt","TTM",$N$11,"","EUR","")/1000000,""),"")</f>
        <v/>
      </c>
      <c r="U103" s="1666" t="str" cm="1">
        <f t="array" aca="1" ref="U103" ca="1">IFERROR(IF($L103&lt;&gt;"",_xll.PBF($L103,"Market Cap","TTM",$N$11,"","EUR","")/1000000,""),"")</f>
        <v/>
      </c>
      <c r="V103" s="1677" t="str" cm="1">
        <f t="array" aca="1" ref="V103" ca="1">IFERROR(IF($L103&lt;&gt;"",_xll.PBF($L103,"Total Debt to Equity","TTM",$V$21,"","EUR",""),""),"")</f>
        <v/>
      </c>
      <c r="W103" s="1677"/>
      <c r="X103" s="1666" t="str" cm="1">
        <f t="array" aca="1" ref="X103" ca="1">IFERROR(IF($L103&lt;&gt;"",_xll.PBF($L103,"Total Revenue","FY",$X$21,"","EUR","")/1000000,""),"")</f>
        <v/>
      </c>
      <c r="Y103" s="1666" t="str" cm="1">
        <f t="array" aca="1" ref="Y103" ca="1">IFERROR(IF($L103&lt;&gt;"",_xll.PBF($L103,"EBITDA","FY",$N$11,"","EUR","")/1000000,""),"")</f>
        <v/>
      </c>
      <c r="Z103" s="1666" t="str" cm="1">
        <f t="array" aca="1" ref="Z103" ca="1">IFERROR(IF($L103&lt;&gt;"",_xll.PBF($L103,"EBIT","FY",$N$11,"","EUR","")/1000000,""),"")</f>
        <v/>
      </c>
      <c r="AA103" s="1677" t="str" cm="1">
        <f t="array" aca="1" ref="AA103" ca="1">IFERROR(IF($L103&lt;&gt;"",_xll.PBF($L103,"Total Debt to EBITDA","FY",$AA$21,"","EUR",""),""),"")</f>
        <v/>
      </c>
      <c r="AB103" s="1670"/>
      <c r="AC103" s="1672" t="str" cm="1">
        <f t="array" aca="1" ref="AC103" ca="1">IFERROR(IF($L103&lt;&gt;"",_xll.PBF($L103,"EV to Revenue","FY",$N$11,"","EUR",""),""),"")</f>
        <v/>
      </c>
      <c r="AD103" s="1672" t="str" cm="1">
        <f t="array" aca="1" ref="AD103" ca="1">IFERROR(IF($L103&lt;&gt;"",_xll.PBF($L103,"EV to EBITDA","FY",$AD$21,"","EUR",""),""),"")</f>
        <v/>
      </c>
      <c r="AE103" s="1672" t="str" cm="1">
        <f t="array" aca="1" ref="AE103" ca="1">IFERROR(IF($L103&lt;&gt;"",_xll.PBF($L103,"EV to EBIT","FY",$AE$21,"","EUR",""),""),"")</f>
        <v/>
      </c>
      <c r="AF103" s="1672"/>
      <c r="AG103" s="1672" t="str" cm="1">
        <f t="array" aca="1" ref="AG103" ca="1">IFERROR(IF($L103&lt;&gt;"",_xll.PBF($L103,"EV to Forward Revenue","FY",$AG$21,"","EUR",""),""),"")</f>
        <v/>
      </c>
      <c r="AH103" s="1672" t="str" cm="1">
        <f t="array" aca="1" ref="AH103" ca="1">IFERROR(IF($L103&lt;&gt;"",_xll.PBF($L103,"EV to Forward EBITDA","FY",$AH$21,"","EUR",""),""),"")</f>
        <v/>
      </c>
      <c r="AI103" s="1672" t="str" cm="1">
        <f t="array" aca="1" ref="AI103" ca="1">IFERROR(IF($L103&lt;&gt;"",_xll.PBF($L103,"EV to Forward EBIT","FY",$AI$21,"","EUR",""),""),"")</f>
        <v/>
      </c>
      <c r="AK103" s="1705"/>
      <c r="AL103" s="1693" t="str" cm="1">
        <f t="array" ref="AL103">IFERROR(IF(AK103&lt;&gt;"",_xll.PBD(AK103,"Deal Date","","EUR",""),""),"")</f>
        <v/>
      </c>
      <c r="AM103" s="1693" t="str" cm="1">
        <f t="array" ref="AM103">IFERROR(IF(AK103&lt;&gt;"",_xll.PBD(AK103,"Limit1.Deal Type 1","","EUR",""),""),"")</f>
        <v/>
      </c>
      <c r="AN103" s="1693" t="str" cm="1">
        <f t="array" ref="AN103">IFERROR(IF(AK103&lt;&gt;"",_xll.PBD(AK103,"Limit1.Company Id","","EUR",""),""),"")</f>
        <v/>
      </c>
      <c r="AO103" s="1640" t="str" cm="1">
        <f t="array" ref="AO103">IFERROR(IF(AN103&lt;&gt;"",_xll.PBD(AN103,"Name","","EUR",""),""),"")</f>
        <v/>
      </c>
      <c r="AP103" s="1640" t="str" cm="1">
        <f t="array" ref="AP103">IFERROR(IF(AN103&lt;&gt;"",_xll.PBD(AN103,"Primary Industry Code","","EUR",""),""),"")</f>
        <v/>
      </c>
      <c r="AQ103" s="1640" t="str" cm="1">
        <f t="array" ref="AQ103">IFERROR(IF(AN103&lt;&gt;"",_xll.PBD(AN103,"HQ Country","","EUR",""),""),"")</f>
        <v/>
      </c>
      <c r="AR103" s="1640" t="str" cm="1">
        <f t="array" ref="AR103">IFERROR(IF(AK103&lt;&gt;"",_xll.PBD(AK103,"Limit1.Investors Ids","","EUR",""),""),"")</f>
        <v/>
      </c>
      <c r="AS103" s="1640" t="str" cm="1">
        <f t="array" ref="AS103">IFERROR(IF(AR103&lt;&gt;"",_xll.PBD(AR103,"Name","","EUR",""),""),"")</f>
        <v/>
      </c>
      <c r="AT103" s="1640" t="str" cm="1">
        <f t="array" ref="AT103">IFERROR(IF(AR103&lt;&gt;"",_xll.PBD(AR103,"Primary Industry Code","","EUR",""),""),"")</f>
        <v/>
      </c>
      <c r="AU103" s="1640" t="str" cm="1">
        <f t="array" ref="AU103">IFERROR(IF(AR103&lt;&gt;"",_xll.PBD(AR103,"Limit2.Entity Types","","EUR",""),""),"")</f>
        <v/>
      </c>
      <c r="AV103" s="1640" t="str" cm="1">
        <f t="array" ref="AV103">IFERROR(IF(AR103&lt;&gt;"",_xll.PBD(AR103,"HQ Country","","EUR",""),""),"")</f>
        <v/>
      </c>
      <c r="AX103" s="1641" t="str" cm="1">
        <f t="array" ref="AX103">IFERROR(IF(AK103&lt;&gt;"",_xll.PBD(AK103,"Limit1.Deal Amount","","EUR","")/1000000,""),"")</f>
        <v/>
      </c>
      <c r="AY103" s="1641" t="str" cm="1">
        <f t="array" ref="AY103">IFERROR(IF(AK103&lt;&gt;"",_xll.PBD(AK103,"Limit1.Implied EV ","","EUR","")/1000000,""),"")</f>
        <v/>
      </c>
      <c r="AZ103" s="1694" t="str" cm="1">
        <f t="array" ref="AZ103">IFERROR(IF(AK103&lt;&gt;"",_xll.PBD(AK103,"Limit1.% Acquired ","","EUR",""),""),"")</f>
        <v/>
      </c>
      <c r="BB103" s="1695" t="str" cm="1">
        <f t="array" ref="BB103">IFERROR(IF(AK103&lt;&gt;"",_xll.PBD(AK103,"Implied EV / Revenue","","EUR",""),""),"")</f>
        <v/>
      </c>
      <c r="BC103" s="1695" t="str" cm="1">
        <f t="array" ref="BC103">IFERROR(IF(AK103&lt;&gt;"",_xll.PBD(AK103,"Implied EV / EBITDA","","EUR",""),""),"")</f>
        <v/>
      </c>
      <c r="BD103" s="1695" t="str" cm="1">
        <f t="array" ref="BD103">IFERROR(IF(AK103&lt;&gt;"",_xll.PBD(AK103,"Implied EV / EBIT","","EUR",""),""),"")</f>
        <v/>
      </c>
      <c r="BF103" s="1640" t="str" cm="1">
        <f t="array" ref="BF103">IFERROR(IF(AR103&lt;&gt;"",_xll.PBD(AR103,"Brief Description","","EUR",""),""),"")</f>
        <v/>
      </c>
    </row>
    <row r="104" spans="12:58" ht="13.9" customHeight="1">
      <c r="L104" s="1705"/>
      <c r="N104" s="1640" t="str" cm="1">
        <f t="array" ref="N104">IFERROR(IF($L104&lt;&gt;"",_xll.PBD($L104,"Name","","USD",""),""),"")</f>
        <v/>
      </c>
      <c r="O104" s="1640" t="str" cm="1">
        <f t="array" ref="O104">IFERROR(IF($L104&lt;&gt;"",_xll.PBD($L104,"Primary Industry Code","","",""),""),"")</f>
        <v/>
      </c>
      <c r="P104" s="1640" t="str" cm="1">
        <f t="array" ref="P104">IFERROR(IF($L104&lt;&gt;"",_xll.PBD($L104,"HQ Country","","",""),""),"")</f>
        <v/>
      </c>
      <c r="Q104" s="1640" t="str" cm="1">
        <f t="array" ref="Q104">IFERROR(IF($L104&lt;&gt;"",_xll.PBD($L104,"HQ City","","EUR",""),""),"")</f>
        <v/>
      </c>
      <c r="S104" s="1666" t="str" cm="1">
        <f t="array" aca="1" ref="S104" ca="1">IFERROR(IF($L104&lt;&gt;"",_xll.PBF($L104,"EV","TTM",$N$11,"","EUR","")/1000000,""),"")</f>
        <v/>
      </c>
      <c r="T104" s="1666" t="str" cm="1">
        <f t="array" aca="1" ref="T104" ca="1">IFERROR(IF($L104&lt;&gt;"",_xll.PBF($L104,"NET Debt","TTM",$N$11,"","EUR","")/1000000,""),"")</f>
        <v/>
      </c>
      <c r="U104" s="1666" t="str" cm="1">
        <f t="array" aca="1" ref="U104" ca="1">IFERROR(IF($L104&lt;&gt;"",_xll.PBF($L104,"Market Cap","TTM",$N$11,"","EUR","")/1000000,""),"")</f>
        <v/>
      </c>
      <c r="V104" s="1677" t="str" cm="1">
        <f t="array" aca="1" ref="V104" ca="1">IFERROR(IF($L104&lt;&gt;"",_xll.PBF($L104,"Total Debt to Equity","TTM",$V$21,"","EUR",""),""),"")</f>
        <v/>
      </c>
      <c r="W104" s="1677"/>
      <c r="X104" s="1666" t="str" cm="1">
        <f t="array" aca="1" ref="X104" ca="1">IFERROR(IF($L104&lt;&gt;"",_xll.PBF($L104,"Total Revenue","FY",$X$21,"","EUR","")/1000000,""),"")</f>
        <v/>
      </c>
      <c r="Y104" s="1666" t="str" cm="1">
        <f t="array" aca="1" ref="Y104" ca="1">IFERROR(IF($L104&lt;&gt;"",_xll.PBF($L104,"EBITDA","FY",$N$11,"","EUR","")/1000000,""),"")</f>
        <v/>
      </c>
      <c r="Z104" s="1666" t="str" cm="1">
        <f t="array" aca="1" ref="Z104" ca="1">IFERROR(IF($L104&lt;&gt;"",_xll.PBF($L104,"EBIT","FY",$N$11,"","EUR","")/1000000,""),"")</f>
        <v/>
      </c>
      <c r="AA104" s="1677" t="str" cm="1">
        <f t="array" aca="1" ref="AA104" ca="1">IFERROR(IF($L104&lt;&gt;"",_xll.PBF($L104,"Total Debt to EBITDA","FY",$AA$21,"","EUR",""),""),"")</f>
        <v/>
      </c>
      <c r="AB104" s="1670"/>
      <c r="AC104" s="1672" t="str" cm="1">
        <f t="array" aca="1" ref="AC104" ca="1">IFERROR(IF($L104&lt;&gt;"",_xll.PBF($L104,"EV to Revenue","FY",$N$11,"","EUR",""),""),"")</f>
        <v/>
      </c>
      <c r="AD104" s="1672" t="str" cm="1">
        <f t="array" aca="1" ref="AD104" ca="1">IFERROR(IF($L104&lt;&gt;"",_xll.PBF($L104,"EV to EBITDA","FY",$AD$21,"","EUR",""),""),"")</f>
        <v/>
      </c>
      <c r="AE104" s="1672" t="str" cm="1">
        <f t="array" aca="1" ref="AE104" ca="1">IFERROR(IF($L104&lt;&gt;"",_xll.PBF($L104,"EV to EBIT","FY",$AE$21,"","EUR",""),""),"")</f>
        <v/>
      </c>
      <c r="AF104" s="1672"/>
      <c r="AG104" s="1672" t="str" cm="1">
        <f t="array" aca="1" ref="AG104" ca="1">IFERROR(IF($L104&lt;&gt;"",_xll.PBF($L104,"EV to Forward Revenue","FY",$AG$21,"","EUR",""),""),"")</f>
        <v/>
      </c>
      <c r="AH104" s="1672" t="str" cm="1">
        <f t="array" aca="1" ref="AH104" ca="1">IFERROR(IF($L104&lt;&gt;"",_xll.PBF($L104,"EV to Forward EBITDA","FY",$AH$21,"","EUR",""),""),"")</f>
        <v/>
      </c>
      <c r="AI104" s="1672" t="str" cm="1">
        <f t="array" aca="1" ref="AI104" ca="1">IFERROR(IF($L104&lt;&gt;"",_xll.PBF($L104,"EV to Forward EBIT","FY",$AI$21,"","EUR",""),""),"")</f>
        <v/>
      </c>
      <c r="AK104" s="1705"/>
      <c r="AL104" s="1693" t="str" cm="1">
        <f t="array" ref="AL104">IFERROR(IF(AK104&lt;&gt;"",_xll.PBD(AK104,"Deal Date","","EUR",""),""),"")</f>
        <v/>
      </c>
      <c r="AM104" s="1693" t="str" cm="1">
        <f t="array" ref="AM104">IFERROR(IF(AK104&lt;&gt;"",_xll.PBD(AK104,"Limit1.Deal Type 1","","EUR",""),""),"")</f>
        <v/>
      </c>
      <c r="AN104" s="1693" t="str" cm="1">
        <f t="array" ref="AN104">IFERROR(IF(AK104&lt;&gt;"",_xll.PBD(AK104,"Limit1.Company Id","","EUR",""),""),"")</f>
        <v/>
      </c>
      <c r="AO104" s="1640" t="str" cm="1">
        <f t="array" ref="AO104">IFERROR(IF(AN104&lt;&gt;"",_xll.PBD(AN104,"Name","","EUR",""),""),"")</f>
        <v/>
      </c>
      <c r="AP104" s="1640" t="str" cm="1">
        <f t="array" ref="AP104">IFERROR(IF(AN104&lt;&gt;"",_xll.PBD(AN104,"Primary Industry Code","","EUR",""),""),"")</f>
        <v/>
      </c>
      <c r="AQ104" s="1640" t="str" cm="1">
        <f t="array" ref="AQ104">IFERROR(IF(AN104&lt;&gt;"",_xll.PBD(AN104,"HQ Country","","EUR",""),""),"")</f>
        <v/>
      </c>
      <c r="AR104" s="1640" t="str" cm="1">
        <f t="array" ref="AR104">IFERROR(IF(AK104&lt;&gt;"",_xll.PBD(AK104,"Limit1.Investors Ids","","EUR",""),""),"")</f>
        <v/>
      </c>
      <c r="AS104" s="1640" t="str" cm="1">
        <f t="array" ref="AS104">IFERROR(IF(AR104&lt;&gt;"",_xll.PBD(AR104,"Name","","EUR",""),""),"")</f>
        <v/>
      </c>
      <c r="AT104" s="1640" t="str" cm="1">
        <f t="array" ref="AT104">IFERROR(IF(AR104&lt;&gt;"",_xll.PBD(AR104,"Primary Industry Code","","EUR",""),""),"")</f>
        <v/>
      </c>
      <c r="AU104" s="1640" t="str" cm="1">
        <f t="array" ref="AU104">IFERROR(IF(AR104&lt;&gt;"",_xll.PBD(AR104,"Limit2.Entity Types","","EUR",""),""),"")</f>
        <v/>
      </c>
      <c r="AV104" s="1640" t="str" cm="1">
        <f t="array" ref="AV104">IFERROR(IF(AR104&lt;&gt;"",_xll.PBD(AR104,"HQ Country","","EUR",""),""),"")</f>
        <v/>
      </c>
      <c r="AX104" s="1641" t="str" cm="1">
        <f t="array" ref="AX104">IFERROR(IF(AK104&lt;&gt;"",_xll.PBD(AK104,"Limit1.Deal Amount","","EUR","")/1000000,""),"")</f>
        <v/>
      </c>
      <c r="AY104" s="1641" t="str" cm="1">
        <f t="array" ref="AY104">IFERROR(IF(AK104&lt;&gt;"",_xll.PBD(AK104,"Limit1.Implied EV ","","EUR","")/1000000,""),"")</f>
        <v/>
      </c>
      <c r="AZ104" s="1694" t="str" cm="1">
        <f t="array" ref="AZ104">IFERROR(IF(AK104&lt;&gt;"",_xll.PBD(AK104,"Limit1.% Acquired ","","EUR",""),""),"")</f>
        <v/>
      </c>
      <c r="BB104" s="1695" t="str" cm="1">
        <f t="array" ref="BB104">IFERROR(IF(AK104&lt;&gt;"",_xll.PBD(AK104,"Implied EV / Revenue","","EUR",""),""),"")</f>
        <v/>
      </c>
      <c r="BC104" s="1695" t="str" cm="1">
        <f t="array" ref="BC104">IFERROR(IF(AK104&lt;&gt;"",_xll.PBD(AK104,"Implied EV / EBITDA","","EUR",""),""),"")</f>
        <v/>
      </c>
      <c r="BD104" s="1695" t="str" cm="1">
        <f t="array" ref="BD104">IFERROR(IF(AK104&lt;&gt;"",_xll.PBD(AK104,"Implied EV / EBIT","","EUR",""),""),"")</f>
        <v/>
      </c>
      <c r="BF104" s="1640" t="str" cm="1">
        <f t="array" ref="BF104">IFERROR(IF(AR104&lt;&gt;"",_xll.PBD(AR104,"Brief Description","","EUR",""),""),"")</f>
        <v/>
      </c>
    </row>
    <row r="105" spans="12:58" ht="13.9" customHeight="1">
      <c r="L105" s="1705"/>
      <c r="N105" s="1640" t="str" cm="1">
        <f t="array" ref="N105">IFERROR(IF($L105&lt;&gt;"",_xll.PBD($L105,"Name","","USD",""),""),"")</f>
        <v/>
      </c>
      <c r="O105" s="1640" t="str" cm="1">
        <f t="array" ref="O105">IFERROR(IF($L105&lt;&gt;"",_xll.PBD($L105,"Primary Industry Code","","",""),""),"")</f>
        <v/>
      </c>
      <c r="P105" s="1640" t="str" cm="1">
        <f t="array" ref="P105">IFERROR(IF($L105&lt;&gt;"",_xll.PBD($L105,"HQ Country","","",""),""),"")</f>
        <v/>
      </c>
      <c r="Q105" s="1640" t="str" cm="1">
        <f t="array" ref="Q105">IFERROR(IF($L105&lt;&gt;"",_xll.PBD($L105,"HQ City","","EUR",""),""),"")</f>
        <v/>
      </c>
      <c r="S105" s="1666" t="str" cm="1">
        <f t="array" aca="1" ref="S105" ca="1">IFERROR(IF($L105&lt;&gt;"",_xll.PBF($L105,"EV","TTM",$N$11,"","EUR","")/1000000,""),"")</f>
        <v/>
      </c>
      <c r="T105" s="1666" t="str" cm="1">
        <f t="array" aca="1" ref="T105" ca="1">IFERROR(IF($L105&lt;&gt;"",_xll.PBF($L105,"NET Debt","TTM",$N$11,"","EUR","")/1000000,""),"")</f>
        <v/>
      </c>
      <c r="U105" s="1666" t="str" cm="1">
        <f t="array" aca="1" ref="U105" ca="1">IFERROR(IF($L105&lt;&gt;"",_xll.PBF($L105,"Market Cap","TTM",$N$11,"","EUR","")/1000000,""),"")</f>
        <v/>
      </c>
      <c r="V105" s="1677" t="str" cm="1">
        <f t="array" aca="1" ref="V105" ca="1">IFERROR(IF($L105&lt;&gt;"",_xll.PBF($L105,"Total Debt to Equity","TTM",$V$21,"","EUR",""),""),"")</f>
        <v/>
      </c>
      <c r="W105" s="1677"/>
      <c r="X105" s="1666" t="str" cm="1">
        <f t="array" aca="1" ref="X105" ca="1">IFERROR(IF($L105&lt;&gt;"",_xll.PBF($L105,"Total Revenue","FY",$X$21,"","EUR","")/1000000,""),"")</f>
        <v/>
      </c>
      <c r="Y105" s="1666" t="str" cm="1">
        <f t="array" aca="1" ref="Y105" ca="1">IFERROR(IF($L105&lt;&gt;"",_xll.PBF($L105,"EBITDA","FY",$N$11,"","EUR","")/1000000,""),"")</f>
        <v/>
      </c>
      <c r="Z105" s="1666" t="str" cm="1">
        <f t="array" aca="1" ref="Z105" ca="1">IFERROR(IF($L105&lt;&gt;"",_xll.PBF($L105,"EBIT","FY",$N$11,"","EUR","")/1000000,""),"")</f>
        <v/>
      </c>
      <c r="AA105" s="1677" t="str" cm="1">
        <f t="array" aca="1" ref="AA105" ca="1">IFERROR(IF($L105&lt;&gt;"",_xll.PBF($L105,"Total Debt to EBITDA","FY",$AA$21,"","EUR",""),""),"")</f>
        <v/>
      </c>
      <c r="AB105" s="1670"/>
      <c r="AC105" s="1672" t="str" cm="1">
        <f t="array" aca="1" ref="AC105" ca="1">IFERROR(IF($L105&lt;&gt;"",_xll.PBF($L105,"EV to Revenue","FY",$N$11,"","EUR",""),""),"")</f>
        <v/>
      </c>
      <c r="AD105" s="1672" t="str" cm="1">
        <f t="array" aca="1" ref="AD105" ca="1">IFERROR(IF($L105&lt;&gt;"",_xll.PBF($L105,"EV to EBITDA","FY",$AD$21,"","EUR",""),""),"")</f>
        <v/>
      </c>
      <c r="AE105" s="1672" t="str" cm="1">
        <f t="array" aca="1" ref="AE105" ca="1">IFERROR(IF($L105&lt;&gt;"",_xll.PBF($L105,"EV to EBIT","FY",$AE$21,"","EUR",""),""),"")</f>
        <v/>
      </c>
      <c r="AF105" s="1672"/>
      <c r="AG105" s="1672" t="str" cm="1">
        <f t="array" aca="1" ref="AG105" ca="1">IFERROR(IF($L105&lt;&gt;"",_xll.PBF($L105,"EV to Forward Revenue","FY",$AG$21,"","EUR",""),""),"")</f>
        <v/>
      </c>
      <c r="AH105" s="1672" t="str" cm="1">
        <f t="array" aca="1" ref="AH105" ca="1">IFERROR(IF($L105&lt;&gt;"",_xll.PBF($L105,"EV to Forward EBITDA","FY",$AH$21,"","EUR",""),""),"")</f>
        <v/>
      </c>
      <c r="AI105" s="1672" t="str" cm="1">
        <f t="array" aca="1" ref="AI105" ca="1">IFERROR(IF($L105&lt;&gt;"",_xll.PBF($L105,"EV to Forward EBIT","FY",$AI$21,"","EUR",""),""),"")</f>
        <v/>
      </c>
      <c r="AK105" s="1705"/>
      <c r="AL105" s="1693" t="str" cm="1">
        <f t="array" ref="AL105">IFERROR(IF(AK105&lt;&gt;"",_xll.PBD(AK105,"Deal Date","","EUR",""),""),"")</f>
        <v/>
      </c>
      <c r="AM105" s="1693" t="str" cm="1">
        <f t="array" ref="AM105">IFERROR(IF(AK105&lt;&gt;"",_xll.PBD(AK105,"Limit1.Deal Type 1","","EUR",""),""),"")</f>
        <v/>
      </c>
      <c r="AN105" s="1693" t="str" cm="1">
        <f t="array" ref="AN105">IFERROR(IF(AK105&lt;&gt;"",_xll.PBD(AK105,"Limit1.Company Id","","EUR",""),""),"")</f>
        <v/>
      </c>
      <c r="AO105" s="1640" t="str" cm="1">
        <f t="array" ref="AO105">IFERROR(IF(AN105&lt;&gt;"",_xll.PBD(AN105,"Name","","EUR",""),""),"")</f>
        <v/>
      </c>
      <c r="AP105" s="1640" t="str" cm="1">
        <f t="array" ref="AP105">IFERROR(IF(AN105&lt;&gt;"",_xll.PBD(AN105,"Primary Industry Code","","EUR",""),""),"")</f>
        <v/>
      </c>
      <c r="AQ105" s="1640" t="str" cm="1">
        <f t="array" ref="AQ105">IFERROR(IF(AN105&lt;&gt;"",_xll.PBD(AN105,"HQ Country","","EUR",""),""),"")</f>
        <v/>
      </c>
      <c r="AR105" s="1640" t="str" cm="1">
        <f t="array" ref="AR105">IFERROR(IF(AK105&lt;&gt;"",_xll.PBD(AK105,"Limit1.Investors Ids","","EUR",""),""),"")</f>
        <v/>
      </c>
      <c r="AS105" s="1640" t="str" cm="1">
        <f t="array" ref="AS105">IFERROR(IF(AR105&lt;&gt;"",_xll.PBD(AR105,"Name","","EUR",""),""),"")</f>
        <v/>
      </c>
      <c r="AT105" s="1640" t="str" cm="1">
        <f t="array" ref="AT105">IFERROR(IF(AR105&lt;&gt;"",_xll.PBD(AR105,"Primary Industry Code","","EUR",""),""),"")</f>
        <v/>
      </c>
      <c r="AU105" s="1640" t="str" cm="1">
        <f t="array" ref="AU105">IFERROR(IF(AR105&lt;&gt;"",_xll.PBD(AR105,"Limit2.Entity Types","","EUR",""),""),"")</f>
        <v/>
      </c>
      <c r="AV105" s="1640" t="str" cm="1">
        <f t="array" ref="AV105">IFERROR(IF(AR105&lt;&gt;"",_xll.PBD(AR105,"HQ Country","","EUR",""),""),"")</f>
        <v/>
      </c>
      <c r="AX105" s="1641" t="str" cm="1">
        <f t="array" ref="AX105">IFERROR(IF(AK105&lt;&gt;"",_xll.PBD(AK105,"Limit1.Deal Amount","","EUR","")/1000000,""),"")</f>
        <v/>
      </c>
      <c r="AY105" s="1641" t="str" cm="1">
        <f t="array" ref="AY105">IFERROR(IF(AK105&lt;&gt;"",_xll.PBD(AK105,"Limit1.Implied EV ","","EUR","")/1000000,""),"")</f>
        <v/>
      </c>
      <c r="AZ105" s="1694" t="str" cm="1">
        <f t="array" ref="AZ105">IFERROR(IF(AK105&lt;&gt;"",_xll.PBD(AK105,"Limit1.% Acquired ","","EUR",""),""),"")</f>
        <v/>
      </c>
      <c r="BB105" s="1695" t="str" cm="1">
        <f t="array" ref="BB105">IFERROR(IF(AK105&lt;&gt;"",_xll.PBD(AK105,"Implied EV / Revenue","","EUR",""),""),"")</f>
        <v/>
      </c>
      <c r="BC105" s="1695" t="str" cm="1">
        <f t="array" ref="BC105">IFERROR(IF(AK105&lt;&gt;"",_xll.PBD(AK105,"Implied EV / EBITDA","","EUR",""),""),"")</f>
        <v/>
      </c>
      <c r="BD105" s="1695" t="str" cm="1">
        <f t="array" ref="BD105">IFERROR(IF(AK105&lt;&gt;"",_xll.PBD(AK105,"Implied EV / EBIT","","EUR",""),""),"")</f>
        <v/>
      </c>
      <c r="BF105" s="1640" t="str" cm="1">
        <f t="array" ref="BF105">IFERROR(IF(AR105&lt;&gt;"",_xll.PBD(AR105,"Brief Description","","EUR",""),""),"")</f>
        <v/>
      </c>
    </row>
    <row r="106" spans="12:58" ht="13.9" customHeight="1">
      <c r="L106" s="1705"/>
      <c r="N106" s="1640" t="str" cm="1">
        <f t="array" ref="N106">IFERROR(IF($L106&lt;&gt;"",_xll.PBD($L106,"Name","","USD",""),""),"")</f>
        <v/>
      </c>
      <c r="O106" s="1640" t="str" cm="1">
        <f t="array" ref="O106">IFERROR(IF($L106&lt;&gt;"",_xll.PBD($L106,"Primary Industry Code","","",""),""),"")</f>
        <v/>
      </c>
      <c r="P106" s="1640" t="str" cm="1">
        <f t="array" ref="P106">IFERROR(IF($L106&lt;&gt;"",_xll.PBD($L106,"HQ Country","","",""),""),"")</f>
        <v/>
      </c>
      <c r="Q106" s="1640" t="str" cm="1">
        <f t="array" ref="Q106">IFERROR(IF($L106&lt;&gt;"",_xll.PBD($L106,"HQ City","","EUR",""),""),"")</f>
        <v/>
      </c>
      <c r="S106" s="1666" t="str" cm="1">
        <f t="array" aca="1" ref="S106" ca="1">IFERROR(IF($L106&lt;&gt;"",_xll.PBF($L106,"EV","TTM",$N$11,"","EUR","")/1000000,""),"")</f>
        <v/>
      </c>
      <c r="T106" s="1666" t="str" cm="1">
        <f t="array" aca="1" ref="T106" ca="1">IFERROR(IF($L106&lt;&gt;"",_xll.PBF($L106,"NET Debt","TTM",$N$11,"","EUR","")/1000000,""),"")</f>
        <v/>
      </c>
      <c r="U106" s="1666" t="str" cm="1">
        <f t="array" aca="1" ref="U106" ca="1">IFERROR(IF($L106&lt;&gt;"",_xll.PBF($L106,"Market Cap","TTM",$N$11,"","EUR","")/1000000,""),"")</f>
        <v/>
      </c>
      <c r="V106" s="1677" t="str" cm="1">
        <f t="array" aca="1" ref="V106" ca="1">IFERROR(IF($L106&lt;&gt;"",_xll.PBF($L106,"Total Debt to Equity","TTM",$V$21,"","EUR",""),""),"")</f>
        <v/>
      </c>
      <c r="W106" s="1677"/>
      <c r="X106" s="1666" t="str" cm="1">
        <f t="array" aca="1" ref="X106" ca="1">IFERROR(IF($L106&lt;&gt;"",_xll.PBF($L106,"Total Revenue","FY",$X$21,"","EUR","")/1000000,""),"")</f>
        <v/>
      </c>
      <c r="Y106" s="1666" t="str" cm="1">
        <f t="array" aca="1" ref="Y106" ca="1">IFERROR(IF($L106&lt;&gt;"",_xll.PBF($L106,"EBITDA","FY",$N$11,"","EUR","")/1000000,""),"")</f>
        <v/>
      </c>
      <c r="Z106" s="1666" t="str" cm="1">
        <f t="array" aca="1" ref="Z106" ca="1">IFERROR(IF($L106&lt;&gt;"",_xll.PBF($L106,"EBIT","FY",$N$11,"","EUR","")/1000000,""),"")</f>
        <v/>
      </c>
      <c r="AA106" s="1677" t="str" cm="1">
        <f t="array" aca="1" ref="AA106" ca="1">IFERROR(IF($L106&lt;&gt;"",_xll.PBF($L106,"Total Debt to EBITDA","FY",$AA$21,"","EUR",""),""),"")</f>
        <v/>
      </c>
      <c r="AB106" s="1670"/>
      <c r="AC106" s="1672" t="str" cm="1">
        <f t="array" aca="1" ref="AC106" ca="1">IFERROR(IF($L106&lt;&gt;"",_xll.PBF($L106,"EV to Revenue","FY",$N$11,"","EUR",""),""),"")</f>
        <v/>
      </c>
      <c r="AD106" s="1672" t="str" cm="1">
        <f t="array" aca="1" ref="AD106" ca="1">IFERROR(IF($L106&lt;&gt;"",_xll.PBF($L106,"EV to EBITDA","FY",$AD$21,"","EUR",""),""),"")</f>
        <v/>
      </c>
      <c r="AE106" s="1672" t="str" cm="1">
        <f t="array" aca="1" ref="AE106" ca="1">IFERROR(IF($L106&lt;&gt;"",_xll.PBF($L106,"EV to EBIT","FY",$AE$21,"","EUR",""),""),"")</f>
        <v/>
      </c>
      <c r="AF106" s="1672"/>
      <c r="AG106" s="1672" t="str" cm="1">
        <f t="array" aca="1" ref="AG106" ca="1">IFERROR(IF($L106&lt;&gt;"",_xll.PBF($L106,"EV to Forward Revenue","FY",$AG$21,"","EUR",""),""),"")</f>
        <v/>
      </c>
      <c r="AH106" s="1672" t="str" cm="1">
        <f t="array" aca="1" ref="AH106" ca="1">IFERROR(IF($L106&lt;&gt;"",_xll.PBF($L106,"EV to Forward EBITDA","FY",$AH$21,"","EUR",""),""),"")</f>
        <v/>
      </c>
      <c r="AI106" s="1672" t="str" cm="1">
        <f t="array" aca="1" ref="AI106" ca="1">IFERROR(IF($L106&lt;&gt;"",_xll.PBF($L106,"EV to Forward EBIT","FY",$AI$21,"","EUR",""),""),"")</f>
        <v/>
      </c>
      <c r="AK106" s="1705"/>
      <c r="AL106" s="1693" t="str" cm="1">
        <f t="array" ref="AL106">IFERROR(IF(AK106&lt;&gt;"",_xll.PBD(AK106,"Deal Date","","EUR",""),""),"")</f>
        <v/>
      </c>
      <c r="AM106" s="1693" t="str" cm="1">
        <f t="array" ref="AM106">IFERROR(IF(AK106&lt;&gt;"",_xll.PBD(AK106,"Limit1.Deal Type 1","","EUR",""),""),"")</f>
        <v/>
      </c>
      <c r="AN106" s="1693" t="str" cm="1">
        <f t="array" ref="AN106">IFERROR(IF(AK106&lt;&gt;"",_xll.PBD(AK106,"Limit1.Company Id","","EUR",""),""),"")</f>
        <v/>
      </c>
      <c r="AO106" s="1640" t="str" cm="1">
        <f t="array" ref="AO106">IFERROR(IF(AN106&lt;&gt;"",_xll.PBD(AN106,"Name","","EUR",""),""),"")</f>
        <v/>
      </c>
      <c r="AP106" s="1640" t="str" cm="1">
        <f t="array" ref="AP106">IFERROR(IF(AN106&lt;&gt;"",_xll.PBD(AN106,"Primary Industry Code","","EUR",""),""),"")</f>
        <v/>
      </c>
      <c r="AQ106" s="1640" t="str" cm="1">
        <f t="array" ref="AQ106">IFERROR(IF(AN106&lt;&gt;"",_xll.PBD(AN106,"HQ Country","","EUR",""),""),"")</f>
        <v/>
      </c>
      <c r="AR106" s="1640" t="str" cm="1">
        <f t="array" ref="AR106">IFERROR(IF(AK106&lt;&gt;"",_xll.PBD(AK106,"Limit1.Investors Ids","","EUR",""),""),"")</f>
        <v/>
      </c>
      <c r="AS106" s="1640" t="str" cm="1">
        <f t="array" ref="AS106">IFERROR(IF(AR106&lt;&gt;"",_xll.PBD(AR106,"Name","","EUR",""),""),"")</f>
        <v/>
      </c>
      <c r="AT106" s="1640" t="str" cm="1">
        <f t="array" ref="AT106">IFERROR(IF(AR106&lt;&gt;"",_xll.PBD(AR106,"Primary Industry Code","","EUR",""),""),"")</f>
        <v/>
      </c>
      <c r="AU106" s="1640" t="str" cm="1">
        <f t="array" ref="AU106">IFERROR(IF(AR106&lt;&gt;"",_xll.PBD(AR106,"Limit2.Entity Types","","EUR",""),""),"")</f>
        <v/>
      </c>
      <c r="AV106" s="1640" t="str" cm="1">
        <f t="array" ref="AV106">IFERROR(IF(AR106&lt;&gt;"",_xll.PBD(AR106,"HQ Country","","EUR",""),""),"")</f>
        <v/>
      </c>
      <c r="AX106" s="1641" t="str" cm="1">
        <f t="array" ref="AX106">IFERROR(IF(AK106&lt;&gt;"",_xll.PBD(AK106,"Limit1.Deal Amount","","EUR","")/1000000,""),"")</f>
        <v/>
      </c>
      <c r="AY106" s="1641" t="str" cm="1">
        <f t="array" ref="AY106">IFERROR(IF(AK106&lt;&gt;"",_xll.PBD(AK106,"Limit1.Implied EV ","","EUR","")/1000000,""),"")</f>
        <v/>
      </c>
      <c r="AZ106" s="1694" t="str" cm="1">
        <f t="array" ref="AZ106">IFERROR(IF(AK106&lt;&gt;"",_xll.PBD(AK106,"Limit1.% Acquired ","","EUR",""),""),"")</f>
        <v/>
      </c>
      <c r="BB106" s="1695" t="str" cm="1">
        <f t="array" ref="BB106">IFERROR(IF(AK106&lt;&gt;"",_xll.PBD(AK106,"Implied EV / Revenue","","EUR",""),""),"")</f>
        <v/>
      </c>
      <c r="BC106" s="1695" t="str" cm="1">
        <f t="array" ref="BC106">IFERROR(IF(AK106&lt;&gt;"",_xll.PBD(AK106,"Implied EV / EBITDA","","EUR",""),""),"")</f>
        <v/>
      </c>
      <c r="BD106" s="1695" t="str" cm="1">
        <f t="array" ref="BD106">IFERROR(IF(AK106&lt;&gt;"",_xll.PBD(AK106,"Implied EV / EBIT","","EUR",""),""),"")</f>
        <v/>
      </c>
      <c r="BF106" s="1640" t="str" cm="1">
        <f t="array" ref="BF106">IFERROR(IF(AR106&lt;&gt;"",_xll.PBD(AR106,"Brief Description","","EUR",""),""),"")</f>
        <v/>
      </c>
    </row>
    <row r="107" spans="12:58" ht="13.9" customHeight="1">
      <c r="L107" s="1705"/>
      <c r="N107" s="1640" t="str" cm="1">
        <f t="array" ref="N107">IFERROR(IF($L107&lt;&gt;"",_xll.PBD($L107,"Name","","USD",""),""),"")</f>
        <v/>
      </c>
      <c r="O107" s="1640" t="str" cm="1">
        <f t="array" ref="O107">IFERROR(IF($L107&lt;&gt;"",_xll.PBD($L107,"Primary Industry Code","","",""),""),"")</f>
        <v/>
      </c>
      <c r="P107" s="1640" t="str" cm="1">
        <f t="array" ref="P107">IFERROR(IF($L107&lt;&gt;"",_xll.PBD($L107,"HQ Country","","",""),""),"")</f>
        <v/>
      </c>
      <c r="Q107" s="1640" t="str" cm="1">
        <f t="array" ref="Q107">IFERROR(IF($L107&lt;&gt;"",_xll.PBD($L107,"HQ City","","EUR",""),""),"")</f>
        <v/>
      </c>
      <c r="S107" s="1666" t="str" cm="1">
        <f t="array" aca="1" ref="S107" ca="1">IFERROR(IF($L107&lt;&gt;"",_xll.PBF($L107,"EV","TTM",$N$11,"","EUR","")/1000000,""),"")</f>
        <v/>
      </c>
      <c r="T107" s="1666" t="str" cm="1">
        <f t="array" aca="1" ref="T107" ca="1">IFERROR(IF($L107&lt;&gt;"",_xll.PBF($L107,"NET Debt","TTM",$N$11,"","EUR","")/1000000,""),"")</f>
        <v/>
      </c>
      <c r="U107" s="1666" t="str" cm="1">
        <f t="array" aca="1" ref="U107" ca="1">IFERROR(IF($L107&lt;&gt;"",_xll.PBF($L107,"Market Cap","TTM",$N$11,"","EUR","")/1000000,""),"")</f>
        <v/>
      </c>
      <c r="V107" s="1677" t="str" cm="1">
        <f t="array" aca="1" ref="V107" ca="1">IFERROR(IF($L107&lt;&gt;"",_xll.PBF($L107,"Total Debt to Equity","TTM",$V$21,"","EUR",""),""),"")</f>
        <v/>
      </c>
      <c r="W107" s="1677"/>
      <c r="X107" s="1666" t="str" cm="1">
        <f t="array" aca="1" ref="X107" ca="1">IFERROR(IF($L107&lt;&gt;"",_xll.PBF($L107,"Total Revenue","FY",$X$21,"","EUR","")/1000000,""),"")</f>
        <v/>
      </c>
      <c r="Y107" s="1666" t="str" cm="1">
        <f t="array" aca="1" ref="Y107" ca="1">IFERROR(IF($L107&lt;&gt;"",_xll.PBF($L107,"EBITDA","FY",$N$11,"","EUR","")/1000000,""),"")</f>
        <v/>
      </c>
      <c r="Z107" s="1666" t="str" cm="1">
        <f t="array" aca="1" ref="Z107" ca="1">IFERROR(IF($L107&lt;&gt;"",_xll.PBF($L107,"EBIT","FY",$N$11,"","EUR","")/1000000,""),"")</f>
        <v/>
      </c>
      <c r="AA107" s="1677" t="str" cm="1">
        <f t="array" aca="1" ref="AA107" ca="1">IFERROR(IF($L107&lt;&gt;"",_xll.PBF($L107,"Total Debt to EBITDA","FY",$AA$21,"","EUR",""),""),"")</f>
        <v/>
      </c>
      <c r="AB107" s="1670"/>
      <c r="AC107" s="1672" t="str" cm="1">
        <f t="array" aca="1" ref="AC107" ca="1">IFERROR(IF($L107&lt;&gt;"",_xll.PBF($L107,"EV to Revenue","FY",$N$11,"","EUR",""),""),"")</f>
        <v/>
      </c>
      <c r="AD107" s="1672" t="str" cm="1">
        <f t="array" aca="1" ref="AD107" ca="1">IFERROR(IF($L107&lt;&gt;"",_xll.PBF($L107,"EV to EBITDA","FY",$AD$21,"","EUR",""),""),"")</f>
        <v/>
      </c>
      <c r="AE107" s="1672" t="str" cm="1">
        <f t="array" aca="1" ref="AE107" ca="1">IFERROR(IF($L107&lt;&gt;"",_xll.PBF($L107,"EV to EBIT","FY",$AE$21,"","EUR",""),""),"")</f>
        <v/>
      </c>
      <c r="AF107" s="1672"/>
      <c r="AG107" s="1672" t="str" cm="1">
        <f t="array" aca="1" ref="AG107" ca="1">IFERROR(IF($L107&lt;&gt;"",_xll.PBF($L107,"EV to Forward Revenue","FY",$AG$21,"","EUR",""),""),"")</f>
        <v/>
      </c>
      <c r="AH107" s="1672" t="str" cm="1">
        <f t="array" aca="1" ref="AH107" ca="1">IFERROR(IF($L107&lt;&gt;"",_xll.PBF($L107,"EV to Forward EBITDA","FY",$AH$21,"","EUR",""),""),"")</f>
        <v/>
      </c>
      <c r="AI107" s="1672" t="str" cm="1">
        <f t="array" aca="1" ref="AI107" ca="1">IFERROR(IF($L107&lt;&gt;"",_xll.PBF($L107,"EV to Forward EBIT","FY",$AI$21,"","EUR",""),""),"")</f>
        <v/>
      </c>
      <c r="AK107" s="1705"/>
      <c r="AL107" s="1693" t="str" cm="1">
        <f t="array" ref="AL107">IFERROR(IF(AK107&lt;&gt;"",_xll.PBD(AK107,"Deal Date","","EUR",""),""),"")</f>
        <v/>
      </c>
      <c r="AM107" s="1693" t="str" cm="1">
        <f t="array" ref="AM107">IFERROR(IF(AK107&lt;&gt;"",_xll.PBD(AK107,"Limit1.Deal Type 1","","EUR",""),""),"")</f>
        <v/>
      </c>
      <c r="AN107" s="1693" t="str" cm="1">
        <f t="array" ref="AN107">IFERROR(IF(AK107&lt;&gt;"",_xll.PBD(AK107,"Limit1.Company Id","","EUR",""),""),"")</f>
        <v/>
      </c>
      <c r="AO107" s="1640" t="str" cm="1">
        <f t="array" ref="AO107">IFERROR(IF(AN107&lt;&gt;"",_xll.PBD(AN107,"Name","","EUR",""),""),"")</f>
        <v/>
      </c>
      <c r="AP107" s="1640" t="str" cm="1">
        <f t="array" ref="AP107">IFERROR(IF(AN107&lt;&gt;"",_xll.PBD(AN107,"Primary Industry Code","","EUR",""),""),"")</f>
        <v/>
      </c>
      <c r="AQ107" s="1640" t="str" cm="1">
        <f t="array" ref="AQ107">IFERROR(IF(AN107&lt;&gt;"",_xll.PBD(AN107,"HQ Country","","EUR",""),""),"")</f>
        <v/>
      </c>
      <c r="AR107" s="1640" t="str" cm="1">
        <f t="array" ref="AR107">IFERROR(IF(AK107&lt;&gt;"",_xll.PBD(AK107,"Limit1.Investors Ids","","EUR",""),""),"")</f>
        <v/>
      </c>
      <c r="AS107" s="1640" t="str" cm="1">
        <f t="array" ref="AS107">IFERROR(IF(AR107&lt;&gt;"",_xll.PBD(AR107,"Name","","EUR",""),""),"")</f>
        <v/>
      </c>
      <c r="AT107" s="1640" t="str" cm="1">
        <f t="array" ref="AT107">IFERROR(IF(AR107&lt;&gt;"",_xll.PBD(AR107,"Primary Industry Code","","EUR",""),""),"")</f>
        <v/>
      </c>
      <c r="AU107" s="1640" t="str" cm="1">
        <f t="array" ref="AU107">IFERROR(IF(AR107&lt;&gt;"",_xll.PBD(AR107,"Limit2.Entity Types","","EUR",""),""),"")</f>
        <v/>
      </c>
      <c r="AV107" s="1640" t="str" cm="1">
        <f t="array" ref="AV107">IFERROR(IF(AR107&lt;&gt;"",_xll.PBD(AR107,"HQ Country","","EUR",""),""),"")</f>
        <v/>
      </c>
      <c r="AX107" s="1641" t="str" cm="1">
        <f t="array" ref="AX107">IFERROR(IF(AK107&lt;&gt;"",_xll.PBD(AK107,"Limit1.Deal Amount","","EUR","")/1000000,""),"")</f>
        <v/>
      </c>
      <c r="AY107" s="1641" t="str" cm="1">
        <f t="array" ref="AY107">IFERROR(IF(AK107&lt;&gt;"",_xll.PBD(AK107,"Limit1.Implied EV ","","EUR","")/1000000,""),"")</f>
        <v/>
      </c>
      <c r="AZ107" s="1694" t="str" cm="1">
        <f t="array" ref="AZ107">IFERROR(IF(AK107&lt;&gt;"",_xll.PBD(AK107,"Limit1.% Acquired ","","EUR",""),""),"")</f>
        <v/>
      </c>
      <c r="BB107" s="1695" t="str" cm="1">
        <f t="array" ref="BB107">IFERROR(IF(AK107&lt;&gt;"",_xll.PBD(AK107,"Implied EV / Revenue","","EUR",""),""),"")</f>
        <v/>
      </c>
      <c r="BC107" s="1695" t="str" cm="1">
        <f t="array" ref="BC107">IFERROR(IF(AK107&lt;&gt;"",_xll.PBD(AK107,"Implied EV / EBITDA","","EUR",""),""),"")</f>
        <v/>
      </c>
      <c r="BD107" s="1695" t="str" cm="1">
        <f t="array" ref="BD107">IFERROR(IF(AK107&lt;&gt;"",_xll.PBD(AK107,"Implied EV / EBIT","","EUR",""),""),"")</f>
        <v/>
      </c>
      <c r="BF107" s="1640" t="str" cm="1">
        <f t="array" ref="BF107">IFERROR(IF(AR107&lt;&gt;"",_xll.PBD(AR107,"Brief Description","","EUR",""),""),"")</f>
        <v/>
      </c>
    </row>
    <row r="108" spans="12:58" ht="13.9" customHeight="1">
      <c r="L108" s="1705"/>
      <c r="N108" s="1640" t="str" cm="1">
        <f t="array" ref="N108">IFERROR(IF($L108&lt;&gt;"",_xll.PBD($L108,"Name","","USD",""),""),"")</f>
        <v/>
      </c>
      <c r="O108" s="1640" t="str" cm="1">
        <f t="array" ref="O108">IFERROR(IF($L108&lt;&gt;"",_xll.PBD($L108,"Primary Industry Code","","",""),""),"")</f>
        <v/>
      </c>
      <c r="P108" s="1640" t="str" cm="1">
        <f t="array" ref="P108">IFERROR(IF($L108&lt;&gt;"",_xll.PBD($L108,"HQ Country","","",""),""),"")</f>
        <v/>
      </c>
      <c r="Q108" s="1640" t="str" cm="1">
        <f t="array" ref="Q108">IFERROR(IF($L108&lt;&gt;"",_xll.PBD($L108,"HQ City","","EUR",""),""),"")</f>
        <v/>
      </c>
      <c r="S108" s="1666" t="str" cm="1">
        <f t="array" aca="1" ref="S108" ca="1">IFERROR(IF($L108&lt;&gt;"",_xll.PBF($L108,"EV","TTM",$N$11,"","EUR","")/1000000,""),"")</f>
        <v/>
      </c>
      <c r="T108" s="1666" t="str" cm="1">
        <f t="array" aca="1" ref="T108" ca="1">IFERROR(IF($L108&lt;&gt;"",_xll.PBF($L108,"NET Debt","TTM",$N$11,"","EUR","")/1000000,""),"")</f>
        <v/>
      </c>
      <c r="U108" s="1666" t="str" cm="1">
        <f t="array" aca="1" ref="U108" ca="1">IFERROR(IF($L108&lt;&gt;"",_xll.PBF($L108,"Market Cap","TTM",$N$11,"","EUR","")/1000000,""),"")</f>
        <v/>
      </c>
      <c r="V108" s="1677" t="str" cm="1">
        <f t="array" aca="1" ref="V108" ca="1">IFERROR(IF($L108&lt;&gt;"",_xll.PBF($L108,"Total Debt to Equity","TTM",$V$21,"","EUR",""),""),"")</f>
        <v/>
      </c>
      <c r="W108" s="1677"/>
      <c r="X108" s="1666" t="str" cm="1">
        <f t="array" aca="1" ref="X108" ca="1">IFERROR(IF($L108&lt;&gt;"",_xll.PBF($L108,"Total Revenue","FY",$X$21,"","EUR","")/1000000,""),"")</f>
        <v/>
      </c>
      <c r="Y108" s="1666" t="str" cm="1">
        <f t="array" aca="1" ref="Y108" ca="1">IFERROR(IF($L108&lt;&gt;"",_xll.PBF($L108,"EBITDA","FY",$N$11,"","EUR","")/1000000,""),"")</f>
        <v/>
      </c>
      <c r="Z108" s="1666" t="str" cm="1">
        <f t="array" aca="1" ref="Z108" ca="1">IFERROR(IF($L108&lt;&gt;"",_xll.PBF($L108,"EBIT","FY",$N$11,"","EUR","")/1000000,""),"")</f>
        <v/>
      </c>
      <c r="AA108" s="1677" t="str" cm="1">
        <f t="array" aca="1" ref="AA108" ca="1">IFERROR(IF($L108&lt;&gt;"",_xll.PBF($L108,"Total Debt to EBITDA","FY",$AA$21,"","EUR",""),""),"")</f>
        <v/>
      </c>
      <c r="AB108" s="1670"/>
      <c r="AC108" s="1672" t="str" cm="1">
        <f t="array" aca="1" ref="AC108" ca="1">IFERROR(IF($L108&lt;&gt;"",_xll.PBF($L108,"EV to Revenue","FY",$N$11,"","EUR",""),""),"")</f>
        <v/>
      </c>
      <c r="AD108" s="1672" t="str" cm="1">
        <f t="array" aca="1" ref="AD108" ca="1">IFERROR(IF($L108&lt;&gt;"",_xll.PBF($L108,"EV to EBITDA","FY",$AD$21,"","EUR",""),""),"")</f>
        <v/>
      </c>
      <c r="AE108" s="1672" t="str" cm="1">
        <f t="array" aca="1" ref="AE108" ca="1">IFERROR(IF($L108&lt;&gt;"",_xll.PBF($L108,"EV to EBIT","FY",$AE$21,"","EUR",""),""),"")</f>
        <v/>
      </c>
      <c r="AF108" s="1672"/>
      <c r="AG108" s="1672" t="str" cm="1">
        <f t="array" aca="1" ref="AG108" ca="1">IFERROR(IF($L108&lt;&gt;"",_xll.PBF($L108,"EV to Forward Revenue","FY",$AG$21,"","EUR",""),""),"")</f>
        <v/>
      </c>
      <c r="AH108" s="1672" t="str" cm="1">
        <f t="array" aca="1" ref="AH108" ca="1">IFERROR(IF($L108&lt;&gt;"",_xll.PBF($L108,"EV to Forward EBITDA","FY",$AH$21,"","EUR",""),""),"")</f>
        <v/>
      </c>
      <c r="AI108" s="1672" t="str" cm="1">
        <f t="array" aca="1" ref="AI108" ca="1">IFERROR(IF($L108&lt;&gt;"",_xll.PBF($L108,"EV to Forward EBIT","FY",$AI$21,"","EUR",""),""),"")</f>
        <v/>
      </c>
      <c r="AK108" s="1705"/>
      <c r="AL108" s="1693" t="str" cm="1">
        <f t="array" ref="AL108">IFERROR(IF(AK108&lt;&gt;"",_xll.PBD(AK108,"Deal Date","","EUR",""),""),"")</f>
        <v/>
      </c>
      <c r="AM108" s="1693" t="str" cm="1">
        <f t="array" ref="AM108">IFERROR(IF(AK108&lt;&gt;"",_xll.PBD(AK108,"Limit1.Deal Type 1","","EUR",""),""),"")</f>
        <v/>
      </c>
      <c r="AN108" s="1693" t="str" cm="1">
        <f t="array" ref="AN108">IFERROR(IF(AK108&lt;&gt;"",_xll.PBD(AK108,"Limit1.Company Id","","EUR",""),""),"")</f>
        <v/>
      </c>
      <c r="AO108" s="1640" t="str" cm="1">
        <f t="array" ref="AO108">IFERROR(IF(AN108&lt;&gt;"",_xll.PBD(AN108,"Name","","EUR",""),""),"")</f>
        <v/>
      </c>
      <c r="AP108" s="1640" t="str" cm="1">
        <f t="array" ref="AP108">IFERROR(IF(AN108&lt;&gt;"",_xll.PBD(AN108,"Primary Industry Code","","EUR",""),""),"")</f>
        <v/>
      </c>
      <c r="AQ108" s="1640" t="str" cm="1">
        <f t="array" ref="AQ108">IFERROR(IF(AN108&lt;&gt;"",_xll.PBD(AN108,"HQ Country","","EUR",""),""),"")</f>
        <v/>
      </c>
      <c r="AR108" s="1640" t="str" cm="1">
        <f t="array" ref="AR108">IFERROR(IF(AK108&lt;&gt;"",_xll.PBD(AK108,"Limit1.Investors Ids","","EUR",""),""),"")</f>
        <v/>
      </c>
      <c r="AS108" s="1640" t="str" cm="1">
        <f t="array" ref="AS108">IFERROR(IF(AR108&lt;&gt;"",_xll.PBD(AR108,"Name","","EUR",""),""),"")</f>
        <v/>
      </c>
      <c r="AT108" s="1640" t="str" cm="1">
        <f t="array" ref="AT108">IFERROR(IF(AR108&lt;&gt;"",_xll.PBD(AR108,"Primary Industry Code","","EUR",""),""),"")</f>
        <v/>
      </c>
      <c r="AU108" s="1640" t="str" cm="1">
        <f t="array" ref="AU108">IFERROR(IF(AR108&lt;&gt;"",_xll.PBD(AR108,"Limit2.Entity Types","","EUR",""),""),"")</f>
        <v/>
      </c>
      <c r="AV108" s="1640" t="str" cm="1">
        <f t="array" ref="AV108">IFERROR(IF(AR108&lt;&gt;"",_xll.PBD(AR108,"HQ Country","","EUR",""),""),"")</f>
        <v/>
      </c>
      <c r="AX108" s="1641" t="str" cm="1">
        <f t="array" ref="AX108">IFERROR(IF(AK108&lt;&gt;"",_xll.PBD(AK108,"Limit1.Deal Amount","","EUR","")/1000000,""),"")</f>
        <v/>
      </c>
      <c r="AY108" s="1641" t="str" cm="1">
        <f t="array" ref="AY108">IFERROR(IF(AK108&lt;&gt;"",_xll.PBD(AK108,"Limit1.Implied EV ","","EUR","")/1000000,""),"")</f>
        <v/>
      </c>
      <c r="AZ108" s="1694" t="str" cm="1">
        <f t="array" ref="AZ108">IFERROR(IF(AK108&lt;&gt;"",_xll.PBD(AK108,"Limit1.% Acquired ","","EUR",""),""),"")</f>
        <v/>
      </c>
      <c r="BB108" s="1695" t="str" cm="1">
        <f t="array" ref="BB108">IFERROR(IF(AK108&lt;&gt;"",_xll.PBD(AK108,"Implied EV / Revenue","","EUR",""),""),"")</f>
        <v/>
      </c>
      <c r="BC108" s="1695" t="str" cm="1">
        <f t="array" ref="BC108">IFERROR(IF(AK108&lt;&gt;"",_xll.PBD(AK108,"Implied EV / EBITDA","","EUR",""),""),"")</f>
        <v/>
      </c>
      <c r="BD108" s="1695" t="str" cm="1">
        <f t="array" ref="BD108">IFERROR(IF(AK108&lt;&gt;"",_xll.PBD(AK108,"Implied EV / EBIT","","EUR",""),""),"")</f>
        <v/>
      </c>
      <c r="BF108" s="1640" t="str" cm="1">
        <f t="array" ref="BF108">IFERROR(IF(AR108&lt;&gt;"",_xll.PBD(AR108,"Brief Description","","EUR",""),""),"")</f>
        <v/>
      </c>
    </row>
    <row r="109" spans="12:58" ht="13.9" customHeight="1">
      <c r="L109" s="1705"/>
      <c r="N109" s="1640" t="str" cm="1">
        <f t="array" ref="N109">IFERROR(IF($L109&lt;&gt;"",_xll.PBD($L109,"Name","","USD",""),""),"")</f>
        <v/>
      </c>
      <c r="O109" s="1640" t="str" cm="1">
        <f t="array" ref="O109">IFERROR(IF($L109&lt;&gt;"",_xll.PBD($L109,"Primary Industry Code","","",""),""),"")</f>
        <v/>
      </c>
      <c r="P109" s="1640" t="str" cm="1">
        <f t="array" ref="P109">IFERROR(IF($L109&lt;&gt;"",_xll.PBD($L109,"HQ Country","","",""),""),"")</f>
        <v/>
      </c>
      <c r="Q109" s="1640" t="str" cm="1">
        <f t="array" ref="Q109">IFERROR(IF($L109&lt;&gt;"",_xll.PBD($L109,"HQ City","","EUR",""),""),"")</f>
        <v/>
      </c>
      <c r="S109" s="1666" t="str" cm="1">
        <f t="array" aca="1" ref="S109" ca="1">IFERROR(IF($L109&lt;&gt;"",_xll.PBF($L109,"EV","TTM",$N$11,"","EUR","")/1000000,""),"")</f>
        <v/>
      </c>
      <c r="T109" s="1666" t="str" cm="1">
        <f t="array" aca="1" ref="T109" ca="1">IFERROR(IF($L109&lt;&gt;"",_xll.PBF($L109,"NET Debt","TTM",$N$11,"","EUR","")/1000000,""),"")</f>
        <v/>
      </c>
      <c r="U109" s="1666" t="str" cm="1">
        <f t="array" aca="1" ref="U109" ca="1">IFERROR(IF($L109&lt;&gt;"",_xll.PBF($L109,"Market Cap","TTM",$N$11,"","EUR","")/1000000,""),"")</f>
        <v/>
      </c>
      <c r="V109" s="1677" t="str" cm="1">
        <f t="array" aca="1" ref="V109" ca="1">IFERROR(IF($L109&lt;&gt;"",_xll.PBF($L109,"Total Debt to Equity","TTM",$V$21,"","EUR",""),""),"")</f>
        <v/>
      </c>
      <c r="W109" s="1677"/>
      <c r="X109" s="1666" t="str" cm="1">
        <f t="array" aca="1" ref="X109" ca="1">IFERROR(IF($L109&lt;&gt;"",_xll.PBF($L109,"Total Revenue","FY",$X$21,"","EUR","")/1000000,""),"")</f>
        <v/>
      </c>
      <c r="Y109" s="1666" t="str" cm="1">
        <f t="array" aca="1" ref="Y109" ca="1">IFERROR(IF($L109&lt;&gt;"",_xll.PBF($L109,"EBITDA","FY",$N$11,"","EUR","")/1000000,""),"")</f>
        <v/>
      </c>
      <c r="Z109" s="1666" t="str" cm="1">
        <f t="array" aca="1" ref="Z109" ca="1">IFERROR(IF($L109&lt;&gt;"",_xll.PBF($L109,"EBIT","FY",$N$11,"","EUR","")/1000000,""),"")</f>
        <v/>
      </c>
      <c r="AA109" s="1677" t="str" cm="1">
        <f t="array" aca="1" ref="AA109" ca="1">IFERROR(IF($L109&lt;&gt;"",_xll.PBF($L109,"Total Debt to EBITDA","FY",$AA$21,"","EUR",""),""),"")</f>
        <v/>
      </c>
      <c r="AB109" s="1670"/>
      <c r="AC109" s="1672" t="str" cm="1">
        <f t="array" aca="1" ref="AC109" ca="1">IFERROR(IF($L109&lt;&gt;"",_xll.PBF($L109,"EV to Revenue","FY",$N$11,"","EUR",""),""),"")</f>
        <v/>
      </c>
      <c r="AD109" s="1672" t="str" cm="1">
        <f t="array" aca="1" ref="AD109" ca="1">IFERROR(IF($L109&lt;&gt;"",_xll.PBF($L109,"EV to EBITDA","FY",$AD$21,"","EUR",""),""),"")</f>
        <v/>
      </c>
      <c r="AE109" s="1672" t="str" cm="1">
        <f t="array" aca="1" ref="AE109" ca="1">IFERROR(IF($L109&lt;&gt;"",_xll.PBF($L109,"EV to EBIT","FY",$AE$21,"","EUR",""),""),"")</f>
        <v/>
      </c>
      <c r="AF109" s="1672"/>
      <c r="AG109" s="1672" t="str" cm="1">
        <f t="array" aca="1" ref="AG109" ca="1">IFERROR(IF($L109&lt;&gt;"",_xll.PBF($L109,"EV to Forward Revenue","FY",$AG$21,"","EUR",""),""),"")</f>
        <v/>
      </c>
      <c r="AH109" s="1672" t="str" cm="1">
        <f t="array" aca="1" ref="AH109" ca="1">IFERROR(IF($L109&lt;&gt;"",_xll.PBF($L109,"EV to Forward EBITDA","FY",$AH$21,"","EUR",""),""),"")</f>
        <v/>
      </c>
      <c r="AI109" s="1672" t="str" cm="1">
        <f t="array" aca="1" ref="AI109" ca="1">IFERROR(IF($L109&lt;&gt;"",_xll.PBF($L109,"EV to Forward EBIT","FY",$AI$21,"","EUR",""),""),"")</f>
        <v/>
      </c>
      <c r="AK109" s="1705"/>
      <c r="AL109" s="1693" t="str" cm="1">
        <f t="array" ref="AL109">IFERROR(IF(AK109&lt;&gt;"",_xll.PBD(AK109,"Deal Date","","EUR",""),""),"")</f>
        <v/>
      </c>
      <c r="AM109" s="1693" t="str" cm="1">
        <f t="array" ref="AM109">IFERROR(IF(AK109&lt;&gt;"",_xll.PBD(AK109,"Limit1.Deal Type 1","","EUR",""),""),"")</f>
        <v/>
      </c>
      <c r="AN109" s="1693" t="str" cm="1">
        <f t="array" ref="AN109">IFERROR(IF(AK109&lt;&gt;"",_xll.PBD(AK109,"Limit1.Company Id","","EUR",""),""),"")</f>
        <v/>
      </c>
      <c r="AO109" s="1640" t="str" cm="1">
        <f t="array" ref="AO109">IFERROR(IF(AN109&lt;&gt;"",_xll.PBD(AN109,"Name","","EUR",""),""),"")</f>
        <v/>
      </c>
      <c r="AP109" s="1640" t="str" cm="1">
        <f t="array" ref="AP109">IFERROR(IF(AN109&lt;&gt;"",_xll.PBD(AN109,"Primary Industry Code","","EUR",""),""),"")</f>
        <v/>
      </c>
      <c r="AQ109" s="1640" t="str" cm="1">
        <f t="array" ref="AQ109">IFERROR(IF(AN109&lt;&gt;"",_xll.PBD(AN109,"HQ Country","","EUR",""),""),"")</f>
        <v/>
      </c>
      <c r="AR109" s="1640" t="str" cm="1">
        <f t="array" ref="AR109">IFERROR(IF(AK109&lt;&gt;"",_xll.PBD(AK109,"Limit1.Investors Ids","","EUR",""),""),"")</f>
        <v/>
      </c>
      <c r="AS109" s="1640" t="str" cm="1">
        <f t="array" ref="AS109">IFERROR(IF(AR109&lt;&gt;"",_xll.PBD(AR109,"Name","","EUR",""),""),"")</f>
        <v/>
      </c>
      <c r="AT109" s="1640" t="str" cm="1">
        <f t="array" ref="AT109">IFERROR(IF(AR109&lt;&gt;"",_xll.PBD(AR109,"Primary Industry Code","","EUR",""),""),"")</f>
        <v/>
      </c>
      <c r="AU109" s="1640" t="str" cm="1">
        <f t="array" ref="AU109">IFERROR(IF(AR109&lt;&gt;"",_xll.PBD(AR109,"Limit2.Entity Types","","EUR",""),""),"")</f>
        <v/>
      </c>
      <c r="AV109" s="1640" t="str" cm="1">
        <f t="array" ref="AV109">IFERROR(IF(AR109&lt;&gt;"",_xll.PBD(AR109,"HQ Country","","EUR",""),""),"")</f>
        <v/>
      </c>
      <c r="AX109" s="1641" t="str" cm="1">
        <f t="array" ref="AX109">IFERROR(IF(AK109&lt;&gt;"",_xll.PBD(AK109,"Limit1.Deal Amount","","EUR","")/1000000,""),"")</f>
        <v/>
      </c>
      <c r="AY109" s="1641" t="str" cm="1">
        <f t="array" ref="AY109">IFERROR(IF(AK109&lt;&gt;"",_xll.PBD(AK109,"Limit1.Implied EV ","","EUR","")/1000000,""),"")</f>
        <v/>
      </c>
      <c r="AZ109" s="1694" t="str" cm="1">
        <f t="array" ref="AZ109">IFERROR(IF(AK109&lt;&gt;"",_xll.PBD(AK109,"Limit1.% Acquired ","","EUR",""),""),"")</f>
        <v/>
      </c>
      <c r="BB109" s="1695" t="str" cm="1">
        <f t="array" ref="BB109">IFERROR(IF(AK109&lt;&gt;"",_xll.PBD(AK109,"Implied EV / Revenue","","EUR",""),""),"")</f>
        <v/>
      </c>
      <c r="BC109" s="1695" t="str" cm="1">
        <f t="array" ref="BC109">IFERROR(IF(AK109&lt;&gt;"",_xll.PBD(AK109,"Implied EV / EBITDA","","EUR",""),""),"")</f>
        <v/>
      </c>
      <c r="BD109" s="1695" t="str" cm="1">
        <f t="array" ref="BD109">IFERROR(IF(AK109&lt;&gt;"",_xll.PBD(AK109,"Implied EV / EBIT","","EUR",""),""),"")</f>
        <v/>
      </c>
      <c r="BF109" s="1640" t="str" cm="1">
        <f t="array" ref="BF109">IFERROR(IF(AR109&lt;&gt;"",_xll.PBD(AR109,"Brief Description","","EUR",""),""),"")</f>
        <v/>
      </c>
    </row>
    <row r="110" spans="12:58" ht="13.9" customHeight="1">
      <c r="L110" s="1705"/>
      <c r="N110" s="1640" t="str" cm="1">
        <f t="array" ref="N110">IFERROR(IF($L110&lt;&gt;"",_xll.PBD($L110,"Name","","USD",""),""),"")</f>
        <v/>
      </c>
      <c r="O110" s="1640" t="str" cm="1">
        <f t="array" ref="O110">IFERROR(IF($L110&lt;&gt;"",_xll.PBD($L110,"Primary Industry Code","","",""),""),"")</f>
        <v/>
      </c>
      <c r="P110" s="1640" t="str" cm="1">
        <f t="array" ref="P110">IFERROR(IF($L110&lt;&gt;"",_xll.PBD($L110,"HQ Country","","",""),""),"")</f>
        <v/>
      </c>
      <c r="Q110" s="1640" t="str" cm="1">
        <f t="array" ref="Q110">IFERROR(IF($L110&lt;&gt;"",_xll.PBD($L110,"HQ City","","EUR",""),""),"")</f>
        <v/>
      </c>
      <c r="S110" s="1666" t="str" cm="1">
        <f t="array" aca="1" ref="S110" ca="1">IFERROR(IF($L110&lt;&gt;"",_xll.PBF($L110,"EV","TTM",$N$11,"","EUR","")/1000000,""),"")</f>
        <v/>
      </c>
      <c r="T110" s="1666" t="str" cm="1">
        <f t="array" aca="1" ref="T110" ca="1">IFERROR(IF($L110&lt;&gt;"",_xll.PBF($L110,"NET Debt","TTM",$N$11,"","EUR","")/1000000,""),"")</f>
        <v/>
      </c>
      <c r="U110" s="1666" t="str" cm="1">
        <f t="array" aca="1" ref="U110" ca="1">IFERROR(IF($L110&lt;&gt;"",_xll.PBF($L110,"Market Cap","TTM",$N$11,"","EUR","")/1000000,""),"")</f>
        <v/>
      </c>
      <c r="V110" s="1677" t="str" cm="1">
        <f t="array" aca="1" ref="V110" ca="1">IFERROR(IF($L110&lt;&gt;"",_xll.PBF($L110,"Total Debt to Equity","TTM",$V$21,"","EUR",""),""),"")</f>
        <v/>
      </c>
      <c r="W110" s="1677"/>
      <c r="X110" s="1666" t="str" cm="1">
        <f t="array" aca="1" ref="X110" ca="1">IFERROR(IF($L110&lt;&gt;"",_xll.PBF($L110,"Total Revenue","FY",$X$21,"","EUR","")/1000000,""),"")</f>
        <v/>
      </c>
      <c r="Y110" s="1666" t="str" cm="1">
        <f t="array" aca="1" ref="Y110" ca="1">IFERROR(IF($L110&lt;&gt;"",_xll.PBF($L110,"EBITDA","FY",$N$11,"","EUR","")/1000000,""),"")</f>
        <v/>
      </c>
      <c r="Z110" s="1666" t="str" cm="1">
        <f t="array" aca="1" ref="Z110" ca="1">IFERROR(IF($L110&lt;&gt;"",_xll.PBF($L110,"EBIT","FY",$N$11,"","EUR","")/1000000,""),"")</f>
        <v/>
      </c>
      <c r="AA110" s="1677" t="str" cm="1">
        <f t="array" aca="1" ref="AA110" ca="1">IFERROR(IF($L110&lt;&gt;"",_xll.PBF($L110,"Total Debt to EBITDA","FY",$AA$21,"","EUR",""),""),"")</f>
        <v/>
      </c>
      <c r="AB110" s="1670"/>
      <c r="AC110" s="1672" t="str" cm="1">
        <f t="array" aca="1" ref="AC110" ca="1">IFERROR(IF($L110&lt;&gt;"",_xll.PBF($L110,"EV to Revenue","FY",$N$11,"","EUR",""),""),"")</f>
        <v/>
      </c>
      <c r="AD110" s="1672" t="str" cm="1">
        <f t="array" aca="1" ref="AD110" ca="1">IFERROR(IF($L110&lt;&gt;"",_xll.PBF($L110,"EV to EBITDA","FY",$AD$21,"","EUR",""),""),"")</f>
        <v/>
      </c>
      <c r="AE110" s="1672" t="str" cm="1">
        <f t="array" aca="1" ref="AE110" ca="1">IFERROR(IF($L110&lt;&gt;"",_xll.PBF($L110,"EV to EBIT","FY",$AE$21,"","EUR",""),""),"")</f>
        <v/>
      </c>
      <c r="AF110" s="1672"/>
      <c r="AG110" s="1672" t="str" cm="1">
        <f t="array" aca="1" ref="AG110" ca="1">IFERROR(IF($L110&lt;&gt;"",_xll.PBF($L110,"EV to Forward Revenue","FY",$AG$21,"","EUR",""),""),"")</f>
        <v/>
      </c>
      <c r="AH110" s="1672" t="str" cm="1">
        <f t="array" aca="1" ref="AH110" ca="1">IFERROR(IF($L110&lt;&gt;"",_xll.PBF($L110,"EV to Forward EBITDA","FY",$AH$21,"","EUR",""),""),"")</f>
        <v/>
      </c>
      <c r="AI110" s="1672" t="str" cm="1">
        <f t="array" aca="1" ref="AI110" ca="1">IFERROR(IF($L110&lt;&gt;"",_xll.PBF($L110,"EV to Forward EBIT","FY",$AI$21,"","EUR",""),""),"")</f>
        <v/>
      </c>
      <c r="AK110" s="1705"/>
      <c r="AL110" s="1693" t="str" cm="1">
        <f t="array" ref="AL110">IFERROR(IF(AK110&lt;&gt;"",_xll.PBD(AK110,"Deal Date","","EUR",""),""),"")</f>
        <v/>
      </c>
      <c r="AM110" s="1693" t="str" cm="1">
        <f t="array" ref="AM110">IFERROR(IF(AK110&lt;&gt;"",_xll.PBD(AK110,"Limit1.Deal Type 1","","EUR",""),""),"")</f>
        <v/>
      </c>
      <c r="AN110" s="1693" t="str" cm="1">
        <f t="array" ref="AN110">IFERROR(IF(AK110&lt;&gt;"",_xll.PBD(AK110,"Limit1.Company Id","","EUR",""),""),"")</f>
        <v/>
      </c>
      <c r="AO110" s="1640" t="str" cm="1">
        <f t="array" ref="AO110">IFERROR(IF(AN110&lt;&gt;"",_xll.PBD(AN110,"Name","","EUR",""),""),"")</f>
        <v/>
      </c>
      <c r="AP110" s="1640" t="str" cm="1">
        <f t="array" ref="AP110">IFERROR(IF(AN110&lt;&gt;"",_xll.PBD(AN110,"Primary Industry Code","","EUR",""),""),"")</f>
        <v/>
      </c>
      <c r="AQ110" s="1640" t="str" cm="1">
        <f t="array" ref="AQ110">IFERROR(IF(AN110&lt;&gt;"",_xll.PBD(AN110,"HQ Country","","EUR",""),""),"")</f>
        <v/>
      </c>
      <c r="AR110" s="1640" t="str" cm="1">
        <f t="array" ref="AR110">IFERROR(IF(AK110&lt;&gt;"",_xll.PBD(AK110,"Limit1.Investors Ids","","EUR",""),""),"")</f>
        <v/>
      </c>
      <c r="AS110" s="1640" t="str" cm="1">
        <f t="array" ref="AS110">IFERROR(IF(AR110&lt;&gt;"",_xll.PBD(AR110,"Name","","EUR",""),""),"")</f>
        <v/>
      </c>
      <c r="AT110" s="1640" t="str" cm="1">
        <f t="array" ref="AT110">IFERROR(IF(AR110&lt;&gt;"",_xll.PBD(AR110,"Primary Industry Code","","EUR",""),""),"")</f>
        <v/>
      </c>
      <c r="AU110" s="1640" t="str" cm="1">
        <f t="array" ref="AU110">IFERROR(IF(AR110&lt;&gt;"",_xll.PBD(AR110,"Limit2.Entity Types","","EUR",""),""),"")</f>
        <v/>
      </c>
      <c r="AV110" s="1640" t="str" cm="1">
        <f t="array" ref="AV110">IFERROR(IF(AR110&lt;&gt;"",_xll.PBD(AR110,"HQ Country","","EUR",""),""),"")</f>
        <v/>
      </c>
      <c r="AX110" s="1641" t="str" cm="1">
        <f t="array" ref="AX110">IFERROR(IF(AK110&lt;&gt;"",_xll.PBD(AK110,"Limit1.Deal Amount","","EUR","")/1000000,""),"")</f>
        <v/>
      </c>
      <c r="AY110" s="1641" t="str" cm="1">
        <f t="array" ref="AY110">IFERROR(IF(AK110&lt;&gt;"",_xll.PBD(AK110,"Limit1.Implied EV ","","EUR","")/1000000,""),"")</f>
        <v/>
      </c>
      <c r="AZ110" s="1694" t="str" cm="1">
        <f t="array" ref="AZ110">IFERROR(IF(AK110&lt;&gt;"",_xll.PBD(AK110,"Limit1.% Acquired ","","EUR",""),""),"")</f>
        <v/>
      </c>
      <c r="BB110" s="1695" t="str" cm="1">
        <f t="array" ref="BB110">IFERROR(IF(AK110&lt;&gt;"",_xll.PBD(AK110,"Implied EV / Revenue","","EUR",""),""),"")</f>
        <v/>
      </c>
      <c r="BC110" s="1695" t="str" cm="1">
        <f t="array" ref="BC110">IFERROR(IF(AK110&lt;&gt;"",_xll.PBD(AK110,"Implied EV / EBITDA","","EUR",""),""),"")</f>
        <v/>
      </c>
      <c r="BD110" s="1695" t="str" cm="1">
        <f t="array" ref="BD110">IFERROR(IF(AK110&lt;&gt;"",_xll.PBD(AK110,"Implied EV / EBIT","","EUR",""),""),"")</f>
        <v/>
      </c>
      <c r="BF110" s="1640" t="str" cm="1">
        <f t="array" ref="BF110">IFERROR(IF(AR110&lt;&gt;"",_xll.PBD(AR110,"Brief Description","","EUR",""),""),"")</f>
        <v/>
      </c>
    </row>
    <row r="111" spans="12:58" ht="13.9" customHeight="1">
      <c r="L111" s="1705"/>
      <c r="N111" s="1640" t="str" cm="1">
        <f t="array" ref="N111">IFERROR(IF($L111&lt;&gt;"",_xll.PBD($L111,"Name","","USD",""),""),"")</f>
        <v/>
      </c>
      <c r="O111" s="1640" t="str" cm="1">
        <f t="array" ref="O111">IFERROR(IF($L111&lt;&gt;"",_xll.PBD($L111,"Primary Industry Code","","",""),""),"")</f>
        <v/>
      </c>
      <c r="P111" s="1640" t="str" cm="1">
        <f t="array" ref="P111">IFERROR(IF($L111&lt;&gt;"",_xll.PBD($L111,"HQ Country","","",""),""),"")</f>
        <v/>
      </c>
      <c r="Q111" s="1640" t="str" cm="1">
        <f t="array" ref="Q111">IFERROR(IF($L111&lt;&gt;"",_xll.PBD($L111,"HQ City","","EUR",""),""),"")</f>
        <v/>
      </c>
      <c r="S111" s="1666" t="str" cm="1">
        <f t="array" aca="1" ref="S111" ca="1">IFERROR(IF($L111&lt;&gt;"",_xll.PBF($L111,"EV","TTM",$N$11,"","EUR","")/1000000,""),"")</f>
        <v/>
      </c>
      <c r="T111" s="1666" t="str" cm="1">
        <f t="array" aca="1" ref="T111" ca="1">IFERROR(IF($L111&lt;&gt;"",_xll.PBF($L111,"NET Debt","TTM",$N$11,"","EUR","")/1000000,""),"")</f>
        <v/>
      </c>
      <c r="U111" s="1666" t="str" cm="1">
        <f t="array" aca="1" ref="U111" ca="1">IFERROR(IF($L111&lt;&gt;"",_xll.PBF($L111,"Market Cap","TTM",$N$11,"","EUR","")/1000000,""),"")</f>
        <v/>
      </c>
      <c r="V111" s="1677" t="str" cm="1">
        <f t="array" aca="1" ref="V111" ca="1">IFERROR(IF($L111&lt;&gt;"",_xll.PBF($L111,"Total Debt to Equity","TTM",$V$21,"","EUR",""),""),"")</f>
        <v/>
      </c>
      <c r="W111" s="1677"/>
      <c r="X111" s="1666" t="str" cm="1">
        <f t="array" aca="1" ref="X111" ca="1">IFERROR(IF($L111&lt;&gt;"",_xll.PBF($L111,"Total Revenue","FY",$X$21,"","EUR","")/1000000,""),"")</f>
        <v/>
      </c>
      <c r="Y111" s="1666" t="str" cm="1">
        <f t="array" aca="1" ref="Y111" ca="1">IFERROR(IF($L111&lt;&gt;"",_xll.PBF($L111,"EBITDA","FY",$N$11,"","EUR","")/1000000,""),"")</f>
        <v/>
      </c>
      <c r="Z111" s="1666" t="str" cm="1">
        <f t="array" aca="1" ref="Z111" ca="1">IFERROR(IF($L111&lt;&gt;"",_xll.PBF($L111,"EBIT","FY",$N$11,"","EUR","")/1000000,""),"")</f>
        <v/>
      </c>
      <c r="AA111" s="1677" t="str" cm="1">
        <f t="array" aca="1" ref="AA111" ca="1">IFERROR(IF($L111&lt;&gt;"",_xll.PBF($L111,"Total Debt to EBITDA","FY",$AA$21,"","EUR",""),""),"")</f>
        <v/>
      </c>
      <c r="AB111" s="1670"/>
      <c r="AC111" s="1672" t="str" cm="1">
        <f t="array" aca="1" ref="AC111" ca="1">IFERROR(IF($L111&lt;&gt;"",_xll.PBF($L111,"EV to Revenue","FY",$N$11,"","EUR",""),""),"")</f>
        <v/>
      </c>
      <c r="AD111" s="1672" t="str" cm="1">
        <f t="array" aca="1" ref="AD111" ca="1">IFERROR(IF($L111&lt;&gt;"",_xll.PBF($L111,"EV to EBITDA","FY",$AD$21,"","EUR",""),""),"")</f>
        <v/>
      </c>
      <c r="AE111" s="1672" t="str" cm="1">
        <f t="array" aca="1" ref="AE111" ca="1">IFERROR(IF($L111&lt;&gt;"",_xll.PBF($L111,"EV to EBIT","FY",$AE$21,"","EUR",""),""),"")</f>
        <v/>
      </c>
      <c r="AF111" s="1672"/>
      <c r="AG111" s="1672" t="str" cm="1">
        <f t="array" aca="1" ref="AG111" ca="1">IFERROR(IF($L111&lt;&gt;"",_xll.PBF($L111,"EV to Forward Revenue","FY",$AG$21,"","EUR",""),""),"")</f>
        <v/>
      </c>
      <c r="AH111" s="1672" t="str" cm="1">
        <f t="array" aca="1" ref="AH111" ca="1">IFERROR(IF($L111&lt;&gt;"",_xll.PBF($L111,"EV to Forward EBITDA","FY",$AH$21,"","EUR",""),""),"")</f>
        <v/>
      </c>
      <c r="AI111" s="1672" t="str" cm="1">
        <f t="array" aca="1" ref="AI111" ca="1">IFERROR(IF($L111&lt;&gt;"",_xll.PBF($L111,"EV to Forward EBIT","FY",$AI$21,"","EUR",""),""),"")</f>
        <v/>
      </c>
      <c r="AK111" s="1705"/>
      <c r="AL111" s="1693" t="str" cm="1">
        <f t="array" ref="AL111">IFERROR(IF(AK111&lt;&gt;"",_xll.PBD(AK111,"Deal Date","","EUR",""),""),"")</f>
        <v/>
      </c>
      <c r="AM111" s="1693" t="str" cm="1">
        <f t="array" ref="AM111">IFERROR(IF(AK111&lt;&gt;"",_xll.PBD(AK111,"Limit1.Deal Type 1","","EUR",""),""),"")</f>
        <v/>
      </c>
      <c r="AN111" s="1693" t="str" cm="1">
        <f t="array" ref="AN111">IFERROR(IF(AK111&lt;&gt;"",_xll.PBD(AK111,"Limit1.Company Id","","EUR",""),""),"")</f>
        <v/>
      </c>
      <c r="AO111" s="1640" t="str" cm="1">
        <f t="array" ref="AO111">IFERROR(IF(AN111&lt;&gt;"",_xll.PBD(AN111,"Name","","EUR",""),""),"")</f>
        <v/>
      </c>
      <c r="AP111" s="1640" t="str" cm="1">
        <f t="array" ref="AP111">IFERROR(IF(AN111&lt;&gt;"",_xll.PBD(AN111,"Primary Industry Code","","EUR",""),""),"")</f>
        <v/>
      </c>
      <c r="AQ111" s="1640" t="str" cm="1">
        <f t="array" ref="AQ111">IFERROR(IF(AN111&lt;&gt;"",_xll.PBD(AN111,"HQ Country","","EUR",""),""),"")</f>
        <v/>
      </c>
      <c r="AR111" s="1640" t="str" cm="1">
        <f t="array" ref="AR111">IFERROR(IF(AK111&lt;&gt;"",_xll.PBD(AK111,"Limit1.Investors Ids","","EUR",""),""),"")</f>
        <v/>
      </c>
      <c r="AS111" s="1640" t="str" cm="1">
        <f t="array" ref="AS111">IFERROR(IF(AR111&lt;&gt;"",_xll.PBD(AR111,"Name","","EUR",""),""),"")</f>
        <v/>
      </c>
      <c r="AT111" s="1640" t="str" cm="1">
        <f t="array" ref="AT111">IFERROR(IF(AR111&lt;&gt;"",_xll.PBD(AR111,"Primary Industry Code","","EUR",""),""),"")</f>
        <v/>
      </c>
      <c r="AU111" s="1640" t="str" cm="1">
        <f t="array" ref="AU111">IFERROR(IF(AR111&lt;&gt;"",_xll.PBD(AR111,"Limit2.Entity Types","","EUR",""),""),"")</f>
        <v/>
      </c>
      <c r="AV111" s="1640" t="str" cm="1">
        <f t="array" ref="AV111">IFERROR(IF(AR111&lt;&gt;"",_xll.PBD(AR111,"HQ Country","","EUR",""),""),"")</f>
        <v/>
      </c>
      <c r="AX111" s="1641" t="str" cm="1">
        <f t="array" ref="AX111">IFERROR(IF(AK111&lt;&gt;"",_xll.PBD(AK111,"Limit1.Deal Amount","","EUR","")/1000000,""),"")</f>
        <v/>
      </c>
      <c r="AY111" s="1641" t="str" cm="1">
        <f t="array" ref="AY111">IFERROR(IF(AK111&lt;&gt;"",_xll.PBD(AK111,"Limit1.Implied EV ","","EUR","")/1000000,""),"")</f>
        <v/>
      </c>
      <c r="AZ111" s="1694" t="str" cm="1">
        <f t="array" ref="AZ111">IFERROR(IF(AK111&lt;&gt;"",_xll.PBD(AK111,"Limit1.% Acquired ","","EUR",""),""),"")</f>
        <v/>
      </c>
      <c r="BB111" s="1695" t="str" cm="1">
        <f t="array" ref="BB111">IFERROR(IF(AK111&lt;&gt;"",_xll.PBD(AK111,"Implied EV / Revenue","","EUR",""),""),"")</f>
        <v/>
      </c>
      <c r="BC111" s="1695" t="str" cm="1">
        <f t="array" ref="BC111">IFERROR(IF(AK111&lt;&gt;"",_xll.PBD(AK111,"Implied EV / EBITDA","","EUR",""),""),"")</f>
        <v/>
      </c>
      <c r="BD111" s="1695" t="str" cm="1">
        <f t="array" ref="BD111">IFERROR(IF(AK111&lt;&gt;"",_xll.PBD(AK111,"Implied EV / EBIT","","EUR",""),""),"")</f>
        <v/>
      </c>
      <c r="BF111" s="1640" t="str" cm="1">
        <f t="array" ref="BF111">IFERROR(IF(AR111&lt;&gt;"",_xll.PBD(AR111,"Brief Description","","EUR",""),""),"")</f>
        <v/>
      </c>
    </row>
    <row r="112" spans="12:58" ht="13.9" customHeight="1">
      <c r="L112" s="1705"/>
      <c r="N112" s="1640" t="str" cm="1">
        <f t="array" ref="N112">IFERROR(IF($L112&lt;&gt;"",_xll.PBD($L112,"Name","","USD",""),""),"")</f>
        <v/>
      </c>
      <c r="O112" s="1640" t="str" cm="1">
        <f t="array" ref="O112">IFERROR(IF($L112&lt;&gt;"",_xll.PBD($L112,"Primary Industry Code","","",""),""),"")</f>
        <v/>
      </c>
      <c r="P112" s="1640" t="str" cm="1">
        <f t="array" ref="P112">IFERROR(IF($L112&lt;&gt;"",_xll.PBD($L112,"HQ Country","","",""),""),"")</f>
        <v/>
      </c>
      <c r="Q112" s="1640" t="str" cm="1">
        <f t="array" ref="Q112">IFERROR(IF($L112&lt;&gt;"",_xll.PBD($L112,"HQ City","","EUR",""),""),"")</f>
        <v/>
      </c>
      <c r="S112" s="1666" t="str" cm="1">
        <f t="array" aca="1" ref="S112" ca="1">IFERROR(IF($L112&lt;&gt;"",_xll.PBF($L112,"EV","TTM",$N$11,"","EUR","")/1000000,""),"")</f>
        <v/>
      </c>
      <c r="T112" s="1666" t="str" cm="1">
        <f t="array" aca="1" ref="T112" ca="1">IFERROR(IF($L112&lt;&gt;"",_xll.PBF($L112,"NET Debt","TTM",$N$11,"","EUR","")/1000000,""),"")</f>
        <v/>
      </c>
      <c r="U112" s="1666" t="str" cm="1">
        <f t="array" aca="1" ref="U112" ca="1">IFERROR(IF($L112&lt;&gt;"",_xll.PBF($L112,"Market Cap","TTM",$N$11,"","EUR","")/1000000,""),"")</f>
        <v/>
      </c>
      <c r="V112" s="1677" t="str" cm="1">
        <f t="array" aca="1" ref="V112" ca="1">IFERROR(IF($L112&lt;&gt;"",_xll.PBF($L112,"Total Debt to Equity","TTM",$V$21,"","EUR",""),""),"")</f>
        <v/>
      </c>
      <c r="W112" s="1677"/>
      <c r="X112" s="1666" t="str" cm="1">
        <f t="array" aca="1" ref="X112" ca="1">IFERROR(IF($L112&lt;&gt;"",_xll.PBF($L112,"Total Revenue","FY",$X$21,"","EUR","")/1000000,""),"")</f>
        <v/>
      </c>
      <c r="Y112" s="1666" t="str" cm="1">
        <f t="array" aca="1" ref="Y112" ca="1">IFERROR(IF($L112&lt;&gt;"",_xll.PBF($L112,"EBITDA","FY",$N$11,"","EUR","")/1000000,""),"")</f>
        <v/>
      </c>
      <c r="Z112" s="1666" t="str" cm="1">
        <f t="array" aca="1" ref="Z112" ca="1">IFERROR(IF($L112&lt;&gt;"",_xll.PBF($L112,"EBIT","FY",$N$11,"","EUR","")/1000000,""),"")</f>
        <v/>
      </c>
      <c r="AA112" s="1677" t="str" cm="1">
        <f t="array" aca="1" ref="AA112" ca="1">IFERROR(IF($L112&lt;&gt;"",_xll.PBF($L112,"Total Debt to EBITDA","FY",$AA$21,"","EUR",""),""),"")</f>
        <v/>
      </c>
      <c r="AB112" s="1670"/>
      <c r="AC112" s="1672" t="str" cm="1">
        <f t="array" aca="1" ref="AC112" ca="1">IFERROR(IF($L112&lt;&gt;"",_xll.PBF($L112,"EV to Revenue","FY",$N$11,"","EUR",""),""),"")</f>
        <v/>
      </c>
      <c r="AD112" s="1672" t="str" cm="1">
        <f t="array" aca="1" ref="AD112" ca="1">IFERROR(IF($L112&lt;&gt;"",_xll.PBF($L112,"EV to EBITDA","FY",$AD$21,"","EUR",""),""),"")</f>
        <v/>
      </c>
      <c r="AE112" s="1672" t="str" cm="1">
        <f t="array" aca="1" ref="AE112" ca="1">IFERROR(IF($L112&lt;&gt;"",_xll.PBF($L112,"EV to EBIT","FY",$AE$21,"","EUR",""),""),"")</f>
        <v/>
      </c>
      <c r="AF112" s="1672"/>
      <c r="AG112" s="1672" t="str" cm="1">
        <f t="array" aca="1" ref="AG112" ca="1">IFERROR(IF($L112&lt;&gt;"",_xll.PBF($L112,"EV to Forward Revenue","FY",$AG$21,"","EUR",""),""),"")</f>
        <v/>
      </c>
      <c r="AH112" s="1672" t="str" cm="1">
        <f t="array" aca="1" ref="AH112" ca="1">IFERROR(IF($L112&lt;&gt;"",_xll.PBF($L112,"EV to Forward EBITDA","FY",$AH$21,"","EUR",""),""),"")</f>
        <v/>
      </c>
      <c r="AI112" s="1672" t="str" cm="1">
        <f t="array" aca="1" ref="AI112" ca="1">IFERROR(IF($L112&lt;&gt;"",_xll.PBF($L112,"EV to Forward EBIT","FY",$AI$21,"","EUR",""),""),"")</f>
        <v/>
      </c>
      <c r="AK112" s="1705"/>
      <c r="AL112" s="1693" t="str" cm="1">
        <f t="array" ref="AL112">IFERROR(IF(AK112&lt;&gt;"",_xll.PBD(AK112,"Deal Date","","EUR",""),""),"")</f>
        <v/>
      </c>
      <c r="AM112" s="1693" t="str" cm="1">
        <f t="array" ref="AM112">IFERROR(IF(AK112&lt;&gt;"",_xll.PBD(AK112,"Limit1.Deal Type 1","","EUR",""),""),"")</f>
        <v/>
      </c>
      <c r="AN112" s="1693" t="str" cm="1">
        <f t="array" ref="AN112">IFERROR(IF(AK112&lt;&gt;"",_xll.PBD(AK112,"Limit1.Company Id","","EUR",""),""),"")</f>
        <v/>
      </c>
      <c r="AO112" s="1640" t="str" cm="1">
        <f t="array" ref="AO112">IFERROR(IF(AN112&lt;&gt;"",_xll.PBD(AN112,"Name","","EUR",""),""),"")</f>
        <v/>
      </c>
      <c r="AP112" s="1640" t="str" cm="1">
        <f t="array" ref="AP112">IFERROR(IF(AN112&lt;&gt;"",_xll.PBD(AN112,"Primary Industry Code","","EUR",""),""),"")</f>
        <v/>
      </c>
      <c r="AQ112" s="1640" t="str" cm="1">
        <f t="array" ref="AQ112">IFERROR(IF(AN112&lt;&gt;"",_xll.PBD(AN112,"HQ Country","","EUR",""),""),"")</f>
        <v/>
      </c>
      <c r="AR112" s="1640" t="str" cm="1">
        <f t="array" ref="AR112">IFERROR(IF(AK112&lt;&gt;"",_xll.PBD(AK112,"Limit1.Investors Ids","","EUR",""),""),"")</f>
        <v/>
      </c>
      <c r="AS112" s="1640" t="str" cm="1">
        <f t="array" ref="AS112">IFERROR(IF(AR112&lt;&gt;"",_xll.PBD(AR112,"Name","","EUR",""),""),"")</f>
        <v/>
      </c>
      <c r="AT112" s="1640" t="str" cm="1">
        <f t="array" ref="AT112">IFERROR(IF(AR112&lt;&gt;"",_xll.PBD(AR112,"Primary Industry Code","","EUR",""),""),"")</f>
        <v/>
      </c>
      <c r="AU112" s="1640" t="str" cm="1">
        <f t="array" ref="AU112">IFERROR(IF(AR112&lt;&gt;"",_xll.PBD(AR112,"Limit2.Entity Types","","EUR",""),""),"")</f>
        <v/>
      </c>
      <c r="AV112" s="1640" t="str" cm="1">
        <f t="array" ref="AV112">IFERROR(IF(AR112&lt;&gt;"",_xll.PBD(AR112,"HQ Country","","EUR",""),""),"")</f>
        <v/>
      </c>
      <c r="AX112" s="1641" t="str" cm="1">
        <f t="array" ref="AX112">IFERROR(IF(AK112&lt;&gt;"",_xll.PBD(AK112,"Limit1.Deal Amount","","EUR","")/1000000,""),"")</f>
        <v/>
      </c>
      <c r="AY112" s="1641" t="str" cm="1">
        <f t="array" ref="AY112">IFERROR(IF(AK112&lt;&gt;"",_xll.PBD(AK112,"Limit1.Implied EV ","","EUR","")/1000000,""),"")</f>
        <v/>
      </c>
      <c r="AZ112" s="1694" t="str" cm="1">
        <f t="array" ref="AZ112">IFERROR(IF(AK112&lt;&gt;"",_xll.PBD(AK112,"Limit1.% Acquired ","","EUR",""),""),"")</f>
        <v/>
      </c>
      <c r="BB112" s="1695" t="str" cm="1">
        <f t="array" ref="BB112">IFERROR(IF(AK112&lt;&gt;"",_xll.PBD(AK112,"Implied EV / Revenue","","EUR",""),""),"")</f>
        <v/>
      </c>
      <c r="BC112" s="1695" t="str" cm="1">
        <f t="array" ref="BC112">IFERROR(IF(AK112&lt;&gt;"",_xll.PBD(AK112,"Implied EV / EBITDA","","EUR",""),""),"")</f>
        <v/>
      </c>
      <c r="BD112" s="1695" t="str" cm="1">
        <f t="array" ref="BD112">IFERROR(IF(AK112&lt;&gt;"",_xll.PBD(AK112,"Implied EV / EBIT","","EUR",""),""),"")</f>
        <v/>
      </c>
      <c r="BF112" s="1640" t="str" cm="1">
        <f t="array" ref="BF112">IFERROR(IF(AR112&lt;&gt;"",_xll.PBD(AR112,"Brief Description","","EUR",""),""),"")</f>
        <v/>
      </c>
    </row>
    <row r="113" spans="12:58" ht="13.9" customHeight="1">
      <c r="L113" s="1705"/>
      <c r="N113" s="1640" t="str" cm="1">
        <f t="array" ref="N113">IFERROR(IF($L113&lt;&gt;"",_xll.PBD($L113,"Name","","USD",""),""),"")</f>
        <v/>
      </c>
      <c r="O113" s="1640" t="str" cm="1">
        <f t="array" ref="O113">IFERROR(IF($L113&lt;&gt;"",_xll.PBD($L113,"Primary Industry Code","","",""),""),"")</f>
        <v/>
      </c>
      <c r="P113" s="1640" t="str" cm="1">
        <f t="array" ref="P113">IFERROR(IF($L113&lt;&gt;"",_xll.PBD($L113,"HQ Country","","",""),""),"")</f>
        <v/>
      </c>
      <c r="Q113" s="1640" t="str" cm="1">
        <f t="array" ref="Q113">IFERROR(IF($L113&lt;&gt;"",_xll.PBD($L113,"HQ City","","EUR",""),""),"")</f>
        <v/>
      </c>
      <c r="S113" s="1666" t="str" cm="1">
        <f t="array" aca="1" ref="S113" ca="1">IFERROR(IF($L113&lt;&gt;"",_xll.PBF($L113,"EV","TTM",$N$11,"","EUR","")/1000000,""),"")</f>
        <v/>
      </c>
      <c r="T113" s="1666" t="str" cm="1">
        <f t="array" aca="1" ref="T113" ca="1">IFERROR(IF($L113&lt;&gt;"",_xll.PBF($L113,"NET Debt","TTM",$N$11,"","EUR","")/1000000,""),"")</f>
        <v/>
      </c>
      <c r="U113" s="1666" t="str" cm="1">
        <f t="array" aca="1" ref="U113" ca="1">IFERROR(IF($L113&lt;&gt;"",_xll.PBF($L113,"Market Cap","TTM",$N$11,"","EUR","")/1000000,""),"")</f>
        <v/>
      </c>
      <c r="V113" s="1677" t="str" cm="1">
        <f t="array" aca="1" ref="V113" ca="1">IFERROR(IF($L113&lt;&gt;"",_xll.PBF($L113,"Total Debt to Equity","TTM",$V$21,"","EUR",""),""),"")</f>
        <v/>
      </c>
      <c r="W113" s="1677"/>
      <c r="X113" s="1666" t="str" cm="1">
        <f t="array" aca="1" ref="X113" ca="1">IFERROR(IF($L113&lt;&gt;"",_xll.PBF($L113,"Total Revenue","FY",$X$21,"","EUR","")/1000000,""),"")</f>
        <v/>
      </c>
      <c r="Y113" s="1666" t="str" cm="1">
        <f t="array" aca="1" ref="Y113" ca="1">IFERROR(IF($L113&lt;&gt;"",_xll.PBF($L113,"EBITDA","FY",$N$11,"","EUR","")/1000000,""),"")</f>
        <v/>
      </c>
      <c r="Z113" s="1666" t="str" cm="1">
        <f t="array" aca="1" ref="Z113" ca="1">IFERROR(IF($L113&lt;&gt;"",_xll.PBF($L113,"EBIT","FY",$N$11,"","EUR","")/1000000,""),"")</f>
        <v/>
      </c>
      <c r="AA113" s="1677" t="str" cm="1">
        <f t="array" aca="1" ref="AA113" ca="1">IFERROR(IF($L113&lt;&gt;"",_xll.PBF($L113,"Total Debt to EBITDA","FY",$AA$21,"","EUR",""),""),"")</f>
        <v/>
      </c>
      <c r="AB113" s="1670"/>
      <c r="AC113" s="1672" t="str" cm="1">
        <f t="array" aca="1" ref="AC113" ca="1">IFERROR(IF($L113&lt;&gt;"",_xll.PBF($L113,"EV to Revenue","FY",$N$11,"","EUR",""),""),"")</f>
        <v/>
      </c>
      <c r="AD113" s="1672" t="str" cm="1">
        <f t="array" aca="1" ref="AD113" ca="1">IFERROR(IF($L113&lt;&gt;"",_xll.PBF($L113,"EV to EBITDA","FY",$AD$21,"","EUR",""),""),"")</f>
        <v/>
      </c>
      <c r="AE113" s="1672" t="str" cm="1">
        <f t="array" aca="1" ref="AE113" ca="1">IFERROR(IF($L113&lt;&gt;"",_xll.PBF($L113,"EV to EBIT","FY",$AE$21,"","EUR",""),""),"")</f>
        <v/>
      </c>
      <c r="AF113" s="1672"/>
      <c r="AG113" s="1672" t="str" cm="1">
        <f t="array" aca="1" ref="AG113" ca="1">IFERROR(IF($L113&lt;&gt;"",_xll.PBF($L113,"EV to Forward Revenue","FY",$AG$21,"","EUR",""),""),"")</f>
        <v/>
      </c>
      <c r="AH113" s="1672" t="str" cm="1">
        <f t="array" aca="1" ref="AH113" ca="1">IFERROR(IF($L113&lt;&gt;"",_xll.PBF($L113,"EV to Forward EBITDA","FY",$AH$21,"","EUR",""),""),"")</f>
        <v/>
      </c>
      <c r="AI113" s="1672" t="str" cm="1">
        <f t="array" aca="1" ref="AI113" ca="1">IFERROR(IF($L113&lt;&gt;"",_xll.PBF($L113,"EV to Forward EBIT","FY",$AI$21,"","EUR",""),""),"")</f>
        <v/>
      </c>
      <c r="AK113" s="1705"/>
      <c r="AL113" s="1693" t="str" cm="1">
        <f t="array" ref="AL113">IFERROR(IF(AK113&lt;&gt;"",_xll.PBD(AK113,"Deal Date","","EUR",""),""),"")</f>
        <v/>
      </c>
      <c r="AM113" s="1693" t="str" cm="1">
        <f t="array" ref="AM113">IFERROR(IF(AK113&lt;&gt;"",_xll.PBD(AK113,"Limit1.Deal Type 1","","EUR",""),""),"")</f>
        <v/>
      </c>
      <c r="AN113" s="1693" t="str" cm="1">
        <f t="array" ref="AN113">IFERROR(IF(AK113&lt;&gt;"",_xll.PBD(AK113,"Limit1.Company Id","","EUR",""),""),"")</f>
        <v/>
      </c>
      <c r="AO113" s="1640" t="str" cm="1">
        <f t="array" ref="AO113">IFERROR(IF(AN113&lt;&gt;"",_xll.PBD(AN113,"Name","","EUR",""),""),"")</f>
        <v/>
      </c>
      <c r="AP113" s="1640" t="str" cm="1">
        <f t="array" ref="AP113">IFERROR(IF(AN113&lt;&gt;"",_xll.PBD(AN113,"Primary Industry Code","","EUR",""),""),"")</f>
        <v/>
      </c>
      <c r="AQ113" s="1640" t="str" cm="1">
        <f t="array" ref="AQ113">IFERROR(IF(AN113&lt;&gt;"",_xll.PBD(AN113,"HQ Country","","EUR",""),""),"")</f>
        <v/>
      </c>
      <c r="AR113" s="1640" t="str" cm="1">
        <f t="array" ref="AR113">IFERROR(IF(AK113&lt;&gt;"",_xll.PBD(AK113,"Limit1.Investors Ids","","EUR",""),""),"")</f>
        <v/>
      </c>
      <c r="AS113" s="1640" t="str" cm="1">
        <f t="array" ref="AS113">IFERROR(IF(AR113&lt;&gt;"",_xll.PBD(AR113,"Name","","EUR",""),""),"")</f>
        <v/>
      </c>
      <c r="AT113" s="1640" t="str" cm="1">
        <f t="array" ref="AT113">IFERROR(IF(AR113&lt;&gt;"",_xll.PBD(AR113,"Primary Industry Code","","EUR",""),""),"")</f>
        <v/>
      </c>
      <c r="AU113" s="1640" t="str" cm="1">
        <f t="array" ref="AU113">IFERROR(IF(AR113&lt;&gt;"",_xll.PBD(AR113,"Limit2.Entity Types","","EUR",""),""),"")</f>
        <v/>
      </c>
      <c r="AV113" s="1640" t="str" cm="1">
        <f t="array" ref="AV113">IFERROR(IF(AR113&lt;&gt;"",_xll.PBD(AR113,"HQ Country","","EUR",""),""),"")</f>
        <v/>
      </c>
      <c r="AX113" s="1641" t="str" cm="1">
        <f t="array" ref="AX113">IFERROR(IF(AK113&lt;&gt;"",_xll.PBD(AK113,"Limit1.Deal Amount","","EUR","")/1000000,""),"")</f>
        <v/>
      </c>
      <c r="AY113" s="1641" t="str" cm="1">
        <f t="array" ref="AY113">IFERROR(IF(AK113&lt;&gt;"",_xll.PBD(AK113,"Limit1.Implied EV ","","EUR","")/1000000,""),"")</f>
        <v/>
      </c>
      <c r="AZ113" s="1694" t="str" cm="1">
        <f t="array" ref="AZ113">IFERROR(IF(AK113&lt;&gt;"",_xll.PBD(AK113,"Limit1.% Acquired ","","EUR",""),""),"")</f>
        <v/>
      </c>
      <c r="BB113" s="1695" t="str" cm="1">
        <f t="array" ref="BB113">IFERROR(IF(AK113&lt;&gt;"",_xll.PBD(AK113,"Implied EV / Revenue","","EUR",""),""),"")</f>
        <v/>
      </c>
      <c r="BC113" s="1695" t="str" cm="1">
        <f t="array" ref="BC113">IFERROR(IF(AK113&lt;&gt;"",_xll.PBD(AK113,"Implied EV / EBITDA","","EUR",""),""),"")</f>
        <v/>
      </c>
      <c r="BD113" s="1695" t="str" cm="1">
        <f t="array" ref="BD113">IFERROR(IF(AK113&lt;&gt;"",_xll.PBD(AK113,"Implied EV / EBIT","","EUR",""),""),"")</f>
        <v/>
      </c>
      <c r="BF113" s="1640" t="str" cm="1">
        <f t="array" ref="BF113">IFERROR(IF(AR113&lt;&gt;"",_xll.PBD(AR113,"Brief Description","","EUR",""),""),"")</f>
        <v/>
      </c>
    </row>
    <row r="114" spans="12:58" ht="13.9" customHeight="1">
      <c r="L114" s="1705"/>
      <c r="N114" s="1640" t="str" cm="1">
        <f t="array" ref="N114">IFERROR(IF($L114&lt;&gt;"",_xll.PBD($L114,"Name","","USD",""),""),"")</f>
        <v/>
      </c>
      <c r="O114" s="1640" t="str" cm="1">
        <f t="array" ref="O114">IFERROR(IF($L114&lt;&gt;"",_xll.PBD($L114,"Primary Industry Code","","",""),""),"")</f>
        <v/>
      </c>
      <c r="P114" s="1640" t="str" cm="1">
        <f t="array" ref="P114">IFERROR(IF($L114&lt;&gt;"",_xll.PBD($L114,"HQ Country","","",""),""),"")</f>
        <v/>
      </c>
      <c r="Q114" s="1640" t="str" cm="1">
        <f t="array" ref="Q114">IFERROR(IF($L114&lt;&gt;"",_xll.PBD($L114,"HQ City","","EUR",""),""),"")</f>
        <v/>
      </c>
      <c r="S114" s="1666" t="str" cm="1">
        <f t="array" aca="1" ref="S114" ca="1">IFERROR(IF($L114&lt;&gt;"",_xll.PBF($L114,"EV","TTM",$N$11,"","EUR","")/1000000,""),"")</f>
        <v/>
      </c>
      <c r="T114" s="1666" t="str" cm="1">
        <f t="array" aca="1" ref="T114" ca="1">IFERROR(IF($L114&lt;&gt;"",_xll.PBF($L114,"NET Debt","TTM",$N$11,"","EUR","")/1000000,""),"")</f>
        <v/>
      </c>
      <c r="U114" s="1666" t="str" cm="1">
        <f t="array" aca="1" ref="U114" ca="1">IFERROR(IF($L114&lt;&gt;"",_xll.PBF($L114,"Market Cap","TTM",$N$11,"","EUR","")/1000000,""),"")</f>
        <v/>
      </c>
      <c r="V114" s="1677" t="str" cm="1">
        <f t="array" aca="1" ref="V114" ca="1">IFERROR(IF($L114&lt;&gt;"",_xll.PBF($L114,"Total Debt to Equity","TTM",$V$21,"","EUR",""),""),"")</f>
        <v/>
      </c>
      <c r="W114" s="1677"/>
      <c r="X114" s="1666" t="str" cm="1">
        <f t="array" aca="1" ref="X114" ca="1">IFERROR(IF($L114&lt;&gt;"",_xll.PBF($L114,"Total Revenue","FY",$X$21,"","EUR","")/1000000,""),"")</f>
        <v/>
      </c>
      <c r="Y114" s="1666" t="str" cm="1">
        <f t="array" aca="1" ref="Y114" ca="1">IFERROR(IF($L114&lt;&gt;"",_xll.PBF($L114,"EBITDA","FY",$N$11,"","EUR","")/1000000,""),"")</f>
        <v/>
      </c>
      <c r="Z114" s="1666" t="str" cm="1">
        <f t="array" aca="1" ref="Z114" ca="1">IFERROR(IF($L114&lt;&gt;"",_xll.PBF($L114,"EBIT","FY",$N$11,"","EUR","")/1000000,""),"")</f>
        <v/>
      </c>
      <c r="AA114" s="1677" t="str" cm="1">
        <f t="array" aca="1" ref="AA114" ca="1">IFERROR(IF($L114&lt;&gt;"",_xll.PBF($L114,"Total Debt to EBITDA","FY",$AA$21,"","EUR",""),""),"")</f>
        <v/>
      </c>
      <c r="AB114" s="1670"/>
      <c r="AC114" s="1672" t="str" cm="1">
        <f t="array" aca="1" ref="AC114" ca="1">IFERROR(IF($L114&lt;&gt;"",_xll.PBF($L114,"EV to Revenue","FY",$N$11,"","EUR",""),""),"")</f>
        <v/>
      </c>
      <c r="AD114" s="1672" t="str" cm="1">
        <f t="array" aca="1" ref="AD114" ca="1">IFERROR(IF($L114&lt;&gt;"",_xll.PBF($L114,"EV to EBITDA","FY",$AD$21,"","EUR",""),""),"")</f>
        <v/>
      </c>
      <c r="AE114" s="1672" t="str" cm="1">
        <f t="array" aca="1" ref="AE114" ca="1">IFERROR(IF($L114&lt;&gt;"",_xll.PBF($L114,"EV to EBIT","FY",$AE$21,"","EUR",""),""),"")</f>
        <v/>
      </c>
      <c r="AF114" s="1672"/>
      <c r="AG114" s="1672" t="str" cm="1">
        <f t="array" aca="1" ref="AG114" ca="1">IFERROR(IF($L114&lt;&gt;"",_xll.PBF($L114,"EV to Forward Revenue","FY",$AG$21,"","EUR",""),""),"")</f>
        <v/>
      </c>
      <c r="AH114" s="1672" t="str" cm="1">
        <f t="array" aca="1" ref="AH114" ca="1">IFERROR(IF($L114&lt;&gt;"",_xll.PBF($L114,"EV to Forward EBITDA","FY",$AH$21,"","EUR",""),""),"")</f>
        <v/>
      </c>
      <c r="AI114" s="1672" t="str" cm="1">
        <f t="array" aca="1" ref="AI114" ca="1">IFERROR(IF($L114&lt;&gt;"",_xll.PBF($L114,"EV to Forward EBIT","FY",$AI$21,"","EUR",""),""),"")</f>
        <v/>
      </c>
      <c r="AK114" s="1705"/>
      <c r="AL114" s="1693" t="str" cm="1">
        <f t="array" ref="AL114">IFERROR(IF(AK114&lt;&gt;"",_xll.PBD(AK114,"Deal Date","","EUR",""),""),"")</f>
        <v/>
      </c>
      <c r="AM114" s="1693" t="str" cm="1">
        <f t="array" ref="AM114">IFERROR(IF(AK114&lt;&gt;"",_xll.PBD(AK114,"Limit1.Deal Type 1","","EUR",""),""),"")</f>
        <v/>
      </c>
      <c r="AN114" s="1693" t="str" cm="1">
        <f t="array" ref="AN114">IFERROR(IF(AK114&lt;&gt;"",_xll.PBD(AK114,"Limit1.Company Id","","EUR",""),""),"")</f>
        <v/>
      </c>
      <c r="AO114" s="1640" t="str" cm="1">
        <f t="array" ref="AO114">IFERROR(IF(AN114&lt;&gt;"",_xll.PBD(AN114,"Name","","EUR",""),""),"")</f>
        <v/>
      </c>
      <c r="AP114" s="1640" t="str" cm="1">
        <f t="array" ref="AP114">IFERROR(IF(AN114&lt;&gt;"",_xll.PBD(AN114,"Primary Industry Code","","EUR",""),""),"")</f>
        <v/>
      </c>
      <c r="AQ114" s="1640" t="str" cm="1">
        <f t="array" ref="AQ114">IFERROR(IF(AN114&lt;&gt;"",_xll.PBD(AN114,"HQ Country","","EUR",""),""),"")</f>
        <v/>
      </c>
      <c r="AR114" s="1640" t="str" cm="1">
        <f t="array" ref="AR114">IFERROR(IF(AK114&lt;&gt;"",_xll.PBD(AK114,"Limit1.Investors Ids","","EUR",""),""),"")</f>
        <v/>
      </c>
      <c r="AS114" s="1640" t="str" cm="1">
        <f t="array" ref="AS114">IFERROR(IF(AR114&lt;&gt;"",_xll.PBD(AR114,"Name","","EUR",""),""),"")</f>
        <v/>
      </c>
      <c r="AT114" s="1640" t="str" cm="1">
        <f t="array" ref="AT114">IFERROR(IF(AR114&lt;&gt;"",_xll.PBD(AR114,"Primary Industry Code","","EUR",""),""),"")</f>
        <v/>
      </c>
      <c r="AU114" s="1640" t="str" cm="1">
        <f t="array" ref="AU114">IFERROR(IF(AR114&lt;&gt;"",_xll.PBD(AR114,"Limit2.Entity Types","","EUR",""),""),"")</f>
        <v/>
      </c>
      <c r="AV114" s="1640" t="str" cm="1">
        <f t="array" ref="AV114">IFERROR(IF(AR114&lt;&gt;"",_xll.PBD(AR114,"HQ Country","","EUR",""),""),"")</f>
        <v/>
      </c>
      <c r="AX114" s="1641" t="str" cm="1">
        <f t="array" ref="AX114">IFERROR(IF(AK114&lt;&gt;"",_xll.PBD(AK114,"Limit1.Deal Amount","","EUR","")/1000000,""),"")</f>
        <v/>
      </c>
      <c r="AY114" s="1641" t="str" cm="1">
        <f t="array" ref="AY114">IFERROR(IF(AK114&lt;&gt;"",_xll.PBD(AK114,"Limit1.Implied EV ","","EUR","")/1000000,""),"")</f>
        <v/>
      </c>
      <c r="AZ114" s="1694" t="str" cm="1">
        <f t="array" ref="AZ114">IFERROR(IF(AK114&lt;&gt;"",_xll.PBD(AK114,"Limit1.% Acquired ","","EUR",""),""),"")</f>
        <v/>
      </c>
      <c r="BB114" s="1695" t="str" cm="1">
        <f t="array" ref="BB114">IFERROR(IF(AK114&lt;&gt;"",_xll.PBD(AK114,"Implied EV / Revenue","","EUR",""),""),"")</f>
        <v/>
      </c>
      <c r="BC114" s="1695" t="str" cm="1">
        <f t="array" ref="BC114">IFERROR(IF(AK114&lt;&gt;"",_xll.PBD(AK114,"Implied EV / EBITDA","","EUR",""),""),"")</f>
        <v/>
      </c>
      <c r="BD114" s="1695" t="str" cm="1">
        <f t="array" ref="BD114">IFERROR(IF(AK114&lt;&gt;"",_xll.PBD(AK114,"Implied EV / EBIT","","EUR",""),""),"")</f>
        <v/>
      </c>
      <c r="BF114" s="1640" t="str" cm="1">
        <f t="array" ref="BF114">IFERROR(IF(AR114&lt;&gt;"",_xll.PBD(AR114,"Brief Description","","EUR",""),""),"")</f>
        <v/>
      </c>
    </row>
    <row r="115" spans="12:58" ht="13.9" customHeight="1">
      <c r="L115" s="1705"/>
      <c r="N115" s="1640" t="str" cm="1">
        <f t="array" ref="N115">IFERROR(IF($L115&lt;&gt;"",_xll.PBD($L115,"Name","","USD",""),""),"")</f>
        <v/>
      </c>
      <c r="O115" s="1640" t="str" cm="1">
        <f t="array" ref="O115">IFERROR(IF($L115&lt;&gt;"",_xll.PBD($L115,"Primary Industry Code","","",""),""),"")</f>
        <v/>
      </c>
      <c r="P115" s="1640" t="str" cm="1">
        <f t="array" ref="P115">IFERROR(IF($L115&lt;&gt;"",_xll.PBD($L115,"HQ Country","","",""),""),"")</f>
        <v/>
      </c>
      <c r="Q115" s="1640" t="str" cm="1">
        <f t="array" ref="Q115">IFERROR(IF($L115&lt;&gt;"",_xll.PBD($L115,"HQ City","","EUR",""),""),"")</f>
        <v/>
      </c>
      <c r="S115" s="1666" t="str" cm="1">
        <f t="array" aca="1" ref="S115" ca="1">IFERROR(IF($L115&lt;&gt;"",_xll.PBF($L115,"EV","TTM",$N$11,"","EUR","")/1000000,""),"")</f>
        <v/>
      </c>
      <c r="T115" s="1666" t="str" cm="1">
        <f t="array" aca="1" ref="T115" ca="1">IFERROR(IF($L115&lt;&gt;"",_xll.PBF($L115,"NET Debt","TTM",$N$11,"","EUR","")/1000000,""),"")</f>
        <v/>
      </c>
      <c r="U115" s="1666" t="str" cm="1">
        <f t="array" aca="1" ref="U115" ca="1">IFERROR(IF($L115&lt;&gt;"",_xll.PBF($L115,"Market Cap","TTM",$N$11,"","EUR","")/1000000,""),"")</f>
        <v/>
      </c>
      <c r="V115" s="1677" t="str" cm="1">
        <f t="array" aca="1" ref="V115" ca="1">IFERROR(IF($L115&lt;&gt;"",_xll.PBF($L115,"Total Debt to Equity","TTM",$V$21,"","EUR",""),""),"")</f>
        <v/>
      </c>
      <c r="W115" s="1677"/>
      <c r="X115" s="1666" t="str" cm="1">
        <f t="array" aca="1" ref="X115" ca="1">IFERROR(IF($L115&lt;&gt;"",_xll.PBF($L115,"Total Revenue","FY",$X$21,"","EUR","")/1000000,""),"")</f>
        <v/>
      </c>
      <c r="Y115" s="1666" t="str" cm="1">
        <f t="array" aca="1" ref="Y115" ca="1">IFERROR(IF($L115&lt;&gt;"",_xll.PBF($L115,"EBITDA","FY",$N$11,"","EUR","")/1000000,""),"")</f>
        <v/>
      </c>
      <c r="Z115" s="1666" t="str" cm="1">
        <f t="array" aca="1" ref="Z115" ca="1">IFERROR(IF($L115&lt;&gt;"",_xll.PBF($L115,"EBIT","FY",$N$11,"","EUR","")/1000000,""),"")</f>
        <v/>
      </c>
      <c r="AA115" s="1677" t="str" cm="1">
        <f t="array" aca="1" ref="AA115" ca="1">IFERROR(IF($L115&lt;&gt;"",_xll.PBF($L115,"Total Debt to EBITDA","FY",$AA$21,"","EUR",""),""),"")</f>
        <v/>
      </c>
      <c r="AB115" s="1670"/>
      <c r="AC115" s="1672" t="str" cm="1">
        <f t="array" aca="1" ref="AC115" ca="1">IFERROR(IF($L115&lt;&gt;"",_xll.PBF($L115,"EV to Revenue","FY",$N$11,"","EUR",""),""),"")</f>
        <v/>
      </c>
      <c r="AD115" s="1672" t="str" cm="1">
        <f t="array" aca="1" ref="AD115" ca="1">IFERROR(IF($L115&lt;&gt;"",_xll.PBF($L115,"EV to EBITDA","FY",$AD$21,"","EUR",""),""),"")</f>
        <v/>
      </c>
      <c r="AE115" s="1672" t="str" cm="1">
        <f t="array" aca="1" ref="AE115" ca="1">IFERROR(IF($L115&lt;&gt;"",_xll.PBF($L115,"EV to EBIT","FY",$AE$21,"","EUR",""),""),"")</f>
        <v/>
      </c>
      <c r="AF115" s="1672"/>
      <c r="AG115" s="1672" t="str" cm="1">
        <f t="array" aca="1" ref="AG115" ca="1">IFERROR(IF($L115&lt;&gt;"",_xll.PBF($L115,"EV to Forward Revenue","FY",$AG$21,"","EUR",""),""),"")</f>
        <v/>
      </c>
      <c r="AH115" s="1672" t="str" cm="1">
        <f t="array" aca="1" ref="AH115" ca="1">IFERROR(IF($L115&lt;&gt;"",_xll.PBF($L115,"EV to Forward EBITDA","FY",$AH$21,"","EUR",""),""),"")</f>
        <v/>
      </c>
      <c r="AI115" s="1672" t="str" cm="1">
        <f t="array" aca="1" ref="AI115" ca="1">IFERROR(IF($L115&lt;&gt;"",_xll.PBF($L115,"EV to Forward EBIT","FY",$AI$21,"","EUR",""),""),"")</f>
        <v/>
      </c>
      <c r="AK115" s="1705"/>
      <c r="AL115" s="1693" t="str" cm="1">
        <f t="array" ref="AL115">IFERROR(IF(AK115&lt;&gt;"",_xll.PBD(AK115,"Deal Date","","EUR",""),""),"")</f>
        <v/>
      </c>
      <c r="AM115" s="1693" t="str" cm="1">
        <f t="array" ref="AM115">IFERROR(IF(AK115&lt;&gt;"",_xll.PBD(AK115,"Limit1.Deal Type 1","","EUR",""),""),"")</f>
        <v/>
      </c>
      <c r="AN115" s="1693" t="str" cm="1">
        <f t="array" ref="AN115">IFERROR(IF(AK115&lt;&gt;"",_xll.PBD(AK115,"Limit1.Company Id","","EUR",""),""),"")</f>
        <v/>
      </c>
      <c r="AO115" s="1640" t="str" cm="1">
        <f t="array" ref="AO115">IFERROR(IF(AN115&lt;&gt;"",_xll.PBD(AN115,"Name","","EUR",""),""),"")</f>
        <v/>
      </c>
      <c r="AP115" s="1640" t="str" cm="1">
        <f t="array" ref="AP115">IFERROR(IF(AN115&lt;&gt;"",_xll.PBD(AN115,"Primary Industry Code","","EUR",""),""),"")</f>
        <v/>
      </c>
      <c r="AQ115" s="1640" t="str" cm="1">
        <f t="array" ref="AQ115">IFERROR(IF(AN115&lt;&gt;"",_xll.PBD(AN115,"HQ Country","","EUR",""),""),"")</f>
        <v/>
      </c>
      <c r="AR115" s="1640" t="str" cm="1">
        <f t="array" ref="AR115">IFERROR(IF(AK115&lt;&gt;"",_xll.PBD(AK115,"Limit1.Investors Ids","","EUR",""),""),"")</f>
        <v/>
      </c>
      <c r="AS115" s="1640" t="str" cm="1">
        <f t="array" ref="AS115">IFERROR(IF(AR115&lt;&gt;"",_xll.PBD(AR115,"Name","","EUR",""),""),"")</f>
        <v/>
      </c>
      <c r="AT115" s="1640" t="str" cm="1">
        <f t="array" ref="AT115">IFERROR(IF(AR115&lt;&gt;"",_xll.PBD(AR115,"Primary Industry Code","","EUR",""),""),"")</f>
        <v/>
      </c>
      <c r="AU115" s="1640" t="str" cm="1">
        <f t="array" ref="AU115">IFERROR(IF(AR115&lt;&gt;"",_xll.PBD(AR115,"Limit2.Entity Types","","EUR",""),""),"")</f>
        <v/>
      </c>
      <c r="AV115" s="1640" t="str" cm="1">
        <f t="array" ref="AV115">IFERROR(IF(AR115&lt;&gt;"",_xll.PBD(AR115,"HQ Country","","EUR",""),""),"")</f>
        <v/>
      </c>
      <c r="AX115" s="1641" t="str" cm="1">
        <f t="array" ref="AX115">IFERROR(IF(AK115&lt;&gt;"",_xll.PBD(AK115,"Limit1.Deal Amount","","EUR","")/1000000,""),"")</f>
        <v/>
      </c>
      <c r="AY115" s="1641" t="str" cm="1">
        <f t="array" ref="AY115">IFERROR(IF(AK115&lt;&gt;"",_xll.PBD(AK115,"Limit1.Implied EV ","","EUR","")/1000000,""),"")</f>
        <v/>
      </c>
      <c r="AZ115" s="1694" t="str" cm="1">
        <f t="array" ref="AZ115">IFERROR(IF(AK115&lt;&gt;"",_xll.PBD(AK115,"Limit1.% Acquired ","","EUR",""),""),"")</f>
        <v/>
      </c>
      <c r="BB115" s="1695" t="str" cm="1">
        <f t="array" ref="BB115">IFERROR(IF(AK115&lt;&gt;"",_xll.PBD(AK115,"Implied EV / Revenue","","EUR",""),""),"")</f>
        <v/>
      </c>
      <c r="BC115" s="1695" t="str" cm="1">
        <f t="array" ref="BC115">IFERROR(IF(AK115&lt;&gt;"",_xll.PBD(AK115,"Implied EV / EBITDA","","EUR",""),""),"")</f>
        <v/>
      </c>
      <c r="BD115" s="1695" t="str" cm="1">
        <f t="array" ref="BD115">IFERROR(IF(AK115&lt;&gt;"",_xll.PBD(AK115,"Implied EV / EBIT","","EUR",""),""),"")</f>
        <v/>
      </c>
      <c r="BF115" s="1640" t="str" cm="1">
        <f t="array" ref="BF115">IFERROR(IF(AR115&lt;&gt;"",_xll.PBD(AR115,"Brief Description","","EUR",""),""),"")</f>
        <v/>
      </c>
    </row>
    <row r="116" spans="12:58" ht="13.9" customHeight="1">
      <c r="L116" s="1705"/>
      <c r="N116" s="1640" t="str" cm="1">
        <f t="array" ref="N116">IFERROR(IF($L116&lt;&gt;"",_xll.PBD($L116,"Name","","USD",""),""),"")</f>
        <v/>
      </c>
      <c r="O116" s="1640" t="str" cm="1">
        <f t="array" ref="O116">IFERROR(IF($L116&lt;&gt;"",_xll.PBD($L116,"Primary Industry Code","","",""),""),"")</f>
        <v/>
      </c>
      <c r="P116" s="1640" t="str" cm="1">
        <f t="array" ref="P116">IFERROR(IF($L116&lt;&gt;"",_xll.PBD($L116,"HQ Country","","",""),""),"")</f>
        <v/>
      </c>
      <c r="Q116" s="1640" t="str" cm="1">
        <f t="array" ref="Q116">IFERROR(IF($L116&lt;&gt;"",_xll.PBD($L116,"HQ City","","EUR",""),""),"")</f>
        <v/>
      </c>
      <c r="S116" s="1666" t="str" cm="1">
        <f t="array" aca="1" ref="S116" ca="1">IFERROR(IF($L116&lt;&gt;"",_xll.PBF($L116,"EV","TTM",$N$11,"","EUR","")/1000000,""),"")</f>
        <v/>
      </c>
      <c r="T116" s="1666" t="str" cm="1">
        <f t="array" aca="1" ref="T116" ca="1">IFERROR(IF($L116&lt;&gt;"",_xll.PBF($L116,"NET Debt","TTM",$N$11,"","EUR","")/1000000,""),"")</f>
        <v/>
      </c>
      <c r="U116" s="1666" t="str" cm="1">
        <f t="array" aca="1" ref="U116" ca="1">IFERROR(IF($L116&lt;&gt;"",_xll.PBF($L116,"Market Cap","TTM",$N$11,"","EUR","")/1000000,""),"")</f>
        <v/>
      </c>
      <c r="V116" s="1677" t="str" cm="1">
        <f t="array" aca="1" ref="V116" ca="1">IFERROR(IF($L116&lt;&gt;"",_xll.PBF($L116,"Total Debt to Equity","TTM",$V$21,"","EUR",""),""),"")</f>
        <v/>
      </c>
      <c r="W116" s="1677"/>
      <c r="X116" s="1666" t="str" cm="1">
        <f t="array" aca="1" ref="X116" ca="1">IFERROR(IF($L116&lt;&gt;"",_xll.PBF($L116,"Total Revenue","FY",$X$21,"","EUR","")/1000000,""),"")</f>
        <v/>
      </c>
      <c r="Y116" s="1666" t="str" cm="1">
        <f t="array" aca="1" ref="Y116" ca="1">IFERROR(IF($L116&lt;&gt;"",_xll.PBF($L116,"EBITDA","FY",$N$11,"","EUR","")/1000000,""),"")</f>
        <v/>
      </c>
      <c r="Z116" s="1666" t="str" cm="1">
        <f t="array" aca="1" ref="Z116" ca="1">IFERROR(IF($L116&lt;&gt;"",_xll.PBF($L116,"EBIT","FY",$N$11,"","EUR","")/1000000,""),"")</f>
        <v/>
      </c>
      <c r="AA116" s="1677" t="str" cm="1">
        <f t="array" aca="1" ref="AA116" ca="1">IFERROR(IF($L116&lt;&gt;"",_xll.PBF($L116,"Total Debt to EBITDA","FY",$AA$21,"","EUR",""),""),"")</f>
        <v/>
      </c>
      <c r="AB116" s="1670"/>
      <c r="AC116" s="1672" t="str" cm="1">
        <f t="array" aca="1" ref="AC116" ca="1">IFERROR(IF($L116&lt;&gt;"",_xll.PBF($L116,"EV to Revenue","FY",$N$11,"","EUR",""),""),"")</f>
        <v/>
      </c>
      <c r="AD116" s="1672" t="str" cm="1">
        <f t="array" aca="1" ref="AD116" ca="1">IFERROR(IF($L116&lt;&gt;"",_xll.PBF($L116,"EV to EBITDA","FY",$AD$21,"","EUR",""),""),"")</f>
        <v/>
      </c>
      <c r="AE116" s="1672" t="str" cm="1">
        <f t="array" aca="1" ref="AE116" ca="1">IFERROR(IF($L116&lt;&gt;"",_xll.PBF($L116,"EV to EBIT","FY",$AE$21,"","EUR",""),""),"")</f>
        <v/>
      </c>
      <c r="AF116" s="1672"/>
      <c r="AG116" s="1672" t="str" cm="1">
        <f t="array" aca="1" ref="AG116" ca="1">IFERROR(IF($L116&lt;&gt;"",_xll.PBF($L116,"EV to Forward Revenue","FY",$AG$21,"","EUR",""),""),"")</f>
        <v/>
      </c>
      <c r="AH116" s="1672" t="str" cm="1">
        <f t="array" aca="1" ref="AH116" ca="1">IFERROR(IF($L116&lt;&gt;"",_xll.PBF($L116,"EV to Forward EBITDA","FY",$AH$21,"","EUR",""),""),"")</f>
        <v/>
      </c>
      <c r="AI116" s="1672" t="str" cm="1">
        <f t="array" aca="1" ref="AI116" ca="1">IFERROR(IF($L116&lt;&gt;"",_xll.PBF($L116,"EV to Forward EBIT","FY",$AI$21,"","EUR",""),""),"")</f>
        <v/>
      </c>
      <c r="AK116" s="1705"/>
      <c r="AL116" s="1693" t="str" cm="1">
        <f t="array" ref="AL116">IFERROR(IF(AK116&lt;&gt;"",_xll.PBD(AK116,"Deal Date","","EUR",""),""),"")</f>
        <v/>
      </c>
      <c r="AM116" s="1693" t="str" cm="1">
        <f t="array" ref="AM116">IFERROR(IF(AK116&lt;&gt;"",_xll.PBD(AK116,"Limit1.Deal Type 1","","EUR",""),""),"")</f>
        <v/>
      </c>
      <c r="AN116" s="1693" t="str" cm="1">
        <f t="array" ref="AN116">IFERROR(IF(AK116&lt;&gt;"",_xll.PBD(AK116,"Limit1.Company Id","","EUR",""),""),"")</f>
        <v/>
      </c>
      <c r="AO116" s="1640" t="str" cm="1">
        <f t="array" ref="AO116">IFERROR(IF(AN116&lt;&gt;"",_xll.PBD(AN116,"Name","","EUR",""),""),"")</f>
        <v/>
      </c>
      <c r="AP116" s="1640" t="str" cm="1">
        <f t="array" ref="AP116">IFERROR(IF(AN116&lt;&gt;"",_xll.PBD(AN116,"Primary Industry Code","","EUR",""),""),"")</f>
        <v/>
      </c>
      <c r="AQ116" s="1640" t="str" cm="1">
        <f t="array" ref="AQ116">IFERROR(IF(AN116&lt;&gt;"",_xll.PBD(AN116,"HQ Country","","EUR",""),""),"")</f>
        <v/>
      </c>
      <c r="AR116" s="1640" t="str" cm="1">
        <f t="array" ref="AR116">IFERROR(IF(AK116&lt;&gt;"",_xll.PBD(AK116,"Limit1.Investors Ids","","EUR",""),""),"")</f>
        <v/>
      </c>
      <c r="AS116" s="1640" t="str" cm="1">
        <f t="array" ref="AS116">IFERROR(IF(AR116&lt;&gt;"",_xll.PBD(AR116,"Name","","EUR",""),""),"")</f>
        <v/>
      </c>
      <c r="AT116" s="1640" t="str" cm="1">
        <f t="array" ref="AT116">IFERROR(IF(AR116&lt;&gt;"",_xll.PBD(AR116,"Primary Industry Code","","EUR",""),""),"")</f>
        <v/>
      </c>
      <c r="AU116" s="1640" t="str" cm="1">
        <f t="array" ref="AU116">IFERROR(IF(AR116&lt;&gt;"",_xll.PBD(AR116,"Limit2.Entity Types","","EUR",""),""),"")</f>
        <v/>
      </c>
      <c r="AV116" s="1640" t="str" cm="1">
        <f t="array" ref="AV116">IFERROR(IF(AR116&lt;&gt;"",_xll.PBD(AR116,"HQ Country","","EUR",""),""),"")</f>
        <v/>
      </c>
      <c r="AX116" s="1641" t="str" cm="1">
        <f t="array" ref="AX116">IFERROR(IF(AK116&lt;&gt;"",_xll.PBD(AK116,"Limit1.Deal Amount","","EUR","")/1000000,""),"")</f>
        <v/>
      </c>
      <c r="AY116" s="1641" t="str" cm="1">
        <f t="array" ref="AY116">IFERROR(IF(AK116&lt;&gt;"",_xll.PBD(AK116,"Limit1.Implied EV ","","EUR","")/1000000,""),"")</f>
        <v/>
      </c>
      <c r="AZ116" s="1694" t="str" cm="1">
        <f t="array" ref="AZ116">IFERROR(IF(AK116&lt;&gt;"",_xll.PBD(AK116,"Limit1.% Acquired ","","EUR",""),""),"")</f>
        <v/>
      </c>
      <c r="BB116" s="1695" t="str" cm="1">
        <f t="array" ref="BB116">IFERROR(IF(AK116&lt;&gt;"",_xll.PBD(AK116,"Implied EV / Revenue","","EUR",""),""),"")</f>
        <v/>
      </c>
      <c r="BC116" s="1695" t="str" cm="1">
        <f t="array" ref="BC116">IFERROR(IF(AK116&lt;&gt;"",_xll.PBD(AK116,"Implied EV / EBITDA","","EUR",""),""),"")</f>
        <v/>
      </c>
      <c r="BD116" s="1695" t="str" cm="1">
        <f t="array" ref="BD116">IFERROR(IF(AK116&lt;&gt;"",_xll.PBD(AK116,"Implied EV / EBIT","","EUR",""),""),"")</f>
        <v/>
      </c>
      <c r="BF116" s="1640" t="str" cm="1">
        <f t="array" ref="BF116">IFERROR(IF(AR116&lt;&gt;"",_xll.PBD(AR116,"Brief Description","","EUR",""),""),"")</f>
        <v/>
      </c>
    </row>
    <row r="117" spans="12:58" ht="13.9" customHeight="1">
      <c r="L117" s="1705"/>
      <c r="N117" s="1640" t="str" cm="1">
        <f t="array" ref="N117">IFERROR(IF($L117&lt;&gt;"",_xll.PBD($L117,"Name","","USD",""),""),"")</f>
        <v/>
      </c>
      <c r="O117" s="1640" t="str" cm="1">
        <f t="array" ref="O117">IFERROR(IF($L117&lt;&gt;"",_xll.PBD($L117,"Primary Industry Code","","",""),""),"")</f>
        <v/>
      </c>
      <c r="P117" s="1640" t="str" cm="1">
        <f t="array" ref="P117">IFERROR(IF($L117&lt;&gt;"",_xll.PBD($L117,"HQ Country","","",""),""),"")</f>
        <v/>
      </c>
      <c r="Q117" s="1640" t="str" cm="1">
        <f t="array" ref="Q117">IFERROR(IF($L117&lt;&gt;"",_xll.PBD($L117,"HQ City","","EUR",""),""),"")</f>
        <v/>
      </c>
      <c r="S117" s="1666" t="str" cm="1">
        <f t="array" aca="1" ref="S117" ca="1">IFERROR(IF($L117&lt;&gt;"",_xll.PBF($L117,"EV","TTM",$N$11,"","EUR","")/1000000,""),"")</f>
        <v/>
      </c>
      <c r="T117" s="1666" t="str" cm="1">
        <f t="array" aca="1" ref="T117" ca="1">IFERROR(IF($L117&lt;&gt;"",_xll.PBF($L117,"NET Debt","TTM",$N$11,"","EUR","")/1000000,""),"")</f>
        <v/>
      </c>
      <c r="U117" s="1666" t="str" cm="1">
        <f t="array" aca="1" ref="U117" ca="1">IFERROR(IF($L117&lt;&gt;"",_xll.PBF($L117,"Market Cap","TTM",$N$11,"","EUR","")/1000000,""),"")</f>
        <v/>
      </c>
      <c r="V117" s="1677" t="str" cm="1">
        <f t="array" aca="1" ref="V117" ca="1">IFERROR(IF($L117&lt;&gt;"",_xll.PBF($L117,"Total Debt to Equity","TTM",$V$21,"","EUR",""),""),"")</f>
        <v/>
      </c>
      <c r="W117" s="1677"/>
      <c r="X117" s="1666" t="str" cm="1">
        <f t="array" aca="1" ref="X117" ca="1">IFERROR(IF($L117&lt;&gt;"",_xll.PBF($L117,"Total Revenue","FY",$X$21,"","EUR","")/1000000,""),"")</f>
        <v/>
      </c>
      <c r="Y117" s="1666" t="str" cm="1">
        <f t="array" aca="1" ref="Y117" ca="1">IFERROR(IF($L117&lt;&gt;"",_xll.PBF($L117,"EBITDA","FY",$N$11,"","EUR","")/1000000,""),"")</f>
        <v/>
      </c>
      <c r="Z117" s="1666" t="str" cm="1">
        <f t="array" aca="1" ref="Z117" ca="1">IFERROR(IF($L117&lt;&gt;"",_xll.PBF($L117,"EBIT","FY",$N$11,"","EUR","")/1000000,""),"")</f>
        <v/>
      </c>
      <c r="AA117" s="1677" t="str" cm="1">
        <f t="array" aca="1" ref="AA117" ca="1">IFERROR(IF($L117&lt;&gt;"",_xll.PBF($L117,"Total Debt to EBITDA","FY",$AA$21,"","EUR",""),""),"")</f>
        <v/>
      </c>
      <c r="AB117" s="1670"/>
      <c r="AC117" s="1672" t="str" cm="1">
        <f t="array" aca="1" ref="AC117" ca="1">IFERROR(IF($L117&lt;&gt;"",_xll.PBF($L117,"EV to Revenue","FY",$N$11,"","EUR",""),""),"")</f>
        <v/>
      </c>
      <c r="AD117" s="1672" t="str" cm="1">
        <f t="array" aca="1" ref="AD117" ca="1">IFERROR(IF($L117&lt;&gt;"",_xll.PBF($L117,"EV to EBITDA","FY",$AD$21,"","EUR",""),""),"")</f>
        <v/>
      </c>
      <c r="AE117" s="1672" t="str" cm="1">
        <f t="array" aca="1" ref="AE117" ca="1">IFERROR(IF($L117&lt;&gt;"",_xll.PBF($L117,"EV to EBIT","FY",$AE$21,"","EUR",""),""),"")</f>
        <v/>
      </c>
      <c r="AF117" s="1672"/>
      <c r="AG117" s="1672" t="str" cm="1">
        <f t="array" aca="1" ref="AG117" ca="1">IFERROR(IF($L117&lt;&gt;"",_xll.PBF($L117,"EV to Forward Revenue","FY",$AG$21,"","EUR",""),""),"")</f>
        <v/>
      </c>
      <c r="AH117" s="1672" t="str" cm="1">
        <f t="array" aca="1" ref="AH117" ca="1">IFERROR(IF($L117&lt;&gt;"",_xll.PBF($L117,"EV to Forward EBITDA","FY",$AH$21,"","EUR",""),""),"")</f>
        <v/>
      </c>
      <c r="AI117" s="1672" t="str" cm="1">
        <f t="array" aca="1" ref="AI117" ca="1">IFERROR(IF($L117&lt;&gt;"",_xll.PBF($L117,"EV to Forward EBIT","FY",$AI$21,"","EUR",""),""),"")</f>
        <v/>
      </c>
      <c r="AK117" s="1705"/>
      <c r="AL117" s="1693" t="str" cm="1">
        <f t="array" ref="AL117">IFERROR(IF(AK117&lt;&gt;"",_xll.PBD(AK117,"Deal Date","","EUR",""),""),"")</f>
        <v/>
      </c>
      <c r="AM117" s="1693" t="str" cm="1">
        <f t="array" ref="AM117">IFERROR(IF(AK117&lt;&gt;"",_xll.PBD(AK117,"Limit1.Deal Type 1","","EUR",""),""),"")</f>
        <v/>
      </c>
      <c r="AN117" s="1693" t="str" cm="1">
        <f t="array" ref="AN117">IFERROR(IF(AK117&lt;&gt;"",_xll.PBD(AK117,"Limit1.Company Id","","EUR",""),""),"")</f>
        <v/>
      </c>
      <c r="AO117" s="1640" t="str" cm="1">
        <f t="array" ref="AO117">IFERROR(IF(AN117&lt;&gt;"",_xll.PBD(AN117,"Name","","EUR",""),""),"")</f>
        <v/>
      </c>
      <c r="AP117" s="1640" t="str" cm="1">
        <f t="array" ref="AP117">IFERROR(IF(AN117&lt;&gt;"",_xll.PBD(AN117,"Primary Industry Code","","EUR",""),""),"")</f>
        <v/>
      </c>
      <c r="AQ117" s="1640" t="str" cm="1">
        <f t="array" ref="AQ117">IFERROR(IF(AN117&lt;&gt;"",_xll.PBD(AN117,"HQ Country","","EUR",""),""),"")</f>
        <v/>
      </c>
      <c r="AR117" s="1640" t="str" cm="1">
        <f t="array" ref="AR117">IFERROR(IF(AK117&lt;&gt;"",_xll.PBD(AK117,"Limit1.Investors Ids","","EUR",""),""),"")</f>
        <v/>
      </c>
      <c r="AS117" s="1640" t="str" cm="1">
        <f t="array" ref="AS117">IFERROR(IF(AR117&lt;&gt;"",_xll.PBD(AR117,"Name","","EUR",""),""),"")</f>
        <v/>
      </c>
      <c r="AT117" s="1640" t="str" cm="1">
        <f t="array" ref="AT117">IFERROR(IF(AR117&lt;&gt;"",_xll.PBD(AR117,"Primary Industry Code","","EUR",""),""),"")</f>
        <v/>
      </c>
      <c r="AU117" s="1640" t="str" cm="1">
        <f t="array" ref="AU117">IFERROR(IF(AR117&lt;&gt;"",_xll.PBD(AR117,"Limit2.Entity Types","","EUR",""),""),"")</f>
        <v/>
      </c>
      <c r="AV117" s="1640" t="str" cm="1">
        <f t="array" ref="AV117">IFERROR(IF(AR117&lt;&gt;"",_xll.PBD(AR117,"HQ Country","","EUR",""),""),"")</f>
        <v/>
      </c>
      <c r="AX117" s="1641" t="str" cm="1">
        <f t="array" ref="AX117">IFERROR(IF(AK117&lt;&gt;"",_xll.PBD(AK117,"Limit1.Deal Amount","","EUR","")/1000000,""),"")</f>
        <v/>
      </c>
      <c r="AY117" s="1641" t="str" cm="1">
        <f t="array" ref="AY117">IFERROR(IF(AK117&lt;&gt;"",_xll.PBD(AK117,"Limit1.Implied EV ","","EUR","")/1000000,""),"")</f>
        <v/>
      </c>
      <c r="AZ117" s="1694" t="str" cm="1">
        <f t="array" ref="AZ117">IFERROR(IF(AK117&lt;&gt;"",_xll.PBD(AK117,"Limit1.% Acquired ","","EUR",""),""),"")</f>
        <v/>
      </c>
      <c r="BB117" s="1695" t="str" cm="1">
        <f t="array" ref="BB117">IFERROR(IF(AK117&lt;&gt;"",_xll.PBD(AK117,"Implied EV / Revenue","","EUR",""),""),"")</f>
        <v/>
      </c>
      <c r="BC117" s="1695" t="str" cm="1">
        <f t="array" ref="BC117">IFERROR(IF(AK117&lt;&gt;"",_xll.PBD(AK117,"Implied EV / EBITDA","","EUR",""),""),"")</f>
        <v/>
      </c>
      <c r="BD117" s="1695" t="str" cm="1">
        <f t="array" ref="BD117">IFERROR(IF(AK117&lt;&gt;"",_xll.PBD(AK117,"Implied EV / EBIT","","EUR",""),""),"")</f>
        <v/>
      </c>
      <c r="BF117" s="1640" t="str" cm="1">
        <f t="array" ref="BF117">IFERROR(IF(AR117&lt;&gt;"",_xll.PBD(AR117,"Brief Description","","EUR",""),""),"")</f>
        <v/>
      </c>
    </row>
    <row r="118" spans="12:58" ht="13.9" customHeight="1">
      <c r="L118" s="1705"/>
      <c r="N118" s="1640" t="str" cm="1">
        <f t="array" ref="N118">IFERROR(IF($L118&lt;&gt;"",_xll.PBD($L118,"Name","","USD",""),""),"")</f>
        <v/>
      </c>
      <c r="O118" s="1640" t="str" cm="1">
        <f t="array" ref="O118">IFERROR(IF($L118&lt;&gt;"",_xll.PBD($L118,"Primary Industry Code","","",""),""),"")</f>
        <v/>
      </c>
      <c r="P118" s="1640" t="str" cm="1">
        <f t="array" ref="P118">IFERROR(IF($L118&lt;&gt;"",_xll.PBD($L118,"HQ Country","","",""),""),"")</f>
        <v/>
      </c>
      <c r="Q118" s="1640" t="str" cm="1">
        <f t="array" ref="Q118">IFERROR(IF($L118&lt;&gt;"",_xll.PBD($L118,"HQ City","","EUR",""),""),"")</f>
        <v/>
      </c>
      <c r="S118" s="1666" t="str" cm="1">
        <f t="array" aca="1" ref="S118" ca="1">IFERROR(IF($L118&lt;&gt;"",_xll.PBF($L118,"EV","TTM",$N$11,"","EUR","")/1000000,""),"")</f>
        <v/>
      </c>
      <c r="T118" s="1666" t="str" cm="1">
        <f t="array" aca="1" ref="T118" ca="1">IFERROR(IF($L118&lt;&gt;"",_xll.PBF($L118,"NET Debt","TTM",$N$11,"","EUR","")/1000000,""),"")</f>
        <v/>
      </c>
      <c r="U118" s="1666" t="str" cm="1">
        <f t="array" aca="1" ref="U118" ca="1">IFERROR(IF($L118&lt;&gt;"",_xll.PBF($L118,"Market Cap","TTM",$N$11,"","EUR","")/1000000,""),"")</f>
        <v/>
      </c>
      <c r="V118" s="1677" t="str" cm="1">
        <f t="array" aca="1" ref="V118" ca="1">IFERROR(IF($L118&lt;&gt;"",_xll.PBF($L118,"Total Debt to Equity","TTM",$V$21,"","EUR",""),""),"")</f>
        <v/>
      </c>
      <c r="W118" s="1677"/>
      <c r="X118" s="1666" t="str" cm="1">
        <f t="array" aca="1" ref="X118" ca="1">IFERROR(IF($L118&lt;&gt;"",_xll.PBF($L118,"Total Revenue","FY",$X$21,"","EUR","")/1000000,""),"")</f>
        <v/>
      </c>
      <c r="Y118" s="1666" t="str" cm="1">
        <f t="array" aca="1" ref="Y118" ca="1">IFERROR(IF($L118&lt;&gt;"",_xll.PBF($L118,"EBITDA","FY",$N$11,"","EUR","")/1000000,""),"")</f>
        <v/>
      </c>
      <c r="Z118" s="1666" t="str" cm="1">
        <f t="array" aca="1" ref="Z118" ca="1">IFERROR(IF($L118&lt;&gt;"",_xll.PBF($L118,"EBIT","FY",$N$11,"","EUR","")/1000000,""),"")</f>
        <v/>
      </c>
      <c r="AA118" s="1677" t="str" cm="1">
        <f t="array" aca="1" ref="AA118" ca="1">IFERROR(IF($L118&lt;&gt;"",_xll.PBF($L118,"Total Debt to EBITDA","FY",$AA$21,"","EUR",""),""),"")</f>
        <v/>
      </c>
      <c r="AB118" s="1670"/>
      <c r="AC118" s="1672" t="str" cm="1">
        <f t="array" aca="1" ref="AC118" ca="1">IFERROR(IF($L118&lt;&gt;"",_xll.PBF($L118,"EV to Revenue","FY",$N$11,"","EUR",""),""),"")</f>
        <v/>
      </c>
      <c r="AD118" s="1672" t="str" cm="1">
        <f t="array" aca="1" ref="AD118" ca="1">IFERROR(IF($L118&lt;&gt;"",_xll.PBF($L118,"EV to EBITDA","FY",$AD$21,"","EUR",""),""),"")</f>
        <v/>
      </c>
      <c r="AE118" s="1672" t="str" cm="1">
        <f t="array" aca="1" ref="AE118" ca="1">IFERROR(IF($L118&lt;&gt;"",_xll.PBF($L118,"EV to EBIT","FY",$AE$21,"","EUR",""),""),"")</f>
        <v/>
      </c>
      <c r="AF118" s="1672"/>
      <c r="AG118" s="1672" t="str" cm="1">
        <f t="array" aca="1" ref="AG118" ca="1">IFERROR(IF($L118&lt;&gt;"",_xll.PBF($L118,"EV to Forward Revenue","FY",$AG$21,"","EUR",""),""),"")</f>
        <v/>
      </c>
      <c r="AH118" s="1672" t="str" cm="1">
        <f t="array" aca="1" ref="AH118" ca="1">IFERROR(IF($L118&lt;&gt;"",_xll.PBF($L118,"EV to Forward EBITDA","FY",$AH$21,"","EUR",""),""),"")</f>
        <v/>
      </c>
      <c r="AI118" s="1672" t="str" cm="1">
        <f t="array" aca="1" ref="AI118" ca="1">IFERROR(IF($L118&lt;&gt;"",_xll.PBF($L118,"EV to Forward EBIT","FY",$AI$21,"","EUR",""),""),"")</f>
        <v/>
      </c>
      <c r="AK118" s="1705"/>
      <c r="AL118" s="1693" t="str" cm="1">
        <f t="array" ref="AL118">IFERROR(IF(AK118&lt;&gt;"",_xll.PBD(AK118,"Deal Date","","EUR",""),""),"")</f>
        <v/>
      </c>
      <c r="AM118" s="1693" t="str" cm="1">
        <f t="array" ref="AM118">IFERROR(IF(AK118&lt;&gt;"",_xll.PBD(AK118,"Limit1.Deal Type 1","","EUR",""),""),"")</f>
        <v/>
      </c>
      <c r="AN118" s="1693" t="str" cm="1">
        <f t="array" ref="AN118">IFERROR(IF(AK118&lt;&gt;"",_xll.PBD(AK118,"Limit1.Company Id","","EUR",""),""),"")</f>
        <v/>
      </c>
      <c r="AO118" s="1640" t="str" cm="1">
        <f t="array" ref="AO118">IFERROR(IF(AN118&lt;&gt;"",_xll.PBD(AN118,"Name","","EUR",""),""),"")</f>
        <v/>
      </c>
      <c r="AP118" s="1640" t="str" cm="1">
        <f t="array" ref="AP118">IFERROR(IF(AN118&lt;&gt;"",_xll.PBD(AN118,"Primary Industry Code","","EUR",""),""),"")</f>
        <v/>
      </c>
      <c r="AQ118" s="1640" t="str" cm="1">
        <f t="array" ref="AQ118">IFERROR(IF(AN118&lt;&gt;"",_xll.PBD(AN118,"HQ Country","","EUR",""),""),"")</f>
        <v/>
      </c>
      <c r="AR118" s="1640" t="str" cm="1">
        <f t="array" ref="AR118">IFERROR(IF(AK118&lt;&gt;"",_xll.PBD(AK118,"Limit1.Investors Ids","","EUR",""),""),"")</f>
        <v/>
      </c>
      <c r="AS118" s="1640" t="str" cm="1">
        <f t="array" ref="AS118">IFERROR(IF(AR118&lt;&gt;"",_xll.PBD(AR118,"Name","","EUR",""),""),"")</f>
        <v/>
      </c>
      <c r="AT118" s="1640" t="str" cm="1">
        <f t="array" ref="AT118">IFERROR(IF(AR118&lt;&gt;"",_xll.PBD(AR118,"Primary Industry Code","","EUR",""),""),"")</f>
        <v/>
      </c>
      <c r="AU118" s="1640" t="str" cm="1">
        <f t="array" ref="AU118">IFERROR(IF(AR118&lt;&gt;"",_xll.PBD(AR118,"Limit2.Entity Types","","EUR",""),""),"")</f>
        <v/>
      </c>
      <c r="AV118" s="1640" t="str" cm="1">
        <f t="array" ref="AV118">IFERROR(IF(AR118&lt;&gt;"",_xll.PBD(AR118,"HQ Country","","EUR",""),""),"")</f>
        <v/>
      </c>
      <c r="AX118" s="1641" t="str" cm="1">
        <f t="array" ref="AX118">IFERROR(IF(AK118&lt;&gt;"",_xll.PBD(AK118,"Limit1.Deal Amount","","EUR","")/1000000,""),"")</f>
        <v/>
      </c>
      <c r="AY118" s="1641" t="str" cm="1">
        <f t="array" ref="AY118">IFERROR(IF(AK118&lt;&gt;"",_xll.PBD(AK118,"Limit1.Implied EV ","","EUR","")/1000000,""),"")</f>
        <v/>
      </c>
      <c r="AZ118" s="1694" t="str" cm="1">
        <f t="array" ref="AZ118">IFERROR(IF(AK118&lt;&gt;"",_xll.PBD(AK118,"Limit1.% Acquired ","","EUR",""),""),"")</f>
        <v/>
      </c>
      <c r="BB118" s="1695" t="str" cm="1">
        <f t="array" ref="BB118">IFERROR(IF(AK118&lt;&gt;"",_xll.PBD(AK118,"Implied EV / Revenue","","EUR",""),""),"")</f>
        <v/>
      </c>
      <c r="BC118" s="1695" t="str" cm="1">
        <f t="array" ref="BC118">IFERROR(IF(AK118&lt;&gt;"",_xll.PBD(AK118,"Implied EV / EBITDA","","EUR",""),""),"")</f>
        <v/>
      </c>
      <c r="BD118" s="1695" t="str" cm="1">
        <f t="array" ref="BD118">IFERROR(IF(AK118&lt;&gt;"",_xll.PBD(AK118,"Implied EV / EBIT","","EUR",""),""),"")</f>
        <v/>
      </c>
      <c r="BF118" s="1640" t="str" cm="1">
        <f t="array" ref="BF118">IFERROR(IF(AR118&lt;&gt;"",_xll.PBD(AR118,"Brief Description","","EUR",""),""),"")</f>
        <v/>
      </c>
    </row>
    <row r="119" spans="12:58" ht="13.9" customHeight="1">
      <c r="L119" s="1705"/>
      <c r="N119" s="1640" t="str" cm="1">
        <f t="array" ref="N119">IFERROR(IF($L119&lt;&gt;"",_xll.PBD($L119,"Name","","USD",""),""),"")</f>
        <v/>
      </c>
      <c r="O119" s="1640" t="str" cm="1">
        <f t="array" ref="O119">IFERROR(IF($L119&lt;&gt;"",_xll.PBD($L119,"Primary Industry Code","","",""),""),"")</f>
        <v/>
      </c>
      <c r="P119" s="1640" t="str" cm="1">
        <f t="array" ref="P119">IFERROR(IF($L119&lt;&gt;"",_xll.PBD($L119,"HQ Country","","",""),""),"")</f>
        <v/>
      </c>
      <c r="Q119" s="1640" t="str" cm="1">
        <f t="array" ref="Q119">IFERROR(IF($L119&lt;&gt;"",_xll.PBD($L119,"HQ City","","EUR",""),""),"")</f>
        <v/>
      </c>
      <c r="S119" s="1666" t="str" cm="1">
        <f t="array" aca="1" ref="S119" ca="1">IFERROR(IF($L119&lt;&gt;"",_xll.PBF($L119,"EV","TTM",$N$11,"","EUR","")/1000000,""),"")</f>
        <v/>
      </c>
      <c r="T119" s="1666" t="str" cm="1">
        <f t="array" aca="1" ref="T119" ca="1">IFERROR(IF($L119&lt;&gt;"",_xll.PBF($L119,"NET Debt","TTM",$N$11,"","EUR","")/1000000,""),"")</f>
        <v/>
      </c>
      <c r="U119" s="1666" t="str" cm="1">
        <f t="array" aca="1" ref="U119" ca="1">IFERROR(IF($L119&lt;&gt;"",_xll.PBF($L119,"Market Cap","TTM",$N$11,"","EUR","")/1000000,""),"")</f>
        <v/>
      </c>
      <c r="V119" s="1677" t="str" cm="1">
        <f t="array" aca="1" ref="V119" ca="1">IFERROR(IF($L119&lt;&gt;"",_xll.PBF($L119,"Total Debt to Equity","TTM",$V$21,"","EUR",""),""),"")</f>
        <v/>
      </c>
      <c r="W119" s="1677"/>
      <c r="X119" s="1666" t="str" cm="1">
        <f t="array" aca="1" ref="X119" ca="1">IFERROR(IF($L119&lt;&gt;"",_xll.PBF($L119,"Total Revenue","FY",$X$21,"","EUR","")/1000000,""),"")</f>
        <v/>
      </c>
      <c r="Y119" s="1666" t="str" cm="1">
        <f t="array" aca="1" ref="Y119" ca="1">IFERROR(IF($L119&lt;&gt;"",_xll.PBF($L119,"EBITDA","FY",$N$11,"","EUR","")/1000000,""),"")</f>
        <v/>
      </c>
      <c r="Z119" s="1666" t="str" cm="1">
        <f t="array" aca="1" ref="Z119" ca="1">IFERROR(IF($L119&lt;&gt;"",_xll.PBF($L119,"EBIT","FY",$N$11,"","EUR","")/1000000,""),"")</f>
        <v/>
      </c>
      <c r="AA119" s="1677" t="str" cm="1">
        <f t="array" aca="1" ref="AA119" ca="1">IFERROR(IF($L119&lt;&gt;"",_xll.PBF($L119,"Total Debt to EBITDA","FY",$AA$21,"","EUR",""),""),"")</f>
        <v/>
      </c>
      <c r="AB119" s="1670"/>
      <c r="AC119" s="1672" t="str" cm="1">
        <f t="array" aca="1" ref="AC119" ca="1">IFERROR(IF($L119&lt;&gt;"",_xll.PBF($L119,"EV to Revenue","FY",$N$11,"","EUR",""),""),"")</f>
        <v/>
      </c>
      <c r="AD119" s="1672" t="str" cm="1">
        <f t="array" aca="1" ref="AD119" ca="1">IFERROR(IF($L119&lt;&gt;"",_xll.PBF($L119,"EV to EBITDA","FY",$AD$21,"","EUR",""),""),"")</f>
        <v/>
      </c>
      <c r="AE119" s="1672" t="str" cm="1">
        <f t="array" aca="1" ref="AE119" ca="1">IFERROR(IF($L119&lt;&gt;"",_xll.PBF($L119,"EV to EBIT","FY",$AE$21,"","EUR",""),""),"")</f>
        <v/>
      </c>
      <c r="AF119" s="1672"/>
      <c r="AG119" s="1672" t="str" cm="1">
        <f t="array" aca="1" ref="AG119" ca="1">IFERROR(IF($L119&lt;&gt;"",_xll.PBF($L119,"EV to Forward Revenue","FY",$AG$21,"","EUR",""),""),"")</f>
        <v/>
      </c>
      <c r="AH119" s="1672" t="str" cm="1">
        <f t="array" aca="1" ref="AH119" ca="1">IFERROR(IF($L119&lt;&gt;"",_xll.PBF($L119,"EV to Forward EBITDA","FY",$AH$21,"","EUR",""),""),"")</f>
        <v/>
      </c>
      <c r="AI119" s="1672" t="str" cm="1">
        <f t="array" aca="1" ref="AI119" ca="1">IFERROR(IF($L119&lt;&gt;"",_xll.PBF($L119,"EV to Forward EBIT","FY",$AI$21,"","EUR",""),""),"")</f>
        <v/>
      </c>
      <c r="AK119" s="1705"/>
      <c r="AL119" s="1693" t="str" cm="1">
        <f t="array" ref="AL119">IFERROR(IF(AK119&lt;&gt;"",_xll.PBD(AK119,"Deal Date","","EUR",""),""),"")</f>
        <v/>
      </c>
      <c r="AM119" s="1693" t="str" cm="1">
        <f t="array" ref="AM119">IFERROR(IF(AK119&lt;&gt;"",_xll.PBD(AK119,"Limit1.Deal Type 1","","EUR",""),""),"")</f>
        <v/>
      </c>
      <c r="AN119" s="1693" t="str" cm="1">
        <f t="array" ref="AN119">IFERROR(IF(AK119&lt;&gt;"",_xll.PBD(AK119,"Limit1.Company Id","","EUR",""),""),"")</f>
        <v/>
      </c>
      <c r="AO119" s="1640" t="str" cm="1">
        <f t="array" ref="AO119">IFERROR(IF(AN119&lt;&gt;"",_xll.PBD(AN119,"Name","","EUR",""),""),"")</f>
        <v/>
      </c>
      <c r="AP119" s="1640" t="str" cm="1">
        <f t="array" ref="AP119">IFERROR(IF(AN119&lt;&gt;"",_xll.PBD(AN119,"Primary Industry Code","","EUR",""),""),"")</f>
        <v/>
      </c>
      <c r="AQ119" s="1640" t="str" cm="1">
        <f t="array" ref="AQ119">IFERROR(IF(AN119&lt;&gt;"",_xll.PBD(AN119,"HQ Country","","EUR",""),""),"")</f>
        <v/>
      </c>
      <c r="AR119" s="1640" t="str" cm="1">
        <f t="array" ref="AR119">IFERROR(IF(AK119&lt;&gt;"",_xll.PBD(AK119,"Limit1.Investors Ids","","EUR",""),""),"")</f>
        <v/>
      </c>
      <c r="AS119" s="1640" t="str" cm="1">
        <f t="array" ref="AS119">IFERROR(IF(AR119&lt;&gt;"",_xll.PBD(AR119,"Name","","EUR",""),""),"")</f>
        <v/>
      </c>
      <c r="AT119" s="1640" t="str" cm="1">
        <f t="array" ref="AT119">IFERROR(IF(AR119&lt;&gt;"",_xll.PBD(AR119,"Primary Industry Code","","EUR",""),""),"")</f>
        <v/>
      </c>
      <c r="AU119" s="1640" t="str" cm="1">
        <f t="array" ref="AU119">IFERROR(IF(AR119&lt;&gt;"",_xll.PBD(AR119,"Limit2.Entity Types","","EUR",""),""),"")</f>
        <v/>
      </c>
      <c r="AV119" s="1640" t="str" cm="1">
        <f t="array" ref="AV119">IFERROR(IF(AR119&lt;&gt;"",_xll.PBD(AR119,"HQ Country","","EUR",""),""),"")</f>
        <v/>
      </c>
      <c r="AX119" s="1641" t="str" cm="1">
        <f t="array" ref="AX119">IFERROR(IF(AK119&lt;&gt;"",_xll.PBD(AK119,"Limit1.Deal Amount","","EUR","")/1000000,""),"")</f>
        <v/>
      </c>
      <c r="AY119" s="1641" t="str" cm="1">
        <f t="array" ref="AY119">IFERROR(IF(AK119&lt;&gt;"",_xll.PBD(AK119,"Limit1.Implied EV ","","EUR","")/1000000,""),"")</f>
        <v/>
      </c>
      <c r="AZ119" s="1694" t="str" cm="1">
        <f t="array" ref="AZ119">IFERROR(IF(AK119&lt;&gt;"",_xll.PBD(AK119,"Limit1.% Acquired ","","EUR",""),""),"")</f>
        <v/>
      </c>
      <c r="BB119" s="1695" t="str" cm="1">
        <f t="array" ref="BB119">IFERROR(IF(AK119&lt;&gt;"",_xll.PBD(AK119,"Implied EV / Revenue","","EUR",""),""),"")</f>
        <v/>
      </c>
      <c r="BC119" s="1695" t="str" cm="1">
        <f t="array" ref="BC119">IFERROR(IF(AK119&lt;&gt;"",_xll.PBD(AK119,"Implied EV / EBITDA","","EUR",""),""),"")</f>
        <v/>
      </c>
      <c r="BD119" s="1695" t="str" cm="1">
        <f t="array" ref="BD119">IFERROR(IF(AK119&lt;&gt;"",_xll.PBD(AK119,"Implied EV / EBIT","","EUR",""),""),"")</f>
        <v/>
      </c>
      <c r="BF119" s="1640" t="str" cm="1">
        <f t="array" ref="BF119">IFERROR(IF(AR119&lt;&gt;"",_xll.PBD(AR119,"Brief Description","","EUR",""),""),"")</f>
        <v/>
      </c>
    </row>
    <row r="120" spans="12:58" ht="13.9" customHeight="1">
      <c r="L120" s="1705"/>
      <c r="N120" s="1640" t="str" cm="1">
        <f t="array" ref="N120">IFERROR(IF($L120&lt;&gt;"",_xll.PBD($L120,"Name","","USD",""),""),"")</f>
        <v/>
      </c>
      <c r="O120" s="1640" t="str" cm="1">
        <f t="array" ref="O120">IFERROR(IF($L120&lt;&gt;"",_xll.PBD($L120,"Primary Industry Code","","",""),""),"")</f>
        <v/>
      </c>
      <c r="P120" s="1640" t="str" cm="1">
        <f t="array" ref="P120">IFERROR(IF($L120&lt;&gt;"",_xll.PBD($L120,"HQ Country","","",""),""),"")</f>
        <v/>
      </c>
      <c r="Q120" s="1640" t="str" cm="1">
        <f t="array" ref="Q120">IFERROR(IF($L120&lt;&gt;"",_xll.PBD($L120,"HQ City","","EUR",""),""),"")</f>
        <v/>
      </c>
      <c r="S120" s="1666" t="str" cm="1">
        <f t="array" aca="1" ref="S120" ca="1">IFERROR(IF($L120&lt;&gt;"",_xll.PBF($L120,"EV","TTM",$N$11,"","EUR","")/1000000,""),"")</f>
        <v/>
      </c>
      <c r="T120" s="1666" t="str" cm="1">
        <f t="array" aca="1" ref="T120" ca="1">IFERROR(IF($L120&lt;&gt;"",_xll.PBF($L120,"NET Debt","TTM",$N$11,"","EUR","")/1000000,""),"")</f>
        <v/>
      </c>
      <c r="U120" s="1666" t="str" cm="1">
        <f t="array" aca="1" ref="U120" ca="1">IFERROR(IF($L120&lt;&gt;"",_xll.PBF($L120,"Market Cap","TTM",$N$11,"","EUR","")/1000000,""),"")</f>
        <v/>
      </c>
      <c r="V120" s="1677" t="str" cm="1">
        <f t="array" aca="1" ref="V120" ca="1">IFERROR(IF($L120&lt;&gt;"",_xll.PBF($L120,"Total Debt to Equity","TTM",$V$21,"","EUR",""),""),"")</f>
        <v/>
      </c>
      <c r="W120" s="1677"/>
      <c r="X120" s="1666" t="str" cm="1">
        <f t="array" aca="1" ref="X120" ca="1">IFERROR(IF($L120&lt;&gt;"",_xll.PBF($L120,"Total Revenue","FY",$X$21,"","EUR","")/1000000,""),"")</f>
        <v/>
      </c>
      <c r="Y120" s="1666" t="str" cm="1">
        <f t="array" aca="1" ref="Y120" ca="1">IFERROR(IF($L120&lt;&gt;"",_xll.PBF($L120,"EBITDA","FY",$N$11,"","EUR","")/1000000,""),"")</f>
        <v/>
      </c>
      <c r="Z120" s="1666" t="str" cm="1">
        <f t="array" aca="1" ref="Z120" ca="1">IFERROR(IF($L120&lt;&gt;"",_xll.PBF($L120,"EBIT","FY",$N$11,"","EUR","")/1000000,""),"")</f>
        <v/>
      </c>
      <c r="AA120" s="1677" t="str" cm="1">
        <f t="array" aca="1" ref="AA120" ca="1">IFERROR(IF($L120&lt;&gt;"",_xll.PBF($L120,"Total Debt to EBITDA","FY",$AA$21,"","EUR",""),""),"")</f>
        <v/>
      </c>
      <c r="AB120" s="1670"/>
      <c r="AC120" s="1672" t="str" cm="1">
        <f t="array" aca="1" ref="AC120" ca="1">IFERROR(IF($L120&lt;&gt;"",_xll.PBF($L120,"EV to Revenue","FY",$N$11,"","EUR",""),""),"")</f>
        <v/>
      </c>
      <c r="AD120" s="1672" t="str" cm="1">
        <f t="array" aca="1" ref="AD120" ca="1">IFERROR(IF($L120&lt;&gt;"",_xll.PBF($L120,"EV to EBITDA","FY",$AD$21,"","EUR",""),""),"")</f>
        <v/>
      </c>
      <c r="AE120" s="1672" t="str" cm="1">
        <f t="array" aca="1" ref="AE120" ca="1">IFERROR(IF($L120&lt;&gt;"",_xll.PBF($L120,"EV to EBIT","FY",$AE$21,"","EUR",""),""),"")</f>
        <v/>
      </c>
      <c r="AF120" s="1672"/>
      <c r="AG120" s="1672" t="str" cm="1">
        <f t="array" aca="1" ref="AG120" ca="1">IFERROR(IF($L120&lt;&gt;"",_xll.PBF($L120,"EV to Forward Revenue","FY",$AG$21,"","EUR",""),""),"")</f>
        <v/>
      </c>
      <c r="AH120" s="1672" t="str" cm="1">
        <f t="array" aca="1" ref="AH120" ca="1">IFERROR(IF($L120&lt;&gt;"",_xll.PBF($L120,"EV to Forward EBITDA","FY",$AH$21,"","EUR",""),""),"")</f>
        <v/>
      </c>
      <c r="AI120" s="1672" t="str" cm="1">
        <f t="array" aca="1" ref="AI120" ca="1">IFERROR(IF($L120&lt;&gt;"",_xll.PBF($L120,"EV to Forward EBIT","FY",$AI$21,"","EUR",""),""),"")</f>
        <v/>
      </c>
      <c r="AK120" s="1705"/>
      <c r="AL120" s="1693" t="str" cm="1">
        <f t="array" ref="AL120">IFERROR(IF(AK120&lt;&gt;"",_xll.PBD(AK120,"Deal Date","","EUR",""),""),"")</f>
        <v/>
      </c>
      <c r="AM120" s="1693" t="str" cm="1">
        <f t="array" ref="AM120">IFERROR(IF(AK120&lt;&gt;"",_xll.PBD(AK120,"Limit1.Deal Type 1","","EUR",""),""),"")</f>
        <v/>
      </c>
      <c r="AN120" s="1693" t="str" cm="1">
        <f t="array" ref="AN120">IFERROR(IF(AK120&lt;&gt;"",_xll.PBD(AK120,"Limit1.Company Id","","EUR",""),""),"")</f>
        <v/>
      </c>
      <c r="AO120" s="1640" t="str" cm="1">
        <f t="array" ref="AO120">IFERROR(IF(AN120&lt;&gt;"",_xll.PBD(AN120,"Name","","EUR",""),""),"")</f>
        <v/>
      </c>
      <c r="AP120" s="1640" t="str" cm="1">
        <f t="array" ref="AP120">IFERROR(IF(AN120&lt;&gt;"",_xll.PBD(AN120,"Primary Industry Code","","EUR",""),""),"")</f>
        <v/>
      </c>
      <c r="AQ120" s="1640" t="str" cm="1">
        <f t="array" ref="AQ120">IFERROR(IF(AN120&lt;&gt;"",_xll.PBD(AN120,"HQ Country","","EUR",""),""),"")</f>
        <v/>
      </c>
      <c r="AR120" s="1640" t="str" cm="1">
        <f t="array" ref="AR120">IFERROR(IF(AK120&lt;&gt;"",_xll.PBD(AK120,"Limit1.Investors Ids","","EUR",""),""),"")</f>
        <v/>
      </c>
      <c r="AS120" s="1640" t="str" cm="1">
        <f t="array" ref="AS120">IFERROR(IF(AR120&lt;&gt;"",_xll.PBD(AR120,"Name","","EUR",""),""),"")</f>
        <v/>
      </c>
      <c r="AT120" s="1640" t="str" cm="1">
        <f t="array" ref="AT120">IFERROR(IF(AR120&lt;&gt;"",_xll.PBD(AR120,"Primary Industry Code","","EUR",""),""),"")</f>
        <v/>
      </c>
      <c r="AU120" s="1640" t="str" cm="1">
        <f t="array" ref="AU120">IFERROR(IF(AR120&lt;&gt;"",_xll.PBD(AR120,"Limit2.Entity Types","","EUR",""),""),"")</f>
        <v/>
      </c>
      <c r="AV120" s="1640" t="str" cm="1">
        <f t="array" ref="AV120">IFERROR(IF(AR120&lt;&gt;"",_xll.PBD(AR120,"HQ Country","","EUR",""),""),"")</f>
        <v/>
      </c>
      <c r="AX120" s="1641" t="str" cm="1">
        <f t="array" ref="AX120">IFERROR(IF(AK120&lt;&gt;"",_xll.PBD(AK120,"Limit1.Deal Amount","","EUR","")/1000000,""),"")</f>
        <v/>
      </c>
      <c r="AY120" s="1641" t="str" cm="1">
        <f t="array" ref="AY120">IFERROR(IF(AK120&lt;&gt;"",_xll.PBD(AK120,"Limit1.Implied EV ","","EUR","")/1000000,""),"")</f>
        <v/>
      </c>
      <c r="AZ120" s="1694" t="str" cm="1">
        <f t="array" ref="AZ120">IFERROR(IF(AK120&lt;&gt;"",_xll.PBD(AK120,"Limit1.% Acquired ","","EUR",""),""),"")</f>
        <v/>
      </c>
      <c r="BB120" s="1695" t="str" cm="1">
        <f t="array" ref="BB120">IFERROR(IF(AK120&lt;&gt;"",_xll.PBD(AK120,"Implied EV / Revenue","","EUR",""),""),"")</f>
        <v/>
      </c>
      <c r="BC120" s="1695" t="str" cm="1">
        <f t="array" ref="BC120">IFERROR(IF(AK120&lt;&gt;"",_xll.PBD(AK120,"Implied EV / EBITDA","","EUR",""),""),"")</f>
        <v/>
      </c>
      <c r="BD120" s="1695" t="str" cm="1">
        <f t="array" ref="BD120">IFERROR(IF(AK120&lt;&gt;"",_xll.PBD(AK120,"Implied EV / EBIT","","EUR",""),""),"")</f>
        <v/>
      </c>
      <c r="BF120" s="1640" t="str" cm="1">
        <f t="array" ref="BF120">IFERROR(IF(AR120&lt;&gt;"",_xll.PBD(AR120,"Brief Description","","EUR",""),""),"")</f>
        <v/>
      </c>
    </row>
    <row r="121" spans="12:58" ht="13.9" customHeight="1">
      <c r="L121" s="1705"/>
      <c r="N121" s="1640" t="str" cm="1">
        <f t="array" ref="N121">IFERROR(IF($L121&lt;&gt;"",_xll.PBD($L121,"Name","","USD",""),""),"")</f>
        <v/>
      </c>
      <c r="O121" s="1640" t="str" cm="1">
        <f t="array" ref="O121">IFERROR(IF($L121&lt;&gt;"",_xll.PBD($L121,"Primary Industry Code","","",""),""),"")</f>
        <v/>
      </c>
      <c r="P121" s="1640" t="str" cm="1">
        <f t="array" ref="P121">IFERROR(IF($L121&lt;&gt;"",_xll.PBD($L121,"HQ Country","","",""),""),"")</f>
        <v/>
      </c>
      <c r="Q121" s="1640" t="str" cm="1">
        <f t="array" ref="Q121">IFERROR(IF($L121&lt;&gt;"",_xll.PBD($L121,"HQ City","","EUR",""),""),"")</f>
        <v/>
      </c>
      <c r="S121" s="1666" t="str" cm="1">
        <f t="array" aca="1" ref="S121" ca="1">IFERROR(IF($L121&lt;&gt;"",_xll.PBF($L121,"EV","TTM",$N$11,"","EUR","")/1000000,""),"")</f>
        <v/>
      </c>
      <c r="T121" s="1666" t="str" cm="1">
        <f t="array" aca="1" ref="T121" ca="1">IFERROR(IF($L121&lt;&gt;"",_xll.PBF($L121,"NET Debt","TTM",$N$11,"","EUR","")/1000000,""),"")</f>
        <v/>
      </c>
      <c r="U121" s="1666" t="str" cm="1">
        <f t="array" aca="1" ref="U121" ca="1">IFERROR(IF($L121&lt;&gt;"",_xll.PBF($L121,"Market Cap","TTM",$N$11,"","EUR","")/1000000,""),"")</f>
        <v/>
      </c>
      <c r="V121" s="1677" t="str" cm="1">
        <f t="array" aca="1" ref="V121" ca="1">IFERROR(IF($L121&lt;&gt;"",_xll.PBF($L121,"Total Debt to Equity","TTM",$V$21,"","EUR",""),""),"")</f>
        <v/>
      </c>
      <c r="W121" s="1677"/>
      <c r="X121" s="1666" t="str" cm="1">
        <f t="array" aca="1" ref="X121" ca="1">IFERROR(IF($L121&lt;&gt;"",_xll.PBF($L121,"Total Revenue","FY",$X$21,"","EUR","")/1000000,""),"")</f>
        <v/>
      </c>
      <c r="Y121" s="1666" t="str" cm="1">
        <f t="array" aca="1" ref="Y121" ca="1">IFERROR(IF($L121&lt;&gt;"",_xll.PBF($L121,"EBITDA","FY",$N$11,"","EUR","")/1000000,""),"")</f>
        <v/>
      </c>
      <c r="Z121" s="1666" t="str" cm="1">
        <f t="array" aca="1" ref="Z121" ca="1">IFERROR(IF($L121&lt;&gt;"",_xll.PBF($L121,"EBIT","FY",$N$11,"","EUR","")/1000000,""),"")</f>
        <v/>
      </c>
      <c r="AA121" s="1677" t="str" cm="1">
        <f t="array" aca="1" ref="AA121" ca="1">IFERROR(IF($L121&lt;&gt;"",_xll.PBF($L121,"Total Debt to EBITDA","FY",$AA$21,"","EUR",""),""),"")</f>
        <v/>
      </c>
      <c r="AB121" s="1670"/>
      <c r="AC121" s="1672" t="str" cm="1">
        <f t="array" aca="1" ref="AC121" ca="1">IFERROR(IF($L121&lt;&gt;"",_xll.PBF($L121,"EV to Revenue","FY",$N$11,"","EUR",""),""),"")</f>
        <v/>
      </c>
      <c r="AD121" s="1672" t="str" cm="1">
        <f t="array" aca="1" ref="AD121" ca="1">IFERROR(IF($L121&lt;&gt;"",_xll.PBF($L121,"EV to EBITDA","FY",$AD$21,"","EUR",""),""),"")</f>
        <v/>
      </c>
      <c r="AE121" s="1672" t="str" cm="1">
        <f t="array" aca="1" ref="AE121" ca="1">IFERROR(IF($L121&lt;&gt;"",_xll.PBF($L121,"EV to EBIT","FY",$AE$21,"","EUR",""),""),"")</f>
        <v/>
      </c>
      <c r="AF121" s="1672"/>
      <c r="AG121" s="1672" t="str" cm="1">
        <f t="array" aca="1" ref="AG121" ca="1">IFERROR(IF($L121&lt;&gt;"",_xll.PBF($L121,"EV to Forward Revenue","FY",$AG$21,"","EUR",""),""),"")</f>
        <v/>
      </c>
      <c r="AH121" s="1672" t="str" cm="1">
        <f t="array" aca="1" ref="AH121" ca="1">IFERROR(IF($L121&lt;&gt;"",_xll.PBF($L121,"EV to Forward EBITDA","FY",$AH$21,"","EUR",""),""),"")</f>
        <v/>
      </c>
      <c r="AI121" s="1672" t="str" cm="1">
        <f t="array" aca="1" ref="AI121" ca="1">IFERROR(IF($L121&lt;&gt;"",_xll.PBF($L121,"EV to Forward EBIT","FY",$AI$21,"","EUR",""),""),"")</f>
        <v/>
      </c>
      <c r="AK121" s="1705"/>
      <c r="AL121" s="1693" t="str" cm="1">
        <f t="array" ref="AL121">IFERROR(IF(AK121&lt;&gt;"",_xll.PBD(AK121,"Deal Date","","EUR",""),""),"")</f>
        <v/>
      </c>
      <c r="AM121" s="1693" t="str" cm="1">
        <f t="array" ref="AM121">IFERROR(IF(AK121&lt;&gt;"",_xll.PBD(AK121,"Limit1.Deal Type 1","","EUR",""),""),"")</f>
        <v/>
      </c>
      <c r="AN121" s="1693" t="str" cm="1">
        <f t="array" ref="AN121">IFERROR(IF(AK121&lt;&gt;"",_xll.PBD(AK121,"Limit1.Company Id","","EUR",""),""),"")</f>
        <v/>
      </c>
      <c r="AO121" s="1640" t="str" cm="1">
        <f t="array" ref="AO121">IFERROR(IF(AN121&lt;&gt;"",_xll.PBD(AN121,"Name","","EUR",""),""),"")</f>
        <v/>
      </c>
      <c r="AP121" s="1640" t="str" cm="1">
        <f t="array" ref="AP121">IFERROR(IF(AN121&lt;&gt;"",_xll.PBD(AN121,"Primary Industry Code","","EUR",""),""),"")</f>
        <v/>
      </c>
      <c r="AQ121" s="1640" t="str" cm="1">
        <f t="array" ref="AQ121">IFERROR(IF(AN121&lt;&gt;"",_xll.PBD(AN121,"HQ Country","","EUR",""),""),"")</f>
        <v/>
      </c>
      <c r="AR121" s="1640" t="str" cm="1">
        <f t="array" ref="AR121">IFERROR(IF(AK121&lt;&gt;"",_xll.PBD(AK121,"Limit1.Investors Ids","","EUR",""),""),"")</f>
        <v/>
      </c>
      <c r="AS121" s="1640" t="str" cm="1">
        <f t="array" ref="AS121">IFERROR(IF(AR121&lt;&gt;"",_xll.PBD(AR121,"Name","","EUR",""),""),"")</f>
        <v/>
      </c>
      <c r="AT121" s="1640" t="str" cm="1">
        <f t="array" ref="AT121">IFERROR(IF(AR121&lt;&gt;"",_xll.PBD(AR121,"Primary Industry Code","","EUR",""),""),"")</f>
        <v/>
      </c>
      <c r="AU121" s="1640" t="str" cm="1">
        <f t="array" ref="AU121">IFERROR(IF(AR121&lt;&gt;"",_xll.PBD(AR121,"Limit2.Entity Types","","EUR",""),""),"")</f>
        <v/>
      </c>
      <c r="AV121" s="1640" t="str" cm="1">
        <f t="array" ref="AV121">IFERROR(IF(AR121&lt;&gt;"",_xll.PBD(AR121,"HQ Country","","EUR",""),""),"")</f>
        <v/>
      </c>
      <c r="AX121" s="1641" t="str" cm="1">
        <f t="array" ref="AX121">IFERROR(IF(AK121&lt;&gt;"",_xll.PBD(AK121,"Limit1.Deal Amount","","EUR","")/1000000,""),"")</f>
        <v/>
      </c>
      <c r="AY121" s="1641" t="str" cm="1">
        <f t="array" ref="AY121">IFERROR(IF(AK121&lt;&gt;"",_xll.PBD(AK121,"Limit1.Implied EV ","","EUR","")/1000000,""),"")</f>
        <v/>
      </c>
      <c r="AZ121" s="1694" t="str" cm="1">
        <f t="array" ref="AZ121">IFERROR(IF(AK121&lt;&gt;"",_xll.PBD(AK121,"Limit1.% Acquired ","","EUR",""),""),"")</f>
        <v/>
      </c>
      <c r="BB121" s="1695" t="str" cm="1">
        <f t="array" ref="BB121">IFERROR(IF(AK121&lt;&gt;"",_xll.PBD(AK121,"Implied EV / Revenue","","EUR",""),""),"")</f>
        <v/>
      </c>
      <c r="BC121" s="1695" t="str" cm="1">
        <f t="array" ref="BC121">IFERROR(IF(AK121&lt;&gt;"",_xll.PBD(AK121,"Implied EV / EBITDA","","EUR",""),""),"")</f>
        <v/>
      </c>
      <c r="BD121" s="1695" t="str" cm="1">
        <f t="array" ref="BD121">IFERROR(IF(AK121&lt;&gt;"",_xll.PBD(AK121,"Implied EV / EBIT","","EUR",""),""),"")</f>
        <v/>
      </c>
      <c r="BF121" s="1640" t="str" cm="1">
        <f t="array" ref="BF121">IFERROR(IF(AR121&lt;&gt;"",_xll.PBD(AR121,"Brief Description","","EUR",""),""),"")</f>
        <v/>
      </c>
    </row>
    <row r="122" spans="12:58" ht="13.9" customHeight="1">
      <c r="L122" s="1705"/>
      <c r="N122" s="1640" t="str" cm="1">
        <f t="array" ref="N122">IFERROR(IF($L122&lt;&gt;"",_xll.PBD($L122,"Name","","USD",""),""),"")</f>
        <v/>
      </c>
      <c r="O122" s="1640" t="str" cm="1">
        <f t="array" ref="O122">IFERROR(IF($L122&lt;&gt;"",_xll.PBD($L122,"Primary Industry Code","","",""),""),"")</f>
        <v/>
      </c>
      <c r="P122" s="1640" t="str" cm="1">
        <f t="array" ref="P122">IFERROR(IF($L122&lt;&gt;"",_xll.PBD($L122,"HQ Country","","",""),""),"")</f>
        <v/>
      </c>
      <c r="Q122" s="1640" t="str" cm="1">
        <f t="array" ref="Q122">IFERROR(IF($L122&lt;&gt;"",_xll.PBD($L122,"HQ City","","EUR",""),""),"")</f>
        <v/>
      </c>
      <c r="S122" s="1666" t="str" cm="1">
        <f t="array" aca="1" ref="S122" ca="1">IFERROR(IF($L122&lt;&gt;"",_xll.PBF($L122,"EV","TTM",$N$11,"","EUR","")/1000000,""),"")</f>
        <v/>
      </c>
      <c r="T122" s="1666" t="str" cm="1">
        <f t="array" aca="1" ref="T122" ca="1">IFERROR(IF($L122&lt;&gt;"",_xll.PBF($L122,"NET Debt","TTM",$N$11,"","EUR","")/1000000,""),"")</f>
        <v/>
      </c>
      <c r="U122" s="1666" t="str" cm="1">
        <f t="array" aca="1" ref="U122" ca="1">IFERROR(IF($L122&lt;&gt;"",_xll.PBF($L122,"Market Cap","TTM",$N$11,"","EUR","")/1000000,""),"")</f>
        <v/>
      </c>
      <c r="V122" s="1677" t="str" cm="1">
        <f t="array" aca="1" ref="V122" ca="1">IFERROR(IF($L122&lt;&gt;"",_xll.PBF($L122,"Total Debt to Equity","TTM",$V$21,"","EUR",""),""),"")</f>
        <v/>
      </c>
      <c r="W122" s="1677"/>
      <c r="X122" s="1666" t="str" cm="1">
        <f t="array" aca="1" ref="X122" ca="1">IFERROR(IF($L122&lt;&gt;"",_xll.PBF($L122,"Total Revenue","FY",$X$21,"","EUR","")/1000000,""),"")</f>
        <v/>
      </c>
      <c r="Y122" s="1666" t="str" cm="1">
        <f t="array" aca="1" ref="Y122" ca="1">IFERROR(IF($L122&lt;&gt;"",_xll.PBF($L122,"EBITDA","FY",$N$11,"","EUR","")/1000000,""),"")</f>
        <v/>
      </c>
      <c r="Z122" s="1666" t="str" cm="1">
        <f t="array" aca="1" ref="Z122" ca="1">IFERROR(IF($L122&lt;&gt;"",_xll.PBF($L122,"EBIT","FY",$N$11,"","EUR","")/1000000,""),"")</f>
        <v/>
      </c>
      <c r="AA122" s="1670"/>
      <c r="AB122" s="1670"/>
      <c r="AC122" s="1672" t="str" cm="1">
        <f t="array" aca="1" ref="AC122" ca="1">IFERROR(IF($L122&lt;&gt;"",_xll.PBF($L122,"EV to Revenue","FY",$N$11,"","EUR",""),""),"")</f>
        <v/>
      </c>
      <c r="AD122" s="1672" t="str" cm="1">
        <f t="array" aca="1" ref="AD122" ca="1">IFERROR(IF($L122&lt;&gt;"",_xll.PBF($L122,"EV to EBITDA","FY",$AD$21,"","EUR",""),""),"")</f>
        <v/>
      </c>
      <c r="AE122" s="1672" t="str" cm="1">
        <f t="array" aca="1" ref="AE122" ca="1">IFERROR(IF($L122&lt;&gt;"",_xll.PBF($L122,"EV to EBIT","FY",$AE$21,"","EUR",""),""),"")</f>
        <v/>
      </c>
      <c r="AF122" s="1672"/>
      <c r="AG122" s="1672" t="str" cm="1">
        <f t="array" aca="1" ref="AG122" ca="1">IFERROR(IF($L122&lt;&gt;"",_xll.PBF($L122,"EV to Forward Revenue","FY",$AG$21,"","EUR",""),""),"")</f>
        <v/>
      </c>
      <c r="AH122" s="1672" t="str" cm="1">
        <f t="array" aca="1" ref="AH122" ca="1">IFERROR(IF($L122&lt;&gt;"",_xll.PBF($L122,"EV to Forward EBITDA","FY",$AH$21,"","EUR",""),""),"")</f>
        <v/>
      </c>
      <c r="AI122" s="1672" t="str" cm="1">
        <f t="array" aca="1" ref="AI122" ca="1">IFERROR(IF($L122&lt;&gt;"",_xll.PBF($L122,"EV to Forward EBIT","FY",$AI$21,"","EUR",""),""),"")</f>
        <v/>
      </c>
      <c r="AK122" s="1706"/>
      <c r="AL122" s="1696"/>
      <c r="AM122" s="1696"/>
      <c r="AN122" s="1696"/>
      <c r="AO122" s="1696"/>
      <c r="AP122" s="1696"/>
      <c r="AQ122" s="1696"/>
      <c r="AR122" s="1696"/>
      <c r="AS122" s="1696"/>
      <c r="AT122" s="1696"/>
      <c r="AU122" s="1696"/>
      <c r="AV122" s="1696" t="str" cm="1">
        <f t="array" ref="AV122">IFERROR(IF(AR122&lt;&gt;"",_xll.PBD(AR122,"HQ Country","","EUR",""),""),"")</f>
        <v/>
      </c>
      <c r="AW122" s="1696"/>
      <c r="AX122" s="1696"/>
      <c r="AY122" s="1696"/>
      <c r="AZ122" s="1696"/>
      <c r="BA122" s="1696"/>
      <c r="BB122" s="1696"/>
      <c r="BC122" s="1696"/>
      <c r="BD122" s="1696"/>
      <c r="BF122" s="1640" t="str" cm="1">
        <f t="array" ref="BF122">IFERROR(IF(AR122&lt;&gt;"",_xll.PBD(AR122,"Brief Description","","EUR",""),""),"")</f>
        <v/>
      </c>
    </row>
    <row r="123" spans="12:58">
      <c r="L123" s="1636"/>
      <c r="M123" s="451"/>
      <c r="N123" s="1645" t="str" cm="1">
        <f t="array" ref="N123">IFERROR(IF($L123&lt;&gt;"",_xll.PBD($L123,"Name","","USD",""),""),"")</f>
        <v/>
      </c>
      <c r="O123" s="1645" t="str" cm="1">
        <f t="array" ref="O123">IFERROR(IF($L123&lt;&gt;"",_xll.PBD($L123,"Primary Industry Code","","",""),""),"")</f>
        <v/>
      </c>
      <c r="P123" s="1645" t="str" cm="1">
        <f t="array" ref="P123">IFERROR(IF($L123&lt;&gt;"",_xll.PBD($L123,"HQ Country","","",""),""),"")</f>
        <v/>
      </c>
      <c r="Q123" s="1645" t="str" cm="1">
        <f t="array" ref="Q123">IFERROR(IF($L123&lt;&gt;"",_xll.PBD($L123,"HQ City","","EUR",""),""),"")</f>
        <v/>
      </c>
      <c r="R123" s="1645" t="str" cm="1">
        <f t="array" ref="R123">IFERROR(IF($L123&lt;&gt;"",_xll.PBD($L123,"HQ City","","EUR",""),""),"")</f>
        <v/>
      </c>
      <c r="S123" s="1652" t="str" cm="1">
        <f t="array" aca="1" ref="S123" ca="1">IFERROR(IF($L123&lt;&gt;"",_xll.PBF($L123,"EV","TTM",$N$11,"","EUR","")/1000000,""),"")</f>
        <v/>
      </c>
      <c r="T123" s="1652" t="str" cm="1">
        <f t="array" aca="1" ref="T123" ca="1">IFERROR(IF($L123&lt;&gt;"",_xll.PBF($L123,"NET Debt","TTM",$N$11,"","EUR","")/1000000,""),"")</f>
        <v/>
      </c>
      <c r="U123" s="1652" t="str" cm="1">
        <f t="array" aca="1" ref="U123" ca="1">IFERROR(IF($L123&lt;&gt;"",_xll.PBF($L123,"Market Cap","TTM",$N$11,"","EUR","")/1000000,""),"")</f>
        <v/>
      </c>
      <c r="V123" s="1652"/>
      <c r="W123" s="1652"/>
      <c r="X123" s="1652" t="str" cm="1">
        <f t="array" aca="1" ref="X123" ca="1">IFERROR(IF($L123&lt;&gt;"",_xll.PBF($L123,"Total Revenue","FY",$X$21,"","EUR","")/1000000,""),"")</f>
        <v/>
      </c>
      <c r="Y123" s="1652" t="str" cm="1">
        <f t="array" aca="1" ref="Y123" ca="1">IFERROR(IF($L123&lt;&gt;"",_xll.PBF($L123,"EBITDA","FY",$N$11,"","EUR","")/1000000,""),"")</f>
        <v/>
      </c>
      <c r="Z123" s="1652" t="str" cm="1">
        <f t="array" aca="1" ref="Z123" ca="1">IFERROR(IF($L123&lt;&gt;"",_xll.PBF($L123,"EBIT","FY",$N$11,"","EUR","")/1000000,""),"")</f>
        <v/>
      </c>
      <c r="AA123" s="1646"/>
      <c r="AB123" s="1646"/>
      <c r="AC123" s="1648" t="str" cm="1">
        <f t="array" aca="1" ref="AC123" ca="1">IFERROR(IF($L123&lt;&gt;"",_xll.PBF($L123,"EV to Revenue","FY",$N$11,"","EUR",""),""),"")</f>
        <v/>
      </c>
      <c r="AD123" s="1648" t="str" cm="1">
        <f t="array" aca="1" ref="AD123" ca="1">IFERROR(IF($L123&lt;&gt;"",_xll.PBF($L123,"EV to EBITDA","FY",$AD$21,"","EUR",""),""),"")</f>
        <v/>
      </c>
      <c r="AE123" s="1648" t="str" cm="1">
        <f t="array" aca="1" ref="AE123" ca="1">IFERROR(IF($L123&lt;&gt;"",_xll.PBF($L123,"EV to EBIT","FY",$AE$21,"","EUR",""),""),"")</f>
        <v/>
      </c>
      <c r="AF123" s="1648"/>
      <c r="AG123" s="1648" t="str" cm="1">
        <f t="array" aca="1" ref="AG123" ca="1">IFERROR(IF($L123&lt;&gt;"",_xll.PBF($L123,"EV to Forward Revenue","FY",$AG$21,"","EUR",""),""),"")</f>
        <v/>
      </c>
      <c r="AH123" s="1648" t="str" cm="1">
        <f t="array" aca="1" ref="AH123" ca="1">IFERROR(IF($L123&lt;&gt;"",_xll.PBF($L123,"EV to Forward EBITDA","FY",$AH$21,"","EUR",""),""),"")</f>
        <v/>
      </c>
      <c r="AI123" s="1648" t="str" cm="1">
        <f t="array" aca="1" ref="AI123" ca="1">IFERROR(IF($L123&lt;&gt;"",_xll.PBF($L123,"EV to Forward EBIT","FY",$AI$21,"","EUR",""),""),"")</f>
        <v/>
      </c>
    </row>
    <row r="124" spans="12:58" ht="22.15" customHeight="1">
      <c r="L124" s="1921" t="s">
        <v>578</v>
      </c>
      <c r="M124" s="1921"/>
      <c r="N124" s="1921"/>
      <c r="O124" s="1921"/>
      <c r="P124" s="1921"/>
      <c r="Q124" s="1921"/>
      <c r="R124" s="1921"/>
      <c r="S124" s="1921"/>
      <c r="T124" s="1921"/>
      <c r="U124" s="1921"/>
      <c r="V124" s="1921"/>
      <c r="W124" s="1921"/>
      <c r="X124" s="1921"/>
      <c r="Y124" s="1921"/>
      <c r="Z124" s="1921"/>
      <c r="AA124" s="1921"/>
      <c r="AB124" s="1921"/>
      <c r="AC124" s="1921"/>
      <c r="AD124" s="1921"/>
      <c r="AE124" s="1921"/>
      <c r="AF124" s="1921"/>
      <c r="AG124" s="1921"/>
      <c r="AH124" s="1921"/>
      <c r="AI124" s="1921"/>
    </row>
    <row r="125" spans="12:58">
      <c r="L125" s="1576" t="s">
        <v>579</v>
      </c>
      <c r="M125" s="1640"/>
      <c r="N125" s="1582">
        <v>180</v>
      </c>
      <c r="O125" s="1650"/>
      <c r="P125" s="1650"/>
      <c r="Q125" s="1650"/>
      <c r="R125" s="1650"/>
      <c r="S125" s="1653"/>
      <c r="T125" s="1653"/>
      <c r="U125" s="1653"/>
      <c r="V125" s="1653"/>
      <c r="W125" s="1653"/>
      <c r="X125" s="1653"/>
      <c r="Y125" s="1653"/>
      <c r="Z125" s="1653"/>
      <c r="AA125" s="1651"/>
      <c r="AB125" s="1651"/>
      <c r="AC125" s="1656"/>
      <c r="AD125" s="1656"/>
      <c r="AE125" s="1656"/>
      <c r="AF125" s="1656"/>
      <c r="AG125" s="1656"/>
      <c r="AH125" s="1656"/>
      <c r="AI125" s="1656"/>
    </row>
    <row r="126" spans="12:58">
      <c r="L126" s="1576" t="s">
        <v>34</v>
      </c>
      <c r="M126" s="1640"/>
      <c r="N126" s="1582" t="s">
        <v>580</v>
      </c>
      <c r="O126" s="1661" t="s">
        <v>581</v>
      </c>
      <c r="P126" s="1708" t="str">
        <f>N126&amp;" ("&amp;O126&amp;")"</f>
        <v>EV to EBITDA (TTM)</v>
      </c>
      <c r="Q126" s="1650"/>
      <c r="R126" s="1650"/>
      <c r="S126" s="1653"/>
      <c r="T126" s="1653"/>
      <c r="U126" s="1653"/>
      <c r="V126" s="1653"/>
      <c r="W126" s="1653"/>
      <c r="X126" s="1653"/>
      <c r="Y126" s="1653"/>
      <c r="Z126" s="1653"/>
      <c r="AA126" s="1651"/>
      <c r="AB126" s="1651"/>
      <c r="AC126" s="1656"/>
      <c r="AD126" s="1656"/>
      <c r="AE126" s="1656"/>
      <c r="AF126" s="1656"/>
      <c r="AG126" s="1656"/>
      <c r="AH126" s="1656"/>
      <c r="AI126" s="1656"/>
    </row>
    <row r="127" spans="12:58">
      <c r="L127" s="1576" t="s">
        <v>506</v>
      </c>
      <c r="N127" s="1686">
        <f ca="1">TODAY()</f>
        <v>46040</v>
      </c>
      <c r="O127" s="1686">
        <f ca="1">N127-$N$125</f>
        <v>45860</v>
      </c>
      <c r="P127" s="1686">
        <f t="shared" ref="P127:AI127" ca="1" si="30">O127-$N$125</f>
        <v>45680</v>
      </c>
      <c r="Q127" s="1686">
        <f t="shared" ca="1" si="30"/>
        <v>45500</v>
      </c>
      <c r="R127" s="1686">
        <f t="shared" ca="1" si="30"/>
        <v>45320</v>
      </c>
      <c r="S127" s="1686">
        <f t="shared" ca="1" si="30"/>
        <v>45140</v>
      </c>
      <c r="T127" s="1686">
        <f t="shared" ca="1" si="30"/>
        <v>44960</v>
      </c>
      <c r="U127" s="1686">
        <f t="shared" ca="1" si="30"/>
        <v>44780</v>
      </c>
      <c r="V127" s="1686">
        <f t="shared" ca="1" si="30"/>
        <v>44600</v>
      </c>
      <c r="W127" s="1686">
        <f t="shared" ca="1" si="30"/>
        <v>44420</v>
      </c>
      <c r="X127" s="1686">
        <f t="shared" ca="1" si="30"/>
        <v>44240</v>
      </c>
      <c r="Y127" s="1686">
        <f t="shared" ca="1" si="30"/>
        <v>44060</v>
      </c>
      <c r="Z127" s="1686">
        <f t="shared" ca="1" si="30"/>
        <v>43880</v>
      </c>
      <c r="AA127" s="1686">
        <f t="shared" ca="1" si="30"/>
        <v>43700</v>
      </c>
      <c r="AB127" s="1686">
        <f t="shared" ca="1" si="30"/>
        <v>43520</v>
      </c>
      <c r="AC127" s="1686">
        <f t="shared" ca="1" si="30"/>
        <v>43340</v>
      </c>
      <c r="AD127" s="1686">
        <f t="shared" ca="1" si="30"/>
        <v>43160</v>
      </c>
      <c r="AE127" s="1686">
        <f t="shared" ca="1" si="30"/>
        <v>42980</v>
      </c>
      <c r="AF127" s="1686">
        <f t="shared" ca="1" si="30"/>
        <v>42800</v>
      </c>
      <c r="AG127" s="1686">
        <f t="shared" ca="1" si="30"/>
        <v>42620</v>
      </c>
      <c r="AH127" s="1686">
        <f t="shared" ca="1" si="30"/>
        <v>42440</v>
      </c>
      <c r="AI127" s="1686">
        <f t="shared" ca="1" si="30"/>
        <v>42260</v>
      </c>
    </row>
    <row r="128" spans="12:58">
      <c r="L128" s="1576" t="s">
        <v>144</v>
      </c>
      <c r="N128" s="1687" t="e">
        <f ca="1">MEDIAN(N130:N229)</f>
        <v>#NUM!</v>
      </c>
      <c r="O128" s="1687" t="e">
        <f t="shared" ref="O128:AI128" ca="1" si="31">MEDIAN(O130:O229)</f>
        <v>#NUM!</v>
      </c>
      <c r="P128" s="1687" t="e">
        <f t="shared" ca="1" si="31"/>
        <v>#NUM!</v>
      </c>
      <c r="Q128" s="1687" t="e">
        <f t="shared" ca="1" si="31"/>
        <v>#NUM!</v>
      </c>
      <c r="R128" s="1687" t="e">
        <f t="shared" ca="1" si="31"/>
        <v>#NUM!</v>
      </c>
      <c r="S128" s="1687" t="e">
        <f t="shared" ca="1" si="31"/>
        <v>#NUM!</v>
      </c>
      <c r="T128" s="1687" t="e">
        <f t="shared" ca="1" si="31"/>
        <v>#NUM!</v>
      </c>
      <c r="U128" s="1687" t="e">
        <f t="shared" ca="1" si="31"/>
        <v>#NUM!</v>
      </c>
      <c r="V128" s="1687" t="e">
        <f t="shared" ca="1" si="31"/>
        <v>#NUM!</v>
      </c>
      <c r="W128" s="1687" t="e">
        <f t="shared" ca="1" si="31"/>
        <v>#NUM!</v>
      </c>
      <c r="X128" s="1687" t="e">
        <f t="shared" ca="1" si="31"/>
        <v>#NUM!</v>
      </c>
      <c r="Y128" s="1687" t="e">
        <f t="shared" ca="1" si="31"/>
        <v>#NUM!</v>
      </c>
      <c r="Z128" s="1687" t="e">
        <f t="shared" ca="1" si="31"/>
        <v>#NUM!</v>
      </c>
      <c r="AA128" s="1687" t="e">
        <f t="shared" ca="1" si="31"/>
        <v>#NUM!</v>
      </c>
      <c r="AB128" s="1687" t="e">
        <f t="shared" ca="1" si="31"/>
        <v>#NUM!</v>
      </c>
      <c r="AC128" s="1687" t="e">
        <f t="shared" ca="1" si="31"/>
        <v>#NUM!</v>
      </c>
      <c r="AD128" s="1687" t="e">
        <f t="shared" ca="1" si="31"/>
        <v>#NUM!</v>
      </c>
      <c r="AE128" s="1687" t="e">
        <f t="shared" ca="1" si="31"/>
        <v>#NUM!</v>
      </c>
      <c r="AF128" s="1687" t="e">
        <f t="shared" ca="1" si="31"/>
        <v>#NUM!</v>
      </c>
      <c r="AG128" s="1687" t="e">
        <f t="shared" ca="1" si="31"/>
        <v>#NUM!</v>
      </c>
      <c r="AH128" s="1687" t="e">
        <f t="shared" ca="1" si="31"/>
        <v>#NUM!</v>
      </c>
      <c r="AI128" s="1687" t="e">
        <f t="shared" ca="1" si="31"/>
        <v>#NUM!</v>
      </c>
    </row>
    <row r="129" spans="5:35">
      <c r="L129" s="451" t="str">
        <f>IF(L22="","",L22)</f>
        <v/>
      </c>
      <c r="M129" s="451"/>
      <c r="N129" s="1688"/>
      <c r="O129" s="1688"/>
      <c r="P129" s="1688"/>
      <c r="Q129" s="1688"/>
      <c r="R129" s="1688"/>
      <c r="S129" s="1688"/>
      <c r="T129" s="1688"/>
      <c r="U129" s="1688"/>
      <c r="V129" s="1688"/>
      <c r="W129" s="1688"/>
      <c r="X129" s="1688"/>
      <c r="Y129" s="1688"/>
      <c r="Z129" s="1688"/>
      <c r="AA129" s="1688"/>
      <c r="AB129" s="1688"/>
      <c r="AC129" s="1688"/>
      <c r="AD129" s="1688"/>
      <c r="AE129" s="1688"/>
      <c r="AF129" s="1688"/>
      <c r="AG129" s="1688"/>
      <c r="AH129" s="1688"/>
      <c r="AI129" s="1688"/>
    </row>
    <row r="130" spans="5:35">
      <c r="L130" s="438" t="str">
        <f t="shared" ref="L130:L193" si="32">IF(L23="","",L23)</f>
        <v>111959-20</v>
      </c>
      <c r="N130" s="1687" t="str" cm="1">
        <f t="array" aca="1" ref="N130" ca="1">IFERROR(IF($L130&lt;&gt;"",_xll.PBF($L130,$N$126,$O$126,N$127,"","EUR","r"),""),"")</f>
        <v/>
      </c>
      <c r="O130" s="1687" t="str" cm="1">
        <f t="array" aca="1" ref="O130" ca="1">IFERROR(IF($L130&lt;&gt;"",_xll.PBF($L130,$N$126,$O$126,O$127,"","EUR","r"),""),"")</f>
        <v/>
      </c>
      <c r="P130" s="1687" t="str" cm="1">
        <f t="array" aca="1" ref="P130" ca="1">IFERROR(IF($L130&lt;&gt;"",_xll.PBF($L130,$N$126,$O$126,P$127,"","EUR","r"),""),"")</f>
        <v/>
      </c>
      <c r="Q130" s="1687" t="str" cm="1">
        <f t="array" aca="1" ref="Q130" ca="1">IFERROR(IF($L130&lt;&gt;"",_xll.PBF($L130,$N$126,$O$126,Q$127,"","EUR","r"),""),"")</f>
        <v/>
      </c>
      <c r="R130" s="1687" t="str" cm="1">
        <f t="array" aca="1" ref="R130" ca="1">IFERROR(IF($L130&lt;&gt;"",_xll.PBF($L130,$N$126,$O$126,R$127,"","EUR","r"),""),"")</f>
        <v/>
      </c>
      <c r="S130" s="1687" t="str" cm="1">
        <f t="array" aca="1" ref="S130" ca="1">IFERROR(IF($L130&lt;&gt;"",_xll.PBF($L130,$N$126,$O$126,S$127,"","EUR","r"),""),"")</f>
        <v/>
      </c>
      <c r="T130" s="1687" t="str" cm="1">
        <f t="array" aca="1" ref="T130" ca="1">IFERROR(IF($L130&lt;&gt;"",_xll.PBF($L130,$N$126,$O$126,T$127,"","EUR","r"),""),"")</f>
        <v/>
      </c>
      <c r="U130" s="1687" t="str" cm="1">
        <f t="array" aca="1" ref="U130" ca="1">IFERROR(IF($L130&lt;&gt;"",_xll.PBF($L130,$N$126,$O$126,U$127,"","EUR","r"),""),"")</f>
        <v/>
      </c>
      <c r="V130" s="1687" t="str" cm="1">
        <f t="array" aca="1" ref="V130" ca="1">IFERROR(IF($L130&lt;&gt;"",_xll.PBF($L130,$N$126,$O$126,V$127,"","EUR","r"),""),"")</f>
        <v/>
      </c>
      <c r="W130" s="1687" t="str" cm="1">
        <f t="array" aca="1" ref="W130" ca="1">IFERROR(IF($L130&lt;&gt;"",_xll.PBF($L130,$N$126,$O$126,W$127,"","EUR","r"),""),"")</f>
        <v/>
      </c>
      <c r="X130" s="1687" t="str" cm="1">
        <f t="array" aca="1" ref="X130" ca="1">IFERROR(IF($L130&lt;&gt;"",_xll.PBF($L130,$N$126,$O$126,X$127,"","EUR","r"),""),"")</f>
        <v/>
      </c>
      <c r="Y130" s="1687" t="str" cm="1">
        <f t="array" aca="1" ref="Y130" ca="1">IFERROR(IF($L130&lt;&gt;"",_xll.PBF($L130,$N$126,$O$126,Y$127,"","EUR","r"),""),"")</f>
        <v/>
      </c>
      <c r="Z130" s="1687" t="str" cm="1">
        <f t="array" aca="1" ref="Z130" ca="1">IFERROR(IF($L130&lt;&gt;"",_xll.PBF($L130,$N$126,$O$126,Z$127,"","EUR","r"),""),"")</f>
        <v/>
      </c>
      <c r="AA130" s="1687" t="str" cm="1">
        <f t="array" aca="1" ref="AA130" ca="1">IFERROR(IF($L130&lt;&gt;"",_xll.PBF($L130,$N$126,$O$126,AA$127,"","EUR","r"),""),"")</f>
        <v/>
      </c>
      <c r="AB130" s="1687" t="str" cm="1">
        <f t="array" aca="1" ref="AB130" ca="1">IFERROR(IF($L130&lt;&gt;"",_xll.PBF($L130,$N$126,$O$126,AB$127,"","EUR","r"),""),"")</f>
        <v/>
      </c>
      <c r="AC130" s="1687" t="str" cm="1">
        <f t="array" aca="1" ref="AC130" ca="1">IFERROR(IF($L130&lt;&gt;"",_xll.PBF($L130,$N$126,$O$126,AC$127,"","EUR","r"),""),"")</f>
        <v/>
      </c>
      <c r="AD130" s="1687" t="str" cm="1">
        <f t="array" aca="1" ref="AD130" ca="1">IFERROR(IF($L130&lt;&gt;"",_xll.PBF($L130,$N$126,$O$126,AD$127,"","EUR","r"),""),"")</f>
        <v/>
      </c>
      <c r="AE130" s="1687" t="str" cm="1">
        <f t="array" aca="1" ref="AE130" ca="1">IFERROR(IF($L130&lt;&gt;"",_xll.PBF($L130,$N$126,$O$126,AE$127,"","EUR","r"),""),"")</f>
        <v/>
      </c>
      <c r="AF130" s="1687" t="str" cm="1">
        <f t="array" aca="1" ref="AF130" ca="1">IFERROR(IF($L130&lt;&gt;"",_xll.PBF($L130,$N$126,$O$126,AF$127,"","EUR","r"),""),"")</f>
        <v/>
      </c>
      <c r="AG130" s="1687" t="str" cm="1">
        <f t="array" aca="1" ref="AG130" ca="1">IFERROR(IF($L130&lt;&gt;"",_xll.PBF($L130,$N$126,$O$126,AG$127,"","EUR","r"),""),"")</f>
        <v/>
      </c>
      <c r="AH130" s="1687" t="str" cm="1">
        <f t="array" aca="1" ref="AH130" ca="1">IFERROR(IF($L130&lt;&gt;"",_xll.PBF($L130,$N$126,$O$126,AH$127,"","EUR","r"),""),"")</f>
        <v/>
      </c>
      <c r="AI130" s="1687" t="str" cm="1">
        <f t="array" aca="1" ref="AI130" ca="1">IFERROR(IF($L130&lt;&gt;"",_xll.PBF($L130,$N$126,$O$126,AI$127,"","EUR","r"),""),"")</f>
        <v/>
      </c>
    </row>
    <row r="131" spans="5:35">
      <c r="L131" s="438" t="str">
        <f t="shared" si="32"/>
        <v>53309-53</v>
      </c>
      <c r="N131" s="1687" t="str" cm="1">
        <f t="array" aca="1" ref="N131" ca="1">IFERROR(IF($L131&lt;&gt;"",_xll.PBF($L131,$N$126,$O$126,N$127,"","EUR","r"),""),"")</f>
        <v/>
      </c>
      <c r="O131" s="1687" t="str" cm="1">
        <f t="array" aca="1" ref="O131" ca="1">IFERROR(IF($L131&lt;&gt;"",_xll.PBF($L131,$N$126,$O$126,O$127,"","EUR","r"),""),"")</f>
        <v/>
      </c>
      <c r="P131" s="1687" t="str" cm="1">
        <f t="array" aca="1" ref="P131" ca="1">IFERROR(IF($L131&lt;&gt;"",_xll.PBF($L131,$N$126,$O$126,P$127,"","EUR","r"),""),"")</f>
        <v/>
      </c>
      <c r="Q131" s="1687" t="str" cm="1">
        <f t="array" aca="1" ref="Q131" ca="1">IFERROR(IF($L131&lt;&gt;"",_xll.PBF($L131,$N$126,$O$126,Q$127,"","EUR","r"),""),"")</f>
        <v/>
      </c>
      <c r="R131" s="1687" t="str" cm="1">
        <f t="array" aca="1" ref="R131" ca="1">IFERROR(IF($L131&lt;&gt;"",_xll.PBF($L131,$N$126,$O$126,R$127,"","EUR","r"),""),"")</f>
        <v/>
      </c>
      <c r="S131" s="1687" t="str" cm="1">
        <f t="array" aca="1" ref="S131" ca="1">IFERROR(IF($L131&lt;&gt;"",_xll.PBF($L131,$N$126,$O$126,S$127,"","EUR","r"),""),"")</f>
        <v/>
      </c>
      <c r="T131" s="1687" t="str" cm="1">
        <f t="array" aca="1" ref="T131" ca="1">IFERROR(IF($L131&lt;&gt;"",_xll.PBF($L131,$N$126,$O$126,T$127,"","EUR","r"),""),"")</f>
        <v/>
      </c>
      <c r="U131" s="1687" t="str" cm="1">
        <f t="array" aca="1" ref="U131" ca="1">IFERROR(IF($L131&lt;&gt;"",_xll.PBF($L131,$N$126,$O$126,U$127,"","EUR","r"),""),"")</f>
        <v/>
      </c>
      <c r="V131" s="1687" t="str" cm="1">
        <f t="array" aca="1" ref="V131" ca="1">IFERROR(IF($L131&lt;&gt;"",_xll.PBF($L131,$N$126,$O$126,V$127,"","EUR","r"),""),"")</f>
        <v/>
      </c>
      <c r="W131" s="1687" t="str" cm="1">
        <f t="array" aca="1" ref="W131" ca="1">IFERROR(IF($L131&lt;&gt;"",_xll.PBF($L131,$N$126,$O$126,W$127,"","EUR","r"),""),"")</f>
        <v/>
      </c>
      <c r="X131" s="1687" t="str" cm="1">
        <f t="array" aca="1" ref="X131" ca="1">IFERROR(IF($L131&lt;&gt;"",_xll.PBF($L131,$N$126,$O$126,X$127,"","EUR","r"),""),"")</f>
        <v/>
      </c>
      <c r="Y131" s="1687" t="str" cm="1">
        <f t="array" aca="1" ref="Y131" ca="1">IFERROR(IF($L131&lt;&gt;"",_xll.PBF($L131,$N$126,$O$126,Y$127,"","EUR","r"),""),"")</f>
        <v/>
      </c>
      <c r="Z131" s="1687" t="str" cm="1">
        <f t="array" aca="1" ref="Z131" ca="1">IFERROR(IF($L131&lt;&gt;"",_xll.PBF($L131,$N$126,$O$126,Z$127,"","EUR","r"),""),"")</f>
        <v/>
      </c>
      <c r="AA131" s="1687" t="str" cm="1">
        <f t="array" aca="1" ref="AA131" ca="1">IFERROR(IF($L131&lt;&gt;"",_xll.PBF($L131,$N$126,$O$126,AA$127,"","EUR","r"),""),"")</f>
        <v/>
      </c>
      <c r="AB131" s="1687" t="str" cm="1">
        <f t="array" aca="1" ref="AB131" ca="1">IFERROR(IF($L131&lt;&gt;"",_xll.PBF($L131,$N$126,$O$126,AB$127,"","EUR","r"),""),"")</f>
        <v/>
      </c>
      <c r="AC131" s="1687" t="str" cm="1">
        <f t="array" aca="1" ref="AC131" ca="1">IFERROR(IF($L131&lt;&gt;"",_xll.PBF($L131,$N$126,$O$126,AC$127,"","EUR","r"),""),"")</f>
        <v/>
      </c>
      <c r="AD131" s="1687" t="str" cm="1">
        <f t="array" aca="1" ref="AD131" ca="1">IFERROR(IF($L131&lt;&gt;"",_xll.PBF($L131,$N$126,$O$126,AD$127,"","EUR","r"),""),"")</f>
        <v/>
      </c>
      <c r="AE131" s="1687" t="str" cm="1">
        <f t="array" aca="1" ref="AE131" ca="1">IFERROR(IF($L131&lt;&gt;"",_xll.PBF($L131,$N$126,$O$126,AE$127,"","EUR","r"),""),"")</f>
        <v/>
      </c>
      <c r="AF131" s="1687" t="str" cm="1">
        <f t="array" aca="1" ref="AF131" ca="1">IFERROR(IF($L131&lt;&gt;"",_xll.PBF($L131,$N$126,$O$126,AF$127,"","EUR","r"),""),"")</f>
        <v/>
      </c>
      <c r="AG131" s="1687" t="str" cm="1">
        <f t="array" aca="1" ref="AG131" ca="1">IFERROR(IF($L131&lt;&gt;"",_xll.PBF($L131,$N$126,$O$126,AG$127,"","EUR","r"),""),"")</f>
        <v/>
      </c>
      <c r="AH131" s="1687" t="str" cm="1">
        <f t="array" aca="1" ref="AH131" ca="1">IFERROR(IF($L131&lt;&gt;"",_xll.PBF($L131,$N$126,$O$126,AH$127,"","EUR","r"),""),"")</f>
        <v/>
      </c>
      <c r="AI131" s="1687" t="str" cm="1">
        <f t="array" aca="1" ref="AI131" ca="1">IFERROR(IF($L131&lt;&gt;"",_xll.PBF($L131,$N$126,$O$126,AI$127,"","EUR","r"),""),"")</f>
        <v/>
      </c>
    </row>
    <row r="132" spans="5:35">
      <c r="L132" s="438" t="str">
        <f t="shared" si="32"/>
        <v>50560-03</v>
      </c>
      <c r="N132" s="1687" t="str" cm="1">
        <f t="array" aca="1" ref="N132" ca="1">IFERROR(IF($L132&lt;&gt;"",_xll.PBF($L132,$N$126,$O$126,N$127,"","EUR","r"),""),"")</f>
        <v/>
      </c>
      <c r="O132" s="1687" t="str" cm="1">
        <f t="array" aca="1" ref="O132" ca="1">IFERROR(IF($L132&lt;&gt;"",_xll.PBF($L132,$N$126,$O$126,O$127,"","EUR","r"),""),"")</f>
        <v/>
      </c>
      <c r="P132" s="1687" t="str" cm="1">
        <f t="array" aca="1" ref="P132" ca="1">IFERROR(IF($L132&lt;&gt;"",_xll.PBF($L132,$N$126,$O$126,P$127,"","EUR","r"),""),"")</f>
        <v/>
      </c>
      <c r="Q132" s="1687" t="str" cm="1">
        <f t="array" aca="1" ref="Q132" ca="1">IFERROR(IF($L132&lt;&gt;"",_xll.PBF($L132,$N$126,$O$126,Q$127,"","EUR","r"),""),"")</f>
        <v/>
      </c>
      <c r="R132" s="1687" t="str" cm="1">
        <f t="array" aca="1" ref="R132" ca="1">IFERROR(IF($L132&lt;&gt;"",_xll.PBF($L132,$N$126,$O$126,R$127,"","EUR","r"),""),"")</f>
        <v/>
      </c>
      <c r="S132" s="1687" t="str" cm="1">
        <f t="array" aca="1" ref="S132" ca="1">IFERROR(IF($L132&lt;&gt;"",_xll.PBF($L132,$N$126,$O$126,S$127,"","EUR","r"),""),"")</f>
        <v/>
      </c>
      <c r="T132" s="1687" t="str" cm="1">
        <f t="array" aca="1" ref="T132" ca="1">IFERROR(IF($L132&lt;&gt;"",_xll.PBF($L132,$N$126,$O$126,T$127,"","EUR","r"),""),"")</f>
        <v/>
      </c>
      <c r="U132" s="1687" t="str" cm="1">
        <f t="array" aca="1" ref="U132" ca="1">IFERROR(IF($L132&lt;&gt;"",_xll.PBF($L132,$N$126,$O$126,U$127,"","EUR","r"),""),"")</f>
        <v/>
      </c>
      <c r="V132" s="1687" t="str" cm="1">
        <f t="array" aca="1" ref="V132" ca="1">IFERROR(IF($L132&lt;&gt;"",_xll.PBF($L132,$N$126,$O$126,V$127,"","EUR","r"),""),"")</f>
        <v/>
      </c>
      <c r="W132" s="1687" t="str" cm="1">
        <f t="array" aca="1" ref="W132" ca="1">IFERROR(IF($L132&lt;&gt;"",_xll.PBF($L132,$N$126,$O$126,W$127,"","EUR","r"),""),"")</f>
        <v/>
      </c>
      <c r="X132" s="1687" t="str" cm="1">
        <f t="array" aca="1" ref="X132" ca="1">IFERROR(IF($L132&lt;&gt;"",_xll.PBF($L132,$N$126,$O$126,X$127,"","EUR","r"),""),"")</f>
        <v/>
      </c>
      <c r="Y132" s="1687" t="str" cm="1">
        <f t="array" aca="1" ref="Y132" ca="1">IFERROR(IF($L132&lt;&gt;"",_xll.PBF($L132,$N$126,$O$126,Y$127,"","EUR","r"),""),"")</f>
        <v/>
      </c>
      <c r="Z132" s="1687" t="str" cm="1">
        <f t="array" aca="1" ref="Z132" ca="1">IFERROR(IF($L132&lt;&gt;"",_xll.PBF($L132,$N$126,$O$126,Z$127,"","EUR","r"),""),"")</f>
        <v/>
      </c>
      <c r="AA132" s="1687" t="str" cm="1">
        <f t="array" aca="1" ref="AA132" ca="1">IFERROR(IF($L132&lt;&gt;"",_xll.PBF($L132,$N$126,$O$126,AA$127,"","EUR","r"),""),"")</f>
        <v/>
      </c>
      <c r="AB132" s="1687" t="str" cm="1">
        <f t="array" aca="1" ref="AB132" ca="1">IFERROR(IF($L132&lt;&gt;"",_xll.PBF($L132,$N$126,$O$126,AB$127,"","EUR","r"),""),"")</f>
        <v/>
      </c>
      <c r="AC132" s="1687" t="str" cm="1">
        <f t="array" aca="1" ref="AC132" ca="1">IFERROR(IF($L132&lt;&gt;"",_xll.PBF($L132,$N$126,$O$126,AC$127,"","EUR","r"),""),"")</f>
        <v/>
      </c>
      <c r="AD132" s="1687" t="str" cm="1">
        <f t="array" aca="1" ref="AD132" ca="1">IFERROR(IF($L132&lt;&gt;"",_xll.PBF($L132,$N$126,$O$126,AD$127,"","EUR","r"),""),"")</f>
        <v/>
      </c>
      <c r="AE132" s="1687" t="str" cm="1">
        <f t="array" aca="1" ref="AE132" ca="1">IFERROR(IF($L132&lt;&gt;"",_xll.PBF($L132,$N$126,$O$126,AE$127,"","EUR","r"),""),"")</f>
        <v/>
      </c>
      <c r="AF132" s="1687" t="str" cm="1">
        <f t="array" aca="1" ref="AF132" ca="1">IFERROR(IF($L132&lt;&gt;"",_xll.PBF($L132,$N$126,$O$126,AF$127,"","EUR","r"),""),"")</f>
        <v/>
      </c>
      <c r="AG132" s="1687" t="str" cm="1">
        <f t="array" aca="1" ref="AG132" ca="1">IFERROR(IF($L132&lt;&gt;"",_xll.PBF($L132,$N$126,$O$126,AG$127,"","EUR","r"),""),"")</f>
        <v/>
      </c>
      <c r="AH132" s="1687" t="str" cm="1">
        <f t="array" aca="1" ref="AH132" ca="1">IFERROR(IF($L132&lt;&gt;"",_xll.PBF($L132,$N$126,$O$126,AH$127,"","EUR","r"),""),"")</f>
        <v/>
      </c>
      <c r="AI132" s="1687" t="str" cm="1">
        <f t="array" aca="1" ref="AI132" ca="1">IFERROR(IF($L132&lt;&gt;"",_xll.PBF($L132,$N$126,$O$126,AI$127,"","EUR","r"),""),"")</f>
        <v/>
      </c>
    </row>
    <row r="133" spans="5:35">
      <c r="L133" s="438" t="str">
        <f t="shared" si="32"/>
        <v>59583-25</v>
      </c>
      <c r="N133" s="1687" t="str" cm="1">
        <f t="array" aca="1" ref="N133" ca="1">IFERROR(IF($L133&lt;&gt;"",_xll.PBF($L133,$N$126,$O$126,N$127,"","EUR","r"),""),"")</f>
        <v/>
      </c>
      <c r="O133" s="1687" t="str" cm="1">
        <f t="array" aca="1" ref="O133" ca="1">IFERROR(IF($L133&lt;&gt;"",_xll.PBF($L133,$N$126,$O$126,O$127,"","EUR","r"),""),"")</f>
        <v/>
      </c>
      <c r="P133" s="1687" t="str" cm="1">
        <f t="array" aca="1" ref="P133" ca="1">IFERROR(IF($L133&lt;&gt;"",_xll.PBF($L133,$N$126,$O$126,P$127,"","EUR","r"),""),"")</f>
        <v/>
      </c>
      <c r="Q133" s="1687" t="str" cm="1">
        <f t="array" aca="1" ref="Q133" ca="1">IFERROR(IF($L133&lt;&gt;"",_xll.PBF($L133,$N$126,$O$126,Q$127,"","EUR","r"),""),"")</f>
        <v/>
      </c>
      <c r="R133" s="1687" t="str" cm="1">
        <f t="array" aca="1" ref="R133" ca="1">IFERROR(IF($L133&lt;&gt;"",_xll.PBF($L133,$N$126,$O$126,R$127,"","EUR","r"),""),"")</f>
        <v/>
      </c>
      <c r="S133" s="1687" t="str" cm="1">
        <f t="array" aca="1" ref="S133" ca="1">IFERROR(IF($L133&lt;&gt;"",_xll.PBF($L133,$N$126,$O$126,S$127,"","EUR","r"),""),"")</f>
        <v/>
      </c>
      <c r="T133" s="1687" t="str" cm="1">
        <f t="array" aca="1" ref="T133" ca="1">IFERROR(IF($L133&lt;&gt;"",_xll.PBF($L133,$N$126,$O$126,T$127,"","EUR","r"),""),"")</f>
        <v/>
      </c>
      <c r="U133" s="1687" t="str" cm="1">
        <f t="array" aca="1" ref="U133" ca="1">IFERROR(IF($L133&lt;&gt;"",_xll.PBF($L133,$N$126,$O$126,U$127,"","EUR","r"),""),"")</f>
        <v/>
      </c>
      <c r="V133" s="1687" t="str" cm="1">
        <f t="array" aca="1" ref="V133" ca="1">IFERROR(IF($L133&lt;&gt;"",_xll.PBF($L133,$N$126,$O$126,V$127,"","EUR","r"),""),"")</f>
        <v/>
      </c>
      <c r="W133" s="1687" t="str" cm="1">
        <f t="array" aca="1" ref="W133" ca="1">IFERROR(IF($L133&lt;&gt;"",_xll.PBF($L133,$N$126,$O$126,W$127,"","EUR","r"),""),"")</f>
        <v/>
      </c>
      <c r="X133" s="1687" t="str" cm="1">
        <f t="array" aca="1" ref="X133" ca="1">IFERROR(IF($L133&lt;&gt;"",_xll.PBF($L133,$N$126,$O$126,X$127,"","EUR","r"),""),"")</f>
        <v/>
      </c>
      <c r="Y133" s="1687" t="str" cm="1">
        <f t="array" aca="1" ref="Y133" ca="1">IFERROR(IF($L133&lt;&gt;"",_xll.PBF($L133,$N$126,$O$126,Y$127,"","EUR","r"),""),"")</f>
        <v/>
      </c>
      <c r="Z133" s="1687" t="str" cm="1">
        <f t="array" aca="1" ref="Z133" ca="1">IFERROR(IF($L133&lt;&gt;"",_xll.PBF($L133,$N$126,$O$126,Z$127,"","EUR","r"),""),"")</f>
        <v/>
      </c>
      <c r="AA133" s="1687" t="str" cm="1">
        <f t="array" aca="1" ref="AA133" ca="1">IFERROR(IF($L133&lt;&gt;"",_xll.PBF($L133,$N$126,$O$126,AA$127,"","EUR","r"),""),"")</f>
        <v/>
      </c>
      <c r="AB133" s="1687" t="str" cm="1">
        <f t="array" aca="1" ref="AB133" ca="1">IFERROR(IF($L133&lt;&gt;"",_xll.PBF($L133,$N$126,$O$126,AB$127,"","EUR","r"),""),"")</f>
        <v/>
      </c>
      <c r="AC133" s="1687" t="str" cm="1">
        <f t="array" aca="1" ref="AC133" ca="1">IFERROR(IF($L133&lt;&gt;"",_xll.PBF($L133,$N$126,$O$126,AC$127,"","EUR","r"),""),"")</f>
        <v/>
      </c>
      <c r="AD133" s="1687" t="str" cm="1">
        <f t="array" aca="1" ref="AD133" ca="1">IFERROR(IF($L133&lt;&gt;"",_xll.PBF($L133,$N$126,$O$126,AD$127,"","EUR","r"),""),"")</f>
        <v/>
      </c>
      <c r="AE133" s="1687" t="str" cm="1">
        <f t="array" aca="1" ref="AE133" ca="1">IFERROR(IF($L133&lt;&gt;"",_xll.PBF($L133,$N$126,$O$126,AE$127,"","EUR","r"),""),"")</f>
        <v/>
      </c>
      <c r="AF133" s="1687" t="str" cm="1">
        <f t="array" aca="1" ref="AF133" ca="1">IFERROR(IF($L133&lt;&gt;"",_xll.PBF($L133,$N$126,$O$126,AF$127,"","EUR","r"),""),"")</f>
        <v/>
      </c>
      <c r="AG133" s="1687" t="str" cm="1">
        <f t="array" aca="1" ref="AG133" ca="1">IFERROR(IF($L133&lt;&gt;"",_xll.PBF($L133,$N$126,$O$126,AG$127,"","EUR","r"),""),"")</f>
        <v/>
      </c>
      <c r="AH133" s="1687" t="str" cm="1">
        <f t="array" aca="1" ref="AH133" ca="1">IFERROR(IF($L133&lt;&gt;"",_xll.PBF($L133,$N$126,$O$126,AH$127,"","EUR","r"),""),"")</f>
        <v/>
      </c>
      <c r="AI133" s="1687" t="str" cm="1">
        <f t="array" aca="1" ref="AI133" ca="1">IFERROR(IF($L133&lt;&gt;"",_xll.PBF($L133,$N$126,$O$126,AI$127,"","EUR","r"),""),"")</f>
        <v/>
      </c>
    </row>
    <row r="134" spans="5:35">
      <c r="L134" s="438" t="str">
        <f t="shared" si="32"/>
        <v>41069-44</v>
      </c>
      <c r="N134" s="1687" t="str" cm="1">
        <f t="array" aca="1" ref="N134" ca="1">IFERROR(IF($L134&lt;&gt;"",_xll.PBF($L134,$N$126,$O$126,N$127,"","EUR","r"),""),"")</f>
        <v/>
      </c>
      <c r="O134" s="1687" t="str" cm="1">
        <f t="array" aca="1" ref="O134" ca="1">IFERROR(IF($L134&lt;&gt;"",_xll.PBF($L134,$N$126,$O$126,O$127,"","EUR","r"),""),"")</f>
        <v/>
      </c>
      <c r="P134" s="1687" t="str" cm="1">
        <f t="array" aca="1" ref="P134" ca="1">IFERROR(IF($L134&lt;&gt;"",_xll.PBF($L134,$N$126,$O$126,P$127,"","EUR","r"),""),"")</f>
        <v/>
      </c>
      <c r="Q134" s="1687" t="str" cm="1">
        <f t="array" aca="1" ref="Q134" ca="1">IFERROR(IF($L134&lt;&gt;"",_xll.PBF($L134,$N$126,$O$126,Q$127,"","EUR","r"),""),"")</f>
        <v/>
      </c>
      <c r="R134" s="1687" t="str" cm="1">
        <f t="array" aca="1" ref="R134" ca="1">IFERROR(IF($L134&lt;&gt;"",_xll.PBF($L134,$N$126,$O$126,R$127,"","EUR","r"),""),"")</f>
        <v/>
      </c>
      <c r="S134" s="1687" t="str" cm="1">
        <f t="array" aca="1" ref="S134" ca="1">IFERROR(IF($L134&lt;&gt;"",_xll.PBF($L134,$N$126,$O$126,S$127,"","EUR","r"),""),"")</f>
        <v/>
      </c>
      <c r="T134" s="1687" t="str" cm="1">
        <f t="array" aca="1" ref="T134" ca="1">IFERROR(IF($L134&lt;&gt;"",_xll.PBF($L134,$N$126,$O$126,T$127,"","EUR","r"),""),"")</f>
        <v/>
      </c>
      <c r="U134" s="1687" t="str" cm="1">
        <f t="array" aca="1" ref="U134" ca="1">IFERROR(IF($L134&lt;&gt;"",_xll.PBF($L134,$N$126,$O$126,U$127,"","EUR","r"),""),"")</f>
        <v/>
      </c>
      <c r="V134" s="1687" t="str" cm="1">
        <f t="array" aca="1" ref="V134" ca="1">IFERROR(IF($L134&lt;&gt;"",_xll.PBF($L134,$N$126,$O$126,V$127,"","EUR","r"),""),"")</f>
        <v/>
      </c>
      <c r="W134" s="1687" t="str" cm="1">
        <f t="array" aca="1" ref="W134" ca="1">IFERROR(IF($L134&lt;&gt;"",_xll.PBF($L134,$N$126,$O$126,W$127,"","EUR","r"),""),"")</f>
        <v/>
      </c>
      <c r="X134" s="1687" t="str" cm="1">
        <f t="array" aca="1" ref="X134" ca="1">IFERROR(IF($L134&lt;&gt;"",_xll.PBF($L134,$N$126,$O$126,X$127,"","EUR","r"),""),"")</f>
        <v/>
      </c>
      <c r="Y134" s="1687" t="str" cm="1">
        <f t="array" aca="1" ref="Y134" ca="1">IFERROR(IF($L134&lt;&gt;"",_xll.PBF($L134,$N$126,$O$126,Y$127,"","EUR","r"),""),"")</f>
        <v/>
      </c>
      <c r="Z134" s="1687" t="str" cm="1">
        <f t="array" aca="1" ref="Z134" ca="1">IFERROR(IF($L134&lt;&gt;"",_xll.PBF($L134,$N$126,$O$126,Z$127,"","EUR","r"),""),"")</f>
        <v/>
      </c>
      <c r="AA134" s="1687" t="str" cm="1">
        <f t="array" aca="1" ref="AA134" ca="1">IFERROR(IF($L134&lt;&gt;"",_xll.PBF($L134,$N$126,$O$126,AA$127,"","EUR","r"),""),"")</f>
        <v/>
      </c>
      <c r="AB134" s="1687" t="str" cm="1">
        <f t="array" aca="1" ref="AB134" ca="1">IFERROR(IF($L134&lt;&gt;"",_xll.PBF($L134,$N$126,$O$126,AB$127,"","EUR","r"),""),"")</f>
        <v/>
      </c>
      <c r="AC134" s="1687" t="str" cm="1">
        <f t="array" aca="1" ref="AC134" ca="1">IFERROR(IF($L134&lt;&gt;"",_xll.PBF($L134,$N$126,$O$126,AC$127,"","EUR","r"),""),"")</f>
        <v/>
      </c>
      <c r="AD134" s="1687" t="str" cm="1">
        <f t="array" aca="1" ref="AD134" ca="1">IFERROR(IF($L134&lt;&gt;"",_xll.PBF($L134,$N$126,$O$126,AD$127,"","EUR","r"),""),"")</f>
        <v/>
      </c>
      <c r="AE134" s="1687" t="str" cm="1">
        <f t="array" aca="1" ref="AE134" ca="1">IFERROR(IF($L134&lt;&gt;"",_xll.PBF($L134,$N$126,$O$126,AE$127,"","EUR","r"),""),"")</f>
        <v/>
      </c>
      <c r="AF134" s="1687" t="str" cm="1">
        <f t="array" aca="1" ref="AF134" ca="1">IFERROR(IF($L134&lt;&gt;"",_xll.PBF($L134,$N$126,$O$126,AF$127,"","EUR","r"),""),"")</f>
        <v/>
      </c>
      <c r="AG134" s="1687" t="str" cm="1">
        <f t="array" aca="1" ref="AG134" ca="1">IFERROR(IF($L134&lt;&gt;"",_xll.PBF($L134,$N$126,$O$126,AG$127,"","EUR","r"),""),"")</f>
        <v/>
      </c>
      <c r="AH134" s="1687" t="str" cm="1">
        <f t="array" aca="1" ref="AH134" ca="1">IFERROR(IF($L134&lt;&gt;"",_xll.PBF($L134,$N$126,$O$126,AH$127,"","EUR","r"),""),"")</f>
        <v/>
      </c>
      <c r="AI134" s="1687" t="str" cm="1">
        <f t="array" aca="1" ref="AI134" ca="1">IFERROR(IF($L134&lt;&gt;"",_xll.PBF($L134,$N$126,$O$126,AI$127,"","EUR","r"),""),"")</f>
        <v/>
      </c>
    </row>
    <row r="135" spans="5:35">
      <c r="E135" s="1673"/>
      <c r="L135" s="438" t="str">
        <f t="shared" si="32"/>
        <v>509476-87</v>
      </c>
      <c r="N135" s="1687" t="str" cm="1">
        <f t="array" aca="1" ref="N135" ca="1">IFERROR(IF($L135&lt;&gt;"",_xll.PBF($L135,$N$126,$O$126,N$127,"","EUR","r"),""),"")</f>
        <v/>
      </c>
      <c r="O135" s="1687" t="str" cm="1">
        <f t="array" aca="1" ref="O135" ca="1">IFERROR(IF($L135&lt;&gt;"",_xll.PBF($L135,$N$126,$O$126,O$127,"","EUR","r"),""),"")</f>
        <v/>
      </c>
      <c r="P135" s="1687" t="str" cm="1">
        <f t="array" aca="1" ref="P135" ca="1">IFERROR(IF($L135&lt;&gt;"",_xll.PBF($L135,$N$126,$O$126,P$127,"","EUR","r"),""),"")</f>
        <v/>
      </c>
      <c r="Q135" s="1687" t="str" cm="1">
        <f t="array" aca="1" ref="Q135" ca="1">IFERROR(IF($L135&lt;&gt;"",_xll.PBF($L135,$N$126,$O$126,Q$127,"","EUR","r"),""),"")</f>
        <v/>
      </c>
      <c r="R135" s="1687" t="str" cm="1">
        <f t="array" aca="1" ref="R135" ca="1">IFERROR(IF($L135&lt;&gt;"",_xll.PBF($L135,$N$126,$O$126,R$127,"","EUR","r"),""),"")</f>
        <v/>
      </c>
      <c r="S135" s="1687" t="str" cm="1">
        <f t="array" aca="1" ref="S135" ca="1">IFERROR(IF($L135&lt;&gt;"",_xll.PBF($L135,$N$126,$O$126,S$127,"","EUR","r"),""),"")</f>
        <v/>
      </c>
      <c r="T135" s="1687" t="str" cm="1">
        <f t="array" aca="1" ref="T135" ca="1">IFERROR(IF($L135&lt;&gt;"",_xll.PBF($L135,$N$126,$O$126,T$127,"","EUR","r"),""),"")</f>
        <v/>
      </c>
      <c r="U135" s="1687" t="str" cm="1">
        <f t="array" aca="1" ref="U135" ca="1">IFERROR(IF($L135&lt;&gt;"",_xll.PBF($L135,$N$126,$O$126,U$127,"","EUR","r"),""),"")</f>
        <v/>
      </c>
      <c r="V135" s="1687" t="str" cm="1">
        <f t="array" aca="1" ref="V135" ca="1">IFERROR(IF($L135&lt;&gt;"",_xll.PBF($L135,$N$126,$O$126,V$127,"","EUR","r"),""),"")</f>
        <v/>
      </c>
      <c r="W135" s="1687" t="str" cm="1">
        <f t="array" aca="1" ref="W135" ca="1">IFERROR(IF($L135&lt;&gt;"",_xll.PBF($L135,$N$126,$O$126,W$127,"","EUR","r"),""),"")</f>
        <v/>
      </c>
      <c r="X135" s="1687" t="str" cm="1">
        <f t="array" aca="1" ref="X135" ca="1">IFERROR(IF($L135&lt;&gt;"",_xll.PBF($L135,$N$126,$O$126,X$127,"","EUR","r"),""),"")</f>
        <v/>
      </c>
      <c r="Y135" s="1687" t="str" cm="1">
        <f t="array" aca="1" ref="Y135" ca="1">IFERROR(IF($L135&lt;&gt;"",_xll.PBF($L135,$N$126,$O$126,Y$127,"","EUR","r"),""),"")</f>
        <v/>
      </c>
      <c r="Z135" s="1687" t="str" cm="1">
        <f t="array" aca="1" ref="Z135" ca="1">IFERROR(IF($L135&lt;&gt;"",_xll.PBF($L135,$N$126,$O$126,Z$127,"","EUR","r"),""),"")</f>
        <v/>
      </c>
      <c r="AA135" s="1687" t="str" cm="1">
        <f t="array" aca="1" ref="AA135" ca="1">IFERROR(IF($L135&lt;&gt;"",_xll.PBF($L135,$N$126,$O$126,AA$127,"","EUR","r"),""),"")</f>
        <v/>
      </c>
      <c r="AB135" s="1687" t="str" cm="1">
        <f t="array" aca="1" ref="AB135" ca="1">IFERROR(IF($L135&lt;&gt;"",_xll.PBF($L135,$N$126,$O$126,AB$127,"","EUR","r"),""),"")</f>
        <v/>
      </c>
      <c r="AC135" s="1687" t="str" cm="1">
        <f t="array" aca="1" ref="AC135" ca="1">IFERROR(IF($L135&lt;&gt;"",_xll.PBF($L135,$N$126,$O$126,AC$127,"","EUR","r"),""),"")</f>
        <v/>
      </c>
      <c r="AD135" s="1687" t="str" cm="1">
        <f t="array" aca="1" ref="AD135" ca="1">IFERROR(IF($L135&lt;&gt;"",_xll.PBF($L135,$N$126,$O$126,AD$127,"","EUR","r"),""),"")</f>
        <v/>
      </c>
      <c r="AE135" s="1687" t="str" cm="1">
        <f t="array" aca="1" ref="AE135" ca="1">IFERROR(IF($L135&lt;&gt;"",_xll.PBF($L135,$N$126,$O$126,AE$127,"","EUR","r"),""),"")</f>
        <v/>
      </c>
      <c r="AF135" s="1687" t="str" cm="1">
        <f t="array" aca="1" ref="AF135" ca="1">IFERROR(IF($L135&lt;&gt;"",_xll.PBF($L135,$N$126,$O$126,AF$127,"","EUR","r"),""),"")</f>
        <v/>
      </c>
      <c r="AG135" s="1687" t="str" cm="1">
        <f t="array" aca="1" ref="AG135" ca="1">IFERROR(IF($L135&lt;&gt;"",_xll.PBF($L135,$N$126,$O$126,AG$127,"","EUR","r"),""),"")</f>
        <v/>
      </c>
      <c r="AH135" s="1687" t="str" cm="1">
        <f t="array" aca="1" ref="AH135" ca="1">IFERROR(IF($L135&lt;&gt;"",_xll.PBF($L135,$N$126,$O$126,AH$127,"","EUR","r"),""),"")</f>
        <v/>
      </c>
      <c r="AI135" s="1687" t="str" cm="1">
        <f t="array" aca="1" ref="AI135" ca="1">IFERROR(IF($L135&lt;&gt;"",_xll.PBF($L135,$N$126,$O$126,AI$127,"","EUR","r"),""),"")</f>
        <v/>
      </c>
    </row>
    <row r="136" spans="5:35">
      <c r="L136" s="438" t="str">
        <f t="shared" si="32"/>
        <v>41511-61</v>
      </c>
      <c r="N136" s="1687" t="str" cm="1">
        <f t="array" aca="1" ref="N136" ca="1">IFERROR(IF($L136&lt;&gt;"",_xll.PBF($L136,$N$126,$O$126,N$127,"","EUR","r"),""),"")</f>
        <v/>
      </c>
      <c r="O136" s="1687" t="str" cm="1">
        <f t="array" aca="1" ref="O136" ca="1">IFERROR(IF($L136&lt;&gt;"",_xll.PBF($L136,$N$126,$O$126,O$127,"","EUR","r"),""),"")</f>
        <v/>
      </c>
      <c r="P136" s="1687" t="str" cm="1">
        <f t="array" aca="1" ref="P136" ca="1">IFERROR(IF($L136&lt;&gt;"",_xll.PBF($L136,$N$126,$O$126,P$127,"","EUR","r"),""),"")</f>
        <v/>
      </c>
      <c r="Q136" s="1687" t="str" cm="1">
        <f t="array" aca="1" ref="Q136" ca="1">IFERROR(IF($L136&lt;&gt;"",_xll.PBF($L136,$N$126,$O$126,Q$127,"","EUR","r"),""),"")</f>
        <v/>
      </c>
      <c r="R136" s="1687" t="str" cm="1">
        <f t="array" aca="1" ref="R136" ca="1">IFERROR(IF($L136&lt;&gt;"",_xll.PBF($L136,$N$126,$O$126,R$127,"","EUR","r"),""),"")</f>
        <v/>
      </c>
      <c r="S136" s="1687" t="str" cm="1">
        <f t="array" aca="1" ref="S136" ca="1">IFERROR(IF($L136&lt;&gt;"",_xll.PBF($L136,$N$126,$O$126,S$127,"","EUR","r"),""),"")</f>
        <v/>
      </c>
      <c r="T136" s="1687" t="str" cm="1">
        <f t="array" aca="1" ref="T136" ca="1">IFERROR(IF($L136&lt;&gt;"",_xll.PBF($L136,$N$126,$O$126,T$127,"","EUR","r"),""),"")</f>
        <v/>
      </c>
      <c r="U136" s="1687" t="str" cm="1">
        <f t="array" aca="1" ref="U136" ca="1">IFERROR(IF($L136&lt;&gt;"",_xll.PBF($L136,$N$126,$O$126,U$127,"","EUR","r"),""),"")</f>
        <v/>
      </c>
      <c r="V136" s="1687" t="str" cm="1">
        <f t="array" aca="1" ref="V136" ca="1">IFERROR(IF($L136&lt;&gt;"",_xll.PBF($L136,$N$126,$O$126,V$127,"","EUR","r"),""),"")</f>
        <v/>
      </c>
      <c r="W136" s="1687" t="str" cm="1">
        <f t="array" aca="1" ref="W136" ca="1">IFERROR(IF($L136&lt;&gt;"",_xll.PBF($L136,$N$126,$O$126,W$127,"","EUR","r"),""),"")</f>
        <v/>
      </c>
      <c r="X136" s="1687" t="str" cm="1">
        <f t="array" aca="1" ref="X136" ca="1">IFERROR(IF($L136&lt;&gt;"",_xll.PBF($L136,$N$126,$O$126,X$127,"","EUR","r"),""),"")</f>
        <v/>
      </c>
      <c r="Y136" s="1687" t="str" cm="1">
        <f t="array" aca="1" ref="Y136" ca="1">IFERROR(IF($L136&lt;&gt;"",_xll.PBF($L136,$N$126,$O$126,Y$127,"","EUR","r"),""),"")</f>
        <v/>
      </c>
      <c r="Z136" s="1687" t="str" cm="1">
        <f t="array" aca="1" ref="Z136" ca="1">IFERROR(IF($L136&lt;&gt;"",_xll.PBF($L136,$N$126,$O$126,Z$127,"","EUR","r"),""),"")</f>
        <v/>
      </c>
      <c r="AA136" s="1687" t="str" cm="1">
        <f t="array" aca="1" ref="AA136" ca="1">IFERROR(IF($L136&lt;&gt;"",_xll.PBF($L136,$N$126,$O$126,AA$127,"","EUR","r"),""),"")</f>
        <v/>
      </c>
      <c r="AB136" s="1687" t="str" cm="1">
        <f t="array" aca="1" ref="AB136" ca="1">IFERROR(IF($L136&lt;&gt;"",_xll.PBF($L136,$N$126,$O$126,AB$127,"","EUR","r"),""),"")</f>
        <v/>
      </c>
      <c r="AC136" s="1687" t="str" cm="1">
        <f t="array" aca="1" ref="AC136" ca="1">IFERROR(IF($L136&lt;&gt;"",_xll.PBF($L136,$N$126,$O$126,AC$127,"","EUR","r"),""),"")</f>
        <v/>
      </c>
      <c r="AD136" s="1687" t="str" cm="1">
        <f t="array" aca="1" ref="AD136" ca="1">IFERROR(IF($L136&lt;&gt;"",_xll.PBF($L136,$N$126,$O$126,AD$127,"","EUR","r"),""),"")</f>
        <v/>
      </c>
      <c r="AE136" s="1687" t="str" cm="1">
        <f t="array" aca="1" ref="AE136" ca="1">IFERROR(IF($L136&lt;&gt;"",_xll.PBF($L136,$N$126,$O$126,AE$127,"","EUR","r"),""),"")</f>
        <v/>
      </c>
      <c r="AF136" s="1687" t="str" cm="1">
        <f t="array" aca="1" ref="AF136" ca="1">IFERROR(IF($L136&lt;&gt;"",_xll.PBF($L136,$N$126,$O$126,AF$127,"","EUR","r"),""),"")</f>
        <v/>
      </c>
      <c r="AG136" s="1687" t="str" cm="1">
        <f t="array" aca="1" ref="AG136" ca="1">IFERROR(IF($L136&lt;&gt;"",_xll.PBF($L136,$N$126,$O$126,AG$127,"","EUR","r"),""),"")</f>
        <v/>
      </c>
      <c r="AH136" s="1687" t="str" cm="1">
        <f t="array" aca="1" ref="AH136" ca="1">IFERROR(IF($L136&lt;&gt;"",_xll.PBF($L136,$N$126,$O$126,AH$127,"","EUR","r"),""),"")</f>
        <v/>
      </c>
      <c r="AI136" s="1687" t="str" cm="1">
        <f t="array" aca="1" ref="AI136" ca="1">IFERROR(IF($L136&lt;&gt;"",_xll.PBF($L136,$N$126,$O$126,AI$127,"","EUR","r"),""),"")</f>
        <v/>
      </c>
    </row>
    <row r="137" spans="5:35">
      <c r="L137" s="438" t="str">
        <f t="shared" si="32"/>
        <v>42014-53</v>
      </c>
      <c r="N137" s="1687" t="str" cm="1">
        <f t="array" aca="1" ref="N137" ca="1">IFERROR(IF($L137&lt;&gt;"",_xll.PBF($L137,$N$126,$O$126,N$127,"","EUR","r"),""),"")</f>
        <v/>
      </c>
      <c r="O137" s="1687" t="str" cm="1">
        <f t="array" aca="1" ref="O137" ca="1">IFERROR(IF($L137&lt;&gt;"",_xll.PBF($L137,$N$126,$O$126,O$127,"","EUR","r"),""),"")</f>
        <v/>
      </c>
      <c r="P137" s="1687" t="str" cm="1">
        <f t="array" aca="1" ref="P137" ca="1">IFERROR(IF($L137&lt;&gt;"",_xll.PBF($L137,$N$126,$O$126,P$127,"","EUR","r"),""),"")</f>
        <v/>
      </c>
      <c r="Q137" s="1687" t="str" cm="1">
        <f t="array" aca="1" ref="Q137" ca="1">IFERROR(IF($L137&lt;&gt;"",_xll.PBF($L137,$N$126,$O$126,Q$127,"","EUR","r"),""),"")</f>
        <v/>
      </c>
      <c r="R137" s="1687" t="str" cm="1">
        <f t="array" aca="1" ref="R137" ca="1">IFERROR(IF($L137&lt;&gt;"",_xll.PBF($L137,$N$126,$O$126,R$127,"","EUR","r"),""),"")</f>
        <v/>
      </c>
      <c r="S137" s="1687" t="str" cm="1">
        <f t="array" aca="1" ref="S137" ca="1">IFERROR(IF($L137&lt;&gt;"",_xll.PBF($L137,$N$126,$O$126,S$127,"","EUR","r"),""),"")</f>
        <v/>
      </c>
      <c r="T137" s="1687" t="str" cm="1">
        <f t="array" aca="1" ref="T137" ca="1">IFERROR(IF($L137&lt;&gt;"",_xll.PBF($L137,$N$126,$O$126,T$127,"","EUR","r"),""),"")</f>
        <v/>
      </c>
      <c r="U137" s="1687" t="str" cm="1">
        <f t="array" aca="1" ref="U137" ca="1">IFERROR(IF($L137&lt;&gt;"",_xll.PBF($L137,$N$126,$O$126,U$127,"","EUR","r"),""),"")</f>
        <v/>
      </c>
      <c r="V137" s="1687" t="str" cm="1">
        <f t="array" aca="1" ref="V137" ca="1">IFERROR(IF($L137&lt;&gt;"",_xll.PBF($L137,$N$126,$O$126,V$127,"","EUR","r"),""),"")</f>
        <v/>
      </c>
      <c r="W137" s="1687" t="str" cm="1">
        <f t="array" aca="1" ref="W137" ca="1">IFERROR(IF($L137&lt;&gt;"",_xll.PBF($L137,$N$126,$O$126,W$127,"","EUR","r"),""),"")</f>
        <v/>
      </c>
      <c r="X137" s="1687" t="str" cm="1">
        <f t="array" aca="1" ref="X137" ca="1">IFERROR(IF($L137&lt;&gt;"",_xll.PBF($L137,$N$126,$O$126,X$127,"","EUR","r"),""),"")</f>
        <v/>
      </c>
      <c r="Y137" s="1687" t="str" cm="1">
        <f t="array" aca="1" ref="Y137" ca="1">IFERROR(IF($L137&lt;&gt;"",_xll.PBF($L137,$N$126,$O$126,Y$127,"","EUR","r"),""),"")</f>
        <v/>
      </c>
      <c r="Z137" s="1687" t="str" cm="1">
        <f t="array" aca="1" ref="Z137" ca="1">IFERROR(IF($L137&lt;&gt;"",_xll.PBF($L137,$N$126,$O$126,Z$127,"","EUR","r"),""),"")</f>
        <v/>
      </c>
      <c r="AA137" s="1687" t="str" cm="1">
        <f t="array" aca="1" ref="AA137" ca="1">IFERROR(IF($L137&lt;&gt;"",_xll.PBF($L137,$N$126,$O$126,AA$127,"","EUR","r"),""),"")</f>
        <v/>
      </c>
      <c r="AB137" s="1687" t="str" cm="1">
        <f t="array" aca="1" ref="AB137" ca="1">IFERROR(IF($L137&lt;&gt;"",_xll.PBF($L137,$N$126,$O$126,AB$127,"","EUR","r"),""),"")</f>
        <v/>
      </c>
      <c r="AC137" s="1687" t="str" cm="1">
        <f t="array" aca="1" ref="AC137" ca="1">IFERROR(IF($L137&lt;&gt;"",_xll.PBF($L137,$N$126,$O$126,AC$127,"","EUR","r"),""),"")</f>
        <v/>
      </c>
      <c r="AD137" s="1687" t="str" cm="1">
        <f t="array" aca="1" ref="AD137" ca="1">IFERROR(IF($L137&lt;&gt;"",_xll.PBF($L137,$N$126,$O$126,AD$127,"","EUR","r"),""),"")</f>
        <v/>
      </c>
      <c r="AE137" s="1687" t="str" cm="1">
        <f t="array" aca="1" ref="AE137" ca="1">IFERROR(IF($L137&lt;&gt;"",_xll.PBF($L137,$N$126,$O$126,AE$127,"","EUR","r"),""),"")</f>
        <v/>
      </c>
      <c r="AF137" s="1687" t="str" cm="1">
        <f t="array" aca="1" ref="AF137" ca="1">IFERROR(IF($L137&lt;&gt;"",_xll.PBF($L137,$N$126,$O$126,AF$127,"","EUR","r"),""),"")</f>
        <v/>
      </c>
      <c r="AG137" s="1687" t="str" cm="1">
        <f t="array" aca="1" ref="AG137" ca="1">IFERROR(IF($L137&lt;&gt;"",_xll.PBF($L137,$N$126,$O$126,AG$127,"","EUR","r"),""),"")</f>
        <v/>
      </c>
      <c r="AH137" s="1687" t="str" cm="1">
        <f t="array" aca="1" ref="AH137" ca="1">IFERROR(IF($L137&lt;&gt;"",_xll.PBF($L137,$N$126,$O$126,AH$127,"","EUR","r"),""),"")</f>
        <v/>
      </c>
      <c r="AI137" s="1687" t="str" cm="1">
        <f t="array" aca="1" ref="AI137" ca="1">IFERROR(IF($L137&lt;&gt;"",_xll.PBF($L137,$N$126,$O$126,AI$127,"","EUR","r"),""),"")</f>
        <v/>
      </c>
    </row>
    <row r="138" spans="5:35">
      <c r="L138" s="438" t="str">
        <f t="shared" si="32"/>
        <v>159785-65</v>
      </c>
      <c r="N138" s="1687" t="str" cm="1">
        <f t="array" aca="1" ref="N138" ca="1">IFERROR(IF($L138&lt;&gt;"",_xll.PBF($L138,$N$126,$O$126,N$127,"","EUR","r"),""),"")</f>
        <v/>
      </c>
      <c r="O138" s="1687" t="str" cm="1">
        <f t="array" aca="1" ref="O138" ca="1">IFERROR(IF($L138&lt;&gt;"",_xll.PBF($L138,$N$126,$O$126,O$127,"","EUR","r"),""),"")</f>
        <v/>
      </c>
      <c r="P138" s="1687" t="str" cm="1">
        <f t="array" aca="1" ref="P138" ca="1">IFERROR(IF($L138&lt;&gt;"",_xll.PBF($L138,$N$126,$O$126,P$127,"","EUR","r"),""),"")</f>
        <v/>
      </c>
      <c r="Q138" s="1687" t="str" cm="1">
        <f t="array" aca="1" ref="Q138" ca="1">IFERROR(IF($L138&lt;&gt;"",_xll.PBF($L138,$N$126,$O$126,Q$127,"","EUR","r"),""),"")</f>
        <v/>
      </c>
      <c r="R138" s="1687" t="str" cm="1">
        <f t="array" aca="1" ref="R138" ca="1">IFERROR(IF($L138&lt;&gt;"",_xll.PBF($L138,$N$126,$O$126,R$127,"","EUR","r"),""),"")</f>
        <v/>
      </c>
      <c r="S138" s="1687" t="str" cm="1">
        <f t="array" aca="1" ref="S138" ca="1">IFERROR(IF($L138&lt;&gt;"",_xll.PBF($L138,$N$126,$O$126,S$127,"","EUR","r"),""),"")</f>
        <v/>
      </c>
      <c r="T138" s="1687" t="str" cm="1">
        <f t="array" aca="1" ref="T138" ca="1">IFERROR(IF($L138&lt;&gt;"",_xll.PBF($L138,$N$126,$O$126,T$127,"","EUR","r"),""),"")</f>
        <v/>
      </c>
      <c r="U138" s="1687" t="str" cm="1">
        <f t="array" aca="1" ref="U138" ca="1">IFERROR(IF($L138&lt;&gt;"",_xll.PBF($L138,$N$126,$O$126,U$127,"","EUR","r"),""),"")</f>
        <v/>
      </c>
      <c r="V138" s="1687" t="str" cm="1">
        <f t="array" aca="1" ref="V138" ca="1">IFERROR(IF($L138&lt;&gt;"",_xll.PBF($L138,$N$126,$O$126,V$127,"","EUR","r"),""),"")</f>
        <v/>
      </c>
      <c r="W138" s="1687" t="str" cm="1">
        <f t="array" aca="1" ref="W138" ca="1">IFERROR(IF($L138&lt;&gt;"",_xll.PBF($L138,$N$126,$O$126,W$127,"","EUR","r"),""),"")</f>
        <v/>
      </c>
      <c r="X138" s="1687" t="str" cm="1">
        <f t="array" aca="1" ref="X138" ca="1">IFERROR(IF($L138&lt;&gt;"",_xll.PBF($L138,$N$126,$O$126,X$127,"","EUR","r"),""),"")</f>
        <v/>
      </c>
      <c r="Y138" s="1687" t="str" cm="1">
        <f t="array" aca="1" ref="Y138" ca="1">IFERROR(IF($L138&lt;&gt;"",_xll.PBF($L138,$N$126,$O$126,Y$127,"","EUR","r"),""),"")</f>
        <v/>
      </c>
      <c r="Z138" s="1687" t="str" cm="1">
        <f t="array" aca="1" ref="Z138" ca="1">IFERROR(IF($L138&lt;&gt;"",_xll.PBF($L138,$N$126,$O$126,Z$127,"","EUR","r"),""),"")</f>
        <v/>
      </c>
      <c r="AA138" s="1687" t="str" cm="1">
        <f t="array" aca="1" ref="AA138" ca="1">IFERROR(IF($L138&lt;&gt;"",_xll.PBF($L138,$N$126,$O$126,AA$127,"","EUR","r"),""),"")</f>
        <v/>
      </c>
      <c r="AB138" s="1687" t="str" cm="1">
        <f t="array" aca="1" ref="AB138" ca="1">IFERROR(IF($L138&lt;&gt;"",_xll.PBF($L138,$N$126,$O$126,AB$127,"","EUR","r"),""),"")</f>
        <v/>
      </c>
      <c r="AC138" s="1687" t="str" cm="1">
        <f t="array" aca="1" ref="AC138" ca="1">IFERROR(IF($L138&lt;&gt;"",_xll.PBF($L138,$N$126,$O$126,AC$127,"","EUR","r"),""),"")</f>
        <v/>
      </c>
      <c r="AD138" s="1687" t="str" cm="1">
        <f t="array" aca="1" ref="AD138" ca="1">IFERROR(IF($L138&lt;&gt;"",_xll.PBF($L138,$N$126,$O$126,AD$127,"","EUR","r"),""),"")</f>
        <v/>
      </c>
      <c r="AE138" s="1687" t="str" cm="1">
        <f t="array" aca="1" ref="AE138" ca="1">IFERROR(IF($L138&lt;&gt;"",_xll.PBF($L138,$N$126,$O$126,AE$127,"","EUR","r"),""),"")</f>
        <v/>
      </c>
      <c r="AF138" s="1687" t="str" cm="1">
        <f t="array" aca="1" ref="AF138" ca="1">IFERROR(IF($L138&lt;&gt;"",_xll.PBF($L138,$N$126,$O$126,AF$127,"","EUR","r"),""),"")</f>
        <v/>
      </c>
      <c r="AG138" s="1687" t="str" cm="1">
        <f t="array" aca="1" ref="AG138" ca="1">IFERROR(IF($L138&lt;&gt;"",_xll.PBF($L138,$N$126,$O$126,AG$127,"","EUR","r"),""),"")</f>
        <v/>
      </c>
      <c r="AH138" s="1687" t="str" cm="1">
        <f t="array" aca="1" ref="AH138" ca="1">IFERROR(IF($L138&lt;&gt;"",_xll.PBF($L138,$N$126,$O$126,AH$127,"","EUR","r"),""),"")</f>
        <v/>
      </c>
      <c r="AI138" s="1687" t="str" cm="1">
        <f t="array" aca="1" ref="AI138" ca="1">IFERROR(IF($L138&lt;&gt;"",_xll.PBF($L138,$N$126,$O$126,AI$127,"","EUR","r"),""),"")</f>
        <v/>
      </c>
    </row>
    <row r="139" spans="5:35">
      <c r="L139" s="438" t="str">
        <f t="shared" ref="L139:L150" si="33">IF(L32="","",L32)</f>
        <v>11613-97</v>
      </c>
      <c r="N139" s="1687" t="str" cm="1">
        <f t="array" aca="1" ref="N139" ca="1">IFERROR(IF($L139&lt;&gt;"",_xll.PBF($L139,$N$126,$O$126,N$127,"","EUR","r"),""),"")</f>
        <v/>
      </c>
      <c r="O139" s="1687" t="str" cm="1">
        <f t="array" aca="1" ref="O139" ca="1">IFERROR(IF($L139&lt;&gt;"",_xll.PBF($L139,$N$126,$O$126,O$127,"","EUR","r"),""),"")</f>
        <v/>
      </c>
      <c r="P139" s="1687" t="str" cm="1">
        <f t="array" aca="1" ref="P139" ca="1">IFERROR(IF($L139&lt;&gt;"",_xll.PBF($L139,$N$126,$O$126,P$127,"","EUR","r"),""),"")</f>
        <v/>
      </c>
      <c r="Q139" s="1687" t="str" cm="1">
        <f t="array" aca="1" ref="Q139" ca="1">IFERROR(IF($L139&lt;&gt;"",_xll.PBF($L139,$N$126,$O$126,Q$127,"","EUR","r"),""),"")</f>
        <v/>
      </c>
      <c r="R139" s="1687" t="str" cm="1">
        <f t="array" aca="1" ref="R139" ca="1">IFERROR(IF($L139&lt;&gt;"",_xll.PBF($L139,$N$126,$O$126,R$127,"","EUR","r"),""),"")</f>
        <v/>
      </c>
      <c r="S139" s="1687" t="str" cm="1">
        <f t="array" aca="1" ref="S139" ca="1">IFERROR(IF($L139&lt;&gt;"",_xll.PBF($L139,$N$126,$O$126,S$127,"","EUR","r"),""),"")</f>
        <v/>
      </c>
      <c r="T139" s="1687" t="str" cm="1">
        <f t="array" aca="1" ref="T139" ca="1">IFERROR(IF($L139&lt;&gt;"",_xll.PBF($L139,$N$126,$O$126,T$127,"","EUR","r"),""),"")</f>
        <v/>
      </c>
      <c r="U139" s="1687" t="str" cm="1">
        <f t="array" aca="1" ref="U139" ca="1">IFERROR(IF($L139&lt;&gt;"",_xll.PBF($L139,$N$126,$O$126,U$127,"","EUR","r"),""),"")</f>
        <v/>
      </c>
      <c r="V139" s="1687" t="str" cm="1">
        <f t="array" aca="1" ref="V139" ca="1">IFERROR(IF($L139&lt;&gt;"",_xll.PBF($L139,$N$126,$O$126,V$127,"","EUR","r"),""),"")</f>
        <v/>
      </c>
      <c r="W139" s="1687" t="str" cm="1">
        <f t="array" aca="1" ref="W139" ca="1">IFERROR(IF($L139&lt;&gt;"",_xll.PBF($L139,$N$126,$O$126,W$127,"","EUR","r"),""),"")</f>
        <v/>
      </c>
      <c r="X139" s="1687" t="str" cm="1">
        <f t="array" aca="1" ref="X139" ca="1">IFERROR(IF($L139&lt;&gt;"",_xll.PBF($L139,$N$126,$O$126,X$127,"","EUR","r"),""),"")</f>
        <v/>
      </c>
      <c r="Y139" s="1687" t="str" cm="1">
        <f t="array" aca="1" ref="Y139" ca="1">IFERROR(IF($L139&lt;&gt;"",_xll.PBF($L139,$N$126,$O$126,Y$127,"","EUR","r"),""),"")</f>
        <v/>
      </c>
      <c r="Z139" s="1687" t="str" cm="1">
        <f t="array" aca="1" ref="Z139" ca="1">IFERROR(IF($L139&lt;&gt;"",_xll.PBF($L139,$N$126,$O$126,Z$127,"","EUR","r"),""),"")</f>
        <v/>
      </c>
      <c r="AA139" s="1687" t="str" cm="1">
        <f t="array" aca="1" ref="AA139" ca="1">IFERROR(IF($L139&lt;&gt;"",_xll.PBF($L139,$N$126,$O$126,AA$127,"","EUR","r"),""),"")</f>
        <v/>
      </c>
      <c r="AB139" s="1687" t="str" cm="1">
        <f t="array" aca="1" ref="AB139" ca="1">IFERROR(IF($L139&lt;&gt;"",_xll.PBF($L139,$N$126,$O$126,AB$127,"","EUR","r"),""),"")</f>
        <v/>
      </c>
      <c r="AC139" s="1687" t="str" cm="1">
        <f t="array" aca="1" ref="AC139" ca="1">IFERROR(IF($L139&lt;&gt;"",_xll.PBF($L139,$N$126,$O$126,AC$127,"","EUR","r"),""),"")</f>
        <v/>
      </c>
      <c r="AD139" s="1687" t="str" cm="1">
        <f t="array" aca="1" ref="AD139" ca="1">IFERROR(IF($L139&lt;&gt;"",_xll.PBF($L139,$N$126,$O$126,AD$127,"","EUR","r"),""),"")</f>
        <v/>
      </c>
      <c r="AE139" s="1687" t="str" cm="1">
        <f t="array" aca="1" ref="AE139" ca="1">IFERROR(IF($L139&lt;&gt;"",_xll.PBF($L139,$N$126,$O$126,AE$127,"","EUR","r"),""),"")</f>
        <v/>
      </c>
      <c r="AF139" s="1687" t="str" cm="1">
        <f t="array" aca="1" ref="AF139" ca="1">IFERROR(IF($L139&lt;&gt;"",_xll.PBF($L139,$N$126,$O$126,AF$127,"","EUR","r"),""),"")</f>
        <v/>
      </c>
      <c r="AG139" s="1687" t="str" cm="1">
        <f t="array" aca="1" ref="AG139" ca="1">IFERROR(IF($L139&lt;&gt;"",_xll.PBF($L139,$N$126,$O$126,AG$127,"","EUR","r"),""),"")</f>
        <v/>
      </c>
      <c r="AH139" s="1687" t="str" cm="1">
        <f t="array" aca="1" ref="AH139" ca="1">IFERROR(IF($L139&lt;&gt;"",_xll.PBF($L139,$N$126,$O$126,AH$127,"","EUR","r"),""),"")</f>
        <v/>
      </c>
      <c r="AI139" s="1687" t="str" cm="1">
        <f t="array" aca="1" ref="AI139" ca="1">IFERROR(IF($L139&lt;&gt;"",_xll.PBF($L139,$N$126,$O$126,AI$127,"","EUR","r"),""),"")</f>
        <v/>
      </c>
    </row>
    <row r="140" spans="5:35">
      <c r="L140" s="438" t="str">
        <f t="shared" si="33"/>
        <v>41491-99</v>
      </c>
      <c r="N140" s="1687" t="str" cm="1">
        <f t="array" aca="1" ref="N140" ca="1">IFERROR(IF($L140&lt;&gt;"",_xll.PBF($L140,$N$126,$O$126,N$127,"","EUR","r"),""),"")</f>
        <v/>
      </c>
      <c r="O140" s="1687" t="str" cm="1">
        <f t="array" aca="1" ref="O140" ca="1">IFERROR(IF($L140&lt;&gt;"",_xll.PBF($L140,$N$126,$O$126,O$127,"","EUR","r"),""),"")</f>
        <v/>
      </c>
      <c r="P140" s="1687" t="str" cm="1">
        <f t="array" aca="1" ref="P140" ca="1">IFERROR(IF($L140&lt;&gt;"",_xll.PBF($L140,$N$126,$O$126,P$127,"","EUR","r"),""),"")</f>
        <v/>
      </c>
      <c r="Q140" s="1687" t="str" cm="1">
        <f t="array" aca="1" ref="Q140" ca="1">IFERROR(IF($L140&lt;&gt;"",_xll.PBF($L140,$N$126,$O$126,Q$127,"","EUR","r"),""),"")</f>
        <v/>
      </c>
      <c r="R140" s="1687" t="str" cm="1">
        <f t="array" aca="1" ref="R140" ca="1">IFERROR(IF($L140&lt;&gt;"",_xll.PBF($L140,$N$126,$O$126,R$127,"","EUR","r"),""),"")</f>
        <v/>
      </c>
      <c r="S140" s="1687" t="str" cm="1">
        <f t="array" aca="1" ref="S140" ca="1">IFERROR(IF($L140&lt;&gt;"",_xll.PBF($L140,$N$126,$O$126,S$127,"","EUR","r"),""),"")</f>
        <v/>
      </c>
      <c r="T140" s="1687" t="str" cm="1">
        <f t="array" aca="1" ref="T140" ca="1">IFERROR(IF($L140&lt;&gt;"",_xll.PBF($L140,$N$126,$O$126,T$127,"","EUR","r"),""),"")</f>
        <v/>
      </c>
      <c r="U140" s="1687" t="str" cm="1">
        <f t="array" aca="1" ref="U140" ca="1">IFERROR(IF($L140&lt;&gt;"",_xll.PBF($L140,$N$126,$O$126,U$127,"","EUR","r"),""),"")</f>
        <v/>
      </c>
      <c r="V140" s="1687" t="str" cm="1">
        <f t="array" aca="1" ref="V140" ca="1">IFERROR(IF($L140&lt;&gt;"",_xll.PBF($L140,$N$126,$O$126,V$127,"","EUR","r"),""),"")</f>
        <v/>
      </c>
      <c r="W140" s="1687" t="str" cm="1">
        <f t="array" aca="1" ref="W140" ca="1">IFERROR(IF($L140&lt;&gt;"",_xll.PBF($L140,$N$126,$O$126,W$127,"","EUR","r"),""),"")</f>
        <v/>
      </c>
      <c r="X140" s="1687" t="str" cm="1">
        <f t="array" aca="1" ref="X140" ca="1">IFERROR(IF($L140&lt;&gt;"",_xll.PBF($L140,$N$126,$O$126,X$127,"","EUR","r"),""),"")</f>
        <v/>
      </c>
      <c r="Y140" s="1687" t="str" cm="1">
        <f t="array" aca="1" ref="Y140" ca="1">IFERROR(IF($L140&lt;&gt;"",_xll.PBF($L140,$N$126,$O$126,Y$127,"","EUR","r"),""),"")</f>
        <v/>
      </c>
      <c r="Z140" s="1687" t="str" cm="1">
        <f t="array" aca="1" ref="Z140" ca="1">IFERROR(IF($L140&lt;&gt;"",_xll.PBF($L140,$N$126,$O$126,Z$127,"","EUR","r"),""),"")</f>
        <v/>
      </c>
      <c r="AA140" s="1687" t="str" cm="1">
        <f t="array" aca="1" ref="AA140" ca="1">IFERROR(IF($L140&lt;&gt;"",_xll.PBF($L140,$N$126,$O$126,AA$127,"","EUR","r"),""),"")</f>
        <v/>
      </c>
      <c r="AB140" s="1687" t="str" cm="1">
        <f t="array" aca="1" ref="AB140" ca="1">IFERROR(IF($L140&lt;&gt;"",_xll.PBF($L140,$N$126,$O$126,AB$127,"","EUR","r"),""),"")</f>
        <v/>
      </c>
      <c r="AC140" s="1687" t="str" cm="1">
        <f t="array" aca="1" ref="AC140" ca="1">IFERROR(IF($L140&lt;&gt;"",_xll.PBF($L140,$N$126,$O$126,AC$127,"","EUR","r"),""),"")</f>
        <v/>
      </c>
      <c r="AD140" s="1687" t="str" cm="1">
        <f t="array" aca="1" ref="AD140" ca="1">IFERROR(IF($L140&lt;&gt;"",_xll.PBF($L140,$N$126,$O$126,AD$127,"","EUR","r"),""),"")</f>
        <v/>
      </c>
      <c r="AE140" s="1687" t="str" cm="1">
        <f t="array" aca="1" ref="AE140" ca="1">IFERROR(IF($L140&lt;&gt;"",_xll.PBF($L140,$N$126,$O$126,AE$127,"","EUR","r"),""),"")</f>
        <v/>
      </c>
      <c r="AF140" s="1687" t="str" cm="1">
        <f t="array" aca="1" ref="AF140" ca="1">IFERROR(IF($L140&lt;&gt;"",_xll.PBF($L140,$N$126,$O$126,AF$127,"","EUR","r"),""),"")</f>
        <v/>
      </c>
      <c r="AG140" s="1687" t="str" cm="1">
        <f t="array" aca="1" ref="AG140" ca="1">IFERROR(IF($L140&lt;&gt;"",_xll.PBF($L140,$N$126,$O$126,AG$127,"","EUR","r"),""),"")</f>
        <v/>
      </c>
      <c r="AH140" s="1687" t="str" cm="1">
        <f t="array" aca="1" ref="AH140" ca="1">IFERROR(IF($L140&lt;&gt;"",_xll.PBF($L140,$N$126,$O$126,AH$127,"","EUR","r"),""),"")</f>
        <v/>
      </c>
      <c r="AI140" s="1687" t="str" cm="1">
        <f t="array" aca="1" ref="AI140" ca="1">IFERROR(IF($L140&lt;&gt;"",_xll.PBF($L140,$N$126,$O$126,AI$127,"","EUR","r"),""),"")</f>
        <v/>
      </c>
    </row>
    <row r="141" spans="5:35">
      <c r="L141" s="438" t="str">
        <f t="shared" si="33"/>
        <v>insert!</v>
      </c>
      <c r="N141" s="1687" t="str" cm="1">
        <f t="array" aca="1" ref="N141" ca="1">IFERROR(IF($L141&lt;&gt;"",_xll.PBF($L141,$N$126,$O$126,N$127,"","EUR","r"),""),"")</f>
        <v/>
      </c>
      <c r="O141" s="1687" t="str" cm="1">
        <f t="array" aca="1" ref="O141" ca="1">IFERROR(IF($L141&lt;&gt;"",_xll.PBF($L141,$N$126,$O$126,O$127,"","EUR","r"),""),"")</f>
        <v/>
      </c>
      <c r="P141" s="1687" t="str" cm="1">
        <f t="array" aca="1" ref="P141" ca="1">IFERROR(IF($L141&lt;&gt;"",_xll.PBF($L141,$N$126,$O$126,P$127,"","EUR","r"),""),"")</f>
        <v/>
      </c>
      <c r="Q141" s="1687" t="str" cm="1">
        <f t="array" aca="1" ref="Q141" ca="1">IFERROR(IF($L141&lt;&gt;"",_xll.PBF($L141,$N$126,$O$126,Q$127,"","EUR","r"),""),"")</f>
        <v/>
      </c>
      <c r="R141" s="1687" t="str" cm="1">
        <f t="array" aca="1" ref="R141" ca="1">IFERROR(IF($L141&lt;&gt;"",_xll.PBF($L141,$N$126,$O$126,R$127,"","EUR","r"),""),"")</f>
        <v/>
      </c>
      <c r="S141" s="1687" t="str" cm="1">
        <f t="array" aca="1" ref="S141" ca="1">IFERROR(IF($L141&lt;&gt;"",_xll.PBF($L141,$N$126,$O$126,S$127,"","EUR","r"),""),"")</f>
        <v/>
      </c>
      <c r="T141" s="1687" t="str" cm="1">
        <f t="array" aca="1" ref="T141" ca="1">IFERROR(IF($L141&lt;&gt;"",_xll.PBF($L141,$N$126,$O$126,T$127,"","EUR","r"),""),"")</f>
        <v/>
      </c>
      <c r="U141" s="1687" t="str" cm="1">
        <f t="array" aca="1" ref="U141" ca="1">IFERROR(IF($L141&lt;&gt;"",_xll.PBF($L141,$N$126,$O$126,U$127,"","EUR","r"),""),"")</f>
        <v/>
      </c>
      <c r="V141" s="1687" t="str" cm="1">
        <f t="array" aca="1" ref="V141" ca="1">IFERROR(IF($L141&lt;&gt;"",_xll.PBF($L141,$N$126,$O$126,V$127,"","EUR","r"),""),"")</f>
        <v/>
      </c>
      <c r="W141" s="1687" t="str" cm="1">
        <f t="array" aca="1" ref="W141" ca="1">IFERROR(IF($L141&lt;&gt;"",_xll.PBF($L141,$N$126,$O$126,W$127,"","EUR","r"),""),"")</f>
        <v/>
      </c>
      <c r="X141" s="1687" t="str" cm="1">
        <f t="array" aca="1" ref="X141" ca="1">IFERROR(IF($L141&lt;&gt;"",_xll.PBF($L141,$N$126,$O$126,X$127,"","EUR","r"),""),"")</f>
        <v/>
      </c>
      <c r="Y141" s="1687" t="str" cm="1">
        <f t="array" aca="1" ref="Y141" ca="1">IFERROR(IF($L141&lt;&gt;"",_xll.PBF($L141,$N$126,$O$126,Y$127,"","EUR","r"),""),"")</f>
        <v/>
      </c>
      <c r="Z141" s="1687" t="str" cm="1">
        <f t="array" aca="1" ref="Z141" ca="1">IFERROR(IF($L141&lt;&gt;"",_xll.PBF($L141,$N$126,$O$126,Z$127,"","EUR","r"),""),"")</f>
        <v/>
      </c>
      <c r="AA141" s="1687" t="str" cm="1">
        <f t="array" aca="1" ref="AA141" ca="1">IFERROR(IF($L141&lt;&gt;"",_xll.PBF($L141,$N$126,$O$126,AA$127,"","EUR","r"),""),"")</f>
        <v/>
      </c>
      <c r="AB141" s="1687" t="str" cm="1">
        <f t="array" aca="1" ref="AB141" ca="1">IFERROR(IF($L141&lt;&gt;"",_xll.PBF($L141,$N$126,$O$126,AB$127,"","EUR","r"),""),"")</f>
        <v/>
      </c>
      <c r="AC141" s="1687" t="str" cm="1">
        <f t="array" aca="1" ref="AC141" ca="1">IFERROR(IF($L141&lt;&gt;"",_xll.PBF($L141,$N$126,$O$126,AC$127,"","EUR","r"),""),"")</f>
        <v/>
      </c>
      <c r="AD141" s="1687" t="str" cm="1">
        <f t="array" aca="1" ref="AD141" ca="1">IFERROR(IF($L141&lt;&gt;"",_xll.PBF($L141,$N$126,$O$126,AD$127,"","EUR","r"),""),"")</f>
        <v/>
      </c>
      <c r="AE141" s="1687" t="str" cm="1">
        <f t="array" aca="1" ref="AE141" ca="1">IFERROR(IF($L141&lt;&gt;"",_xll.PBF($L141,$N$126,$O$126,AE$127,"","EUR","r"),""),"")</f>
        <v/>
      </c>
      <c r="AF141" s="1687" t="str" cm="1">
        <f t="array" aca="1" ref="AF141" ca="1">IFERROR(IF($L141&lt;&gt;"",_xll.PBF($L141,$N$126,$O$126,AF$127,"","EUR","r"),""),"")</f>
        <v/>
      </c>
      <c r="AG141" s="1687" t="str" cm="1">
        <f t="array" aca="1" ref="AG141" ca="1">IFERROR(IF($L141&lt;&gt;"",_xll.PBF($L141,$N$126,$O$126,AG$127,"","EUR","r"),""),"")</f>
        <v/>
      </c>
      <c r="AH141" s="1687" t="str" cm="1">
        <f t="array" aca="1" ref="AH141" ca="1">IFERROR(IF($L141&lt;&gt;"",_xll.PBF($L141,$N$126,$O$126,AH$127,"","EUR","r"),""),"")</f>
        <v/>
      </c>
      <c r="AI141" s="1687" t="str" cm="1">
        <f t="array" aca="1" ref="AI141" ca="1">IFERROR(IF($L141&lt;&gt;"",_xll.PBF($L141,$N$126,$O$126,AI$127,"","EUR","r"),""),"")</f>
        <v/>
      </c>
    </row>
    <row r="142" spans="5:35">
      <c r="L142" s="438" t="str">
        <f t="shared" si="33"/>
        <v>insert!</v>
      </c>
      <c r="N142" s="1687" t="str" cm="1">
        <f t="array" aca="1" ref="N142" ca="1">IFERROR(IF($L142&lt;&gt;"",_xll.PBF($L142,$N$126,$O$126,N$127,"","EUR","r"),""),"")</f>
        <v/>
      </c>
      <c r="O142" s="1687" t="str" cm="1">
        <f t="array" aca="1" ref="O142" ca="1">IFERROR(IF($L142&lt;&gt;"",_xll.PBF($L142,$N$126,$O$126,O$127,"","EUR","r"),""),"")</f>
        <v/>
      </c>
      <c r="P142" s="1687" t="str" cm="1">
        <f t="array" aca="1" ref="P142" ca="1">IFERROR(IF($L142&lt;&gt;"",_xll.PBF($L142,$N$126,$O$126,P$127,"","EUR","r"),""),"")</f>
        <v/>
      </c>
      <c r="Q142" s="1687" t="str" cm="1">
        <f t="array" aca="1" ref="Q142" ca="1">IFERROR(IF($L142&lt;&gt;"",_xll.PBF($L142,$N$126,$O$126,Q$127,"","EUR","r"),""),"")</f>
        <v/>
      </c>
      <c r="R142" s="1687" t="str" cm="1">
        <f t="array" aca="1" ref="R142" ca="1">IFERROR(IF($L142&lt;&gt;"",_xll.PBF($L142,$N$126,$O$126,R$127,"","EUR","r"),""),"")</f>
        <v/>
      </c>
      <c r="S142" s="1687" t="str" cm="1">
        <f t="array" aca="1" ref="S142" ca="1">IFERROR(IF($L142&lt;&gt;"",_xll.PBF($L142,$N$126,$O$126,S$127,"","EUR","r"),""),"")</f>
        <v/>
      </c>
      <c r="T142" s="1687" t="str" cm="1">
        <f t="array" aca="1" ref="T142" ca="1">IFERROR(IF($L142&lt;&gt;"",_xll.PBF($L142,$N$126,$O$126,T$127,"","EUR","r"),""),"")</f>
        <v/>
      </c>
      <c r="U142" s="1687" t="str" cm="1">
        <f t="array" aca="1" ref="U142" ca="1">IFERROR(IF($L142&lt;&gt;"",_xll.PBF($L142,$N$126,$O$126,U$127,"","EUR","r"),""),"")</f>
        <v/>
      </c>
      <c r="V142" s="1687" t="str" cm="1">
        <f t="array" aca="1" ref="V142" ca="1">IFERROR(IF($L142&lt;&gt;"",_xll.PBF($L142,$N$126,$O$126,V$127,"","EUR","r"),""),"")</f>
        <v/>
      </c>
      <c r="W142" s="1687" t="str" cm="1">
        <f t="array" aca="1" ref="W142" ca="1">IFERROR(IF($L142&lt;&gt;"",_xll.PBF($L142,$N$126,$O$126,W$127,"","EUR","r"),""),"")</f>
        <v/>
      </c>
      <c r="X142" s="1687" t="str" cm="1">
        <f t="array" aca="1" ref="X142" ca="1">IFERROR(IF($L142&lt;&gt;"",_xll.PBF($L142,$N$126,$O$126,X$127,"","EUR","r"),""),"")</f>
        <v/>
      </c>
      <c r="Y142" s="1687" t="str" cm="1">
        <f t="array" aca="1" ref="Y142" ca="1">IFERROR(IF($L142&lt;&gt;"",_xll.PBF($L142,$N$126,$O$126,Y$127,"","EUR","r"),""),"")</f>
        <v/>
      </c>
      <c r="Z142" s="1687" t="str" cm="1">
        <f t="array" aca="1" ref="Z142" ca="1">IFERROR(IF($L142&lt;&gt;"",_xll.PBF($L142,$N$126,$O$126,Z$127,"","EUR","r"),""),"")</f>
        <v/>
      </c>
      <c r="AA142" s="1687" t="str" cm="1">
        <f t="array" aca="1" ref="AA142" ca="1">IFERROR(IF($L142&lt;&gt;"",_xll.PBF($L142,$N$126,$O$126,AA$127,"","EUR","r"),""),"")</f>
        <v/>
      </c>
      <c r="AB142" s="1687" t="str" cm="1">
        <f t="array" aca="1" ref="AB142" ca="1">IFERROR(IF($L142&lt;&gt;"",_xll.PBF($L142,$N$126,$O$126,AB$127,"","EUR","r"),""),"")</f>
        <v/>
      </c>
      <c r="AC142" s="1687" t="str" cm="1">
        <f t="array" aca="1" ref="AC142" ca="1">IFERROR(IF($L142&lt;&gt;"",_xll.PBF($L142,$N$126,$O$126,AC$127,"","EUR","r"),""),"")</f>
        <v/>
      </c>
      <c r="AD142" s="1687" t="str" cm="1">
        <f t="array" aca="1" ref="AD142" ca="1">IFERROR(IF($L142&lt;&gt;"",_xll.PBF($L142,$N$126,$O$126,AD$127,"","EUR","r"),""),"")</f>
        <v/>
      </c>
      <c r="AE142" s="1687" t="str" cm="1">
        <f t="array" aca="1" ref="AE142" ca="1">IFERROR(IF($L142&lt;&gt;"",_xll.PBF($L142,$N$126,$O$126,AE$127,"","EUR","r"),""),"")</f>
        <v/>
      </c>
      <c r="AF142" s="1687" t="str" cm="1">
        <f t="array" aca="1" ref="AF142" ca="1">IFERROR(IF($L142&lt;&gt;"",_xll.PBF($L142,$N$126,$O$126,AF$127,"","EUR","r"),""),"")</f>
        <v/>
      </c>
      <c r="AG142" s="1687" t="str" cm="1">
        <f t="array" aca="1" ref="AG142" ca="1">IFERROR(IF($L142&lt;&gt;"",_xll.PBF($L142,$N$126,$O$126,AG$127,"","EUR","r"),""),"")</f>
        <v/>
      </c>
      <c r="AH142" s="1687" t="str" cm="1">
        <f t="array" aca="1" ref="AH142" ca="1">IFERROR(IF($L142&lt;&gt;"",_xll.PBF($L142,$N$126,$O$126,AH$127,"","EUR","r"),""),"")</f>
        <v/>
      </c>
      <c r="AI142" s="1687" t="str" cm="1">
        <f t="array" aca="1" ref="AI142" ca="1">IFERROR(IF($L142&lt;&gt;"",_xll.PBF($L142,$N$126,$O$126,AI$127,"","EUR","r"),""),"")</f>
        <v/>
      </c>
    </row>
    <row r="143" spans="5:35">
      <c r="L143" s="438" t="str">
        <f t="shared" si="33"/>
        <v>insert!</v>
      </c>
      <c r="N143" s="1687" t="str" cm="1">
        <f t="array" aca="1" ref="N143" ca="1">IFERROR(IF($L143&lt;&gt;"",_xll.PBF($L143,$N$126,$O$126,N$127,"","EUR","r"),""),"")</f>
        <v/>
      </c>
      <c r="O143" s="1687" t="str" cm="1">
        <f t="array" aca="1" ref="O143" ca="1">IFERROR(IF($L143&lt;&gt;"",_xll.PBF($L143,$N$126,$O$126,O$127,"","EUR","r"),""),"")</f>
        <v/>
      </c>
      <c r="P143" s="1687" t="str" cm="1">
        <f t="array" aca="1" ref="P143" ca="1">IFERROR(IF($L143&lt;&gt;"",_xll.PBF($L143,$N$126,$O$126,P$127,"","EUR","r"),""),"")</f>
        <v/>
      </c>
      <c r="Q143" s="1687" t="str" cm="1">
        <f t="array" aca="1" ref="Q143" ca="1">IFERROR(IF($L143&lt;&gt;"",_xll.PBF($L143,$N$126,$O$126,Q$127,"","EUR","r"),""),"")</f>
        <v/>
      </c>
      <c r="R143" s="1687" t="str" cm="1">
        <f t="array" aca="1" ref="R143" ca="1">IFERROR(IF($L143&lt;&gt;"",_xll.PBF($L143,$N$126,$O$126,R$127,"","EUR","r"),""),"")</f>
        <v/>
      </c>
      <c r="S143" s="1687" t="str" cm="1">
        <f t="array" aca="1" ref="S143" ca="1">IFERROR(IF($L143&lt;&gt;"",_xll.PBF($L143,$N$126,$O$126,S$127,"","EUR","r"),""),"")</f>
        <v/>
      </c>
      <c r="T143" s="1687" t="str" cm="1">
        <f t="array" aca="1" ref="T143" ca="1">IFERROR(IF($L143&lt;&gt;"",_xll.PBF($L143,$N$126,$O$126,T$127,"","EUR","r"),""),"")</f>
        <v/>
      </c>
      <c r="U143" s="1687" t="str" cm="1">
        <f t="array" aca="1" ref="U143" ca="1">IFERROR(IF($L143&lt;&gt;"",_xll.PBF($L143,$N$126,$O$126,U$127,"","EUR","r"),""),"")</f>
        <v/>
      </c>
      <c r="V143" s="1687" t="str" cm="1">
        <f t="array" aca="1" ref="V143" ca="1">IFERROR(IF($L143&lt;&gt;"",_xll.PBF($L143,$N$126,$O$126,V$127,"","EUR","r"),""),"")</f>
        <v/>
      </c>
      <c r="W143" s="1687" t="str" cm="1">
        <f t="array" aca="1" ref="W143" ca="1">IFERROR(IF($L143&lt;&gt;"",_xll.PBF($L143,$N$126,$O$126,W$127,"","EUR","r"),""),"")</f>
        <v/>
      </c>
      <c r="X143" s="1687" t="str" cm="1">
        <f t="array" aca="1" ref="X143" ca="1">IFERROR(IF($L143&lt;&gt;"",_xll.PBF($L143,$N$126,$O$126,X$127,"","EUR","r"),""),"")</f>
        <v/>
      </c>
      <c r="Y143" s="1687" t="str" cm="1">
        <f t="array" aca="1" ref="Y143" ca="1">IFERROR(IF($L143&lt;&gt;"",_xll.PBF($L143,$N$126,$O$126,Y$127,"","EUR","r"),""),"")</f>
        <v/>
      </c>
      <c r="Z143" s="1687" t="str" cm="1">
        <f t="array" aca="1" ref="Z143" ca="1">IFERROR(IF($L143&lt;&gt;"",_xll.PBF($L143,$N$126,$O$126,Z$127,"","EUR","r"),""),"")</f>
        <v/>
      </c>
      <c r="AA143" s="1687" t="str" cm="1">
        <f t="array" aca="1" ref="AA143" ca="1">IFERROR(IF($L143&lt;&gt;"",_xll.PBF($L143,$N$126,$O$126,AA$127,"","EUR","r"),""),"")</f>
        <v/>
      </c>
      <c r="AB143" s="1687" t="str" cm="1">
        <f t="array" aca="1" ref="AB143" ca="1">IFERROR(IF($L143&lt;&gt;"",_xll.PBF($L143,$N$126,$O$126,AB$127,"","EUR","r"),""),"")</f>
        <v/>
      </c>
      <c r="AC143" s="1687" t="str" cm="1">
        <f t="array" aca="1" ref="AC143" ca="1">IFERROR(IF($L143&lt;&gt;"",_xll.PBF($L143,$N$126,$O$126,AC$127,"","EUR","r"),""),"")</f>
        <v/>
      </c>
      <c r="AD143" s="1687" t="str" cm="1">
        <f t="array" aca="1" ref="AD143" ca="1">IFERROR(IF($L143&lt;&gt;"",_xll.PBF($L143,$N$126,$O$126,AD$127,"","EUR","r"),""),"")</f>
        <v/>
      </c>
      <c r="AE143" s="1687" t="str" cm="1">
        <f t="array" aca="1" ref="AE143" ca="1">IFERROR(IF($L143&lt;&gt;"",_xll.PBF($L143,$N$126,$O$126,AE$127,"","EUR","r"),""),"")</f>
        <v/>
      </c>
      <c r="AF143" s="1687" t="str" cm="1">
        <f t="array" aca="1" ref="AF143" ca="1">IFERROR(IF($L143&lt;&gt;"",_xll.PBF($L143,$N$126,$O$126,AF$127,"","EUR","r"),""),"")</f>
        <v/>
      </c>
      <c r="AG143" s="1687" t="str" cm="1">
        <f t="array" aca="1" ref="AG143" ca="1">IFERROR(IF($L143&lt;&gt;"",_xll.PBF($L143,$N$126,$O$126,AG$127,"","EUR","r"),""),"")</f>
        <v/>
      </c>
      <c r="AH143" s="1687" t="str" cm="1">
        <f t="array" aca="1" ref="AH143" ca="1">IFERROR(IF($L143&lt;&gt;"",_xll.PBF($L143,$N$126,$O$126,AH$127,"","EUR","r"),""),"")</f>
        <v/>
      </c>
      <c r="AI143" s="1687" t="str" cm="1">
        <f t="array" aca="1" ref="AI143" ca="1">IFERROR(IF($L143&lt;&gt;"",_xll.PBF($L143,$N$126,$O$126,AI$127,"","EUR","r"),""),"")</f>
        <v/>
      </c>
    </row>
    <row r="144" spans="5:35">
      <c r="L144" s="438" t="str">
        <f t="shared" si="33"/>
        <v>insert!</v>
      </c>
      <c r="N144" s="1687" t="str" cm="1">
        <f t="array" aca="1" ref="N144" ca="1">IFERROR(IF($L144&lt;&gt;"",_xll.PBF($L144,$N$126,$O$126,N$127,"","EUR","r"),""),"")</f>
        <v/>
      </c>
      <c r="O144" s="1687" t="str" cm="1">
        <f t="array" aca="1" ref="O144" ca="1">IFERROR(IF($L144&lt;&gt;"",_xll.PBF($L144,$N$126,$O$126,O$127,"","EUR","r"),""),"")</f>
        <v/>
      </c>
      <c r="P144" s="1687" t="str" cm="1">
        <f t="array" aca="1" ref="P144" ca="1">IFERROR(IF($L144&lt;&gt;"",_xll.PBF($L144,$N$126,$O$126,P$127,"","EUR","r"),""),"")</f>
        <v/>
      </c>
      <c r="Q144" s="1687" t="str" cm="1">
        <f t="array" aca="1" ref="Q144" ca="1">IFERROR(IF($L144&lt;&gt;"",_xll.PBF($L144,$N$126,$O$126,Q$127,"","EUR","r"),""),"")</f>
        <v/>
      </c>
      <c r="R144" s="1687" t="str" cm="1">
        <f t="array" aca="1" ref="R144" ca="1">IFERROR(IF($L144&lt;&gt;"",_xll.PBF($L144,$N$126,$O$126,R$127,"","EUR","r"),""),"")</f>
        <v/>
      </c>
      <c r="S144" s="1687" t="str" cm="1">
        <f t="array" aca="1" ref="S144" ca="1">IFERROR(IF($L144&lt;&gt;"",_xll.PBF($L144,$N$126,$O$126,S$127,"","EUR","r"),""),"")</f>
        <v/>
      </c>
      <c r="T144" s="1687" t="str" cm="1">
        <f t="array" aca="1" ref="T144" ca="1">IFERROR(IF($L144&lt;&gt;"",_xll.PBF($L144,$N$126,$O$126,T$127,"","EUR","r"),""),"")</f>
        <v/>
      </c>
      <c r="U144" s="1687" t="str" cm="1">
        <f t="array" aca="1" ref="U144" ca="1">IFERROR(IF($L144&lt;&gt;"",_xll.PBF($L144,$N$126,$O$126,U$127,"","EUR","r"),""),"")</f>
        <v/>
      </c>
      <c r="V144" s="1687" t="str" cm="1">
        <f t="array" aca="1" ref="V144" ca="1">IFERROR(IF($L144&lt;&gt;"",_xll.PBF($L144,$N$126,$O$126,V$127,"","EUR","r"),""),"")</f>
        <v/>
      </c>
      <c r="W144" s="1687" t="str" cm="1">
        <f t="array" aca="1" ref="W144" ca="1">IFERROR(IF($L144&lt;&gt;"",_xll.PBF($L144,$N$126,$O$126,W$127,"","EUR","r"),""),"")</f>
        <v/>
      </c>
      <c r="X144" s="1687" t="str" cm="1">
        <f t="array" aca="1" ref="X144" ca="1">IFERROR(IF($L144&lt;&gt;"",_xll.PBF($L144,$N$126,$O$126,X$127,"","EUR","r"),""),"")</f>
        <v/>
      </c>
      <c r="Y144" s="1687" t="str" cm="1">
        <f t="array" aca="1" ref="Y144" ca="1">IFERROR(IF($L144&lt;&gt;"",_xll.PBF($L144,$N$126,$O$126,Y$127,"","EUR","r"),""),"")</f>
        <v/>
      </c>
      <c r="Z144" s="1687" t="str" cm="1">
        <f t="array" aca="1" ref="Z144" ca="1">IFERROR(IF($L144&lt;&gt;"",_xll.PBF($L144,$N$126,$O$126,Z$127,"","EUR","r"),""),"")</f>
        <v/>
      </c>
      <c r="AA144" s="1687" t="str" cm="1">
        <f t="array" aca="1" ref="AA144" ca="1">IFERROR(IF($L144&lt;&gt;"",_xll.PBF($L144,$N$126,$O$126,AA$127,"","EUR","r"),""),"")</f>
        <v/>
      </c>
      <c r="AB144" s="1687" t="str" cm="1">
        <f t="array" aca="1" ref="AB144" ca="1">IFERROR(IF($L144&lt;&gt;"",_xll.PBF($L144,$N$126,$O$126,AB$127,"","EUR","r"),""),"")</f>
        <v/>
      </c>
      <c r="AC144" s="1687" t="str" cm="1">
        <f t="array" aca="1" ref="AC144" ca="1">IFERROR(IF($L144&lt;&gt;"",_xll.PBF($L144,$N$126,$O$126,AC$127,"","EUR","r"),""),"")</f>
        <v/>
      </c>
      <c r="AD144" s="1687" t="str" cm="1">
        <f t="array" aca="1" ref="AD144" ca="1">IFERROR(IF($L144&lt;&gt;"",_xll.PBF($L144,$N$126,$O$126,AD$127,"","EUR","r"),""),"")</f>
        <v/>
      </c>
      <c r="AE144" s="1687" t="str" cm="1">
        <f t="array" aca="1" ref="AE144" ca="1">IFERROR(IF($L144&lt;&gt;"",_xll.PBF($L144,$N$126,$O$126,AE$127,"","EUR","r"),""),"")</f>
        <v/>
      </c>
      <c r="AF144" s="1687" t="str" cm="1">
        <f t="array" aca="1" ref="AF144" ca="1">IFERROR(IF($L144&lt;&gt;"",_xll.PBF($L144,$N$126,$O$126,AF$127,"","EUR","r"),""),"")</f>
        <v/>
      </c>
      <c r="AG144" s="1687" t="str" cm="1">
        <f t="array" aca="1" ref="AG144" ca="1">IFERROR(IF($L144&lt;&gt;"",_xll.PBF($L144,$N$126,$O$126,AG$127,"","EUR","r"),""),"")</f>
        <v/>
      </c>
      <c r="AH144" s="1687" t="str" cm="1">
        <f t="array" aca="1" ref="AH144" ca="1">IFERROR(IF($L144&lt;&gt;"",_xll.PBF($L144,$N$126,$O$126,AH$127,"","EUR","r"),""),"")</f>
        <v/>
      </c>
      <c r="AI144" s="1687" t="str" cm="1">
        <f t="array" aca="1" ref="AI144" ca="1">IFERROR(IF($L144&lt;&gt;"",_xll.PBF($L144,$N$126,$O$126,AI$127,"","EUR","r"),""),"")</f>
        <v/>
      </c>
    </row>
    <row r="145" spans="12:35">
      <c r="L145" s="438" t="str">
        <f t="shared" si="33"/>
        <v>insert!</v>
      </c>
      <c r="N145" s="1687" t="str" cm="1">
        <f t="array" aca="1" ref="N145" ca="1">IFERROR(IF($L145&lt;&gt;"",_xll.PBF($L145,$N$126,$O$126,N$127,"","EUR","r"),""),"")</f>
        <v/>
      </c>
      <c r="O145" s="1687" t="str" cm="1">
        <f t="array" aca="1" ref="O145" ca="1">IFERROR(IF($L145&lt;&gt;"",_xll.PBF($L145,$N$126,$O$126,O$127,"","EUR","r"),""),"")</f>
        <v/>
      </c>
      <c r="P145" s="1687" t="str" cm="1">
        <f t="array" aca="1" ref="P145" ca="1">IFERROR(IF($L145&lt;&gt;"",_xll.PBF($L145,$N$126,$O$126,P$127,"","EUR","r"),""),"")</f>
        <v/>
      </c>
      <c r="Q145" s="1687" t="str" cm="1">
        <f t="array" aca="1" ref="Q145" ca="1">IFERROR(IF($L145&lt;&gt;"",_xll.PBF($L145,$N$126,$O$126,Q$127,"","EUR","r"),""),"")</f>
        <v/>
      </c>
      <c r="R145" s="1687" t="str" cm="1">
        <f t="array" aca="1" ref="R145" ca="1">IFERROR(IF($L145&lt;&gt;"",_xll.PBF($L145,$N$126,$O$126,R$127,"","EUR","r"),""),"")</f>
        <v/>
      </c>
      <c r="S145" s="1687" t="str" cm="1">
        <f t="array" aca="1" ref="S145" ca="1">IFERROR(IF($L145&lt;&gt;"",_xll.PBF($L145,$N$126,$O$126,S$127,"","EUR","r"),""),"")</f>
        <v/>
      </c>
      <c r="T145" s="1687" t="str" cm="1">
        <f t="array" aca="1" ref="T145" ca="1">IFERROR(IF($L145&lt;&gt;"",_xll.PBF($L145,$N$126,$O$126,T$127,"","EUR","r"),""),"")</f>
        <v/>
      </c>
      <c r="U145" s="1687" t="str" cm="1">
        <f t="array" aca="1" ref="U145" ca="1">IFERROR(IF($L145&lt;&gt;"",_xll.PBF($L145,$N$126,$O$126,U$127,"","EUR","r"),""),"")</f>
        <v/>
      </c>
      <c r="V145" s="1687" t="str" cm="1">
        <f t="array" aca="1" ref="V145" ca="1">IFERROR(IF($L145&lt;&gt;"",_xll.PBF($L145,$N$126,$O$126,V$127,"","EUR","r"),""),"")</f>
        <v/>
      </c>
      <c r="W145" s="1687" t="str" cm="1">
        <f t="array" aca="1" ref="W145" ca="1">IFERROR(IF($L145&lt;&gt;"",_xll.PBF($L145,$N$126,$O$126,W$127,"","EUR","r"),""),"")</f>
        <v/>
      </c>
      <c r="X145" s="1687" t="str" cm="1">
        <f t="array" aca="1" ref="X145" ca="1">IFERROR(IF($L145&lt;&gt;"",_xll.PBF($L145,$N$126,$O$126,X$127,"","EUR","r"),""),"")</f>
        <v/>
      </c>
      <c r="Y145" s="1687" t="str" cm="1">
        <f t="array" aca="1" ref="Y145" ca="1">IFERROR(IF($L145&lt;&gt;"",_xll.PBF($L145,$N$126,$O$126,Y$127,"","EUR","r"),""),"")</f>
        <v/>
      </c>
      <c r="Z145" s="1687" t="str" cm="1">
        <f t="array" aca="1" ref="Z145" ca="1">IFERROR(IF($L145&lt;&gt;"",_xll.PBF($L145,$N$126,$O$126,Z$127,"","EUR","r"),""),"")</f>
        <v/>
      </c>
      <c r="AA145" s="1687" t="str" cm="1">
        <f t="array" aca="1" ref="AA145" ca="1">IFERROR(IF($L145&lt;&gt;"",_xll.PBF($L145,$N$126,$O$126,AA$127,"","EUR","r"),""),"")</f>
        <v/>
      </c>
      <c r="AB145" s="1687" t="str" cm="1">
        <f t="array" aca="1" ref="AB145" ca="1">IFERROR(IF($L145&lt;&gt;"",_xll.PBF($L145,$N$126,$O$126,AB$127,"","EUR","r"),""),"")</f>
        <v/>
      </c>
      <c r="AC145" s="1687" t="str" cm="1">
        <f t="array" aca="1" ref="AC145" ca="1">IFERROR(IF($L145&lt;&gt;"",_xll.PBF($L145,$N$126,$O$126,AC$127,"","EUR","r"),""),"")</f>
        <v/>
      </c>
      <c r="AD145" s="1687" t="str" cm="1">
        <f t="array" aca="1" ref="AD145" ca="1">IFERROR(IF($L145&lt;&gt;"",_xll.PBF($L145,$N$126,$O$126,AD$127,"","EUR","r"),""),"")</f>
        <v/>
      </c>
      <c r="AE145" s="1687" t="str" cm="1">
        <f t="array" aca="1" ref="AE145" ca="1">IFERROR(IF($L145&lt;&gt;"",_xll.PBF($L145,$N$126,$O$126,AE$127,"","EUR","r"),""),"")</f>
        <v/>
      </c>
      <c r="AF145" s="1687" t="str" cm="1">
        <f t="array" aca="1" ref="AF145" ca="1">IFERROR(IF($L145&lt;&gt;"",_xll.PBF($L145,$N$126,$O$126,AF$127,"","EUR","r"),""),"")</f>
        <v/>
      </c>
      <c r="AG145" s="1687" t="str" cm="1">
        <f t="array" aca="1" ref="AG145" ca="1">IFERROR(IF($L145&lt;&gt;"",_xll.PBF($L145,$N$126,$O$126,AG$127,"","EUR","r"),""),"")</f>
        <v/>
      </c>
      <c r="AH145" s="1687" t="str" cm="1">
        <f t="array" aca="1" ref="AH145" ca="1">IFERROR(IF($L145&lt;&gt;"",_xll.PBF($L145,$N$126,$O$126,AH$127,"","EUR","r"),""),"")</f>
        <v/>
      </c>
      <c r="AI145" s="1687" t="str" cm="1">
        <f t="array" aca="1" ref="AI145" ca="1">IFERROR(IF($L145&lt;&gt;"",_xll.PBF($L145,$N$126,$O$126,AI$127,"","EUR","r"),""),"")</f>
        <v/>
      </c>
    </row>
    <row r="146" spans="12:35">
      <c r="L146" s="438" t="str">
        <f t="shared" si="33"/>
        <v>insert!</v>
      </c>
      <c r="N146" s="1687" t="str" cm="1">
        <f t="array" aca="1" ref="N146" ca="1">IFERROR(IF($L146&lt;&gt;"",_xll.PBF($L146,$N$126,$O$126,N$127,"","EUR","r"),""),"")</f>
        <v/>
      </c>
      <c r="O146" s="1687" t="str" cm="1">
        <f t="array" aca="1" ref="O146" ca="1">IFERROR(IF($L146&lt;&gt;"",_xll.PBF($L146,$N$126,$O$126,O$127,"","EUR","r"),""),"")</f>
        <v/>
      </c>
      <c r="P146" s="1687" t="str" cm="1">
        <f t="array" aca="1" ref="P146" ca="1">IFERROR(IF($L146&lt;&gt;"",_xll.PBF($L146,$N$126,$O$126,P$127,"","EUR","r"),""),"")</f>
        <v/>
      </c>
      <c r="Q146" s="1687" t="str" cm="1">
        <f t="array" aca="1" ref="Q146" ca="1">IFERROR(IF($L146&lt;&gt;"",_xll.PBF($L146,$N$126,$O$126,Q$127,"","EUR","r"),""),"")</f>
        <v/>
      </c>
      <c r="R146" s="1687" t="str" cm="1">
        <f t="array" aca="1" ref="R146" ca="1">IFERROR(IF($L146&lt;&gt;"",_xll.PBF($L146,$N$126,$O$126,R$127,"","EUR","r"),""),"")</f>
        <v/>
      </c>
      <c r="S146" s="1687" t="str" cm="1">
        <f t="array" aca="1" ref="S146" ca="1">IFERROR(IF($L146&lt;&gt;"",_xll.PBF($L146,$N$126,$O$126,S$127,"","EUR","r"),""),"")</f>
        <v/>
      </c>
      <c r="T146" s="1687" t="str" cm="1">
        <f t="array" aca="1" ref="T146" ca="1">IFERROR(IF($L146&lt;&gt;"",_xll.PBF($L146,$N$126,$O$126,T$127,"","EUR","r"),""),"")</f>
        <v/>
      </c>
      <c r="U146" s="1687" t="str" cm="1">
        <f t="array" aca="1" ref="U146" ca="1">IFERROR(IF($L146&lt;&gt;"",_xll.PBF($L146,$N$126,$O$126,U$127,"","EUR","r"),""),"")</f>
        <v/>
      </c>
      <c r="V146" s="1687" t="str" cm="1">
        <f t="array" aca="1" ref="V146" ca="1">IFERROR(IF($L146&lt;&gt;"",_xll.PBF($L146,$N$126,$O$126,V$127,"","EUR","r"),""),"")</f>
        <v/>
      </c>
      <c r="W146" s="1687" t="str" cm="1">
        <f t="array" aca="1" ref="W146" ca="1">IFERROR(IF($L146&lt;&gt;"",_xll.PBF($L146,$N$126,$O$126,W$127,"","EUR","r"),""),"")</f>
        <v/>
      </c>
      <c r="X146" s="1687" t="str" cm="1">
        <f t="array" aca="1" ref="X146" ca="1">IFERROR(IF($L146&lt;&gt;"",_xll.PBF($L146,$N$126,$O$126,X$127,"","EUR","r"),""),"")</f>
        <v/>
      </c>
      <c r="Y146" s="1687" t="str" cm="1">
        <f t="array" aca="1" ref="Y146" ca="1">IFERROR(IF($L146&lt;&gt;"",_xll.PBF($L146,$N$126,$O$126,Y$127,"","EUR","r"),""),"")</f>
        <v/>
      </c>
      <c r="Z146" s="1687" t="str" cm="1">
        <f t="array" aca="1" ref="Z146" ca="1">IFERROR(IF($L146&lt;&gt;"",_xll.PBF($L146,$N$126,$O$126,Z$127,"","EUR","r"),""),"")</f>
        <v/>
      </c>
      <c r="AA146" s="1687" t="str" cm="1">
        <f t="array" aca="1" ref="AA146" ca="1">IFERROR(IF($L146&lt;&gt;"",_xll.PBF($L146,$N$126,$O$126,AA$127,"","EUR","r"),""),"")</f>
        <v/>
      </c>
      <c r="AB146" s="1687" t="str" cm="1">
        <f t="array" aca="1" ref="AB146" ca="1">IFERROR(IF($L146&lt;&gt;"",_xll.PBF($L146,$N$126,$O$126,AB$127,"","EUR","r"),""),"")</f>
        <v/>
      </c>
      <c r="AC146" s="1687" t="str" cm="1">
        <f t="array" aca="1" ref="AC146" ca="1">IFERROR(IF($L146&lt;&gt;"",_xll.PBF($L146,$N$126,$O$126,AC$127,"","EUR","r"),""),"")</f>
        <v/>
      </c>
      <c r="AD146" s="1687" t="str" cm="1">
        <f t="array" aca="1" ref="AD146" ca="1">IFERROR(IF($L146&lt;&gt;"",_xll.PBF($L146,$N$126,$O$126,AD$127,"","EUR","r"),""),"")</f>
        <v/>
      </c>
      <c r="AE146" s="1687" t="str" cm="1">
        <f t="array" aca="1" ref="AE146" ca="1">IFERROR(IF($L146&lt;&gt;"",_xll.PBF($L146,$N$126,$O$126,AE$127,"","EUR","r"),""),"")</f>
        <v/>
      </c>
      <c r="AF146" s="1687" t="str" cm="1">
        <f t="array" aca="1" ref="AF146" ca="1">IFERROR(IF($L146&lt;&gt;"",_xll.PBF($L146,$N$126,$O$126,AF$127,"","EUR","r"),""),"")</f>
        <v/>
      </c>
      <c r="AG146" s="1687" t="str" cm="1">
        <f t="array" aca="1" ref="AG146" ca="1">IFERROR(IF($L146&lt;&gt;"",_xll.PBF($L146,$N$126,$O$126,AG$127,"","EUR","r"),""),"")</f>
        <v/>
      </c>
      <c r="AH146" s="1687" t="str" cm="1">
        <f t="array" aca="1" ref="AH146" ca="1">IFERROR(IF($L146&lt;&gt;"",_xll.PBF($L146,$N$126,$O$126,AH$127,"","EUR","r"),""),"")</f>
        <v/>
      </c>
      <c r="AI146" s="1687" t="str" cm="1">
        <f t="array" aca="1" ref="AI146" ca="1">IFERROR(IF($L146&lt;&gt;"",_xll.PBF($L146,$N$126,$O$126,AI$127,"","EUR","r"),""),"")</f>
        <v/>
      </c>
    </row>
    <row r="147" spans="12:35">
      <c r="L147" s="438" t="str">
        <f t="shared" si="33"/>
        <v>insert!</v>
      </c>
      <c r="N147" s="1687" t="str" cm="1">
        <f t="array" aca="1" ref="N147" ca="1">IFERROR(IF($L147&lt;&gt;"",_xll.PBF($L147,$N$126,$O$126,N$127,"","EUR","r"),""),"")</f>
        <v/>
      </c>
      <c r="O147" s="1687" t="str" cm="1">
        <f t="array" aca="1" ref="O147" ca="1">IFERROR(IF($L147&lt;&gt;"",_xll.PBF($L147,$N$126,$O$126,O$127,"","EUR","r"),""),"")</f>
        <v/>
      </c>
      <c r="P147" s="1687" t="str" cm="1">
        <f t="array" aca="1" ref="P147" ca="1">IFERROR(IF($L147&lt;&gt;"",_xll.PBF($L147,$N$126,$O$126,P$127,"","EUR","r"),""),"")</f>
        <v/>
      </c>
      <c r="Q147" s="1687" t="str" cm="1">
        <f t="array" aca="1" ref="Q147" ca="1">IFERROR(IF($L147&lt;&gt;"",_xll.PBF($L147,$N$126,$O$126,Q$127,"","EUR","r"),""),"")</f>
        <v/>
      </c>
      <c r="R147" s="1687" t="str" cm="1">
        <f t="array" aca="1" ref="R147" ca="1">IFERROR(IF($L147&lt;&gt;"",_xll.PBF($L147,$N$126,$O$126,R$127,"","EUR","r"),""),"")</f>
        <v/>
      </c>
      <c r="S147" s="1687" t="str" cm="1">
        <f t="array" aca="1" ref="S147" ca="1">IFERROR(IF($L147&lt;&gt;"",_xll.PBF($L147,$N$126,$O$126,S$127,"","EUR","r"),""),"")</f>
        <v/>
      </c>
      <c r="T147" s="1687" t="str" cm="1">
        <f t="array" aca="1" ref="T147" ca="1">IFERROR(IF($L147&lt;&gt;"",_xll.PBF($L147,$N$126,$O$126,T$127,"","EUR","r"),""),"")</f>
        <v/>
      </c>
      <c r="U147" s="1687" t="str" cm="1">
        <f t="array" aca="1" ref="U147" ca="1">IFERROR(IF($L147&lt;&gt;"",_xll.PBF($L147,$N$126,$O$126,U$127,"","EUR","r"),""),"")</f>
        <v/>
      </c>
      <c r="V147" s="1687" t="str" cm="1">
        <f t="array" aca="1" ref="V147" ca="1">IFERROR(IF($L147&lt;&gt;"",_xll.PBF($L147,$N$126,$O$126,V$127,"","EUR","r"),""),"")</f>
        <v/>
      </c>
      <c r="W147" s="1687" t="str" cm="1">
        <f t="array" aca="1" ref="W147" ca="1">IFERROR(IF($L147&lt;&gt;"",_xll.PBF($L147,$N$126,$O$126,W$127,"","EUR","r"),""),"")</f>
        <v/>
      </c>
      <c r="X147" s="1687" t="str" cm="1">
        <f t="array" aca="1" ref="X147" ca="1">IFERROR(IF($L147&lt;&gt;"",_xll.PBF($L147,$N$126,$O$126,X$127,"","EUR","r"),""),"")</f>
        <v/>
      </c>
      <c r="Y147" s="1687" t="str" cm="1">
        <f t="array" aca="1" ref="Y147" ca="1">IFERROR(IF($L147&lt;&gt;"",_xll.PBF($L147,$N$126,$O$126,Y$127,"","EUR","r"),""),"")</f>
        <v/>
      </c>
      <c r="Z147" s="1687" t="str" cm="1">
        <f t="array" aca="1" ref="Z147" ca="1">IFERROR(IF($L147&lt;&gt;"",_xll.PBF($L147,$N$126,$O$126,Z$127,"","EUR","r"),""),"")</f>
        <v/>
      </c>
      <c r="AA147" s="1687" t="str" cm="1">
        <f t="array" aca="1" ref="AA147" ca="1">IFERROR(IF($L147&lt;&gt;"",_xll.PBF($L147,$N$126,$O$126,AA$127,"","EUR","r"),""),"")</f>
        <v/>
      </c>
      <c r="AB147" s="1687" t="str" cm="1">
        <f t="array" aca="1" ref="AB147" ca="1">IFERROR(IF($L147&lt;&gt;"",_xll.PBF($L147,$N$126,$O$126,AB$127,"","EUR","r"),""),"")</f>
        <v/>
      </c>
      <c r="AC147" s="1687" t="str" cm="1">
        <f t="array" aca="1" ref="AC147" ca="1">IFERROR(IF($L147&lt;&gt;"",_xll.PBF($L147,$N$126,$O$126,AC$127,"","EUR","r"),""),"")</f>
        <v/>
      </c>
      <c r="AD147" s="1687" t="str" cm="1">
        <f t="array" aca="1" ref="AD147" ca="1">IFERROR(IF($L147&lt;&gt;"",_xll.PBF($L147,$N$126,$O$126,AD$127,"","EUR","r"),""),"")</f>
        <v/>
      </c>
      <c r="AE147" s="1687" t="str" cm="1">
        <f t="array" aca="1" ref="AE147" ca="1">IFERROR(IF($L147&lt;&gt;"",_xll.PBF($L147,$N$126,$O$126,AE$127,"","EUR","r"),""),"")</f>
        <v/>
      </c>
      <c r="AF147" s="1687" t="str" cm="1">
        <f t="array" aca="1" ref="AF147" ca="1">IFERROR(IF($L147&lt;&gt;"",_xll.PBF($L147,$N$126,$O$126,AF$127,"","EUR","r"),""),"")</f>
        <v/>
      </c>
      <c r="AG147" s="1687" t="str" cm="1">
        <f t="array" aca="1" ref="AG147" ca="1">IFERROR(IF($L147&lt;&gt;"",_xll.PBF($L147,$N$126,$O$126,AG$127,"","EUR","r"),""),"")</f>
        <v/>
      </c>
      <c r="AH147" s="1687" t="str" cm="1">
        <f t="array" aca="1" ref="AH147" ca="1">IFERROR(IF($L147&lt;&gt;"",_xll.PBF($L147,$N$126,$O$126,AH$127,"","EUR","r"),""),"")</f>
        <v/>
      </c>
      <c r="AI147" s="1687" t="str" cm="1">
        <f t="array" aca="1" ref="AI147" ca="1">IFERROR(IF($L147&lt;&gt;"",_xll.PBF($L147,$N$126,$O$126,AI$127,"","EUR","r"),""),"")</f>
        <v/>
      </c>
    </row>
    <row r="148" spans="12:35">
      <c r="L148" s="438" t="str">
        <f t="shared" si="33"/>
        <v>insert!</v>
      </c>
      <c r="N148" s="1687" t="str" cm="1">
        <f t="array" aca="1" ref="N148" ca="1">IFERROR(IF($L148&lt;&gt;"",_xll.PBF($L148,$N$126,$O$126,N$127,"","EUR","r"),""),"")</f>
        <v/>
      </c>
      <c r="O148" s="1687" t="str" cm="1">
        <f t="array" aca="1" ref="O148" ca="1">IFERROR(IF($L148&lt;&gt;"",_xll.PBF($L148,$N$126,$O$126,O$127,"","EUR","r"),""),"")</f>
        <v/>
      </c>
      <c r="P148" s="1687" t="str" cm="1">
        <f t="array" aca="1" ref="P148" ca="1">IFERROR(IF($L148&lt;&gt;"",_xll.PBF($L148,$N$126,$O$126,P$127,"","EUR","r"),""),"")</f>
        <v/>
      </c>
      <c r="Q148" s="1687" t="str" cm="1">
        <f t="array" aca="1" ref="Q148" ca="1">IFERROR(IF($L148&lt;&gt;"",_xll.PBF($L148,$N$126,$O$126,Q$127,"","EUR","r"),""),"")</f>
        <v/>
      </c>
      <c r="R148" s="1687" t="str" cm="1">
        <f t="array" aca="1" ref="R148" ca="1">IFERROR(IF($L148&lt;&gt;"",_xll.PBF($L148,$N$126,$O$126,R$127,"","EUR","r"),""),"")</f>
        <v/>
      </c>
      <c r="S148" s="1687" t="str" cm="1">
        <f t="array" aca="1" ref="S148" ca="1">IFERROR(IF($L148&lt;&gt;"",_xll.PBF($L148,$N$126,$O$126,S$127,"","EUR","r"),""),"")</f>
        <v/>
      </c>
      <c r="T148" s="1687" t="str" cm="1">
        <f t="array" aca="1" ref="T148" ca="1">IFERROR(IF($L148&lt;&gt;"",_xll.PBF($L148,$N$126,$O$126,T$127,"","EUR","r"),""),"")</f>
        <v/>
      </c>
      <c r="U148" s="1687" t="str" cm="1">
        <f t="array" aca="1" ref="U148" ca="1">IFERROR(IF($L148&lt;&gt;"",_xll.PBF($L148,$N$126,$O$126,U$127,"","EUR","r"),""),"")</f>
        <v/>
      </c>
      <c r="V148" s="1687" t="str" cm="1">
        <f t="array" aca="1" ref="V148" ca="1">IFERROR(IF($L148&lt;&gt;"",_xll.PBF($L148,$N$126,$O$126,V$127,"","EUR","r"),""),"")</f>
        <v/>
      </c>
      <c r="W148" s="1687" t="str" cm="1">
        <f t="array" aca="1" ref="W148" ca="1">IFERROR(IF($L148&lt;&gt;"",_xll.PBF($L148,$N$126,$O$126,W$127,"","EUR","r"),""),"")</f>
        <v/>
      </c>
      <c r="X148" s="1687" t="str" cm="1">
        <f t="array" aca="1" ref="X148" ca="1">IFERROR(IF($L148&lt;&gt;"",_xll.PBF($L148,$N$126,$O$126,X$127,"","EUR","r"),""),"")</f>
        <v/>
      </c>
      <c r="Y148" s="1687" t="str" cm="1">
        <f t="array" aca="1" ref="Y148" ca="1">IFERROR(IF($L148&lt;&gt;"",_xll.PBF($L148,$N$126,$O$126,Y$127,"","EUR","r"),""),"")</f>
        <v/>
      </c>
      <c r="Z148" s="1687" t="str" cm="1">
        <f t="array" aca="1" ref="Z148" ca="1">IFERROR(IF($L148&lt;&gt;"",_xll.PBF($L148,$N$126,$O$126,Z$127,"","EUR","r"),""),"")</f>
        <v/>
      </c>
      <c r="AA148" s="1687" t="str" cm="1">
        <f t="array" aca="1" ref="AA148" ca="1">IFERROR(IF($L148&lt;&gt;"",_xll.PBF($L148,$N$126,$O$126,AA$127,"","EUR","r"),""),"")</f>
        <v/>
      </c>
      <c r="AB148" s="1687" t="str" cm="1">
        <f t="array" aca="1" ref="AB148" ca="1">IFERROR(IF($L148&lt;&gt;"",_xll.PBF($L148,$N$126,$O$126,AB$127,"","EUR","r"),""),"")</f>
        <v/>
      </c>
      <c r="AC148" s="1687" t="str" cm="1">
        <f t="array" aca="1" ref="AC148" ca="1">IFERROR(IF($L148&lt;&gt;"",_xll.PBF($L148,$N$126,$O$126,AC$127,"","EUR","r"),""),"")</f>
        <v/>
      </c>
      <c r="AD148" s="1687" t="str" cm="1">
        <f t="array" aca="1" ref="AD148" ca="1">IFERROR(IF($L148&lt;&gt;"",_xll.PBF($L148,$N$126,$O$126,AD$127,"","EUR","r"),""),"")</f>
        <v/>
      </c>
      <c r="AE148" s="1687" t="str" cm="1">
        <f t="array" aca="1" ref="AE148" ca="1">IFERROR(IF($L148&lt;&gt;"",_xll.PBF($L148,$N$126,$O$126,AE$127,"","EUR","r"),""),"")</f>
        <v/>
      </c>
      <c r="AF148" s="1687" t="str" cm="1">
        <f t="array" aca="1" ref="AF148" ca="1">IFERROR(IF($L148&lt;&gt;"",_xll.PBF($L148,$N$126,$O$126,AF$127,"","EUR","r"),""),"")</f>
        <v/>
      </c>
      <c r="AG148" s="1687" t="str" cm="1">
        <f t="array" aca="1" ref="AG148" ca="1">IFERROR(IF($L148&lt;&gt;"",_xll.PBF($L148,$N$126,$O$126,AG$127,"","EUR","r"),""),"")</f>
        <v/>
      </c>
      <c r="AH148" s="1687" t="str" cm="1">
        <f t="array" aca="1" ref="AH148" ca="1">IFERROR(IF($L148&lt;&gt;"",_xll.PBF($L148,$N$126,$O$126,AH$127,"","EUR","r"),""),"")</f>
        <v/>
      </c>
      <c r="AI148" s="1687" t="str" cm="1">
        <f t="array" aca="1" ref="AI148" ca="1">IFERROR(IF($L148&lt;&gt;"",_xll.PBF($L148,$N$126,$O$126,AI$127,"","EUR","r"),""),"")</f>
        <v/>
      </c>
    </row>
    <row r="149" spans="12:35">
      <c r="L149" s="438" t="str">
        <f t="shared" si="33"/>
        <v>insert!</v>
      </c>
      <c r="N149" s="1687" t="str" cm="1">
        <f t="array" aca="1" ref="N149" ca="1">IFERROR(IF($L149&lt;&gt;"",_xll.PBF($L149,$N$126,$O$126,N$127,"","EUR","r"),""),"")</f>
        <v/>
      </c>
      <c r="O149" s="1687" t="str" cm="1">
        <f t="array" aca="1" ref="O149" ca="1">IFERROR(IF($L149&lt;&gt;"",_xll.PBF($L149,$N$126,$O$126,O$127,"","EUR","r"),""),"")</f>
        <v/>
      </c>
      <c r="P149" s="1687" t="str" cm="1">
        <f t="array" aca="1" ref="P149" ca="1">IFERROR(IF($L149&lt;&gt;"",_xll.PBF($L149,$N$126,$O$126,P$127,"","EUR","r"),""),"")</f>
        <v/>
      </c>
      <c r="Q149" s="1687" t="str" cm="1">
        <f t="array" aca="1" ref="Q149" ca="1">IFERROR(IF($L149&lt;&gt;"",_xll.PBF($L149,$N$126,$O$126,Q$127,"","EUR","r"),""),"")</f>
        <v/>
      </c>
      <c r="R149" s="1687" t="str" cm="1">
        <f t="array" aca="1" ref="R149" ca="1">IFERROR(IF($L149&lt;&gt;"",_xll.PBF($L149,$N$126,$O$126,R$127,"","EUR","r"),""),"")</f>
        <v/>
      </c>
      <c r="S149" s="1687" t="str" cm="1">
        <f t="array" aca="1" ref="S149" ca="1">IFERROR(IF($L149&lt;&gt;"",_xll.PBF($L149,$N$126,$O$126,S$127,"","EUR","r"),""),"")</f>
        <v/>
      </c>
      <c r="T149" s="1687" t="str" cm="1">
        <f t="array" aca="1" ref="T149" ca="1">IFERROR(IF($L149&lt;&gt;"",_xll.PBF($L149,$N$126,$O$126,T$127,"","EUR","r"),""),"")</f>
        <v/>
      </c>
      <c r="U149" s="1687" t="str" cm="1">
        <f t="array" aca="1" ref="U149" ca="1">IFERROR(IF($L149&lt;&gt;"",_xll.PBF($L149,$N$126,$O$126,U$127,"","EUR","r"),""),"")</f>
        <v/>
      </c>
      <c r="V149" s="1687" t="str" cm="1">
        <f t="array" aca="1" ref="V149" ca="1">IFERROR(IF($L149&lt;&gt;"",_xll.PBF($L149,$N$126,$O$126,V$127,"","EUR","r"),""),"")</f>
        <v/>
      </c>
      <c r="W149" s="1687" t="str" cm="1">
        <f t="array" aca="1" ref="W149" ca="1">IFERROR(IF($L149&lt;&gt;"",_xll.PBF($L149,$N$126,$O$126,W$127,"","EUR","r"),""),"")</f>
        <v/>
      </c>
      <c r="X149" s="1687" t="str" cm="1">
        <f t="array" aca="1" ref="X149" ca="1">IFERROR(IF($L149&lt;&gt;"",_xll.PBF($L149,$N$126,$O$126,X$127,"","EUR","r"),""),"")</f>
        <v/>
      </c>
      <c r="Y149" s="1687" t="str" cm="1">
        <f t="array" aca="1" ref="Y149" ca="1">IFERROR(IF($L149&lt;&gt;"",_xll.PBF($L149,$N$126,$O$126,Y$127,"","EUR","r"),""),"")</f>
        <v/>
      </c>
      <c r="Z149" s="1687" t="str" cm="1">
        <f t="array" aca="1" ref="Z149" ca="1">IFERROR(IF($L149&lt;&gt;"",_xll.PBF($L149,$N$126,$O$126,Z$127,"","EUR","r"),""),"")</f>
        <v/>
      </c>
      <c r="AA149" s="1687" t="str" cm="1">
        <f t="array" aca="1" ref="AA149" ca="1">IFERROR(IF($L149&lt;&gt;"",_xll.PBF($L149,$N$126,$O$126,AA$127,"","EUR","r"),""),"")</f>
        <v/>
      </c>
      <c r="AB149" s="1687" t="str" cm="1">
        <f t="array" aca="1" ref="AB149" ca="1">IFERROR(IF($L149&lt;&gt;"",_xll.PBF($L149,$N$126,$O$126,AB$127,"","EUR","r"),""),"")</f>
        <v/>
      </c>
      <c r="AC149" s="1687" t="str" cm="1">
        <f t="array" aca="1" ref="AC149" ca="1">IFERROR(IF($L149&lt;&gt;"",_xll.PBF($L149,$N$126,$O$126,AC$127,"","EUR","r"),""),"")</f>
        <v/>
      </c>
      <c r="AD149" s="1687" t="str" cm="1">
        <f t="array" aca="1" ref="AD149" ca="1">IFERROR(IF($L149&lt;&gt;"",_xll.PBF($L149,$N$126,$O$126,AD$127,"","EUR","r"),""),"")</f>
        <v/>
      </c>
      <c r="AE149" s="1687" t="str" cm="1">
        <f t="array" aca="1" ref="AE149" ca="1">IFERROR(IF($L149&lt;&gt;"",_xll.PBF($L149,$N$126,$O$126,AE$127,"","EUR","r"),""),"")</f>
        <v/>
      </c>
      <c r="AF149" s="1687" t="str" cm="1">
        <f t="array" aca="1" ref="AF149" ca="1">IFERROR(IF($L149&lt;&gt;"",_xll.PBF($L149,$N$126,$O$126,AF$127,"","EUR","r"),""),"")</f>
        <v/>
      </c>
      <c r="AG149" s="1687" t="str" cm="1">
        <f t="array" aca="1" ref="AG149" ca="1">IFERROR(IF($L149&lt;&gt;"",_xll.PBF($L149,$N$126,$O$126,AG$127,"","EUR","r"),""),"")</f>
        <v/>
      </c>
      <c r="AH149" s="1687" t="str" cm="1">
        <f t="array" aca="1" ref="AH149" ca="1">IFERROR(IF($L149&lt;&gt;"",_xll.PBF($L149,$N$126,$O$126,AH$127,"","EUR","r"),""),"")</f>
        <v/>
      </c>
      <c r="AI149" s="1687" t="str" cm="1">
        <f t="array" aca="1" ref="AI149" ca="1">IFERROR(IF($L149&lt;&gt;"",_xll.PBF($L149,$N$126,$O$126,AI$127,"","EUR","r"),""),"")</f>
        <v/>
      </c>
    </row>
    <row r="150" spans="12:35">
      <c r="L150" s="438" t="str">
        <f t="shared" si="33"/>
        <v>insert!</v>
      </c>
      <c r="N150" s="1687" t="str" cm="1">
        <f t="array" aca="1" ref="N150" ca="1">IFERROR(IF($L150&lt;&gt;"",_xll.PBF($L150,$N$126,$O$126,N$127,"","EUR","r"),""),"")</f>
        <v/>
      </c>
      <c r="O150" s="1687" t="str" cm="1">
        <f t="array" aca="1" ref="O150" ca="1">IFERROR(IF($L150&lt;&gt;"",_xll.PBF($L150,$N$126,$O$126,O$127,"","EUR","r"),""),"")</f>
        <v/>
      </c>
      <c r="P150" s="1687" t="str" cm="1">
        <f t="array" aca="1" ref="P150" ca="1">IFERROR(IF($L150&lt;&gt;"",_xll.PBF($L150,$N$126,$O$126,P$127,"","EUR","r"),""),"")</f>
        <v/>
      </c>
      <c r="Q150" s="1687" t="str" cm="1">
        <f t="array" aca="1" ref="Q150" ca="1">IFERROR(IF($L150&lt;&gt;"",_xll.PBF($L150,$N$126,$O$126,Q$127,"","EUR","r"),""),"")</f>
        <v/>
      </c>
      <c r="R150" s="1687" t="str" cm="1">
        <f t="array" aca="1" ref="R150" ca="1">IFERROR(IF($L150&lt;&gt;"",_xll.PBF($L150,$N$126,$O$126,R$127,"","EUR","r"),""),"")</f>
        <v/>
      </c>
      <c r="S150" s="1687" t="str" cm="1">
        <f t="array" aca="1" ref="S150" ca="1">IFERROR(IF($L150&lt;&gt;"",_xll.PBF($L150,$N$126,$O$126,S$127,"","EUR","r"),""),"")</f>
        <v/>
      </c>
      <c r="T150" s="1687" t="str" cm="1">
        <f t="array" aca="1" ref="T150" ca="1">IFERROR(IF($L150&lt;&gt;"",_xll.PBF($L150,$N$126,$O$126,T$127,"","EUR","r"),""),"")</f>
        <v/>
      </c>
      <c r="U150" s="1687" t="str" cm="1">
        <f t="array" aca="1" ref="U150" ca="1">IFERROR(IF($L150&lt;&gt;"",_xll.PBF($L150,$N$126,$O$126,U$127,"","EUR","r"),""),"")</f>
        <v/>
      </c>
      <c r="V150" s="1687" t="str" cm="1">
        <f t="array" aca="1" ref="V150" ca="1">IFERROR(IF($L150&lt;&gt;"",_xll.PBF($L150,$N$126,$O$126,V$127,"","EUR","r"),""),"")</f>
        <v/>
      </c>
      <c r="W150" s="1687" t="str" cm="1">
        <f t="array" aca="1" ref="W150" ca="1">IFERROR(IF($L150&lt;&gt;"",_xll.PBF($L150,$N$126,$O$126,W$127,"","EUR","r"),""),"")</f>
        <v/>
      </c>
      <c r="X150" s="1687" t="str" cm="1">
        <f t="array" aca="1" ref="X150" ca="1">IFERROR(IF($L150&lt;&gt;"",_xll.PBF($L150,$N$126,$O$126,X$127,"","EUR","r"),""),"")</f>
        <v/>
      </c>
      <c r="Y150" s="1687" t="str" cm="1">
        <f t="array" aca="1" ref="Y150" ca="1">IFERROR(IF($L150&lt;&gt;"",_xll.PBF($L150,$N$126,$O$126,Y$127,"","EUR","r"),""),"")</f>
        <v/>
      </c>
      <c r="Z150" s="1687" t="str" cm="1">
        <f t="array" aca="1" ref="Z150" ca="1">IFERROR(IF($L150&lt;&gt;"",_xll.PBF($L150,$N$126,$O$126,Z$127,"","EUR","r"),""),"")</f>
        <v/>
      </c>
      <c r="AA150" s="1687" t="str" cm="1">
        <f t="array" aca="1" ref="AA150" ca="1">IFERROR(IF($L150&lt;&gt;"",_xll.PBF($L150,$N$126,$O$126,AA$127,"","EUR","r"),""),"")</f>
        <v/>
      </c>
      <c r="AB150" s="1687" t="str" cm="1">
        <f t="array" aca="1" ref="AB150" ca="1">IFERROR(IF($L150&lt;&gt;"",_xll.PBF($L150,$N$126,$O$126,AB$127,"","EUR","r"),""),"")</f>
        <v/>
      </c>
      <c r="AC150" s="1687" t="str" cm="1">
        <f t="array" aca="1" ref="AC150" ca="1">IFERROR(IF($L150&lt;&gt;"",_xll.PBF($L150,$N$126,$O$126,AC$127,"","EUR","r"),""),"")</f>
        <v/>
      </c>
      <c r="AD150" s="1687" t="str" cm="1">
        <f t="array" aca="1" ref="AD150" ca="1">IFERROR(IF($L150&lt;&gt;"",_xll.PBF($L150,$N$126,$O$126,AD$127,"","EUR","r"),""),"")</f>
        <v/>
      </c>
      <c r="AE150" s="1687" t="str" cm="1">
        <f t="array" aca="1" ref="AE150" ca="1">IFERROR(IF($L150&lt;&gt;"",_xll.PBF($L150,$N$126,$O$126,AE$127,"","EUR","r"),""),"")</f>
        <v/>
      </c>
      <c r="AF150" s="1687" t="str" cm="1">
        <f t="array" aca="1" ref="AF150" ca="1">IFERROR(IF($L150&lt;&gt;"",_xll.PBF($L150,$N$126,$O$126,AF$127,"","EUR","r"),""),"")</f>
        <v/>
      </c>
      <c r="AG150" s="1687" t="str" cm="1">
        <f t="array" aca="1" ref="AG150" ca="1">IFERROR(IF($L150&lt;&gt;"",_xll.PBF($L150,$N$126,$O$126,AG$127,"","EUR","r"),""),"")</f>
        <v/>
      </c>
      <c r="AH150" s="1687" t="str" cm="1">
        <f t="array" aca="1" ref="AH150" ca="1">IFERROR(IF($L150&lt;&gt;"",_xll.PBF($L150,$N$126,$O$126,AH$127,"","EUR","r"),""),"")</f>
        <v/>
      </c>
      <c r="AI150" s="1687" t="str" cm="1">
        <f t="array" aca="1" ref="AI150" ca="1">IFERROR(IF($L150&lt;&gt;"",_xll.PBF($L150,$N$126,$O$126,AI$127,"","EUR","r"),""),"")</f>
        <v/>
      </c>
    </row>
    <row r="151" spans="12:35">
      <c r="L151" s="438" t="str">
        <f t="shared" si="32"/>
        <v>insert!</v>
      </c>
      <c r="N151" s="1687" t="str" cm="1">
        <f t="array" aca="1" ref="N151" ca="1">IFERROR(IF($L151&lt;&gt;"",_xll.PBF($L151,$N$126,$O$126,N$127,"","EUR","r"),""),"")</f>
        <v/>
      </c>
      <c r="O151" s="1687" t="str" cm="1">
        <f t="array" aca="1" ref="O151" ca="1">IFERROR(IF($L151&lt;&gt;"",_xll.PBF($L151,$N$126,$O$126,O$127,"","EUR","r"),""),"")</f>
        <v/>
      </c>
      <c r="P151" s="1687" t="str" cm="1">
        <f t="array" aca="1" ref="P151" ca="1">IFERROR(IF($L151&lt;&gt;"",_xll.PBF($L151,$N$126,$O$126,P$127,"","EUR","r"),""),"")</f>
        <v/>
      </c>
      <c r="Q151" s="1687" t="str" cm="1">
        <f t="array" aca="1" ref="Q151" ca="1">IFERROR(IF($L151&lt;&gt;"",_xll.PBF($L151,$N$126,$O$126,Q$127,"","EUR","r"),""),"")</f>
        <v/>
      </c>
      <c r="R151" s="1687" t="str" cm="1">
        <f t="array" aca="1" ref="R151" ca="1">IFERROR(IF($L151&lt;&gt;"",_xll.PBF($L151,$N$126,$O$126,R$127,"","EUR","r"),""),"")</f>
        <v/>
      </c>
      <c r="S151" s="1687" t="str" cm="1">
        <f t="array" aca="1" ref="S151" ca="1">IFERROR(IF($L151&lt;&gt;"",_xll.PBF($L151,$N$126,$O$126,S$127,"","EUR","r"),""),"")</f>
        <v/>
      </c>
      <c r="T151" s="1687" t="str" cm="1">
        <f t="array" aca="1" ref="T151" ca="1">IFERROR(IF($L151&lt;&gt;"",_xll.PBF($L151,$N$126,$O$126,T$127,"","EUR","r"),""),"")</f>
        <v/>
      </c>
      <c r="U151" s="1687" t="str" cm="1">
        <f t="array" aca="1" ref="U151" ca="1">IFERROR(IF($L151&lt;&gt;"",_xll.PBF($L151,$N$126,$O$126,U$127,"","EUR","r"),""),"")</f>
        <v/>
      </c>
      <c r="V151" s="1687" t="str" cm="1">
        <f t="array" aca="1" ref="V151" ca="1">IFERROR(IF($L151&lt;&gt;"",_xll.PBF($L151,$N$126,$O$126,V$127,"","EUR","r"),""),"")</f>
        <v/>
      </c>
      <c r="W151" s="1687" t="str" cm="1">
        <f t="array" aca="1" ref="W151" ca="1">IFERROR(IF($L151&lt;&gt;"",_xll.PBF($L151,$N$126,$O$126,W$127,"","EUR","r"),""),"")</f>
        <v/>
      </c>
      <c r="X151" s="1687" t="str" cm="1">
        <f t="array" aca="1" ref="X151" ca="1">IFERROR(IF($L151&lt;&gt;"",_xll.PBF($L151,$N$126,$O$126,X$127,"","EUR","r"),""),"")</f>
        <v/>
      </c>
      <c r="Y151" s="1687" t="str" cm="1">
        <f t="array" aca="1" ref="Y151" ca="1">IFERROR(IF($L151&lt;&gt;"",_xll.PBF($L151,$N$126,$O$126,Y$127,"","EUR","r"),""),"")</f>
        <v/>
      </c>
      <c r="Z151" s="1687" t="str" cm="1">
        <f t="array" aca="1" ref="Z151" ca="1">IFERROR(IF($L151&lt;&gt;"",_xll.PBF($L151,$N$126,$O$126,Z$127,"","EUR","r"),""),"")</f>
        <v/>
      </c>
      <c r="AA151" s="1687" t="str" cm="1">
        <f t="array" aca="1" ref="AA151" ca="1">IFERROR(IF($L151&lt;&gt;"",_xll.PBF($L151,$N$126,$O$126,AA$127,"","EUR","r"),""),"")</f>
        <v/>
      </c>
      <c r="AB151" s="1687" t="str" cm="1">
        <f t="array" aca="1" ref="AB151" ca="1">IFERROR(IF($L151&lt;&gt;"",_xll.PBF($L151,$N$126,$O$126,AB$127,"","EUR","r"),""),"")</f>
        <v/>
      </c>
      <c r="AC151" s="1687" t="str" cm="1">
        <f t="array" aca="1" ref="AC151" ca="1">IFERROR(IF($L151&lt;&gt;"",_xll.PBF($L151,$N$126,$O$126,AC$127,"","EUR","r"),""),"")</f>
        <v/>
      </c>
      <c r="AD151" s="1687" t="str" cm="1">
        <f t="array" aca="1" ref="AD151" ca="1">IFERROR(IF($L151&lt;&gt;"",_xll.PBF($L151,$N$126,$O$126,AD$127,"","EUR","r"),""),"")</f>
        <v/>
      </c>
      <c r="AE151" s="1687" t="str" cm="1">
        <f t="array" aca="1" ref="AE151" ca="1">IFERROR(IF($L151&lt;&gt;"",_xll.PBF($L151,$N$126,$O$126,AE$127,"","EUR","r"),""),"")</f>
        <v/>
      </c>
      <c r="AF151" s="1687" t="str" cm="1">
        <f t="array" aca="1" ref="AF151" ca="1">IFERROR(IF($L151&lt;&gt;"",_xll.PBF($L151,$N$126,$O$126,AF$127,"","EUR","r"),""),"")</f>
        <v/>
      </c>
      <c r="AG151" s="1687" t="str" cm="1">
        <f t="array" aca="1" ref="AG151" ca="1">IFERROR(IF($L151&lt;&gt;"",_xll.PBF($L151,$N$126,$O$126,AG$127,"","EUR","r"),""),"")</f>
        <v/>
      </c>
      <c r="AH151" s="1687" t="str" cm="1">
        <f t="array" aca="1" ref="AH151" ca="1">IFERROR(IF($L151&lt;&gt;"",_xll.PBF($L151,$N$126,$O$126,AH$127,"","EUR","r"),""),"")</f>
        <v/>
      </c>
      <c r="AI151" s="1687" t="str" cm="1">
        <f t="array" aca="1" ref="AI151" ca="1">IFERROR(IF($L151&lt;&gt;"",_xll.PBF($L151,$N$126,$O$126,AI$127,"","EUR","r"),""),"")</f>
        <v/>
      </c>
    </row>
    <row r="152" spans="12:35">
      <c r="L152" s="438" t="str">
        <f t="shared" si="32"/>
        <v>insert!</v>
      </c>
      <c r="N152" s="1687" t="str" cm="1">
        <f t="array" aca="1" ref="N152" ca="1">IFERROR(IF($L152&lt;&gt;"",_xll.PBF($L152,$N$126,$O$126,N$127,"","EUR","r"),""),"")</f>
        <v/>
      </c>
      <c r="O152" s="1687" t="str" cm="1">
        <f t="array" aca="1" ref="O152" ca="1">IFERROR(IF($L152&lt;&gt;"",_xll.PBF($L152,$N$126,$O$126,O$127,"","EUR","r"),""),"")</f>
        <v/>
      </c>
      <c r="P152" s="1687" t="str" cm="1">
        <f t="array" aca="1" ref="P152" ca="1">IFERROR(IF($L152&lt;&gt;"",_xll.PBF($L152,$N$126,$O$126,P$127,"","EUR","r"),""),"")</f>
        <v/>
      </c>
      <c r="Q152" s="1687" t="str" cm="1">
        <f t="array" aca="1" ref="Q152" ca="1">IFERROR(IF($L152&lt;&gt;"",_xll.PBF($L152,$N$126,$O$126,Q$127,"","EUR","r"),""),"")</f>
        <v/>
      </c>
      <c r="R152" s="1687" t="str" cm="1">
        <f t="array" aca="1" ref="R152" ca="1">IFERROR(IF($L152&lt;&gt;"",_xll.PBF($L152,$N$126,$O$126,R$127,"","EUR","r"),""),"")</f>
        <v/>
      </c>
      <c r="S152" s="1687" t="str" cm="1">
        <f t="array" aca="1" ref="S152" ca="1">IFERROR(IF($L152&lt;&gt;"",_xll.PBF($L152,$N$126,$O$126,S$127,"","EUR","r"),""),"")</f>
        <v/>
      </c>
      <c r="T152" s="1687" t="str" cm="1">
        <f t="array" aca="1" ref="T152" ca="1">IFERROR(IF($L152&lt;&gt;"",_xll.PBF($L152,$N$126,$O$126,T$127,"","EUR","r"),""),"")</f>
        <v/>
      </c>
      <c r="U152" s="1687" t="str" cm="1">
        <f t="array" aca="1" ref="U152" ca="1">IFERROR(IF($L152&lt;&gt;"",_xll.PBF($L152,$N$126,$O$126,U$127,"","EUR","r"),""),"")</f>
        <v/>
      </c>
      <c r="V152" s="1687" t="str" cm="1">
        <f t="array" aca="1" ref="V152" ca="1">IFERROR(IF($L152&lt;&gt;"",_xll.PBF($L152,$N$126,$O$126,V$127,"","EUR","r"),""),"")</f>
        <v/>
      </c>
      <c r="W152" s="1687" t="str" cm="1">
        <f t="array" aca="1" ref="W152" ca="1">IFERROR(IF($L152&lt;&gt;"",_xll.PBF($L152,$N$126,$O$126,W$127,"","EUR","r"),""),"")</f>
        <v/>
      </c>
      <c r="X152" s="1687" t="str" cm="1">
        <f t="array" aca="1" ref="X152" ca="1">IFERROR(IF($L152&lt;&gt;"",_xll.PBF($L152,$N$126,$O$126,X$127,"","EUR","r"),""),"")</f>
        <v/>
      </c>
      <c r="Y152" s="1687" t="str" cm="1">
        <f t="array" aca="1" ref="Y152" ca="1">IFERROR(IF($L152&lt;&gt;"",_xll.PBF($L152,$N$126,$O$126,Y$127,"","EUR","r"),""),"")</f>
        <v/>
      </c>
      <c r="Z152" s="1687" t="str" cm="1">
        <f t="array" aca="1" ref="Z152" ca="1">IFERROR(IF($L152&lt;&gt;"",_xll.PBF($L152,$N$126,$O$126,Z$127,"","EUR","r"),""),"")</f>
        <v/>
      </c>
      <c r="AA152" s="1687" t="str" cm="1">
        <f t="array" aca="1" ref="AA152" ca="1">IFERROR(IF($L152&lt;&gt;"",_xll.PBF($L152,$N$126,$O$126,AA$127,"","EUR","r"),""),"")</f>
        <v/>
      </c>
      <c r="AB152" s="1687" t="str" cm="1">
        <f t="array" aca="1" ref="AB152" ca="1">IFERROR(IF($L152&lt;&gt;"",_xll.PBF($L152,$N$126,$O$126,AB$127,"","EUR","r"),""),"")</f>
        <v/>
      </c>
      <c r="AC152" s="1687" t="str" cm="1">
        <f t="array" aca="1" ref="AC152" ca="1">IFERROR(IF($L152&lt;&gt;"",_xll.PBF($L152,$N$126,$O$126,AC$127,"","EUR","r"),""),"")</f>
        <v/>
      </c>
      <c r="AD152" s="1687" t="str" cm="1">
        <f t="array" aca="1" ref="AD152" ca="1">IFERROR(IF($L152&lt;&gt;"",_xll.PBF($L152,$N$126,$O$126,AD$127,"","EUR","r"),""),"")</f>
        <v/>
      </c>
      <c r="AE152" s="1687" t="str" cm="1">
        <f t="array" aca="1" ref="AE152" ca="1">IFERROR(IF($L152&lt;&gt;"",_xll.PBF($L152,$N$126,$O$126,AE$127,"","EUR","r"),""),"")</f>
        <v/>
      </c>
      <c r="AF152" s="1687" t="str" cm="1">
        <f t="array" aca="1" ref="AF152" ca="1">IFERROR(IF($L152&lt;&gt;"",_xll.PBF($L152,$N$126,$O$126,AF$127,"","EUR","r"),""),"")</f>
        <v/>
      </c>
      <c r="AG152" s="1687" t="str" cm="1">
        <f t="array" aca="1" ref="AG152" ca="1">IFERROR(IF($L152&lt;&gt;"",_xll.PBF($L152,$N$126,$O$126,AG$127,"","EUR","r"),""),"")</f>
        <v/>
      </c>
      <c r="AH152" s="1687" t="str" cm="1">
        <f t="array" aca="1" ref="AH152" ca="1">IFERROR(IF($L152&lt;&gt;"",_xll.PBF($L152,$N$126,$O$126,AH$127,"","EUR","r"),""),"")</f>
        <v/>
      </c>
      <c r="AI152" s="1687" t="str" cm="1">
        <f t="array" aca="1" ref="AI152" ca="1">IFERROR(IF($L152&lt;&gt;"",_xll.PBF($L152,$N$126,$O$126,AI$127,"","EUR","r"),""),"")</f>
        <v/>
      </c>
    </row>
    <row r="153" spans="12:35">
      <c r="L153" s="438" t="str">
        <f t="shared" si="32"/>
        <v>insert!</v>
      </c>
      <c r="N153" s="1687" t="str" cm="1">
        <f t="array" aca="1" ref="N153" ca="1">IFERROR(IF($L153&lt;&gt;"",_xll.PBF($L153,$N$126,$O$126,N$127,"","EUR","r"),""),"")</f>
        <v/>
      </c>
      <c r="O153" s="1687" t="str" cm="1">
        <f t="array" aca="1" ref="O153" ca="1">IFERROR(IF($L153&lt;&gt;"",_xll.PBF($L153,$N$126,$O$126,O$127,"","EUR","r"),""),"")</f>
        <v/>
      </c>
      <c r="P153" s="1687" t="str" cm="1">
        <f t="array" aca="1" ref="P153" ca="1">IFERROR(IF($L153&lt;&gt;"",_xll.PBF($L153,$N$126,$O$126,P$127,"","EUR","r"),""),"")</f>
        <v/>
      </c>
      <c r="Q153" s="1687" t="str" cm="1">
        <f t="array" aca="1" ref="Q153" ca="1">IFERROR(IF($L153&lt;&gt;"",_xll.PBF($L153,$N$126,$O$126,Q$127,"","EUR","r"),""),"")</f>
        <v/>
      </c>
      <c r="R153" s="1687" t="str" cm="1">
        <f t="array" aca="1" ref="R153" ca="1">IFERROR(IF($L153&lt;&gt;"",_xll.PBF($L153,$N$126,$O$126,R$127,"","EUR","r"),""),"")</f>
        <v/>
      </c>
      <c r="S153" s="1687" t="str" cm="1">
        <f t="array" aca="1" ref="S153" ca="1">IFERROR(IF($L153&lt;&gt;"",_xll.PBF($L153,$N$126,$O$126,S$127,"","EUR","r"),""),"")</f>
        <v/>
      </c>
      <c r="T153" s="1687" t="str" cm="1">
        <f t="array" aca="1" ref="T153" ca="1">IFERROR(IF($L153&lt;&gt;"",_xll.PBF($L153,$N$126,$O$126,T$127,"","EUR","r"),""),"")</f>
        <v/>
      </c>
      <c r="U153" s="1687" t="str" cm="1">
        <f t="array" aca="1" ref="U153" ca="1">IFERROR(IF($L153&lt;&gt;"",_xll.PBF($L153,$N$126,$O$126,U$127,"","EUR","r"),""),"")</f>
        <v/>
      </c>
      <c r="V153" s="1687" t="str" cm="1">
        <f t="array" aca="1" ref="V153" ca="1">IFERROR(IF($L153&lt;&gt;"",_xll.PBF($L153,$N$126,$O$126,V$127,"","EUR","r"),""),"")</f>
        <v/>
      </c>
      <c r="W153" s="1687" t="str" cm="1">
        <f t="array" aca="1" ref="W153" ca="1">IFERROR(IF($L153&lt;&gt;"",_xll.PBF($L153,$N$126,$O$126,W$127,"","EUR","r"),""),"")</f>
        <v/>
      </c>
      <c r="X153" s="1687" t="str" cm="1">
        <f t="array" aca="1" ref="X153" ca="1">IFERROR(IF($L153&lt;&gt;"",_xll.PBF($L153,$N$126,$O$126,X$127,"","EUR","r"),""),"")</f>
        <v/>
      </c>
      <c r="Y153" s="1687" t="str" cm="1">
        <f t="array" aca="1" ref="Y153" ca="1">IFERROR(IF($L153&lt;&gt;"",_xll.PBF($L153,$N$126,$O$126,Y$127,"","EUR","r"),""),"")</f>
        <v/>
      </c>
      <c r="Z153" s="1687" t="str" cm="1">
        <f t="array" aca="1" ref="Z153" ca="1">IFERROR(IF($L153&lt;&gt;"",_xll.PBF($L153,$N$126,$O$126,Z$127,"","EUR","r"),""),"")</f>
        <v/>
      </c>
      <c r="AA153" s="1687" t="str" cm="1">
        <f t="array" aca="1" ref="AA153" ca="1">IFERROR(IF($L153&lt;&gt;"",_xll.PBF($L153,$N$126,$O$126,AA$127,"","EUR","r"),""),"")</f>
        <v/>
      </c>
      <c r="AB153" s="1687" t="str" cm="1">
        <f t="array" aca="1" ref="AB153" ca="1">IFERROR(IF($L153&lt;&gt;"",_xll.PBF($L153,$N$126,$O$126,AB$127,"","EUR","r"),""),"")</f>
        <v/>
      </c>
      <c r="AC153" s="1687" t="str" cm="1">
        <f t="array" aca="1" ref="AC153" ca="1">IFERROR(IF($L153&lt;&gt;"",_xll.PBF($L153,$N$126,$O$126,AC$127,"","EUR","r"),""),"")</f>
        <v/>
      </c>
      <c r="AD153" s="1687" t="str" cm="1">
        <f t="array" aca="1" ref="AD153" ca="1">IFERROR(IF($L153&lt;&gt;"",_xll.PBF($L153,$N$126,$O$126,AD$127,"","EUR","r"),""),"")</f>
        <v/>
      </c>
      <c r="AE153" s="1687" t="str" cm="1">
        <f t="array" aca="1" ref="AE153" ca="1">IFERROR(IF($L153&lt;&gt;"",_xll.PBF($L153,$N$126,$O$126,AE$127,"","EUR","r"),""),"")</f>
        <v/>
      </c>
      <c r="AF153" s="1687" t="str" cm="1">
        <f t="array" aca="1" ref="AF153" ca="1">IFERROR(IF($L153&lt;&gt;"",_xll.PBF($L153,$N$126,$O$126,AF$127,"","EUR","r"),""),"")</f>
        <v/>
      </c>
      <c r="AG153" s="1687" t="str" cm="1">
        <f t="array" aca="1" ref="AG153" ca="1">IFERROR(IF($L153&lt;&gt;"",_xll.PBF($L153,$N$126,$O$126,AG$127,"","EUR","r"),""),"")</f>
        <v/>
      </c>
      <c r="AH153" s="1687" t="str" cm="1">
        <f t="array" aca="1" ref="AH153" ca="1">IFERROR(IF($L153&lt;&gt;"",_xll.PBF($L153,$N$126,$O$126,AH$127,"","EUR","r"),""),"")</f>
        <v/>
      </c>
      <c r="AI153" s="1687" t="str" cm="1">
        <f t="array" aca="1" ref="AI153" ca="1">IFERROR(IF($L153&lt;&gt;"",_xll.PBF($L153,$N$126,$O$126,AI$127,"","EUR","r"),""),"")</f>
        <v/>
      </c>
    </row>
    <row r="154" spans="12:35">
      <c r="L154" s="438" t="str">
        <f t="shared" si="32"/>
        <v>insert!</v>
      </c>
      <c r="N154" s="1687" t="str" cm="1">
        <f t="array" aca="1" ref="N154" ca="1">IFERROR(IF($L154&lt;&gt;"",_xll.PBF($L154,$N$126,$O$126,N$127,"","EUR","r"),""),"")</f>
        <v/>
      </c>
      <c r="O154" s="1687" t="str" cm="1">
        <f t="array" aca="1" ref="O154" ca="1">IFERROR(IF($L154&lt;&gt;"",_xll.PBF($L154,$N$126,$O$126,O$127,"","EUR","r"),""),"")</f>
        <v/>
      </c>
      <c r="P154" s="1687" t="str" cm="1">
        <f t="array" aca="1" ref="P154" ca="1">IFERROR(IF($L154&lt;&gt;"",_xll.PBF($L154,$N$126,$O$126,P$127,"","EUR","r"),""),"")</f>
        <v/>
      </c>
      <c r="Q154" s="1687" t="str" cm="1">
        <f t="array" aca="1" ref="Q154" ca="1">IFERROR(IF($L154&lt;&gt;"",_xll.PBF($L154,$N$126,$O$126,Q$127,"","EUR","r"),""),"")</f>
        <v/>
      </c>
      <c r="R154" s="1687" t="str" cm="1">
        <f t="array" aca="1" ref="R154" ca="1">IFERROR(IF($L154&lt;&gt;"",_xll.PBF($L154,$N$126,$O$126,R$127,"","EUR","r"),""),"")</f>
        <v/>
      </c>
      <c r="S154" s="1687" t="str" cm="1">
        <f t="array" aca="1" ref="S154" ca="1">IFERROR(IF($L154&lt;&gt;"",_xll.PBF($L154,$N$126,$O$126,S$127,"","EUR","r"),""),"")</f>
        <v/>
      </c>
      <c r="T154" s="1687" t="str" cm="1">
        <f t="array" aca="1" ref="T154" ca="1">IFERROR(IF($L154&lt;&gt;"",_xll.PBF($L154,$N$126,$O$126,T$127,"","EUR","r"),""),"")</f>
        <v/>
      </c>
      <c r="U154" s="1687" t="str" cm="1">
        <f t="array" aca="1" ref="U154" ca="1">IFERROR(IF($L154&lt;&gt;"",_xll.PBF($L154,$N$126,$O$126,U$127,"","EUR","r"),""),"")</f>
        <v/>
      </c>
      <c r="V154" s="1687" t="str" cm="1">
        <f t="array" aca="1" ref="V154" ca="1">IFERROR(IF($L154&lt;&gt;"",_xll.PBF($L154,$N$126,$O$126,V$127,"","EUR","r"),""),"")</f>
        <v/>
      </c>
      <c r="W154" s="1687" t="str" cm="1">
        <f t="array" aca="1" ref="W154" ca="1">IFERROR(IF($L154&lt;&gt;"",_xll.PBF($L154,$N$126,$O$126,W$127,"","EUR","r"),""),"")</f>
        <v/>
      </c>
      <c r="X154" s="1687" t="str" cm="1">
        <f t="array" aca="1" ref="X154" ca="1">IFERROR(IF($L154&lt;&gt;"",_xll.PBF($L154,$N$126,$O$126,X$127,"","EUR","r"),""),"")</f>
        <v/>
      </c>
      <c r="Y154" s="1687" t="str" cm="1">
        <f t="array" aca="1" ref="Y154" ca="1">IFERROR(IF($L154&lt;&gt;"",_xll.PBF($L154,$N$126,$O$126,Y$127,"","EUR","r"),""),"")</f>
        <v/>
      </c>
      <c r="Z154" s="1687" t="str" cm="1">
        <f t="array" aca="1" ref="Z154" ca="1">IFERROR(IF($L154&lt;&gt;"",_xll.PBF($L154,$N$126,$O$126,Z$127,"","EUR","r"),""),"")</f>
        <v/>
      </c>
      <c r="AA154" s="1687" t="str" cm="1">
        <f t="array" aca="1" ref="AA154" ca="1">IFERROR(IF($L154&lt;&gt;"",_xll.PBF($L154,$N$126,$O$126,AA$127,"","EUR","r"),""),"")</f>
        <v/>
      </c>
      <c r="AB154" s="1687" t="str" cm="1">
        <f t="array" aca="1" ref="AB154" ca="1">IFERROR(IF($L154&lt;&gt;"",_xll.PBF($L154,$N$126,$O$126,AB$127,"","EUR","r"),""),"")</f>
        <v/>
      </c>
      <c r="AC154" s="1687" t="str" cm="1">
        <f t="array" aca="1" ref="AC154" ca="1">IFERROR(IF($L154&lt;&gt;"",_xll.PBF($L154,$N$126,$O$126,AC$127,"","EUR","r"),""),"")</f>
        <v/>
      </c>
      <c r="AD154" s="1687" t="str" cm="1">
        <f t="array" aca="1" ref="AD154" ca="1">IFERROR(IF($L154&lt;&gt;"",_xll.PBF($L154,$N$126,$O$126,AD$127,"","EUR","r"),""),"")</f>
        <v/>
      </c>
      <c r="AE154" s="1687" t="str" cm="1">
        <f t="array" aca="1" ref="AE154" ca="1">IFERROR(IF($L154&lt;&gt;"",_xll.PBF($L154,$N$126,$O$126,AE$127,"","EUR","r"),""),"")</f>
        <v/>
      </c>
      <c r="AF154" s="1687" t="str" cm="1">
        <f t="array" aca="1" ref="AF154" ca="1">IFERROR(IF($L154&lt;&gt;"",_xll.PBF($L154,$N$126,$O$126,AF$127,"","EUR","r"),""),"")</f>
        <v/>
      </c>
      <c r="AG154" s="1687" t="str" cm="1">
        <f t="array" aca="1" ref="AG154" ca="1">IFERROR(IF($L154&lt;&gt;"",_xll.PBF($L154,$N$126,$O$126,AG$127,"","EUR","r"),""),"")</f>
        <v/>
      </c>
      <c r="AH154" s="1687" t="str" cm="1">
        <f t="array" aca="1" ref="AH154" ca="1">IFERROR(IF($L154&lt;&gt;"",_xll.PBF($L154,$N$126,$O$126,AH$127,"","EUR","r"),""),"")</f>
        <v/>
      </c>
      <c r="AI154" s="1687" t="str" cm="1">
        <f t="array" aca="1" ref="AI154" ca="1">IFERROR(IF($L154&lt;&gt;"",_xll.PBF($L154,$N$126,$O$126,AI$127,"","EUR","r"),""),"")</f>
        <v/>
      </c>
    </row>
    <row r="155" spans="12:35">
      <c r="L155" s="438" t="str">
        <f t="shared" si="32"/>
        <v>insert!</v>
      </c>
      <c r="N155" s="1687" t="str" cm="1">
        <f t="array" aca="1" ref="N155" ca="1">IFERROR(IF($L155&lt;&gt;"",_xll.PBF($L155,$N$126,$O$126,N$127,"","EUR","r"),""),"")</f>
        <v/>
      </c>
      <c r="O155" s="1687" t="str" cm="1">
        <f t="array" aca="1" ref="O155" ca="1">IFERROR(IF($L155&lt;&gt;"",_xll.PBF($L155,$N$126,$O$126,O$127,"","EUR","r"),""),"")</f>
        <v/>
      </c>
      <c r="P155" s="1687" t="str" cm="1">
        <f t="array" aca="1" ref="P155" ca="1">IFERROR(IF($L155&lt;&gt;"",_xll.PBF($L155,$N$126,$O$126,P$127,"","EUR","r"),""),"")</f>
        <v/>
      </c>
      <c r="Q155" s="1687" t="str" cm="1">
        <f t="array" aca="1" ref="Q155" ca="1">IFERROR(IF($L155&lt;&gt;"",_xll.PBF($L155,$N$126,$O$126,Q$127,"","EUR","r"),""),"")</f>
        <v/>
      </c>
      <c r="R155" s="1687" t="str" cm="1">
        <f t="array" aca="1" ref="R155" ca="1">IFERROR(IF($L155&lt;&gt;"",_xll.PBF($L155,$N$126,$O$126,R$127,"","EUR","r"),""),"")</f>
        <v/>
      </c>
      <c r="S155" s="1687" t="str" cm="1">
        <f t="array" aca="1" ref="S155" ca="1">IFERROR(IF($L155&lt;&gt;"",_xll.PBF($L155,$N$126,$O$126,S$127,"","EUR","r"),""),"")</f>
        <v/>
      </c>
      <c r="T155" s="1687" t="str" cm="1">
        <f t="array" aca="1" ref="T155" ca="1">IFERROR(IF($L155&lt;&gt;"",_xll.PBF($L155,$N$126,$O$126,T$127,"","EUR","r"),""),"")</f>
        <v/>
      </c>
      <c r="U155" s="1687" t="str" cm="1">
        <f t="array" aca="1" ref="U155" ca="1">IFERROR(IF($L155&lt;&gt;"",_xll.PBF($L155,$N$126,$O$126,U$127,"","EUR","r"),""),"")</f>
        <v/>
      </c>
      <c r="V155" s="1687" t="str" cm="1">
        <f t="array" aca="1" ref="V155" ca="1">IFERROR(IF($L155&lt;&gt;"",_xll.PBF($L155,$N$126,$O$126,V$127,"","EUR","r"),""),"")</f>
        <v/>
      </c>
      <c r="W155" s="1687" t="str" cm="1">
        <f t="array" aca="1" ref="W155" ca="1">IFERROR(IF($L155&lt;&gt;"",_xll.PBF($L155,$N$126,$O$126,W$127,"","EUR","r"),""),"")</f>
        <v/>
      </c>
      <c r="X155" s="1687" t="str" cm="1">
        <f t="array" aca="1" ref="X155" ca="1">IFERROR(IF($L155&lt;&gt;"",_xll.PBF($L155,$N$126,$O$126,X$127,"","EUR","r"),""),"")</f>
        <v/>
      </c>
      <c r="Y155" s="1687" t="str" cm="1">
        <f t="array" aca="1" ref="Y155" ca="1">IFERROR(IF($L155&lt;&gt;"",_xll.PBF($L155,$N$126,$O$126,Y$127,"","EUR","r"),""),"")</f>
        <v/>
      </c>
      <c r="Z155" s="1687" t="str" cm="1">
        <f t="array" aca="1" ref="Z155" ca="1">IFERROR(IF($L155&lt;&gt;"",_xll.PBF($L155,$N$126,$O$126,Z$127,"","EUR","r"),""),"")</f>
        <v/>
      </c>
      <c r="AA155" s="1687" t="str" cm="1">
        <f t="array" aca="1" ref="AA155" ca="1">IFERROR(IF($L155&lt;&gt;"",_xll.PBF($L155,$N$126,$O$126,AA$127,"","EUR","r"),""),"")</f>
        <v/>
      </c>
      <c r="AB155" s="1687" t="str" cm="1">
        <f t="array" aca="1" ref="AB155" ca="1">IFERROR(IF($L155&lt;&gt;"",_xll.PBF($L155,$N$126,$O$126,AB$127,"","EUR","r"),""),"")</f>
        <v/>
      </c>
      <c r="AC155" s="1687" t="str" cm="1">
        <f t="array" aca="1" ref="AC155" ca="1">IFERROR(IF($L155&lt;&gt;"",_xll.PBF($L155,$N$126,$O$126,AC$127,"","EUR","r"),""),"")</f>
        <v/>
      </c>
      <c r="AD155" s="1687" t="str" cm="1">
        <f t="array" aca="1" ref="AD155" ca="1">IFERROR(IF($L155&lt;&gt;"",_xll.PBF($L155,$N$126,$O$126,AD$127,"","EUR","r"),""),"")</f>
        <v/>
      </c>
      <c r="AE155" s="1687" t="str" cm="1">
        <f t="array" aca="1" ref="AE155" ca="1">IFERROR(IF($L155&lt;&gt;"",_xll.PBF($L155,$N$126,$O$126,AE$127,"","EUR","r"),""),"")</f>
        <v/>
      </c>
      <c r="AF155" s="1687" t="str" cm="1">
        <f t="array" aca="1" ref="AF155" ca="1">IFERROR(IF($L155&lt;&gt;"",_xll.PBF($L155,$N$126,$O$126,AF$127,"","EUR","r"),""),"")</f>
        <v/>
      </c>
      <c r="AG155" s="1687" t="str" cm="1">
        <f t="array" aca="1" ref="AG155" ca="1">IFERROR(IF($L155&lt;&gt;"",_xll.PBF($L155,$N$126,$O$126,AG$127,"","EUR","r"),""),"")</f>
        <v/>
      </c>
      <c r="AH155" s="1687" t="str" cm="1">
        <f t="array" aca="1" ref="AH155" ca="1">IFERROR(IF($L155&lt;&gt;"",_xll.PBF($L155,$N$126,$O$126,AH$127,"","EUR","r"),""),"")</f>
        <v/>
      </c>
      <c r="AI155" s="1687" t="str" cm="1">
        <f t="array" aca="1" ref="AI155" ca="1">IFERROR(IF($L155&lt;&gt;"",_xll.PBF($L155,$N$126,$O$126,AI$127,"","EUR","r"),""),"")</f>
        <v/>
      </c>
    </row>
    <row r="156" spans="12:35">
      <c r="L156" s="438" t="str">
        <f t="shared" si="32"/>
        <v>insert!</v>
      </c>
      <c r="N156" s="1687" t="str" cm="1">
        <f t="array" aca="1" ref="N156" ca="1">IFERROR(IF($L156&lt;&gt;"",_xll.PBF($L156,$N$126,$O$126,N$127,"","EUR","r"),""),"")</f>
        <v/>
      </c>
      <c r="O156" s="1687" t="str" cm="1">
        <f t="array" aca="1" ref="O156" ca="1">IFERROR(IF($L156&lt;&gt;"",_xll.PBF($L156,$N$126,$O$126,O$127,"","EUR","r"),""),"")</f>
        <v/>
      </c>
      <c r="P156" s="1687" t="str" cm="1">
        <f t="array" aca="1" ref="P156" ca="1">IFERROR(IF($L156&lt;&gt;"",_xll.PBF($L156,$N$126,$O$126,P$127,"","EUR","r"),""),"")</f>
        <v/>
      </c>
      <c r="Q156" s="1687" t="str" cm="1">
        <f t="array" aca="1" ref="Q156" ca="1">IFERROR(IF($L156&lt;&gt;"",_xll.PBF($L156,$N$126,$O$126,Q$127,"","EUR","r"),""),"")</f>
        <v/>
      </c>
      <c r="R156" s="1687" t="str" cm="1">
        <f t="array" aca="1" ref="R156" ca="1">IFERROR(IF($L156&lt;&gt;"",_xll.PBF($L156,$N$126,$O$126,R$127,"","EUR","r"),""),"")</f>
        <v/>
      </c>
      <c r="S156" s="1687" t="str" cm="1">
        <f t="array" aca="1" ref="S156" ca="1">IFERROR(IF($L156&lt;&gt;"",_xll.PBF($L156,$N$126,$O$126,S$127,"","EUR","r"),""),"")</f>
        <v/>
      </c>
      <c r="T156" s="1687" t="str" cm="1">
        <f t="array" aca="1" ref="T156" ca="1">IFERROR(IF($L156&lt;&gt;"",_xll.PBF($L156,$N$126,$O$126,T$127,"","EUR","r"),""),"")</f>
        <v/>
      </c>
      <c r="U156" s="1687" t="str" cm="1">
        <f t="array" aca="1" ref="U156" ca="1">IFERROR(IF($L156&lt;&gt;"",_xll.PBF($L156,$N$126,$O$126,U$127,"","EUR","r"),""),"")</f>
        <v/>
      </c>
      <c r="V156" s="1687" t="str" cm="1">
        <f t="array" aca="1" ref="V156" ca="1">IFERROR(IF($L156&lt;&gt;"",_xll.PBF($L156,$N$126,$O$126,V$127,"","EUR","r"),""),"")</f>
        <v/>
      </c>
      <c r="W156" s="1687" t="str" cm="1">
        <f t="array" aca="1" ref="W156" ca="1">IFERROR(IF($L156&lt;&gt;"",_xll.PBF($L156,$N$126,$O$126,W$127,"","EUR","r"),""),"")</f>
        <v/>
      </c>
      <c r="X156" s="1687" t="str" cm="1">
        <f t="array" aca="1" ref="X156" ca="1">IFERROR(IF($L156&lt;&gt;"",_xll.PBF($L156,$N$126,$O$126,X$127,"","EUR","r"),""),"")</f>
        <v/>
      </c>
      <c r="Y156" s="1687" t="str" cm="1">
        <f t="array" aca="1" ref="Y156" ca="1">IFERROR(IF($L156&lt;&gt;"",_xll.PBF($L156,$N$126,$O$126,Y$127,"","EUR","r"),""),"")</f>
        <v/>
      </c>
      <c r="Z156" s="1687" t="str" cm="1">
        <f t="array" aca="1" ref="Z156" ca="1">IFERROR(IF($L156&lt;&gt;"",_xll.PBF($L156,$N$126,$O$126,Z$127,"","EUR","r"),""),"")</f>
        <v/>
      </c>
      <c r="AA156" s="1687" t="str" cm="1">
        <f t="array" aca="1" ref="AA156" ca="1">IFERROR(IF($L156&lt;&gt;"",_xll.PBF($L156,$N$126,$O$126,AA$127,"","EUR","r"),""),"")</f>
        <v/>
      </c>
      <c r="AB156" s="1687" t="str" cm="1">
        <f t="array" aca="1" ref="AB156" ca="1">IFERROR(IF($L156&lt;&gt;"",_xll.PBF($L156,$N$126,$O$126,AB$127,"","EUR","r"),""),"")</f>
        <v/>
      </c>
      <c r="AC156" s="1687" t="str" cm="1">
        <f t="array" aca="1" ref="AC156" ca="1">IFERROR(IF($L156&lt;&gt;"",_xll.PBF($L156,$N$126,$O$126,AC$127,"","EUR","r"),""),"")</f>
        <v/>
      </c>
      <c r="AD156" s="1687" t="str" cm="1">
        <f t="array" aca="1" ref="AD156" ca="1">IFERROR(IF($L156&lt;&gt;"",_xll.PBF($L156,$N$126,$O$126,AD$127,"","EUR","r"),""),"")</f>
        <v/>
      </c>
      <c r="AE156" s="1687" t="str" cm="1">
        <f t="array" aca="1" ref="AE156" ca="1">IFERROR(IF($L156&lt;&gt;"",_xll.PBF($L156,$N$126,$O$126,AE$127,"","EUR","r"),""),"")</f>
        <v/>
      </c>
      <c r="AF156" s="1687" t="str" cm="1">
        <f t="array" aca="1" ref="AF156" ca="1">IFERROR(IF($L156&lt;&gt;"",_xll.PBF($L156,$N$126,$O$126,AF$127,"","EUR","r"),""),"")</f>
        <v/>
      </c>
      <c r="AG156" s="1687" t="str" cm="1">
        <f t="array" aca="1" ref="AG156" ca="1">IFERROR(IF($L156&lt;&gt;"",_xll.PBF($L156,$N$126,$O$126,AG$127,"","EUR","r"),""),"")</f>
        <v/>
      </c>
      <c r="AH156" s="1687" t="str" cm="1">
        <f t="array" aca="1" ref="AH156" ca="1">IFERROR(IF($L156&lt;&gt;"",_xll.PBF($L156,$N$126,$O$126,AH$127,"","EUR","r"),""),"")</f>
        <v/>
      </c>
      <c r="AI156" s="1687" t="str" cm="1">
        <f t="array" aca="1" ref="AI156" ca="1">IFERROR(IF($L156&lt;&gt;"",_xll.PBF($L156,$N$126,$O$126,AI$127,"","EUR","r"),""),"")</f>
        <v/>
      </c>
    </row>
    <row r="157" spans="12:35">
      <c r="L157" s="438" t="str">
        <f t="shared" si="32"/>
        <v/>
      </c>
      <c r="N157" s="1687" t="str" cm="1">
        <f t="array" aca="1" ref="N157" ca="1">IFERROR(IF($L157&lt;&gt;"",_xll.PBF($L157,$N$126,$O$126,N$127,"","EUR","r"),""),"")</f>
        <v/>
      </c>
      <c r="O157" s="1687" t="str" cm="1">
        <f t="array" aca="1" ref="O157" ca="1">IFERROR(IF($L157&lt;&gt;"",_xll.PBF($L157,$N$126,$O$126,O$127,"","EUR","r"),""),"")</f>
        <v/>
      </c>
      <c r="P157" s="1687" t="str" cm="1">
        <f t="array" aca="1" ref="P157" ca="1">IFERROR(IF($L157&lt;&gt;"",_xll.PBF($L157,$N$126,$O$126,P$127,"","EUR","r"),""),"")</f>
        <v/>
      </c>
      <c r="Q157" s="1687" t="str" cm="1">
        <f t="array" aca="1" ref="Q157" ca="1">IFERROR(IF($L157&lt;&gt;"",_xll.PBF($L157,$N$126,$O$126,Q$127,"","EUR","r"),""),"")</f>
        <v/>
      </c>
      <c r="R157" s="1687" t="str" cm="1">
        <f t="array" aca="1" ref="R157" ca="1">IFERROR(IF($L157&lt;&gt;"",_xll.PBF($L157,$N$126,$O$126,R$127,"","EUR","r"),""),"")</f>
        <v/>
      </c>
      <c r="S157" s="1687" t="str" cm="1">
        <f t="array" aca="1" ref="S157" ca="1">IFERROR(IF($L157&lt;&gt;"",_xll.PBF($L157,$N$126,$O$126,S$127,"","EUR","r"),""),"")</f>
        <v/>
      </c>
      <c r="T157" s="1687" t="str" cm="1">
        <f t="array" aca="1" ref="T157" ca="1">IFERROR(IF($L157&lt;&gt;"",_xll.PBF($L157,$N$126,$O$126,T$127,"","EUR","r"),""),"")</f>
        <v/>
      </c>
      <c r="U157" s="1687" t="str" cm="1">
        <f t="array" aca="1" ref="U157" ca="1">IFERROR(IF($L157&lt;&gt;"",_xll.PBF($L157,$N$126,$O$126,U$127,"","EUR","r"),""),"")</f>
        <v/>
      </c>
      <c r="V157" s="1687" t="str" cm="1">
        <f t="array" aca="1" ref="V157" ca="1">IFERROR(IF($L157&lt;&gt;"",_xll.PBF($L157,$N$126,$O$126,V$127,"","EUR","r"),""),"")</f>
        <v/>
      </c>
      <c r="W157" s="1687" t="str" cm="1">
        <f t="array" aca="1" ref="W157" ca="1">IFERROR(IF($L157&lt;&gt;"",_xll.PBF($L157,$N$126,$O$126,W$127,"","EUR","r"),""),"")</f>
        <v/>
      </c>
      <c r="X157" s="1687" t="str" cm="1">
        <f t="array" aca="1" ref="X157" ca="1">IFERROR(IF($L157&lt;&gt;"",_xll.PBF($L157,$N$126,$O$126,X$127,"","EUR","r"),""),"")</f>
        <v/>
      </c>
      <c r="Y157" s="1687" t="str" cm="1">
        <f t="array" aca="1" ref="Y157" ca="1">IFERROR(IF($L157&lt;&gt;"",_xll.PBF($L157,$N$126,$O$126,Y$127,"","EUR","r"),""),"")</f>
        <v/>
      </c>
      <c r="Z157" s="1687" t="str" cm="1">
        <f t="array" aca="1" ref="Z157" ca="1">IFERROR(IF($L157&lt;&gt;"",_xll.PBF($L157,$N$126,$O$126,Z$127,"","EUR","r"),""),"")</f>
        <v/>
      </c>
      <c r="AA157" s="1687" t="str" cm="1">
        <f t="array" aca="1" ref="AA157" ca="1">IFERROR(IF($L157&lt;&gt;"",_xll.PBF($L157,$N$126,$O$126,AA$127,"","EUR","r"),""),"")</f>
        <v/>
      </c>
      <c r="AB157" s="1687" t="str" cm="1">
        <f t="array" aca="1" ref="AB157" ca="1">IFERROR(IF($L157&lt;&gt;"",_xll.PBF($L157,$N$126,$O$126,AB$127,"","EUR","r"),""),"")</f>
        <v/>
      </c>
      <c r="AC157" s="1687" t="str" cm="1">
        <f t="array" aca="1" ref="AC157" ca="1">IFERROR(IF($L157&lt;&gt;"",_xll.PBF($L157,$N$126,$O$126,AC$127,"","EUR","r"),""),"")</f>
        <v/>
      </c>
      <c r="AD157" s="1687" t="str" cm="1">
        <f t="array" aca="1" ref="AD157" ca="1">IFERROR(IF($L157&lt;&gt;"",_xll.PBF($L157,$N$126,$O$126,AD$127,"","EUR","r"),""),"")</f>
        <v/>
      </c>
      <c r="AE157" s="1687" t="str" cm="1">
        <f t="array" aca="1" ref="AE157" ca="1">IFERROR(IF($L157&lt;&gt;"",_xll.PBF($L157,$N$126,$O$126,AE$127,"","EUR","r"),""),"")</f>
        <v/>
      </c>
      <c r="AF157" s="1687" t="str" cm="1">
        <f t="array" aca="1" ref="AF157" ca="1">IFERROR(IF($L157&lt;&gt;"",_xll.PBF($L157,$N$126,$O$126,AF$127,"","EUR","r"),""),"")</f>
        <v/>
      </c>
      <c r="AG157" s="1687" t="str" cm="1">
        <f t="array" aca="1" ref="AG157" ca="1">IFERROR(IF($L157&lt;&gt;"",_xll.PBF($L157,$N$126,$O$126,AG$127,"","EUR","r"),""),"")</f>
        <v/>
      </c>
      <c r="AH157" s="1687" t="str" cm="1">
        <f t="array" aca="1" ref="AH157" ca="1">IFERROR(IF($L157&lt;&gt;"",_xll.PBF($L157,$N$126,$O$126,AH$127,"","EUR","r"),""),"")</f>
        <v/>
      </c>
      <c r="AI157" s="1687" t="str" cm="1">
        <f t="array" aca="1" ref="AI157" ca="1">IFERROR(IF($L157&lt;&gt;"",_xll.PBF($L157,$N$126,$O$126,AI$127,"","EUR","r"),""),"")</f>
        <v/>
      </c>
    </row>
    <row r="158" spans="12:35">
      <c r="L158" s="438" t="str">
        <f t="shared" si="32"/>
        <v/>
      </c>
      <c r="N158" s="1687" t="str" cm="1">
        <f t="array" aca="1" ref="N158" ca="1">IFERROR(IF($L158&lt;&gt;"",_xll.PBF($L158,$N$126,$O$126,N$127,"","EUR","r"),""),"")</f>
        <v/>
      </c>
      <c r="O158" s="1687" t="str" cm="1">
        <f t="array" aca="1" ref="O158" ca="1">IFERROR(IF($L158&lt;&gt;"",_xll.PBF($L158,$N$126,$O$126,O$127,"","EUR","r"),""),"")</f>
        <v/>
      </c>
      <c r="P158" s="1687" t="str" cm="1">
        <f t="array" aca="1" ref="P158" ca="1">IFERROR(IF($L158&lt;&gt;"",_xll.PBF($L158,$N$126,$O$126,P$127,"","EUR","r"),""),"")</f>
        <v/>
      </c>
      <c r="Q158" s="1687" t="str" cm="1">
        <f t="array" aca="1" ref="Q158" ca="1">IFERROR(IF($L158&lt;&gt;"",_xll.PBF($L158,$N$126,$O$126,Q$127,"","EUR","r"),""),"")</f>
        <v/>
      </c>
      <c r="R158" s="1687" t="str" cm="1">
        <f t="array" aca="1" ref="R158" ca="1">IFERROR(IF($L158&lt;&gt;"",_xll.PBF($L158,$N$126,$O$126,R$127,"","EUR","r"),""),"")</f>
        <v/>
      </c>
      <c r="S158" s="1687" t="str" cm="1">
        <f t="array" aca="1" ref="S158" ca="1">IFERROR(IF($L158&lt;&gt;"",_xll.PBF($L158,$N$126,$O$126,S$127,"","EUR","r"),""),"")</f>
        <v/>
      </c>
      <c r="T158" s="1687" t="str" cm="1">
        <f t="array" aca="1" ref="T158" ca="1">IFERROR(IF($L158&lt;&gt;"",_xll.PBF($L158,$N$126,$O$126,T$127,"","EUR","r"),""),"")</f>
        <v/>
      </c>
      <c r="U158" s="1687" t="str" cm="1">
        <f t="array" aca="1" ref="U158" ca="1">IFERROR(IF($L158&lt;&gt;"",_xll.PBF($L158,$N$126,$O$126,U$127,"","EUR","r"),""),"")</f>
        <v/>
      </c>
      <c r="V158" s="1687" t="str" cm="1">
        <f t="array" aca="1" ref="V158" ca="1">IFERROR(IF($L158&lt;&gt;"",_xll.PBF($L158,$N$126,$O$126,V$127,"","EUR","r"),""),"")</f>
        <v/>
      </c>
      <c r="W158" s="1687" t="str" cm="1">
        <f t="array" aca="1" ref="W158" ca="1">IFERROR(IF($L158&lt;&gt;"",_xll.PBF($L158,$N$126,$O$126,W$127,"","EUR","r"),""),"")</f>
        <v/>
      </c>
      <c r="X158" s="1687" t="str" cm="1">
        <f t="array" aca="1" ref="X158" ca="1">IFERROR(IF($L158&lt;&gt;"",_xll.PBF($L158,$N$126,$O$126,X$127,"","EUR","r"),""),"")</f>
        <v/>
      </c>
      <c r="Y158" s="1687" t="str" cm="1">
        <f t="array" aca="1" ref="Y158" ca="1">IFERROR(IF($L158&lt;&gt;"",_xll.PBF($L158,$N$126,$O$126,Y$127,"","EUR","r"),""),"")</f>
        <v/>
      </c>
      <c r="Z158" s="1687" t="str" cm="1">
        <f t="array" aca="1" ref="Z158" ca="1">IFERROR(IF($L158&lt;&gt;"",_xll.PBF($L158,$N$126,$O$126,Z$127,"","EUR","r"),""),"")</f>
        <v/>
      </c>
      <c r="AA158" s="1687" t="str" cm="1">
        <f t="array" aca="1" ref="AA158" ca="1">IFERROR(IF($L158&lt;&gt;"",_xll.PBF($L158,$N$126,$O$126,AA$127,"","EUR","r"),""),"")</f>
        <v/>
      </c>
      <c r="AB158" s="1687" t="str" cm="1">
        <f t="array" aca="1" ref="AB158" ca="1">IFERROR(IF($L158&lt;&gt;"",_xll.PBF($L158,$N$126,$O$126,AB$127,"","EUR","r"),""),"")</f>
        <v/>
      </c>
      <c r="AC158" s="1687" t="str" cm="1">
        <f t="array" aca="1" ref="AC158" ca="1">IFERROR(IF($L158&lt;&gt;"",_xll.PBF($L158,$N$126,$O$126,AC$127,"","EUR","r"),""),"")</f>
        <v/>
      </c>
      <c r="AD158" s="1687" t="str" cm="1">
        <f t="array" aca="1" ref="AD158" ca="1">IFERROR(IF($L158&lt;&gt;"",_xll.PBF($L158,$N$126,$O$126,AD$127,"","EUR","r"),""),"")</f>
        <v/>
      </c>
      <c r="AE158" s="1687" t="str" cm="1">
        <f t="array" aca="1" ref="AE158" ca="1">IFERROR(IF($L158&lt;&gt;"",_xll.PBF($L158,$N$126,$O$126,AE$127,"","EUR","r"),""),"")</f>
        <v/>
      </c>
      <c r="AF158" s="1687" t="str" cm="1">
        <f t="array" aca="1" ref="AF158" ca="1">IFERROR(IF($L158&lt;&gt;"",_xll.PBF($L158,$N$126,$O$126,AF$127,"","EUR","r"),""),"")</f>
        <v/>
      </c>
      <c r="AG158" s="1687" t="str" cm="1">
        <f t="array" aca="1" ref="AG158" ca="1">IFERROR(IF($L158&lt;&gt;"",_xll.PBF($L158,$N$126,$O$126,AG$127,"","EUR","r"),""),"")</f>
        <v/>
      </c>
      <c r="AH158" s="1687" t="str" cm="1">
        <f t="array" aca="1" ref="AH158" ca="1">IFERROR(IF($L158&lt;&gt;"",_xll.PBF($L158,$N$126,$O$126,AH$127,"","EUR","r"),""),"")</f>
        <v/>
      </c>
      <c r="AI158" s="1687" t="str" cm="1">
        <f t="array" aca="1" ref="AI158" ca="1">IFERROR(IF($L158&lt;&gt;"",_xll.PBF($L158,$N$126,$O$126,AI$127,"","EUR","r"),""),"")</f>
        <v/>
      </c>
    </row>
    <row r="159" spans="12:35">
      <c r="L159" s="438" t="str">
        <f t="shared" si="32"/>
        <v/>
      </c>
      <c r="N159" s="1687" t="str" cm="1">
        <f t="array" aca="1" ref="N159" ca="1">IFERROR(IF($L159&lt;&gt;"",_xll.PBF($L159,$N$126,$O$126,N$127,"","EUR","r"),""),"")</f>
        <v/>
      </c>
      <c r="O159" s="1687" t="str" cm="1">
        <f t="array" aca="1" ref="O159" ca="1">IFERROR(IF($L159&lt;&gt;"",_xll.PBF($L159,$N$126,$O$126,O$127,"","EUR","r"),""),"")</f>
        <v/>
      </c>
      <c r="P159" s="1687" t="str" cm="1">
        <f t="array" aca="1" ref="P159" ca="1">IFERROR(IF($L159&lt;&gt;"",_xll.PBF($L159,$N$126,$O$126,P$127,"","EUR","r"),""),"")</f>
        <v/>
      </c>
      <c r="Q159" s="1687" t="str" cm="1">
        <f t="array" aca="1" ref="Q159" ca="1">IFERROR(IF($L159&lt;&gt;"",_xll.PBF($L159,$N$126,$O$126,Q$127,"","EUR","r"),""),"")</f>
        <v/>
      </c>
      <c r="R159" s="1687" t="str" cm="1">
        <f t="array" aca="1" ref="R159" ca="1">IFERROR(IF($L159&lt;&gt;"",_xll.PBF($L159,$N$126,$O$126,R$127,"","EUR","r"),""),"")</f>
        <v/>
      </c>
      <c r="S159" s="1687" t="str" cm="1">
        <f t="array" aca="1" ref="S159" ca="1">IFERROR(IF($L159&lt;&gt;"",_xll.PBF($L159,$N$126,$O$126,S$127,"","EUR","r"),""),"")</f>
        <v/>
      </c>
      <c r="T159" s="1687" t="str" cm="1">
        <f t="array" aca="1" ref="T159" ca="1">IFERROR(IF($L159&lt;&gt;"",_xll.PBF($L159,$N$126,$O$126,T$127,"","EUR","r"),""),"")</f>
        <v/>
      </c>
      <c r="U159" s="1687" t="str" cm="1">
        <f t="array" aca="1" ref="U159" ca="1">IFERROR(IF($L159&lt;&gt;"",_xll.PBF($L159,$N$126,$O$126,U$127,"","EUR","r"),""),"")</f>
        <v/>
      </c>
      <c r="V159" s="1687" t="str" cm="1">
        <f t="array" aca="1" ref="V159" ca="1">IFERROR(IF($L159&lt;&gt;"",_xll.PBF($L159,$N$126,$O$126,V$127,"","EUR","r"),""),"")</f>
        <v/>
      </c>
      <c r="W159" s="1687" t="str" cm="1">
        <f t="array" aca="1" ref="W159" ca="1">IFERROR(IF($L159&lt;&gt;"",_xll.PBF($L159,$N$126,$O$126,W$127,"","EUR","r"),""),"")</f>
        <v/>
      </c>
      <c r="X159" s="1687" t="str" cm="1">
        <f t="array" aca="1" ref="X159" ca="1">IFERROR(IF($L159&lt;&gt;"",_xll.PBF($L159,$N$126,$O$126,X$127,"","EUR","r"),""),"")</f>
        <v/>
      </c>
      <c r="Y159" s="1687" t="str" cm="1">
        <f t="array" aca="1" ref="Y159" ca="1">IFERROR(IF($L159&lt;&gt;"",_xll.PBF($L159,$N$126,$O$126,Y$127,"","EUR","r"),""),"")</f>
        <v/>
      </c>
      <c r="Z159" s="1687" t="str" cm="1">
        <f t="array" aca="1" ref="Z159" ca="1">IFERROR(IF($L159&lt;&gt;"",_xll.PBF($L159,$N$126,$O$126,Z$127,"","EUR","r"),""),"")</f>
        <v/>
      </c>
      <c r="AA159" s="1687" t="str" cm="1">
        <f t="array" aca="1" ref="AA159" ca="1">IFERROR(IF($L159&lt;&gt;"",_xll.PBF($L159,$N$126,$O$126,AA$127,"","EUR","r"),""),"")</f>
        <v/>
      </c>
      <c r="AB159" s="1687" t="str" cm="1">
        <f t="array" aca="1" ref="AB159" ca="1">IFERROR(IF($L159&lt;&gt;"",_xll.PBF($L159,$N$126,$O$126,AB$127,"","EUR","r"),""),"")</f>
        <v/>
      </c>
      <c r="AC159" s="1687" t="str" cm="1">
        <f t="array" aca="1" ref="AC159" ca="1">IFERROR(IF($L159&lt;&gt;"",_xll.PBF($L159,$N$126,$O$126,AC$127,"","EUR","r"),""),"")</f>
        <v/>
      </c>
      <c r="AD159" s="1687" t="str" cm="1">
        <f t="array" aca="1" ref="AD159" ca="1">IFERROR(IF($L159&lt;&gt;"",_xll.PBF($L159,$N$126,$O$126,AD$127,"","EUR","r"),""),"")</f>
        <v/>
      </c>
      <c r="AE159" s="1687" t="str" cm="1">
        <f t="array" aca="1" ref="AE159" ca="1">IFERROR(IF($L159&lt;&gt;"",_xll.PBF($L159,$N$126,$O$126,AE$127,"","EUR","r"),""),"")</f>
        <v/>
      </c>
      <c r="AF159" s="1687" t="str" cm="1">
        <f t="array" aca="1" ref="AF159" ca="1">IFERROR(IF($L159&lt;&gt;"",_xll.PBF($L159,$N$126,$O$126,AF$127,"","EUR","r"),""),"")</f>
        <v/>
      </c>
      <c r="AG159" s="1687" t="str" cm="1">
        <f t="array" aca="1" ref="AG159" ca="1">IFERROR(IF($L159&lt;&gt;"",_xll.PBF($L159,$N$126,$O$126,AG$127,"","EUR","r"),""),"")</f>
        <v/>
      </c>
      <c r="AH159" s="1687" t="str" cm="1">
        <f t="array" aca="1" ref="AH159" ca="1">IFERROR(IF($L159&lt;&gt;"",_xll.PBF($L159,$N$126,$O$126,AH$127,"","EUR","r"),""),"")</f>
        <v/>
      </c>
      <c r="AI159" s="1687" t="str" cm="1">
        <f t="array" aca="1" ref="AI159" ca="1">IFERROR(IF($L159&lt;&gt;"",_xll.PBF($L159,$N$126,$O$126,AI$127,"","EUR","r"),""),"")</f>
        <v/>
      </c>
    </row>
    <row r="160" spans="12:35">
      <c r="L160" s="438" t="str">
        <f t="shared" si="32"/>
        <v/>
      </c>
      <c r="N160" s="1687" t="str" cm="1">
        <f t="array" aca="1" ref="N160" ca="1">IFERROR(IF($L160&lt;&gt;"",_xll.PBF($L160,$N$126,$O$126,N$127,"","EUR","r"),""),"")</f>
        <v/>
      </c>
      <c r="O160" s="1687" t="str" cm="1">
        <f t="array" aca="1" ref="O160" ca="1">IFERROR(IF($L160&lt;&gt;"",_xll.PBF($L160,$N$126,$O$126,O$127,"","EUR","r"),""),"")</f>
        <v/>
      </c>
      <c r="P160" s="1687" t="str" cm="1">
        <f t="array" aca="1" ref="P160" ca="1">IFERROR(IF($L160&lt;&gt;"",_xll.PBF($L160,$N$126,$O$126,P$127,"","EUR","r"),""),"")</f>
        <v/>
      </c>
      <c r="Q160" s="1687" t="str" cm="1">
        <f t="array" aca="1" ref="Q160" ca="1">IFERROR(IF($L160&lt;&gt;"",_xll.PBF($L160,$N$126,$O$126,Q$127,"","EUR","r"),""),"")</f>
        <v/>
      </c>
      <c r="R160" s="1687" t="str" cm="1">
        <f t="array" aca="1" ref="R160" ca="1">IFERROR(IF($L160&lt;&gt;"",_xll.PBF($L160,$N$126,$O$126,R$127,"","EUR","r"),""),"")</f>
        <v/>
      </c>
      <c r="S160" s="1687" t="str" cm="1">
        <f t="array" aca="1" ref="S160" ca="1">IFERROR(IF($L160&lt;&gt;"",_xll.PBF($L160,$N$126,$O$126,S$127,"","EUR","r"),""),"")</f>
        <v/>
      </c>
      <c r="T160" s="1687" t="str" cm="1">
        <f t="array" aca="1" ref="T160" ca="1">IFERROR(IF($L160&lt;&gt;"",_xll.PBF($L160,$N$126,$O$126,T$127,"","EUR","r"),""),"")</f>
        <v/>
      </c>
      <c r="U160" s="1687" t="str" cm="1">
        <f t="array" aca="1" ref="U160" ca="1">IFERROR(IF($L160&lt;&gt;"",_xll.PBF($L160,$N$126,$O$126,U$127,"","EUR","r"),""),"")</f>
        <v/>
      </c>
      <c r="V160" s="1687" t="str" cm="1">
        <f t="array" aca="1" ref="V160" ca="1">IFERROR(IF($L160&lt;&gt;"",_xll.PBF($L160,$N$126,$O$126,V$127,"","EUR","r"),""),"")</f>
        <v/>
      </c>
      <c r="W160" s="1687" t="str" cm="1">
        <f t="array" aca="1" ref="W160" ca="1">IFERROR(IF($L160&lt;&gt;"",_xll.PBF($L160,$N$126,$O$126,W$127,"","EUR","r"),""),"")</f>
        <v/>
      </c>
      <c r="X160" s="1687" t="str" cm="1">
        <f t="array" aca="1" ref="X160" ca="1">IFERROR(IF($L160&lt;&gt;"",_xll.PBF($L160,$N$126,$O$126,X$127,"","EUR","r"),""),"")</f>
        <v/>
      </c>
      <c r="Y160" s="1687" t="str" cm="1">
        <f t="array" aca="1" ref="Y160" ca="1">IFERROR(IF($L160&lt;&gt;"",_xll.PBF($L160,$N$126,$O$126,Y$127,"","EUR","r"),""),"")</f>
        <v/>
      </c>
      <c r="Z160" s="1687" t="str" cm="1">
        <f t="array" aca="1" ref="Z160" ca="1">IFERROR(IF($L160&lt;&gt;"",_xll.PBF($L160,$N$126,$O$126,Z$127,"","EUR","r"),""),"")</f>
        <v/>
      </c>
      <c r="AA160" s="1687" t="str" cm="1">
        <f t="array" aca="1" ref="AA160" ca="1">IFERROR(IF($L160&lt;&gt;"",_xll.PBF($L160,$N$126,$O$126,AA$127,"","EUR","r"),""),"")</f>
        <v/>
      </c>
      <c r="AB160" s="1687" t="str" cm="1">
        <f t="array" aca="1" ref="AB160" ca="1">IFERROR(IF($L160&lt;&gt;"",_xll.PBF($L160,$N$126,$O$126,AB$127,"","EUR","r"),""),"")</f>
        <v/>
      </c>
      <c r="AC160" s="1687" t="str" cm="1">
        <f t="array" aca="1" ref="AC160" ca="1">IFERROR(IF($L160&lt;&gt;"",_xll.PBF($L160,$N$126,$O$126,AC$127,"","EUR","r"),""),"")</f>
        <v/>
      </c>
      <c r="AD160" s="1687" t="str" cm="1">
        <f t="array" aca="1" ref="AD160" ca="1">IFERROR(IF($L160&lt;&gt;"",_xll.PBF($L160,$N$126,$O$126,AD$127,"","EUR","r"),""),"")</f>
        <v/>
      </c>
      <c r="AE160" s="1687" t="str" cm="1">
        <f t="array" aca="1" ref="AE160" ca="1">IFERROR(IF($L160&lt;&gt;"",_xll.PBF($L160,$N$126,$O$126,AE$127,"","EUR","r"),""),"")</f>
        <v/>
      </c>
      <c r="AF160" s="1687" t="str" cm="1">
        <f t="array" aca="1" ref="AF160" ca="1">IFERROR(IF($L160&lt;&gt;"",_xll.PBF($L160,$N$126,$O$126,AF$127,"","EUR","r"),""),"")</f>
        <v/>
      </c>
      <c r="AG160" s="1687" t="str" cm="1">
        <f t="array" aca="1" ref="AG160" ca="1">IFERROR(IF($L160&lt;&gt;"",_xll.PBF($L160,$N$126,$O$126,AG$127,"","EUR","r"),""),"")</f>
        <v/>
      </c>
      <c r="AH160" s="1687" t="str" cm="1">
        <f t="array" aca="1" ref="AH160" ca="1">IFERROR(IF($L160&lt;&gt;"",_xll.PBF($L160,$N$126,$O$126,AH$127,"","EUR","r"),""),"")</f>
        <v/>
      </c>
      <c r="AI160" s="1687" t="str" cm="1">
        <f t="array" aca="1" ref="AI160" ca="1">IFERROR(IF($L160&lt;&gt;"",_xll.PBF($L160,$N$126,$O$126,AI$127,"","EUR","r"),""),"")</f>
        <v/>
      </c>
    </row>
    <row r="161" spans="12:35">
      <c r="L161" s="438" t="str">
        <f t="shared" si="32"/>
        <v/>
      </c>
      <c r="N161" s="1687" t="str" cm="1">
        <f t="array" aca="1" ref="N161" ca="1">IFERROR(IF($L161&lt;&gt;"",_xll.PBF($L161,$N$126,$O$126,N$127,"","EUR","r"),""),"")</f>
        <v/>
      </c>
      <c r="O161" s="1687" t="str" cm="1">
        <f t="array" aca="1" ref="O161" ca="1">IFERROR(IF($L161&lt;&gt;"",_xll.PBF($L161,$N$126,$O$126,O$127,"","EUR","r"),""),"")</f>
        <v/>
      </c>
      <c r="P161" s="1687" t="str" cm="1">
        <f t="array" aca="1" ref="P161" ca="1">IFERROR(IF($L161&lt;&gt;"",_xll.PBF($L161,$N$126,$O$126,P$127,"","EUR","r"),""),"")</f>
        <v/>
      </c>
      <c r="Q161" s="1687" t="str" cm="1">
        <f t="array" aca="1" ref="Q161" ca="1">IFERROR(IF($L161&lt;&gt;"",_xll.PBF($L161,$N$126,$O$126,Q$127,"","EUR","r"),""),"")</f>
        <v/>
      </c>
      <c r="R161" s="1687" t="str" cm="1">
        <f t="array" aca="1" ref="R161" ca="1">IFERROR(IF($L161&lt;&gt;"",_xll.PBF($L161,$N$126,$O$126,R$127,"","EUR","r"),""),"")</f>
        <v/>
      </c>
      <c r="S161" s="1687" t="str" cm="1">
        <f t="array" aca="1" ref="S161" ca="1">IFERROR(IF($L161&lt;&gt;"",_xll.PBF($L161,$N$126,$O$126,S$127,"","EUR","r"),""),"")</f>
        <v/>
      </c>
      <c r="T161" s="1687" t="str" cm="1">
        <f t="array" aca="1" ref="T161" ca="1">IFERROR(IF($L161&lt;&gt;"",_xll.PBF($L161,$N$126,$O$126,T$127,"","EUR","r"),""),"")</f>
        <v/>
      </c>
      <c r="U161" s="1687" t="str" cm="1">
        <f t="array" aca="1" ref="U161" ca="1">IFERROR(IF($L161&lt;&gt;"",_xll.PBF($L161,$N$126,$O$126,U$127,"","EUR","r"),""),"")</f>
        <v/>
      </c>
      <c r="V161" s="1687" t="str" cm="1">
        <f t="array" aca="1" ref="V161" ca="1">IFERROR(IF($L161&lt;&gt;"",_xll.PBF($L161,$N$126,$O$126,V$127,"","EUR","r"),""),"")</f>
        <v/>
      </c>
      <c r="W161" s="1687" t="str" cm="1">
        <f t="array" aca="1" ref="W161" ca="1">IFERROR(IF($L161&lt;&gt;"",_xll.PBF($L161,$N$126,$O$126,W$127,"","EUR","r"),""),"")</f>
        <v/>
      </c>
      <c r="X161" s="1687" t="str" cm="1">
        <f t="array" aca="1" ref="X161" ca="1">IFERROR(IF($L161&lt;&gt;"",_xll.PBF($L161,$N$126,$O$126,X$127,"","EUR","r"),""),"")</f>
        <v/>
      </c>
      <c r="Y161" s="1687" t="str" cm="1">
        <f t="array" aca="1" ref="Y161" ca="1">IFERROR(IF($L161&lt;&gt;"",_xll.PBF($L161,$N$126,$O$126,Y$127,"","EUR","r"),""),"")</f>
        <v/>
      </c>
      <c r="Z161" s="1687" t="str" cm="1">
        <f t="array" aca="1" ref="Z161" ca="1">IFERROR(IF($L161&lt;&gt;"",_xll.PBF($L161,$N$126,$O$126,Z$127,"","EUR","r"),""),"")</f>
        <v/>
      </c>
      <c r="AA161" s="1687" t="str" cm="1">
        <f t="array" aca="1" ref="AA161" ca="1">IFERROR(IF($L161&lt;&gt;"",_xll.PBF($L161,$N$126,$O$126,AA$127,"","EUR","r"),""),"")</f>
        <v/>
      </c>
      <c r="AB161" s="1687" t="str" cm="1">
        <f t="array" aca="1" ref="AB161" ca="1">IFERROR(IF($L161&lt;&gt;"",_xll.PBF($L161,$N$126,$O$126,AB$127,"","EUR","r"),""),"")</f>
        <v/>
      </c>
      <c r="AC161" s="1687" t="str" cm="1">
        <f t="array" aca="1" ref="AC161" ca="1">IFERROR(IF($L161&lt;&gt;"",_xll.PBF($L161,$N$126,$O$126,AC$127,"","EUR","r"),""),"")</f>
        <v/>
      </c>
      <c r="AD161" s="1687" t="str" cm="1">
        <f t="array" aca="1" ref="AD161" ca="1">IFERROR(IF($L161&lt;&gt;"",_xll.PBF($L161,$N$126,$O$126,AD$127,"","EUR","r"),""),"")</f>
        <v/>
      </c>
      <c r="AE161" s="1687" t="str" cm="1">
        <f t="array" aca="1" ref="AE161" ca="1">IFERROR(IF($L161&lt;&gt;"",_xll.PBF($L161,$N$126,$O$126,AE$127,"","EUR","r"),""),"")</f>
        <v/>
      </c>
      <c r="AF161" s="1687" t="str" cm="1">
        <f t="array" aca="1" ref="AF161" ca="1">IFERROR(IF($L161&lt;&gt;"",_xll.PBF($L161,$N$126,$O$126,AF$127,"","EUR","r"),""),"")</f>
        <v/>
      </c>
      <c r="AG161" s="1687" t="str" cm="1">
        <f t="array" aca="1" ref="AG161" ca="1">IFERROR(IF($L161&lt;&gt;"",_xll.PBF($L161,$N$126,$O$126,AG$127,"","EUR","r"),""),"")</f>
        <v/>
      </c>
      <c r="AH161" s="1687" t="str" cm="1">
        <f t="array" aca="1" ref="AH161" ca="1">IFERROR(IF($L161&lt;&gt;"",_xll.PBF($L161,$N$126,$O$126,AH$127,"","EUR","r"),""),"")</f>
        <v/>
      </c>
      <c r="AI161" s="1687" t="str" cm="1">
        <f t="array" aca="1" ref="AI161" ca="1">IFERROR(IF($L161&lt;&gt;"",_xll.PBF($L161,$N$126,$O$126,AI$127,"","EUR","r"),""),"")</f>
        <v/>
      </c>
    </row>
    <row r="162" spans="12:35">
      <c r="L162" s="438" t="str">
        <f t="shared" si="32"/>
        <v/>
      </c>
      <c r="N162" s="1687" t="str" cm="1">
        <f t="array" aca="1" ref="N162" ca="1">IFERROR(IF($L162&lt;&gt;"",_xll.PBF($L162,$N$126,$O$126,N$127,"","EUR","r"),""),"")</f>
        <v/>
      </c>
      <c r="O162" s="1687" t="str" cm="1">
        <f t="array" aca="1" ref="O162" ca="1">IFERROR(IF($L162&lt;&gt;"",_xll.PBF($L162,$N$126,$O$126,O$127,"","EUR","r"),""),"")</f>
        <v/>
      </c>
      <c r="P162" s="1687" t="str" cm="1">
        <f t="array" aca="1" ref="P162" ca="1">IFERROR(IF($L162&lt;&gt;"",_xll.PBF($L162,$N$126,$O$126,P$127,"","EUR","r"),""),"")</f>
        <v/>
      </c>
      <c r="Q162" s="1687" t="str" cm="1">
        <f t="array" aca="1" ref="Q162" ca="1">IFERROR(IF($L162&lt;&gt;"",_xll.PBF($L162,$N$126,$O$126,Q$127,"","EUR","r"),""),"")</f>
        <v/>
      </c>
      <c r="R162" s="1687" t="str" cm="1">
        <f t="array" aca="1" ref="R162" ca="1">IFERROR(IF($L162&lt;&gt;"",_xll.PBF($L162,$N$126,$O$126,R$127,"","EUR","r"),""),"")</f>
        <v/>
      </c>
      <c r="S162" s="1687" t="str" cm="1">
        <f t="array" aca="1" ref="S162" ca="1">IFERROR(IF($L162&lt;&gt;"",_xll.PBF($L162,$N$126,$O$126,S$127,"","EUR","r"),""),"")</f>
        <v/>
      </c>
      <c r="T162" s="1687" t="str" cm="1">
        <f t="array" aca="1" ref="T162" ca="1">IFERROR(IF($L162&lt;&gt;"",_xll.PBF($L162,$N$126,$O$126,T$127,"","EUR","r"),""),"")</f>
        <v/>
      </c>
      <c r="U162" s="1687" t="str" cm="1">
        <f t="array" aca="1" ref="U162" ca="1">IFERROR(IF($L162&lt;&gt;"",_xll.PBF($L162,$N$126,$O$126,U$127,"","EUR","r"),""),"")</f>
        <v/>
      </c>
      <c r="V162" s="1687" t="str" cm="1">
        <f t="array" aca="1" ref="V162" ca="1">IFERROR(IF($L162&lt;&gt;"",_xll.PBF($L162,$N$126,$O$126,V$127,"","EUR","r"),""),"")</f>
        <v/>
      </c>
      <c r="W162" s="1687" t="str" cm="1">
        <f t="array" aca="1" ref="W162" ca="1">IFERROR(IF($L162&lt;&gt;"",_xll.PBF($L162,$N$126,$O$126,W$127,"","EUR","r"),""),"")</f>
        <v/>
      </c>
      <c r="X162" s="1687" t="str" cm="1">
        <f t="array" aca="1" ref="X162" ca="1">IFERROR(IF($L162&lt;&gt;"",_xll.PBF($L162,$N$126,$O$126,X$127,"","EUR","r"),""),"")</f>
        <v/>
      </c>
      <c r="Y162" s="1687" t="str" cm="1">
        <f t="array" aca="1" ref="Y162" ca="1">IFERROR(IF($L162&lt;&gt;"",_xll.PBF($L162,$N$126,$O$126,Y$127,"","EUR","r"),""),"")</f>
        <v/>
      </c>
      <c r="Z162" s="1687" t="str" cm="1">
        <f t="array" aca="1" ref="Z162" ca="1">IFERROR(IF($L162&lt;&gt;"",_xll.PBF($L162,$N$126,$O$126,Z$127,"","EUR","r"),""),"")</f>
        <v/>
      </c>
      <c r="AA162" s="1687" t="str" cm="1">
        <f t="array" aca="1" ref="AA162" ca="1">IFERROR(IF($L162&lt;&gt;"",_xll.PBF($L162,$N$126,$O$126,AA$127,"","EUR","r"),""),"")</f>
        <v/>
      </c>
      <c r="AB162" s="1687" t="str" cm="1">
        <f t="array" aca="1" ref="AB162" ca="1">IFERROR(IF($L162&lt;&gt;"",_xll.PBF($L162,$N$126,$O$126,AB$127,"","EUR","r"),""),"")</f>
        <v/>
      </c>
      <c r="AC162" s="1687" t="str" cm="1">
        <f t="array" aca="1" ref="AC162" ca="1">IFERROR(IF($L162&lt;&gt;"",_xll.PBF($L162,$N$126,$O$126,AC$127,"","EUR","r"),""),"")</f>
        <v/>
      </c>
      <c r="AD162" s="1687" t="str" cm="1">
        <f t="array" aca="1" ref="AD162" ca="1">IFERROR(IF($L162&lt;&gt;"",_xll.PBF($L162,$N$126,$O$126,AD$127,"","EUR","r"),""),"")</f>
        <v/>
      </c>
      <c r="AE162" s="1687" t="str" cm="1">
        <f t="array" aca="1" ref="AE162" ca="1">IFERROR(IF($L162&lt;&gt;"",_xll.PBF($L162,$N$126,$O$126,AE$127,"","EUR","r"),""),"")</f>
        <v/>
      </c>
      <c r="AF162" s="1687" t="str" cm="1">
        <f t="array" aca="1" ref="AF162" ca="1">IFERROR(IF($L162&lt;&gt;"",_xll.PBF($L162,$N$126,$O$126,AF$127,"","EUR","r"),""),"")</f>
        <v/>
      </c>
      <c r="AG162" s="1687" t="str" cm="1">
        <f t="array" aca="1" ref="AG162" ca="1">IFERROR(IF($L162&lt;&gt;"",_xll.PBF($L162,$N$126,$O$126,AG$127,"","EUR","r"),""),"")</f>
        <v/>
      </c>
      <c r="AH162" s="1687" t="str" cm="1">
        <f t="array" aca="1" ref="AH162" ca="1">IFERROR(IF($L162&lt;&gt;"",_xll.PBF($L162,$N$126,$O$126,AH$127,"","EUR","r"),""),"")</f>
        <v/>
      </c>
      <c r="AI162" s="1687" t="str" cm="1">
        <f t="array" aca="1" ref="AI162" ca="1">IFERROR(IF($L162&lt;&gt;"",_xll.PBF($L162,$N$126,$O$126,AI$127,"","EUR","r"),""),"")</f>
        <v/>
      </c>
    </row>
    <row r="163" spans="12:35">
      <c r="L163" s="438" t="str">
        <f t="shared" si="32"/>
        <v/>
      </c>
      <c r="N163" s="1687" t="str" cm="1">
        <f t="array" aca="1" ref="N163" ca="1">IFERROR(IF($L163&lt;&gt;"",_xll.PBF($L163,$N$126,$O$126,N$127,"","EUR","r"),""),"")</f>
        <v/>
      </c>
      <c r="O163" s="1687" t="str" cm="1">
        <f t="array" aca="1" ref="O163" ca="1">IFERROR(IF($L163&lt;&gt;"",_xll.PBF($L163,$N$126,$O$126,O$127,"","EUR","r"),""),"")</f>
        <v/>
      </c>
      <c r="P163" s="1687" t="str" cm="1">
        <f t="array" aca="1" ref="P163" ca="1">IFERROR(IF($L163&lt;&gt;"",_xll.PBF($L163,$N$126,$O$126,P$127,"","EUR","r"),""),"")</f>
        <v/>
      </c>
      <c r="Q163" s="1687" t="str" cm="1">
        <f t="array" aca="1" ref="Q163" ca="1">IFERROR(IF($L163&lt;&gt;"",_xll.PBF($L163,$N$126,$O$126,Q$127,"","EUR","r"),""),"")</f>
        <v/>
      </c>
      <c r="R163" s="1687" t="str" cm="1">
        <f t="array" aca="1" ref="R163" ca="1">IFERROR(IF($L163&lt;&gt;"",_xll.PBF($L163,$N$126,$O$126,R$127,"","EUR","r"),""),"")</f>
        <v/>
      </c>
      <c r="S163" s="1687" t="str" cm="1">
        <f t="array" aca="1" ref="S163" ca="1">IFERROR(IF($L163&lt;&gt;"",_xll.PBF($L163,$N$126,$O$126,S$127,"","EUR","r"),""),"")</f>
        <v/>
      </c>
      <c r="T163" s="1687" t="str" cm="1">
        <f t="array" aca="1" ref="T163" ca="1">IFERROR(IF($L163&lt;&gt;"",_xll.PBF($L163,$N$126,$O$126,T$127,"","EUR","r"),""),"")</f>
        <v/>
      </c>
      <c r="U163" s="1687" t="str" cm="1">
        <f t="array" aca="1" ref="U163" ca="1">IFERROR(IF($L163&lt;&gt;"",_xll.PBF($L163,$N$126,$O$126,U$127,"","EUR","r"),""),"")</f>
        <v/>
      </c>
      <c r="V163" s="1687" t="str" cm="1">
        <f t="array" aca="1" ref="V163" ca="1">IFERROR(IF($L163&lt;&gt;"",_xll.PBF($L163,$N$126,$O$126,V$127,"","EUR","r"),""),"")</f>
        <v/>
      </c>
      <c r="W163" s="1687" t="str" cm="1">
        <f t="array" aca="1" ref="W163" ca="1">IFERROR(IF($L163&lt;&gt;"",_xll.PBF($L163,$N$126,$O$126,W$127,"","EUR","r"),""),"")</f>
        <v/>
      </c>
      <c r="X163" s="1687" t="str" cm="1">
        <f t="array" aca="1" ref="X163" ca="1">IFERROR(IF($L163&lt;&gt;"",_xll.PBF($L163,$N$126,$O$126,X$127,"","EUR","r"),""),"")</f>
        <v/>
      </c>
      <c r="Y163" s="1687" t="str" cm="1">
        <f t="array" aca="1" ref="Y163" ca="1">IFERROR(IF($L163&lt;&gt;"",_xll.PBF($L163,$N$126,$O$126,Y$127,"","EUR","r"),""),"")</f>
        <v/>
      </c>
      <c r="Z163" s="1687" t="str" cm="1">
        <f t="array" aca="1" ref="Z163" ca="1">IFERROR(IF($L163&lt;&gt;"",_xll.PBF($L163,$N$126,$O$126,Z$127,"","EUR","r"),""),"")</f>
        <v/>
      </c>
      <c r="AA163" s="1687" t="str" cm="1">
        <f t="array" aca="1" ref="AA163" ca="1">IFERROR(IF($L163&lt;&gt;"",_xll.PBF($L163,$N$126,$O$126,AA$127,"","EUR","r"),""),"")</f>
        <v/>
      </c>
      <c r="AB163" s="1687" t="str" cm="1">
        <f t="array" aca="1" ref="AB163" ca="1">IFERROR(IF($L163&lt;&gt;"",_xll.PBF($L163,$N$126,$O$126,AB$127,"","EUR","r"),""),"")</f>
        <v/>
      </c>
      <c r="AC163" s="1687" t="str" cm="1">
        <f t="array" aca="1" ref="AC163" ca="1">IFERROR(IF($L163&lt;&gt;"",_xll.PBF($L163,$N$126,$O$126,AC$127,"","EUR","r"),""),"")</f>
        <v/>
      </c>
      <c r="AD163" s="1687" t="str" cm="1">
        <f t="array" aca="1" ref="AD163" ca="1">IFERROR(IF($L163&lt;&gt;"",_xll.PBF($L163,$N$126,$O$126,AD$127,"","EUR","r"),""),"")</f>
        <v/>
      </c>
      <c r="AE163" s="1687" t="str" cm="1">
        <f t="array" aca="1" ref="AE163" ca="1">IFERROR(IF($L163&lt;&gt;"",_xll.PBF($L163,$N$126,$O$126,AE$127,"","EUR","r"),""),"")</f>
        <v/>
      </c>
      <c r="AF163" s="1687" t="str" cm="1">
        <f t="array" aca="1" ref="AF163" ca="1">IFERROR(IF($L163&lt;&gt;"",_xll.PBF($L163,$N$126,$O$126,AF$127,"","EUR","r"),""),"")</f>
        <v/>
      </c>
      <c r="AG163" s="1687" t="str" cm="1">
        <f t="array" aca="1" ref="AG163" ca="1">IFERROR(IF($L163&lt;&gt;"",_xll.PBF($L163,$N$126,$O$126,AG$127,"","EUR","r"),""),"")</f>
        <v/>
      </c>
      <c r="AH163" s="1687" t="str" cm="1">
        <f t="array" aca="1" ref="AH163" ca="1">IFERROR(IF($L163&lt;&gt;"",_xll.PBF($L163,$N$126,$O$126,AH$127,"","EUR","r"),""),"")</f>
        <v/>
      </c>
      <c r="AI163" s="1687" t="str" cm="1">
        <f t="array" aca="1" ref="AI163" ca="1">IFERROR(IF($L163&lt;&gt;"",_xll.PBF($L163,$N$126,$O$126,AI$127,"","EUR","r"),""),"")</f>
        <v/>
      </c>
    </row>
    <row r="164" spans="12:35">
      <c r="L164" s="438" t="str">
        <f t="shared" si="32"/>
        <v/>
      </c>
      <c r="N164" s="1687" t="str" cm="1">
        <f t="array" aca="1" ref="N164" ca="1">IFERROR(IF($L164&lt;&gt;"",_xll.PBF($L164,$N$126,$O$126,N$127,"","EUR","r"),""),"")</f>
        <v/>
      </c>
      <c r="O164" s="1687" t="str" cm="1">
        <f t="array" aca="1" ref="O164" ca="1">IFERROR(IF($L164&lt;&gt;"",_xll.PBF($L164,$N$126,$O$126,O$127,"","EUR","r"),""),"")</f>
        <v/>
      </c>
      <c r="P164" s="1687" t="str" cm="1">
        <f t="array" aca="1" ref="P164" ca="1">IFERROR(IF($L164&lt;&gt;"",_xll.PBF($L164,$N$126,$O$126,P$127,"","EUR","r"),""),"")</f>
        <v/>
      </c>
      <c r="Q164" s="1687" t="str" cm="1">
        <f t="array" aca="1" ref="Q164" ca="1">IFERROR(IF($L164&lt;&gt;"",_xll.PBF($L164,$N$126,$O$126,Q$127,"","EUR","r"),""),"")</f>
        <v/>
      </c>
      <c r="R164" s="1687" t="str" cm="1">
        <f t="array" aca="1" ref="R164" ca="1">IFERROR(IF($L164&lt;&gt;"",_xll.PBF($L164,$N$126,$O$126,R$127,"","EUR","r"),""),"")</f>
        <v/>
      </c>
      <c r="S164" s="1687" t="str" cm="1">
        <f t="array" aca="1" ref="S164" ca="1">IFERROR(IF($L164&lt;&gt;"",_xll.PBF($L164,$N$126,$O$126,S$127,"","EUR","r"),""),"")</f>
        <v/>
      </c>
      <c r="T164" s="1687" t="str" cm="1">
        <f t="array" aca="1" ref="T164" ca="1">IFERROR(IF($L164&lt;&gt;"",_xll.PBF($L164,$N$126,$O$126,T$127,"","EUR","r"),""),"")</f>
        <v/>
      </c>
      <c r="U164" s="1687" t="str" cm="1">
        <f t="array" aca="1" ref="U164" ca="1">IFERROR(IF($L164&lt;&gt;"",_xll.PBF($L164,$N$126,$O$126,U$127,"","EUR","r"),""),"")</f>
        <v/>
      </c>
      <c r="V164" s="1687" t="str" cm="1">
        <f t="array" aca="1" ref="V164" ca="1">IFERROR(IF($L164&lt;&gt;"",_xll.PBF($L164,$N$126,$O$126,V$127,"","EUR","r"),""),"")</f>
        <v/>
      </c>
      <c r="W164" s="1687" t="str" cm="1">
        <f t="array" aca="1" ref="W164" ca="1">IFERROR(IF($L164&lt;&gt;"",_xll.PBF($L164,$N$126,$O$126,W$127,"","EUR","r"),""),"")</f>
        <v/>
      </c>
      <c r="X164" s="1687" t="str" cm="1">
        <f t="array" aca="1" ref="X164" ca="1">IFERROR(IF($L164&lt;&gt;"",_xll.PBF($L164,$N$126,$O$126,X$127,"","EUR","r"),""),"")</f>
        <v/>
      </c>
      <c r="Y164" s="1687" t="str" cm="1">
        <f t="array" aca="1" ref="Y164" ca="1">IFERROR(IF($L164&lt;&gt;"",_xll.PBF($L164,$N$126,$O$126,Y$127,"","EUR","r"),""),"")</f>
        <v/>
      </c>
      <c r="Z164" s="1687" t="str" cm="1">
        <f t="array" aca="1" ref="Z164" ca="1">IFERROR(IF($L164&lt;&gt;"",_xll.PBF($L164,$N$126,$O$126,Z$127,"","EUR","r"),""),"")</f>
        <v/>
      </c>
      <c r="AA164" s="1687" t="str" cm="1">
        <f t="array" aca="1" ref="AA164" ca="1">IFERROR(IF($L164&lt;&gt;"",_xll.PBF($L164,$N$126,$O$126,AA$127,"","EUR","r"),""),"")</f>
        <v/>
      </c>
      <c r="AB164" s="1687" t="str" cm="1">
        <f t="array" aca="1" ref="AB164" ca="1">IFERROR(IF($L164&lt;&gt;"",_xll.PBF($L164,$N$126,$O$126,AB$127,"","EUR","r"),""),"")</f>
        <v/>
      </c>
      <c r="AC164" s="1687" t="str" cm="1">
        <f t="array" aca="1" ref="AC164" ca="1">IFERROR(IF($L164&lt;&gt;"",_xll.PBF($L164,$N$126,$O$126,AC$127,"","EUR","r"),""),"")</f>
        <v/>
      </c>
      <c r="AD164" s="1687" t="str" cm="1">
        <f t="array" aca="1" ref="AD164" ca="1">IFERROR(IF($L164&lt;&gt;"",_xll.PBF($L164,$N$126,$O$126,AD$127,"","EUR","r"),""),"")</f>
        <v/>
      </c>
      <c r="AE164" s="1687" t="str" cm="1">
        <f t="array" aca="1" ref="AE164" ca="1">IFERROR(IF($L164&lt;&gt;"",_xll.PBF($L164,$N$126,$O$126,AE$127,"","EUR","r"),""),"")</f>
        <v/>
      </c>
      <c r="AF164" s="1687" t="str" cm="1">
        <f t="array" aca="1" ref="AF164" ca="1">IFERROR(IF($L164&lt;&gt;"",_xll.PBF($L164,$N$126,$O$126,AF$127,"","EUR","r"),""),"")</f>
        <v/>
      </c>
      <c r="AG164" s="1687" t="str" cm="1">
        <f t="array" aca="1" ref="AG164" ca="1">IFERROR(IF($L164&lt;&gt;"",_xll.PBF($L164,$N$126,$O$126,AG$127,"","EUR","r"),""),"")</f>
        <v/>
      </c>
      <c r="AH164" s="1687" t="str" cm="1">
        <f t="array" aca="1" ref="AH164" ca="1">IFERROR(IF($L164&lt;&gt;"",_xll.PBF($L164,$N$126,$O$126,AH$127,"","EUR","r"),""),"")</f>
        <v/>
      </c>
      <c r="AI164" s="1687" t="str" cm="1">
        <f t="array" aca="1" ref="AI164" ca="1">IFERROR(IF($L164&lt;&gt;"",_xll.PBF($L164,$N$126,$O$126,AI$127,"","EUR","r"),""),"")</f>
        <v/>
      </c>
    </row>
    <row r="165" spans="12:35">
      <c r="L165" s="438" t="str">
        <f t="shared" si="32"/>
        <v/>
      </c>
      <c r="N165" s="1687" t="str" cm="1">
        <f t="array" aca="1" ref="N165" ca="1">IFERROR(IF($L165&lt;&gt;"",_xll.PBF($L165,$N$126,$O$126,N$127,"","EUR","r"),""),"")</f>
        <v/>
      </c>
      <c r="O165" s="1687" t="str" cm="1">
        <f t="array" aca="1" ref="O165" ca="1">IFERROR(IF($L165&lt;&gt;"",_xll.PBF($L165,$N$126,$O$126,O$127,"","EUR","r"),""),"")</f>
        <v/>
      </c>
      <c r="P165" s="1687" t="str" cm="1">
        <f t="array" aca="1" ref="P165" ca="1">IFERROR(IF($L165&lt;&gt;"",_xll.PBF($L165,$N$126,$O$126,P$127,"","EUR","r"),""),"")</f>
        <v/>
      </c>
      <c r="Q165" s="1687" t="str" cm="1">
        <f t="array" aca="1" ref="Q165" ca="1">IFERROR(IF($L165&lt;&gt;"",_xll.PBF($L165,$N$126,$O$126,Q$127,"","EUR","r"),""),"")</f>
        <v/>
      </c>
      <c r="R165" s="1687" t="str" cm="1">
        <f t="array" aca="1" ref="R165" ca="1">IFERROR(IF($L165&lt;&gt;"",_xll.PBF($L165,$N$126,$O$126,R$127,"","EUR","r"),""),"")</f>
        <v/>
      </c>
      <c r="S165" s="1687" t="str" cm="1">
        <f t="array" aca="1" ref="S165" ca="1">IFERROR(IF($L165&lt;&gt;"",_xll.PBF($L165,$N$126,$O$126,S$127,"","EUR","r"),""),"")</f>
        <v/>
      </c>
      <c r="T165" s="1687" t="str" cm="1">
        <f t="array" aca="1" ref="T165" ca="1">IFERROR(IF($L165&lt;&gt;"",_xll.PBF($L165,$N$126,$O$126,T$127,"","EUR","r"),""),"")</f>
        <v/>
      </c>
      <c r="U165" s="1687" t="str" cm="1">
        <f t="array" aca="1" ref="U165" ca="1">IFERROR(IF($L165&lt;&gt;"",_xll.PBF($L165,$N$126,$O$126,U$127,"","EUR","r"),""),"")</f>
        <v/>
      </c>
      <c r="V165" s="1687" t="str" cm="1">
        <f t="array" aca="1" ref="V165" ca="1">IFERROR(IF($L165&lt;&gt;"",_xll.PBF($L165,$N$126,$O$126,V$127,"","EUR","r"),""),"")</f>
        <v/>
      </c>
      <c r="W165" s="1687" t="str" cm="1">
        <f t="array" aca="1" ref="W165" ca="1">IFERROR(IF($L165&lt;&gt;"",_xll.PBF($L165,$N$126,$O$126,W$127,"","EUR","r"),""),"")</f>
        <v/>
      </c>
      <c r="X165" s="1687" t="str" cm="1">
        <f t="array" aca="1" ref="X165" ca="1">IFERROR(IF($L165&lt;&gt;"",_xll.PBF($L165,$N$126,$O$126,X$127,"","EUR","r"),""),"")</f>
        <v/>
      </c>
      <c r="Y165" s="1687" t="str" cm="1">
        <f t="array" aca="1" ref="Y165" ca="1">IFERROR(IF($L165&lt;&gt;"",_xll.PBF($L165,$N$126,$O$126,Y$127,"","EUR","r"),""),"")</f>
        <v/>
      </c>
      <c r="Z165" s="1687" t="str" cm="1">
        <f t="array" aca="1" ref="Z165" ca="1">IFERROR(IF($L165&lt;&gt;"",_xll.PBF($L165,$N$126,$O$126,Z$127,"","EUR","r"),""),"")</f>
        <v/>
      </c>
      <c r="AA165" s="1687" t="str" cm="1">
        <f t="array" aca="1" ref="AA165" ca="1">IFERROR(IF($L165&lt;&gt;"",_xll.PBF($L165,$N$126,$O$126,AA$127,"","EUR","r"),""),"")</f>
        <v/>
      </c>
      <c r="AB165" s="1687" t="str" cm="1">
        <f t="array" aca="1" ref="AB165" ca="1">IFERROR(IF($L165&lt;&gt;"",_xll.PBF($L165,$N$126,$O$126,AB$127,"","EUR","r"),""),"")</f>
        <v/>
      </c>
      <c r="AC165" s="1687" t="str" cm="1">
        <f t="array" aca="1" ref="AC165" ca="1">IFERROR(IF($L165&lt;&gt;"",_xll.PBF($L165,$N$126,$O$126,AC$127,"","EUR","r"),""),"")</f>
        <v/>
      </c>
      <c r="AD165" s="1687" t="str" cm="1">
        <f t="array" aca="1" ref="AD165" ca="1">IFERROR(IF($L165&lt;&gt;"",_xll.PBF($L165,$N$126,$O$126,AD$127,"","EUR","r"),""),"")</f>
        <v/>
      </c>
      <c r="AE165" s="1687" t="str" cm="1">
        <f t="array" aca="1" ref="AE165" ca="1">IFERROR(IF($L165&lt;&gt;"",_xll.PBF($L165,$N$126,$O$126,AE$127,"","EUR","r"),""),"")</f>
        <v/>
      </c>
      <c r="AF165" s="1687" t="str" cm="1">
        <f t="array" aca="1" ref="AF165" ca="1">IFERROR(IF($L165&lt;&gt;"",_xll.PBF($L165,$N$126,$O$126,AF$127,"","EUR","r"),""),"")</f>
        <v/>
      </c>
      <c r="AG165" s="1687" t="str" cm="1">
        <f t="array" aca="1" ref="AG165" ca="1">IFERROR(IF($L165&lt;&gt;"",_xll.PBF($L165,$N$126,$O$126,AG$127,"","EUR","r"),""),"")</f>
        <v/>
      </c>
      <c r="AH165" s="1687" t="str" cm="1">
        <f t="array" aca="1" ref="AH165" ca="1">IFERROR(IF($L165&lt;&gt;"",_xll.PBF($L165,$N$126,$O$126,AH$127,"","EUR","r"),""),"")</f>
        <v/>
      </c>
      <c r="AI165" s="1687" t="str" cm="1">
        <f t="array" aca="1" ref="AI165" ca="1">IFERROR(IF($L165&lt;&gt;"",_xll.PBF($L165,$N$126,$O$126,AI$127,"","EUR","r"),""),"")</f>
        <v/>
      </c>
    </row>
    <row r="166" spans="12:35">
      <c r="L166" s="438" t="str">
        <f t="shared" si="32"/>
        <v/>
      </c>
      <c r="N166" s="1687" t="str" cm="1">
        <f t="array" aca="1" ref="N166" ca="1">IFERROR(IF($L166&lt;&gt;"",_xll.PBF($L166,$N$126,$O$126,N$127,"","EUR","r"),""),"")</f>
        <v/>
      </c>
      <c r="O166" s="1687" t="str" cm="1">
        <f t="array" aca="1" ref="O166" ca="1">IFERROR(IF($L166&lt;&gt;"",_xll.PBF($L166,$N$126,$O$126,O$127,"","EUR","r"),""),"")</f>
        <v/>
      </c>
      <c r="P166" s="1687" t="str" cm="1">
        <f t="array" aca="1" ref="P166" ca="1">IFERROR(IF($L166&lt;&gt;"",_xll.PBF($L166,$N$126,$O$126,P$127,"","EUR","r"),""),"")</f>
        <v/>
      </c>
      <c r="Q166" s="1687" t="str" cm="1">
        <f t="array" aca="1" ref="Q166" ca="1">IFERROR(IF($L166&lt;&gt;"",_xll.PBF($L166,$N$126,$O$126,Q$127,"","EUR","r"),""),"")</f>
        <v/>
      </c>
      <c r="R166" s="1687" t="str" cm="1">
        <f t="array" aca="1" ref="R166" ca="1">IFERROR(IF($L166&lt;&gt;"",_xll.PBF($L166,$N$126,$O$126,R$127,"","EUR","r"),""),"")</f>
        <v/>
      </c>
      <c r="S166" s="1687" t="str" cm="1">
        <f t="array" aca="1" ref="S166" ca="1">IFERROR(IF($L166&lt;&gt;"",_xll.PBF($L166,$N$126,$O$126,S$127,"","EUR","r"),""),"")</f>
        <v/>
      </c>
      <c r="T166" s="1687" t="str" cm="1">
        <f t="array" aca="1" ref="T166" ca="1">IFERROR(IF($L166&lt;&gt;"",_xll.PBF($L166,$N$126,$O$126,T$127,"","EUR","r"),""),"")</f>
        <v/>
      </c>
      <c r="U166" s="1687" t="str" cm="1">
        <f t="array" aca="1" ref="U166" ca="1">IFERROR(IF($L166&lt;&gt;"",_xll.PBF($L166,$N$126,$O$126,U$127,"","EUR","r"),""),"")</f>
        <v/>
      </c>
      <c r="V166" s="1687" t="str" cm="1">
        <f t="array" aca="1" ref="V166" ca="1">IFERROR(IF($L166&lt;&gt;"",_xll.PBF($L166,$N$126,$O$126,V$127,"","EUR","r"),""),"")</f>
        <v/>
      </c>
      <c r="W166" s="1687" t="str" cm="1">
        <f t="array" aca="1" ref="W166" ca="1">IFERROR(IF($L166&lt;&gt;"",_xll.PBF($L166,$N$126,$O$126,W$127,"","EUR","r"),""),"")</f>
        <v/>
      </c>
      <c r="X166" s="1687" t="str" cm="1">
        <f t="array" aca="1" ref="X166" ca="1">IFERROR(IF($L166&lt;&gt;"",_xll.PBF($L166,$N$126,$O$126,X$127,"","EUR","r"),""),"")</f>
        <v/>
      </c>
      <c r="Y166" s="1687" t="str" cm="1">
        <f t="array" aca="1" ref="Y166" ca="1">IFERROR(IF($L166&lt;&gt;"",_xll.PBF($L166,$N$126,$O$126,Y$127,"","EUR","r"),""),"")</f>
        <v/>
      </c>
      <c r="Z166" s="1687" t="str" cm="1">
        <f t="array" aca="1" ref="Z166" ca="1">IFERROR(IF($L166&lt;&gt;"",_xll.PBF($L166,$N$126,$O$126,Z$127,"","EUR","r"),""),"")</f>
        <v/>
      </c>
      <c r="AA166" s="1687" t="str" cm="1">
        <f t="array" aca="1" ref="AA166" ca="1">IFERROR(IF($L166&lt;&gt;"",_xll.PBF($L166,$N$126,$O$126,AA$127,"","EUR","r"),""),"")</f>
        <v/>
      </c>
      <c r="AB166" s="1687" t="str" cm="1">
        <f t="array" aca="1" ref="AB166" ca="1">IFERROR(IF($L166&lt;&gt;"",_xll.PBF($L166,$N$126,$O$126,AB$127,"","EUR","r"),""),"")</f>
        <v/>
      </c>
      <c r="AC166" s="1687" t="str" cm="1">
        <f t="array" aca="1" ref="AC166" ca="1">IFERROR(IF($L166&lt;&gt;"",_xll.PBF($L166,$N$126,$O$126,AC$127,"","EUR","r"),""),"")</f>
        <v/>
      </c>
      <c r="AD166" s="1687" t="str" cm="1">
        <f t="array" aca="1" ref="AD166" ca="1">IFERROR(IF($L166&lt;&gt;"",_xll.PBF($L166,$N$126,$O$126,AD$127,"","EUR","r"),""),"")</f>
        <v/>
      </c>
      <c r="AE166" s="1687" t="str" cm="1">
        <f t="array" aca="1" ref="AE166" ca="1">IFERROR(IF($L166&lt;&gt;"",_xll.PBF($L166,$N$126,$O$126,AE$127,"","EUR","r"),""),"")</f>
        <v/>
      </c>
      <c r="AF166" s="1687" t="str" cm="1">
        <f t="array" aca="1" ref="AF166" ca="1">IFERROR(IF($L166&lt;&gt;"",_xll.PBF($L166,$N$126,$O$126,AF$127,"","EUR","r"),""),"")</f>
        <v/>
      </c>
      <c r="AG166" s="1687" t="str" cm="1">
        <f t="array" aca="1" ref="AG166" ca="1">IFERROR(IF($L166&lt;&gt;"",_xll.PBF($L166,$N$126,$O$126,AG$127,"","EUR","r"),""),"")</f>
        <v/>
      </c>
      <c r="AH166" s="1687" t="str" cm="1">
        <f t="array" aca="1" ref="AH166" ca="1">IFERROR(IF($L166&lt;&gt;"",_xll.PBF($L166,$N$126,$O$126,AH$127,"","EUR","r"),""),"")</f>
        <v/>
      </c>
      <c r="AI166" s="1687" t="str" cm="1">
        <f t="array" aca="1" ref="AI166" ca="1">IFERROR(IF($L166&lt;&gt;"",_xll.PBF($L166,$N$126,$O$126,AI$127,"","EUR","r"),""),"")</f>
        <v/>
      </c>
    </row>
    <row r="167" spans="12:35">
      <c r="L167" s="438" t="str">
        <f t="shared" si="32"/>
        <v/>
      </c>
      <c r="N167" s="1687" t="str" cm="1">
        <f t="array" aca="1" ref="N167" ca="1">IFERROR(IF($L167&lt;&gt;"",_xll.PBF($L167,$N$126,$O$126,N$127,"","EUR","r"),""),"")</f>
        <v/>
      </c>
      <c r="O167" s="1687" t="str" cm="1">
        <f t="array" aca="1" ref="O167" ca="1">IFERROR(IF($L167&lt;&gt;"",_xll.PBF($L167,$N$126,$O$126,O$127,"","EUR","r"),""),"")</f>
        <v/>
      </c>
      <c r="P167" s="1687" t="str" cm="1">
        <f t="array" aca="1" ref="P167" ca="1">IFERROR(IF($L167&lt;&gt;"",_xll.PBF($L167,$N$126,$O$126,P$127,"","EUR","r"),""),"")</f>
        <v/>
      </c>
      <c r="Q167" s="1687" t="str" cm="1">
        <f t="array" aca="1" ref="Q167" ca="1">IFERROR(IF($L167&lt;&gt;"",_xll.PBF($L167,$N$126,$O$126,Q$127,"","EUR","r"),""),"")</f>
        <v/>
      </c>
      <c r="R167" s="1687" t="str" cm="1">
        <f t="array" aca="1" ref="R167" ca="1">IFERROR(IF($L167&lt;&gt;"",_xll.PBF($L167,$N$126,$O$126,R$127,"","EUR","r"),""),"")</f>
        <v/>
      </c>
      <c r="S167" s="1687" t="str" cm="1">
        <f t="array" aca="1" ref="S167" ca="1">IFERROR(IF($L167&lt;&gt;"",_xll.PBF($L167,$N$126,$O$126,S$127,"","EUR","r"),""),"")</f>
        <v/>
      </c>
      <c r="T167" s="1687" t="str" cm="1">
        <f t="array" aca="1" ref="T167" ca="1">IFERROR(IF($L167&lt;&gt;"",_xll.PBF($L167,$N$126,$O$126,T$127,"","EUR","r"),""),"")</f>
        <v/>
      </c>
      <c r="U167" s="1687" t="str" cm="1">
        <f t="array" aca="1" ref="U167" ca="1">IFERROR(IF($L167&lt;&gt;"",_xll.PBF($L167,$N$126,$O$126,U$127,"","EUR","r"),""),"")</f>
        <v/>
      </c>
      <c r="V167" s="1687" t="str" cm="1">
        <f t="array" aca="1" ref="V167" ca="1">IFERROR(IF($L167&lt;&gt;"",_xll.PBF($L167,$N$126,$O$126,V$127,"","EUR","r"),""),"")</f>
        <v/>
      </c>
      <c r="W167" s="1687" t="str" cm="1">
        <f t="array" aca="1" ref="W167" ca="1">IFERROR(IF($L167&lt;&gt;"",_xll.PBF($L167,$N$126,$O$126,W$127,"","EUR","r"),""),"")</f>
        <v/>
      </c>
      <c r="X167" s="1687" t="str" cm="1">
        <f t="array" aca="1" ref="X167" ca="1">IFERROR(IF($L167&lt;&gt;"",_xll.PBF($L167,$N$126,$O$126,X$127,"","EUR","r"),""),"")</f>
        <v/>
      </c>
      <c r="Y167" s="1687" t="str" cm="1">
        <f t="array" aca="1" ref="Y167" ca="1">IFERROR(IF($L167&lt;&gt;"",_xll.PBF($L167,$N$126,$O$126,Y$127,"","EUR","r"),""),"")</f>
        <v/>
      </c>
      <c r="Z167" s="1687" t="str" cm="1">
        <f t="array" aca="1" ref="Z167" ca="1">IFERROR(IF($L167&lt;&gt;"",_xll.PBF($L167,$N$126,$O$126,Z$127,"","EUR","r"),""),"")</f>
        <v/>
      </c>
      <c r="AA167" s="1687" t="str" cm="1">
        <f t="array" aca="1" ref="AA167" ca="1">IFERROR(IF($L167&lt;&gt;"",_xll.PBF($L167,$N$126,$O$126,AA$127,"","EUR","r"),""),"")</f>
        <v/>
      </c>
      <c r="AB167" s="1687" t="str" cm="1">
        <f t="array" aca="1" ref="AB167" ca="1">IFERROR(IF($L167&lt;&gt;"",_xll.PBF($L167,$N$126,$O$126,AB$127,"","EUR","r"),""),"")</f>
        <v/>
      </c>
      <c r="AC167" s="1687" t="str" cm="1">
        <f t="array" aca="1" ref="AC167" ca="1">IFERROR(IF($L167&lt;&gt;"",_xll.PBF($L167,$N$126,$O$126,AC$127,"","EUR","r"),""),"")</f>
        <v/>
      </c>
      <c r="AD167" s="1687" t="str" cm="1">
        <f t="array" aca="1" ref="AD167" ca="1">IFERROR(IF($L167&lt;&gt;"",_xll.PBF($L167,$N$126,$O$126,AD$127,"","EUR","r"),""),"")</f>
        <v/>
      </c>
      <c r="AE167" s="1687" t="str" cm="1">
        <f t="array" aca="1" ref="AE167" ca="1">IFERROR(IF($L167&lt;&gt;"",_xll.PBF($L167,$N$126,$O$126,AE$127,"","EUR","r"),""),"")</f>
        <v/>
      </c>
      <c r="AF167" s="1687" t="str" cm="1">
        <f t="array" aca="1" ref="AF167" ca="1">IFERROR(IF($L167&lt;&gt;"",_xll.PBF($L167,$N$126,$O$126,AF$127,"","EUR","r"),""),"")</f>
        <v/>
      </c>
      <c r="AG167" s="1687" t="str" cm="1">
        <f t="array" aca="1" ref="AG167" ca="1">IFERROR(IF($L167&lt;&gt;"",_xll.PBF($L167,$N$126,$O$126,AG$127,"","EUR","r"),""),"")</f>
        <v/>
      </c>
      <c r="AH167" s="1687" t="str" cm="1">
        <f t="array" aca="1" ref="AH167" ca="1">IFERROR(IF($L167&lt;&gt;"",_xll.PBF($L167,$N$126,$O$126,AH$127,"","EUR","r"),""),"")</f>
        <v/>
      </c>
      <c r="AI167" s="1687" t="str" cm="1">
        <f t="array" aca="1" ref="AI167" ca="1">IFERROR(IF($L167&lt;&gt;"",_xll.PBF($L167,$N$126,$O$126,AI$127,"","EUR","r"),""),"")</f>
        <v/>
      </c>
    </row>
    <row r="168" spans="12:35">
      <c r="L168" s="438" t="str">
        <f t="shared" si="32"/>
        <v/>
      </c>
      <c r="N168" s="1687" t="str" cm="1">
        <f t="array" aca="1" ref="N168" ca="1">IFERROR(IF($L168&lt;&gt;"",_xll.PBF($L168,$N$126,$O$126,N$127,"","EUR","r"),""),"")</f>
        <v/>
      </c>
      <c r="O168" s="1687" t="str" cm="1">
        <f t="array" aca="1" ref="O168" ca="1">IFERROR(IF($L168&lt;&gt;"",_xll.PBF($L168,$N$126,$O$126,O$127,"","EUR","r"),""),"")</f>
        <v/>
      </c>
      <c r="P168" s="1687" t="str" cm="1">
        <f t="array" aca="1" ref="P168" ca="1">IFERROR(IF($L168&lt;&gt;"",_xll.PBF($L168,$N$126,$O$126,P$127,"","EUR","r"),""),"")</f>
        <v/>
      </c>
      <c r="Q168" s="1687" t="str" cm="1">
        <f t="array" aca="1" ref="Q168" ca="1">IFERROR(IF($L168&lt;&gt;"",_xll.PBF($L168,$N$126,$O$126,Q$127,"","EUR","r"),""),"")</f>
        <v/>
      </c>
      <c r="R168" s="1687" t="str" cm="1">
        <f t="array" aca="1" ref="R168" ca="1">IFERROR(IF($L168&lt;&gt;"",_xll.PBF($L168,$N$126,$O$126,R$127,"","EUR","r"),""),"")</f>
        <v/>
      </c>
      <c r="S168" s="1687" t="str" cm="1">
        <f t="array" aca="1" ref="S168" ca="1">IFERROR(IF($L168&lt;&gt;"",_xll.PBF($L168,$N$126,$O$126,S$127,"","EUR","r"),""),"")</f>
        <v/>
      </c>
      <c r="T168" s="1687" t="str" cm="1">
        <f t="array" aca="1" ref="T168" ca="1">IFERROR(IF($L168&lt;&gt;"",_xll.PBF($L168,$N$126,$O$126,T$127,"","EUR","r"),""),"")</f>
        <v/>
      </c>
      <c r="U168" s="1687" t="str" cm="1">
        <f t="array" aca="1" ref="U168" ca="1">IFERROR(IF($L168&lt;&gt;"",_xll.PBF($L168,$N$126,$O$126,U$127,"","EUR","r"),""),"")</f>
        <v/>
      </c>
      <c r="V168" s="1687" t="str" cm="1">
        <f t="array" aca="1" ref="V168" ca="1">IFERROR(IF($L168&lt;&gt;"",_xll.PBF($L168,$N$126,$O$126,V$127,"","EUR","r"),""),"")</f>
        <v/>
      </c>
      <c r="W168" s="1687" t="str" cm="1">
        <f t="array" aca="1" ref="W168" ca="1">IFERROR(IF($L168&lt;&gt;"",_xll.PBF($L168,$N$126,$O$126,W$127,"","EUR","r"),""),"")</f>
        <v/>
      </c>
      <c r="X168" s="1687" t="str" cm="1">
        <f t="array" aca="1" ref="X168" ca="1">IFERROR(IF($L168&lt;&gt;"",_xll.PBF($L168,$N$126,$O$126,X$127,"","EUR","r"),""),"")</f>
        <v/>
      </c>
      <c r="Y168" s="1687" t="str" cm="1">
        <f t="array" aca="1" ref="Y168" ca="1">IFERROR(IF($L168&lt;&gt;"",_xll.PBF($L168,$N$126,$O$126,Y$127,"","EUR","r"),""),"")</f>
        <v/>
      </c>
      <c r="Z168" s="1687" t="str" cm="1">
        <f t="array" aca="1" ref="Z168" ca="1">IFERROR(IF($L168&lt;&gt;"",_xll.PBF($L168,$N$126,$O$126,Z$127,"","EUR","r"),""),"")</f>
        <v/>
      </c>
      <c r="AA168" s="1687" t="str" cm="1">
        <f t="array" aca="1" ref="AA168" ca="1">IFERROR(IF($L168&lt;&gt;"",_xll.PBF($L168,$N$126,$O$126,AA$127,"","EUR","r"),""),"")</f>
        <v/>
      </c>
      <c r="AB168" s="1687" t="str" cm="1">
        <f t="array" aca="1" ref="AB168" ca="1">IFERROR(IF($L168&lt;&gt;"",_xll.PBF($L168,$N$126,$O$126,AB$127,"","EUR","r"),""),"")</f>
        <v/>
      </c>
      <c r="AC168" s="1687" t="str" cm="1">
        <f t="array" aca="1" ref="AC168" ca="1">IFERROR(IF($L168&lt;&gt;"",_xll.PBF($L168,$N$126,$O$126,AC$127,"","EUR","r"),""),"")</f>
        <v/>
      </c>
      <c r="AD168" s="1687" t="str" cm="1">
        <f t="array" aca="1" ref="AD168" ca="1">IFERROR(IF($L168&lt;&gt;"",_xll.PBF($L168,$N$126,$O$126,AD$127,"","EUR","r"),""),"")</f>
        <v/>
      </c>
      <c r="AE168" s="1687" t="str" cm="1">
        <f t="array" aca="1" ref="AE168" ca="1">IFERROR(IF($L168&lt;&gt;"",_xll.PBF($L168,$N$126,$O$126,AE$127,"","EUR","r"),""),"")</f>
        <v/>
      </c>
      <c r="AF168" s="1687" t="str" cm="1">
        <f t="array" aca="1" ref="AF168" ca="1">IFERROR(IF($L168&lt;&gt;"",_xll.PBF($L168,$N$126,$O$126,AF$127,"","EUR","r"),""),"")</f>
        <v/>
      </c>
      <c r="AG168" s="1687" t="str" cm="1">
        <f t="array" aca="1" ref="AG168" ca="1">IFERROR(IF($L168&lt;&gt;"",_xll.PBF($L168,$N$126,$O$126,AG$127,"","EUR","r"),""),"")</f>
        <v/>
      </c>
      <c r="AH168" s="1687" t="str" cm="1">
        <f t="array" aca="1" ref="AH168" ca="1">IFERROR(IF($L168&lt;&gt;"",_xll.PBF($L168,$N$126,$O$126,AH$127,"","EUR","r"),""),"")</f>
        <v/>
      </c>
      <c r="AI168" s="1687" t="str" cm="1">
        <f t="array" aca="1" ref="AI168" ca="1">IFERROR(IF($L168&lt;&gt;"",_xll.PBF($L168,$N$126,$O$126,AI$127,"","EUR","r"),""),"")</f>
        <v/>
      </c>
    </row>
    <row r="169" spans="12:35">
      <c r="L169" s="438" t="str">
        <f t="shared" si="32"/>
        <v/>
      </c>
      <c r="N169" s="1687" t="str" cm="1">
        <f t="array" aca="1" ref="N169" ca="1">IFERROR(IF($L169&lt;&gt;"",_xll.PBF($L169,$N$126,$O$126,N$127,"","EUR","r"),""),"")</f>
        <v/>
      </c>
      <c r="O169" s="1687" t="str" cm="1">
        <f t="array" aca="1" ref="O169" ca="1">IFERROR(IF($L169&lt;&gt;"",_xll.PBF($L169,$N$126,$O$126,O$127,"","EUR","r"),""),"")</f>
        <v/>
      </c>
      <c r="P169" s="1687" t="str" cm="1">
        <f t="array" aca="1" ref="P169" ca="1">IFERROR(IF($L169&lt;&gt;"",_xll.PBF($L169,$N$126,$O$126,P$127,"","EUR","r"),""),"")</f>
        <v/>
      </c>
      <c r="Q169" s="1687" t="str" cm="1">
        <f t="array" aca="1" ref="Q169" ca="1">IFERROR(IF($L169&lt;&gt;"",_xll.PBF($L169,$N$126,$O$126,Q$127,"","EUR","r"),""),"")</f>
        <v/>
      </c>
      <c r="R169" s="1687" t="str" cm="1">
        <f t="array" aca="1" ref="R169" ca="1">IFERROR(IF($L169&lt;&gt;"",_xll.PBF($L169,$N$126,$O$126,R$127,"","EUR","r"),""),"")</f>
        <v/>
      </c>
      <c r="S169" s="1687" t="str" cm="1">
        <f t="array" aca="1" ref="S169" ca="1">IFERROR(IF($L169&lt;&gt;"",_xll.PBF($L169,$N$126,$O$126,S$127,"","EUR","r"),""),"")</f>
        <v/>
      </c>
      <c r="T169" s="1687" t="str" cm="1">
        <f t="array" aca="1" ref="T169" ca="1">IFERROR(IF($L169&lt;&gt;"",_xll.PBF($L169,$N$126,$O$126,T$127,"","EUR","r"),""),"")</f>
        <v/>
      </c>
      <c r="U169" s="1687" t="str" cm="1">
        <f t="array" aca="1" ref="U169" ca="1">IFERROR(IF($L169&lt;&gt;"",_xll.PBF($L169,$N$126,$O$126,U$127,"","EUR","r"),""),"")</f>
        <v/>
      </c>
      <c r="V169" s="1687" t="str" cm="1">
        <f t="array" aca="1" ref="V169" ca="1">IFERROR(IF($L169&lt;&gt;"",_xll.PBF($L169,$N$126,$O$126,V$127,"","EUR","r"),""),"")</f>
        <v/>
      </c>
      <c r="W169" s="1687" t="str" cm="1">
        <f t="array" aca="1" ref="W169" ca="1">IFERROR(IF($L169&lt;&gt;"",_xll.PBF($L169,$N$126,$O$126,W$127,"","EUR","r"),""),"")</f>
        <v/>
      </c>
      <c r="X169" s="1687" t="str" cm="1">
        <f t="array" aca="1" ref="X169" ca="1">IFERROR(IF($L169&lt;&gt;"",_xll.PBF($L169,$N$126,$O$126,X$127,"","EUR","r"),""),"")</f>
        <v/>
      </c>
      <c r="Y169" s="1687" t="str" cm="1">
        <f t="array" aca="1" ref="Y169" ca="1">IFERROR(IF($L169&lt;&gt;"",_xll.PBF($L169,$N$126,$O$126,Y$127,"","EUR","r"),""),"")</f>
        <v/>
      </c>
      <c r="Z169" s="1687" t="str" cm="1">
        <f t="array" aca="1" ref="Z169" ca="1">IFERROR(IF($L169&lt;&gt;"",_xll.PBF($L169,$N$126,$O$126,Z$127,"","EUR","r"),""),"")</f>
        <v/>
      </c>
      <c r="AA169" s="1687" t="str" cm="1">
        <f t="array" aca="1" ref="AA169" ca="1">IFERROR(IF($L169&lt;&gt;"",_xll.PBF($L169,$N$126,$O$126,AA$127,"","EUR","r"),""),"")</f>
        <v/>
      </c>
      <c r="AB169" s="1687" t="str" cm="1">
        <f t="array" aca="1" ref="AB169" ca="1">IFERROR(IF($L169&lt;&gt;"",_xll.PBF($L169,$N$126,$O$126,AB$127,"","EUR","r"),""),"")</f>
        <v/>
      </c>
      <c r="AC169" s="1687" t="str" cm="1">
        <f t="array" aca="1" ref="AC169" ca="1">IFERROR(IF($L169&lt;&gt;"",_xll.PBF($L169,$N$126,$O$126,AC$127,"","EUR","r"),""),"")</f>
        <v/>
      </c>
      <c r="AD169" s="1687" t="str" cm="1">
        <f t="array" aca="1" ref="AD169" ca="1">IFERROR(IF($L169&lt;&gt;"",_xll.PBF($L169,$N$126,$O$126,AD$127,"","EUR","r"),""),"")</f>
        <v/>
      </c>
      <c r="AE169" s="1687" t="str" cm="1">
        <f t="array" aca="1" ref="AE169" ca="1">IFERROR(IF($L169&lt;&gt;"",_xll.PBF($L169,$N$126,$O$126,AE$127,"","EUR","r"),""),"")</f>
        <v/>
      </c>
      <c r="AF169" s="1687" t="str" cm="1">
        <f t="array" aca="1" ref="AF169" ca="1">IFERROR(IF($L169&lt;&gt;"",_xll.PBF($L169,$N$126,$O$126,AF$127,"","EUR","r"),""),"")</f>
        <v/>
      </c>
      <c r="AG169" s="1687" t="str" cm="1">
        <f t="array" aca="1" ref="AG169" ca="1">IFERROR(IF($L169&lt;&gt;"",_xll.PBF($L169,$N$126,$O$126,AG$127,"","EUR","r"),""),"")</f>
        <v/>
      </c>
      <c r="AH169" s="1687" t="str" cm="1">
        <f t="array" aca="1" ref="AH169" ca="1">IFERROR(IF($L169&lt;&gt;"",_xll.PBF($L169,$N$126,$O$126,AH$127,"","EUR","r"),""),"")</f>
        <v/>
      </c>
      <c r="AI169" s="1687" t="str" cm="1">
        <f t="array" aca="1" ref="AI169" ca="1">IFERROR(IF($L169&lt;&gt;"",_xll.PBF($L169,$N$126,$O$126,AI$127,"","EUR","r"),""),"")</f>
        <v/>
      </c>
    </row>
    <row r="170" spans="12:35">
      <c r="L170" s="438" t="str">
        <f t="shared" si="32"/>
        <v/>
      </c>
      <c r="N170" s="1687" t="str" cm="1">
        <f t="array" aca="1" ref="N170" ca="1">IFERROR(IF($L170&lt;&gt;"",_xll.PBF($L170,$N$126,$O$126,N$127,"","EUR","r"),""),"")</f>
        <v/>
      </c>
      <c r="O170" s="1687" t="str" cm="1">
        <f t="array" aca="1" ref="O170" ca="1">IFERROR(IF($L170&lt;&gt;"",_xll.PBF($L170,$N$126,$O$126,O$127,"","EUR","r"),""),"")</f>
        <v/>
      </c>
      <c r="P170" s="1687" t="str" cm="1">
        <f t="array" aca="1" ref="P170" ca="1">IFERROR(IF($L170&lt;&gt;"",_xll.PBF($L170,$N$126,$O$126,P$127,"","EUR","r"),""),"")</f>
        <v/>
      </c>
      <c r="Q170" s="1687" t="str" cm="1">
        <f t="array" aca="1" ref="Q170" ca="1">IFERROR(IF($L170&lt;&gt;"",_xll.PBF($L170,$N$126,$O$126,Q$127,"","EUR","r"),""),"")</f>
        <v/>
      </c>
      <c r="R170" s="1687" t="str" cm="1">
        <f t="array" aca="1" ref="R170" ca="1">IFERROR(IF($L170&lt;&gt;"",_xll.PBF($L170,$N$126,$O$126,R$127,"","EUR","r"),""),"")</f>
        <v/>
      </c>
      <c r="S170" s="1687" t="str" cm="1">
        <f t="array" aca="1" ref="S170" ca="1">IFERROR(IF($L170&lt;&gt;"",_xll.PBF($L170,$N$126,$O$126,S$127,"","EUR","r"),""),"")</f>
        <v/>
      </c>
      <c r="T170" s="1687" t="str" cm="1">
        <f t="array" aca="1" ref="T170" ca="1">IFERROR(IF($L170&lt;&gt;"",_xll.PBF($L170,$N$126,$O$126,T$127,"","EUR","r"),""),"")</f>
        <v/>
      </c>
      <c r="U170" s="1687" t="str" cm="1">
        <f t="array" aca="1" ref="U170" ca="1">IFERROR(IF($L170&lt;&gt;"",_xll.PBF($L170,$N$126,$O$126,U$127,"","EUR","r"),""),"")</f>
        <v/>
      </c>
      <c r="V170" s="1687" t="str" cm="1">
        <f t="array" aca="1" ref="V170" ca="1">IFERROR(IF($L170&lt;&gt;"",_xll.PBF($L170,$N$126,$O$126,V$127,"","EUR","r"),""),"")</f>
        <v/>
      </c>
      <c r="W170" s="1687" t="str" cm="1">
        <f t="array" aca="1" ref="W170" ca="1">IFERROR(IF($L170&lt;&gt;"",_xll.PBF($L170,$N$126,$O$126,W$127,"","EUR","r"),""),"")</f>
        <v/>
      </c>
      <c r="X170" s="1687" t="str" cm="1">
        <f t="array" aca="1" ref="X170" ca="1">IFERROR(IF($L170&lt;&gt;"",_xll.PBF($L170,$N$126,$O$126,X$127,"","EUR","r"),""),"")</f>
        <v/>
      </c>
      <c r="Y170" s="1687" t="str" cm="1">
        <f t="array" aca="1" ref="Y170" ca="1">IFERROR(IF($L170&lt;&gt;"",_xll.PBF($L170,$N$126,$O$126,Y$127,"","EUR","r"),""),"")</f>
        <v/>
      </c>
      <c r="Z170" s="1687" t="str" cm="1">
        <f t="array" aca="1" ref="Z170" ca="1">IFERROR(IF($L170&lt;&gt;"",_xll.PBF($L170,$N$126,$O$126,Z$127,"","EUR","r"),""),"")</f>
        <v/>
      </c>
      <c r="AA170" s="1687" t="str" cm="1">
        <f t="array" aca="1" ref="AA170" ca="1">IFERROR(IF($L170&lt;&gt;"",_xll.PBF($L170,$N$126,$O$126,AA$127,"","EUR","r"),""),"")</f>
        <v/>
      </c>
      <c r="AB170" s="1687" t="str" cm="1">
        <f t="array" aca="1" ref="AB170" ca="1">IFERROR(IF($L170&lt;&gt;"",_xll.PBF($L170,$N$126,$O$126,AB$127,"","EUR","r"),""),"")</f>
        <v/>
      </c>
      <c r="AC170" s="1687" t="str" cm="1">
        <f t="array" aca="1" ref="AC170" ca="1">IFERROR(IF($L170&lt;&gt;"",_xll.PBF($L170,$N$126,$O$126,AC$127,"","EUR","r"),""),"")</f>
        <v/>
      </c>
      <c r="AD170" s="1687" t="str" cm="1">
        <f t="array" aca="1" ref="AD170" ca="1">IFERROR(IF($L170&lt;&gt;"",_xll.PBF($L170,$N$126,$O$126,AD$127,"","EUR","r"),""),"")</f>
        <v/>
      </c>
      <c r="AE170" s="1687" t="str" cm="1">
        <f t="array" aca="1" ref="AE170" ca="1">IFERROR(IF($L170&lt;&gt;"",_xll.PBF($L170,$N$126,$O$126,AE$127,"","EUR","r"),""),"")</f>
        <v/>
      </c>
      <c r="AF170" s="1687" t="str" cm="1">
        <f t="array" aca="1" ref="AF170" ca="1">IFERROR(IF($L170&lt;&gt;"",_xll.PBF($L170,$N$126,$O$126,AF$127,"","EUR","r"),""),"")</f>
        <v/>
      </c>
      <c r="AG170" s="1687" t="str" cm="1">
        <f t="array" aca="1" ref="AG170" ca="1">IFERROR(IF($L170&lt;&gt;"",_xll.PBF($L170,$N$126,$O$126,AG$127,"","EUR","r"),""),"")</f>
        <v/>
      </c>
      <c r="AH170" s="1687" t="str" cm="1">
        <f t="array" aca="1" ref="AH170" ca="1">IFERROR(IF($L170&lt;&gt;"",_xll.PBF($L170,$N$126,$O$126,AH$127,"","EUR","r"),""),"")</f>
        <v/>
      </c>
      <c r="AI170" s="1687" t="str" cm="1">
        <f t="array" aca="1" ref="AI170" ca="1">IFERROR(IF($L170&lt;&gt;"",_xll.PBF($L170,$N$126,$O$126,AI$127,"","EUR","r"),""),"")</f>
        <v/>
      </c>
    </row>
    <row r="171" spans="12:35">
      <c r="L171" s="438" t="str">
        <f t="shared" si="32"/>
        <v/>
      </c>
      <c r="N171" s="1687" t="str" cm="1">
        <f t="array" aca="1" ref="N171" ca="1">IFERROR(IF($L171&lt;&gt;"",_xll.PBF($L171,$N$126,$O$126,N$127,"","EUR","r"),""),"")</f>
        <v/>
      </c>
      <c r="O171" s="1687" t="str" cm="1">
        <f t="array" aca="1" ref="O171" ca="1">IFERROR(IF($L171&lt;&gt;"",_xll.PBF($L171,$N$126,$O$126,O$127,"","EUR","r"),""),"")</f>
        <v/>
      </c>
      <c r="P171" s="1687" t="str" cm="1">
        <f t="array" aca="1" ref="P171" ca="1">IFERROR(IF($L171&lt;&gt;"",_xll.PBF($L171,$N$126,$O$126,P$127,"","EUR","r"),""),"")</f>
        <v/>
      </c>
      <c r="Q171" s="1687" t="str" cm="1">
        <f t="array" aca="1" ref="Q171" ca="1">IFERROR(IF($L171&lt;&gt;"",_xll.PBF($L171,$N$126,$O$126,Q$127,"","EUR","r"),""),"")</f>
        <v/>
      </c>
      <c r="R171" s="1687" t="str" cm="1">
        <f t="array" aca="1" ref="R171" ca="1">IFERROR(IF($L171&lt;&gt;"",_xll.PBF($L171,$N$126,$O$126,R$127,"","EUR","r"),""),"")</f>
        <v/>
      </c>
      <c r="S171" s="1687" t="str" cm="1">
        <f t="array" aca="1" ref="S171" ca="1">IFERROR(IF($L171&lt;&gt;"",_xll.PBF($L171,$N$126,$O$126,S$127,"","EUR","r"),""),"")</f>
        <v/>
      </c>
      <c r="T171" s="1687" t="str" cm="1">
        <f t="array" aca="1" ref="T171" ca="1">IFERROR(IF($L171&lt;&gt;"",_xll.PBF($L171,$N$126,$O$126,T$127,"","EUR","r"),""),"")</f>
        <v/>
      </c>
      <c r="U171" s="1687" t="str" cm="1">
        <f t="array" aca="1" ref="U171" ca="1">IFERROR(IF($L171&lt;&gt;"",_xll.PBF($L171,$N$126,$O$126,U$127,"","EUR","r"),""),"")</f>
        <v/>
      </c>
      <c r="V171" s="1687" t="str" cm="1">
        <f t="array" aca="1" ref="V171" ca="1">IFERROR(IF($L171&lt;&gt;"",_xll.PBF($L171,$N$126,$O$126,V$127,"","EUR","r"),""),"")</f>
        <v/>
      </c>
      <c r="W171" s="1687" t="str" cm="1">
        <f t="array" aca="1" ref="W171" ca="1">IFERROR(IF($L171&lt;&gt;"",_xll.PBF($L171,$N$126,$O$126,W$127,"","EUR","r"),""),"")</f>
        <v/>
      </c>
      <c r="X171" s="1687" t="str" cm="1">
        <f t="array" aca="1" ref="X171" ca="1">IFERROR(IF($L171&lt;&gt;"",_xll.PBF($L171,$N$126,$O$126,X$127,"","EUR","r"),""),"")</f>
        <v/>
      </c>
      <c r="Y171" s="1687" t="str" cm="1">
        <f t="array" aca="1" ref="Y171" ca="1">IFERROR(IF($L171&lt;&gt;"",_xll.PBF($L171,$N$126,$O$126,Y$127,"","EUR","r"),""),"")</f>
        <v/>
      </c>
      <c r="Z171" s="1687" t="str" cm="1">
        <f t="array" aca="1" ref="Z171" ca="1">IFERROR(IF($L171&lt;&gt;"",_xll.PBF($L171,$N$126,$O$126,Z$127,"","EUR","r"),""),"")</f>
        <v/>
      </c>
      <c r="AA171" s="1687" t="str" cm="1">
        <f t="array" aca="1" ref="AA171" ca="1">IFERROR(IF($L171&lt;&gt;"",_xll.PBF($L171,$N$126,$O$126,AA$127,"","EUR","r"),""),"")</f>
        <v/>
      </c>
      <c r="AB171" s="1687" t="str" cm="1">
        <f t="array" aca="1" ref="AB171" ca="1">IFERROR(IF($L171&lt;&gt;"",_xll.PBF($L171,$N$126,$O$126,AB$127,"","EUR","r"),""),"")</f>
        <v/>
      </c>
      <c r="AC171" s="1687" t="str" cm="1">
        <f t="array" aca="1" ref="AC171" ca="1">IFERROR(IF($L171&lt;&gt;"",_xll.PBF($L171,$N$126,$O$126,AC$127,"","EUR","r"),""),"")</f>
        <v/>
      </c>
      <c r="AD171" s="1687" t="str" cm="1">
        <f t="array" aca="1" ref="AD171" ca="1">IFERROR(IF($L171&lt;&gt;"",_xll.PBF($L171,$N$126,$O$126,AD$127,"","EUR","r"),""),"")</f>
        <v/>
      </c>
      <c r="AE171" s="1687" t="str" cm="1">
        <f t="array" aca="1" ref="AE171" ca="1">IFERROR(IF($L171&lt;&gt;"",_xll.PBF($L171,$N$126,$O$126,AE$127,"","EUR","r"),""),"")</f>
        <v/>
      </c>
      <c r="AF171" s="1687" t="str" cm="1">
        <f t="array" aca="1" ref="AF171" ca="1">IFERROR(IF($L171&lt;&gt;"",_xll.PBF($L171,$N$126,$O$126,AF$127,"","EUR","r"),""),"")</f>
        <v/>
      </c>
      <c r="AG171" s="1687" t="str" cm="1">
        <f t="array" aca="1" ref="AG171" ca="1">IFERROR(IF($L171&lt;&gt;"",_xll.PBF($L171,$N$126,$O$126,AG$127,"","EUR","r"),""),"")</f>
        <v/>
      </c>
      <c r="AH171" s="1687" t="str" cm="1">
        <f t="array" aca="1" ref="AH171" ca="1">IFERROR(IF($L171&lt;&gt;"",_xll.PBF($L171,$N$126,$O$126,AH$127,"","EUR","r"),""),"")</f>
        <v/>
      </c>
      <c r="AI171" s="1687" t="str" cm="1">
        <f t="array" aca="1" ref="AI171" ca="1">IFERROR(IF($L171&lt;&gt;"",_xll.PBF($L171,$N$126,$O$126,AI$127,"","EUR","r"),""),"")</f>
        <v/>
      </c>
    </row>
    <row r="172" spans="12:35">
      <c r="L172" s="438" t="str">
        <f t="shared" si="32"/>
        <v/>
      </c>
      <c r="N172" s="1687" t="str" cm="1">
        <f t="array" aca="1" ref="N172" ca="1">IFERROR(IF($L172&lt;&gt;"",_xll.PBF($L172,$N$126,$O$126,N$127,"","EUR","r"),""),"")</f>
        <v/>
      </c>
      <c r="O172" s="1687" t="str" cm="1">
        <f t="array" aca="1" ref="O172" ca="1">IFERROR(IF($L172&lt;&gt;"",_xll.PBF($L172,$N$126,$O$126,O$127,"","EUR","r"),""),"")</f>
        <v/>
      </c>
      <c r="P172" s="1687" t="str" cm="1">
        <f t="array" aca="1" ref="P172" ca="1">IFERROR(IF($L172&lt;&gt;"",_xll.PBF($L172,$N$126,$O$126,P$127,"","EUR","r"),""),"")</f>
        <v/>
      </c>
      <c r="Q172" s="1687" t="str" cm="1">
        <f t="array" aca="1" ref="Q172" ca="1">IFERROR(IF($L172&lt;&gt;"",_xll.PBF($L172,$N$126,$O$126,Q$127,"","EUR","r"),""),"")</f>
        <v/>
      </c>
      <c r="R172" s="1687" t="str" cm="1">
        <f t="array" aca="1" ref="R172" ca="1">IFERROR(IF($L172&lt;&gt;"",_xll.PBF($L172,$N$126,$O$126,R$127,"","EUR","r"),""),"")</f>
        <v/>
      </c>
      <c r="S172" s="1687" t="str" cm="1">
        <f t="array" aca="1" ref="S172" ca="1">IFERROR(IF($L172&lt;&gt;"",_xll.PBF($L172,$N$126,$O$126,S$127,"","EUR","r"),""),"")</f>
        <v/>
      </c>
      <c r="T172" s="1687" t="str" cm="1">
        <f t="array" aca="1" ref="T172" ca="1">IFERROR(IF($L172&lt;&gt;"",_xll.PBF($L172,$N$126,$O$126,T$127,"","EUR","r"),""),"")</f>
        <v/>
      </c>
      <c r="U172" s="1687" t="str" cm="1">
        <f t="array" aca="1" ref="U172" ca="1">IFERROR(IF($L172&lt;&gt;"",_xll.PBF($L172,$N$126,$O$126,U$127,"","EUR","r"),""),"")</f>
        <v/>
      </c>
      <c r="V172" s="1687" t="str" cm="1">
        <f t="array" aca="1" ref="V172" ca="1">IFERROR(IF($L172&lt;&gt;"",_xll.PBF($L172,$N$126,$O$126,V$127,"","EUR","r"),""),"")</f>
        <v/>
      </c>
      <c r="W172" s="1687" t="str" cm="1">
        <f t="array" aca="1" ref="W172" ca="1">IFERROR(IF($L172&lt;&gt;"",_xll.PBF($L172,$N$126,$O$126,W$127,"","EUR","r"),""),"")</f>
        <v/>
      </c>
      <c r="X172" s="1687" t="str" cm="1">
        <f t="array" aca="1" ref="X172" ca="1">IFERROR(IF($L172&lt;&gt;"",_xll.PBF($L172,$N$126,$O$126,X$127,"","EUR","r"),""),"")</f>
        <v/>
      </c>
      <c r="Y172" s="1687" t="str" cm="1">
        <f t="array" aca="1" ref="Y172" ca="1">IFERROR(IF($L172&lt;&gt;"",_xll.PBF($L172,$N$126,$O$126,Y$127,"","EUR","r"),""),"")</f>
        <v/>
      </c>
      <c r="Z172" s="1687" t="str" cm="1">
        <f t="array" aca="1" ref="Z172" ca="1">IFERROR(IF($L172&lt;&gt;"",_xll.PBF($L172,$N$126,$O$126,Z$127,"","EUR","r"),""),"")</f>
        <v/>
      </c>
      <c r="AA172" s="1687" t="str" cm="1">
        <f t="array" aca="1" ref="AA172" ca="1">IFERROR(IF($L172&lt;&gt;"",_xll.PBF($L172,$N$126,$O$126,AA$127,"","EUR","r"),""),"")</f>
        <v/>
      </c>
      <c r="AB172" s="1687" t="str" cm="1">
        <f t="array" aca="1" ref="AB172" ca="1">IFERROR(IF($L172&lt;&gt;"",_xll.PBF($L172,$N$126,$O$126,AB$127,"","EUR","r"),""),"")</f>
        <v/>
      </c>
      <c r="AC172" s="1687" t="str" cm="1">
        <f t="array" aca="1" ref="AC172" ca="1">IFERROR(IF($L172&lt;&gt;"",_xll.PBF($L172,$N$126,$O$126,AC$127,"","EUR","r"),""),"")</f>
        <v/>
      </c>
      <c r="AD172" s="1687" t="str" cm="1">
        <f t="array" aca="1" ref="AD172" ca="1">IFERROR(IF($L172&lt;&gt;"",_xll.PBF($L172,$N$126,$O$126,AD$127,"","EUR","r"),""),"")</f>
        <v/>
      </c>
      <c r="AE172" s="1687" t="str" cm="1">
        <f t="array" aca="1" ref="AE172" ca="1">IFERROR(IF($L172&lt;&gt;"",_xll.PBF($L172,$N$126,$O$126,AE$127,"","EUR","r"),""),"")</f>
        <v/>
      </c>
      <c r="AF172" s="1687" t="str" cm="1">
        <f t="array" aca="1" ref="AF172" ca="1">IFERROR(IF($L172&lt;&gt;"",_xll.PBF($L172,$N$126,$O$126,AF$127,"","EUR","r"),""),"")</f>
        <v/>
      </c>
      <c r="AG172" s="1687" t="str" cm="1">
        <f t="array" aca="1" ref="AG172" ca="1">IFERROR(IF($L172&lt;&gt;"",_xll.PBF($L172,$N$126,$O$126,AG$127,"","EUR","r"),""),"")</f>
        <v/>
      </c>
      <c r="AH172" s="1687" t="str" cm="1">
        <f t="array" aca="1" ref="AH172" ca="1">IFERROR(IF($L172&lt;&gt;"",_xll.PBF($L172,$N$126,$O$126,AH$127,"","EUR","r"),""),"")</f>
        <v/>
      </c>
      <c r="AI172" s="1687" t="str" cm="1">
        <f t="array" aca="1" ref="AI172" ca="1">IFERROR(IF($L172&lt;&gt;"",_xll.PBF($L172,$N$126,$O$126,AI$127,"","EUR","r"),""),"")</f>
        <v/>
      </c>
    </row>
    <row r="173" spans="12:35">
      <c r="L173" s="438" t="str">
        <f t="shared" si="32"/>
        <v/>
      </c>
      <c r="N173" s="1687" t="str" cm="1">
        <f t="array" aca="1" ref="N173" ca="1">IFERROR(IF($L173&lt;&gt;"",_xll.PBF($L173,$N$126,$O$126,N$127,"","EUR","r"),""),"")</f>
        <v/>
      </c>
      <c r="O173" s="1687" t="str" cm="1">
        <f t="array" aca="1" ref="O173" ca="1">IFERROR(IF($L173&lt;&gt;"",_xll.PBF($L173,$N$126,$O$126,O$127,"","EUR","r"),""),"")</f>
        <v/>
      </c>
      <c r="P173" s="1687" t="str" cm="1">
        <f t="array" aca="1" ref="P173" ca="1">IFERROR(IF($L173&lt;&gt;"",_xll.PBF($L173,$N$126,$O$126,P$127,"","EUR","r"),""),"")</f>
        <v/>
      </c>
      <c r="Q173" s="1687" t="str" cm="1">
        <f t="array" aca="1" ref="Q173" ca="1">IFERROR(IF($L173&lt;&gt;"",_xll.PBF($L173,$N$126,$O$126,Q$127,"","EUR","r"),""),"")</f>
        <v/>
      </c>
      <c r="R173" s="1687" t="str" cm="1">
        <f t="array" aca="1" ref="R173" ca="1">IFERROR(IF($L173&lt;&gt;"",_xll.PBF($L173,$N$126,$O$126,R$127,"","EUR","r"),""),"")</f>
        <v/>
      </c>
      <c r="S173" s="1687" t="str" cm="1">
        <f t="array" aca="1" ref="S173" ca="1">IFERROR(IF($L173&lt;&gt;"",_xll.PBF($L173,$N$126,$O$126,S$127,"","EUR","r"),""),"")</f>
        <v/>
      </c>
      <c r="T173" s="1687" t="str" cm="1">
        <f t="array" aca="1" ref="T173" ca="1">IFERROR(IF($L173&lt;&gt;"",_xll.PBF($L173,$N$126,$O$126,T$127,"","EUR","r"),""),"")</f>
        <v/>
      </c>
      <c r="U173" s="1687" t="str" cm="1">
        <f t="array" aca="1" ref="U173" ca="1">IFERROR(IF($L173&lt;&gt;"",_xll.PBF($L173,$N$126,$O$126,U$127,"","EUR","r"),""),"")</f>
        <v/>
      </c>
      <c r="V173" s="1687" t="str" cm="1">
        <f t="array" aca="1" ref="V173" ca="1">IFERROR(IF($L173&lt;&gt;"",_xll.PBF($L173,$N$126,$O$126,V$127,"","EUR","r"),""),"")</f>
        <v/>
      </c>
      <c r="W173" s="1687" t="str" cm="1">
        <f t="array" aca="1" ref="W173" ca="1">IFERROR(IF($L173&lt;&gt;"",_xll.PBF($L173,$N$126,$O$126,W$127,"","EUR","r"),""),"")</f>
        <v/>
      </c>
      <c r="X173" s="1687" t="str" cm="1">
        <f t="array" aca="1" ref="X173" ca="1">IFERROR(IF($L173&lt;&gt;"",_xll.PBF($L173,$N$126,$O$126,X$127,"","EUR","r"),""),"")</f>
        <v/>
      </c>
      <c r="Y173" s="1687" t="str" cm="1">
        <f t="array" aca="1" ref="Y173" ca="1">IFERROR(IF($L173&lt;&gt;"",_xll.PBF($L173,$N$126,$O$126,Y$127,"","EUR","r"),""),"")</f>
        <v/>
      </c>
      <c r="Z173" s="1687" t="str" cm="1">
        <f t="array" aca="1" ref="Z173" ca="1">IFERROR(IF($L173&lt;&gt;"",_xll.PBF($L173,$N$126,$O$126,Z$127,"","EUR","r"),""),"")</f>
        <v/>
      </c>
      <c r="AA173" s="1687" t="str" cm="1">
        <f t="array" aca="1" ref="AA173" ca="1">IFERROR(IF($L173&lt;&gt;"",_xll.PBF($L173,$N$126,$O$126,AA$127,"","EUR","r"),""),"")</f>
        <v/>
      </c>
      <c r="AB173" s="1687" t="str" cm="1">
        <f t="array" aca="1" ref="AB173" ca="1">IFERROR(IF($L173&lt;&gt;"",_xll.PBF($L173,$N$126,$O$126,AB$127,"","EUR","r"),""),"")</f>
        <v/>
      </c>
      <c r="AC173" s="1687" t="str" cm="1">
        <f t="array" aca="1" ref="AC173" ca="1">IFERROR(IF($L173&lt;&gt;"",_xll.PBF($L173,$N$126,$O$126,AC$127,"","EUR","r"),""),"")</f>
        <v/>
      </c>
      <c r="AD173" s="1687" t="str" cm="1">
        <f t="array" aca="1" ref="AD173" ca="1">IFERROR(IF($L173&lt;&gt;"",_xll.PBF($L173,$N$126,$O$126,AD$127,"","EUR","r"),""),"")</f>
        <v/>
      </c>
      <c r="AE173" s="1687" t="str" cm="1">
        <f t="array" aca="1" ref="AE173" ca="1">IFERROR(IF($L173&lt;&gt;"",_xll.PBF($L173,$N$126,$O$126,AE$127,"","EUR","r"),""),"")</f>
        <v/>
      </c>
      <c r="AF173" s="1687" t="str" cm="1">
        <f t="array" aca="1" ref="AF173" ca="1">IFERROR(IF($L173&lt;&gt;"",_xll.PBF($L173,$N$126,$O$126,AF$127,"","EUR","r"),""),"")</f>
        <v/>
      </c>
      <c r="AG173" s="1687" t="str" cm="1">
        <f t="array" aca="1" ref="AG173" ca="1">IFERROR(IF($L173&lt;&gt;"",_xll.PBF($L173,$N$126,$O$126,AG$127,"","EUR","r"),""),"")</f>
        <v/>
      </c>
      <c r="AH173" s="1687" t="str" cm="1">
        <f t="array" aca="1" ref="AH173" ca="1">IFERROR(IF($L173&lt;&gt;"",_xll.PBF($L173,$N$126,$O$126,AH$127,"","EUR","r"),""),"")</f>
        <v/>
      </c>
      <c r="AI173" s="1687" t="str" cm="1">
        <f t="array" aca="1" ref="AI173" ca="1">IFERROR(IF($L173&lt;&gt;"",_xll.PBF($L173,$N$126,$O$126,AI$127,"","EUR","r"),""),"")</f>
        <v/>
      </c>
    </row>
    <row r="174" spans="12:35">
      <c r="L174" s="438" t="str">
        <f t="shared" si="32"/>
        <v/>
      </c>
      <c r="N174" s="1687" t="str" cm="1">
        <f t="array" aca="1" ref="N174" ca="1">IFERROR(IF($L174&lt;&gt;"",_xll.PBF($L174,$N$126,$O$126,N$127,"","EUR","r"),""),"")</f>
        <v/>
      </c>
      <c r="O174" s="1687" t="str" cm="1">
        <f t="array" aca="1" ref="O174" ca="1">IFERROR(IF($L174&lt;&gt;"",_xll.PBF($L174,$N$126,$O$126,O$127,"","EUR","r"),""),"")</f>
        <v/>
      </c>
      <c r="P174" s="1687" t="str" cm="1">
        <f t="array" aca="1" ref="P174" ca="1">IFERROR(IF($L174&lt;&gt;"",_xll.PBF($L174,$N$126,$O$126,P$127,"","EUR","r"),""),"")</f>
        <v/>
      </c>
      <c r="Q174" s="1687" t="str" cm="1">
        <f t="array" aca="1" ref="Q174" ca="1">IFERROR(IF($L174&lt;&gt;"",_xll.PBF($L174,$N$126,$O$126,Q$127,"","EUR","r"),""),"")</f>
        <v/>
      </c>
      <c r="R174" s="1687" t="str" cm="1">
        <f t="array" aca="1" ref="R174" ca="1">IFERROR(IF($L174&lt;&gt;"",_xll.PBF($L174,$N$126,$O$126,R$127,"","EUR","r"),""),"")</f>
        <v/>
      </c>
      <c r="S174" s="1687" t="str" cm="1">
        <f t="array" aca="1" ref="S174" ca="1">IFERROR(IF($L174&lt;&gt;"",_xll.PBF($L174,$N$126,$O$126,S$127,"","EUR","r"),""),"")</f>
        <v/>
      </c>
      <c r="T174" s="1687" t="str" cm="1">
        <f t="array" aca="1" ref="T174" ca="1">IFERROR(IF($L174&lt;&gt;"",_xll.PBF($L174,$N$126,$O$126,T$127,"","EUR","r"),""),"")</f>
        <v/>
      </c>
      <c r="U174" s="1687" t="str" cm="1">
        <f t="array" aca="1" ref="U174" ca="1">IFERROR(IF($L174&lt;&gt;"",_xll.PBF($L174,$N$126,$O$126,U$127,"","EUR","r"),""),"")</f>
        <v/>
      </c>
      <c r="V174" s="1687" t="str" cm="1">
        <f t="array" aca="1" ref="V174" ca="1">IFERROR(IF($L174&lt;&gt;"",_xll.PBF($L174,$N$126,$O$126,V$127,"","EUR","r"),""),"")</f>
        <v/>
      </c>
      <c r="W174" s="1687" t="str" cm="1">
        <f t="array" aca="1" ref="W174" ca="1">IFERROR(IF($L174&lt;&gt;"",_xll.PBF($L174,$N$126,$O$126,W$127,"","EUR","r"),""),"")</f>
        <v/>
      </c>
      <c r="X174" s="1687" t="str" cm="1">
        <f t="array" aca="1" ref="X174" ca="1">IFERROR(IF($L174&lt;&gt;"",_xll.PBF($L174,$N$126,$O$126,X$127,"","EUR","r"),""),"")</f>
        <v/>
      </c>
      <c r="Y174" s="1687" t="str" cm="1">
        <f t="array" aca="1" ref="Y174" ca="1">IFERROR(IF($L174&lt;&gt;"",_xll.PBF($L174,$N$126,$O$126,Y$127,"","EUR","r"),""),"")</f>
        <v/>
      </c>
      <c r="Z174" s="1687" t="str" cm="1">
        <f t="array" aca="1" ref="Z174" ca="1">IFERROR(IF($L174&lt;&gt;"",_xll.PBF($L174,$N$126,$O$126,Z$127,"","EUR","r"),""),"")</f>
        <v/>
      </c>
      <c r="AA174" s="1687" t="str" cm="1">
        <f t="array" aca="1" ref="AA174" ca="1">IFERROR(IF($L174&lt;&gt;"",_xll.PBF($L174,$N$126,$O$126,AA$127,"","EUR","r"),""),"")</f>
        <v/>
      </c>
      <c r="AB174" s="1687" t="str" cm="1">
        <f t="array" aca="1" ref="AB174" ca="1">IFERROR(IF($L174&lt;&gt;"",_xll.PBF($L174,$N$126,$O$126,AB$127,"","EUR","r"),""),"")</f>
        <v/>
      </c>
      <c r="AC174" s="1687" t="str" cm="1">
        <f t="array" aca="1" ref="AC174" ca="1">IFERROR(IF($L174&lt;&gt;"",_xll.PBF($L174,$N$126,$O$126,AC$127,"","EUR","r"),""),"")</f>
        <v/>
      </c>
      <c r="AD174" s="1687" t="str" cm="1">
        <f t="array" aca="1" ref="AD174" ca="1">IFERROR(IF($L174&lt;&gt;"",_xll.PBF($L174,$N$126,$O$126,AD$127,"","EUR","r"),""),"")</f>
        <v/>
      </c>
      <c r="AE174" s="1687" t="str" cm="1">
        <f t="array" aca="1" ref="AE174" ca="1">IFERROR(IF($L174&lt;&gt;"",_xll.PBF($L174,$N$126,$O$126,AE$127,"","EUR","r"),""),"")</f>
        <v/>
      </c>
      <c r="AF174" s="1687" t="str" cm="1">
        <f t="array" aca="1" ref="AF174" ca="1">IFERROR(IF($L174&lt;&gt;"",_xll.PBF($L174,$N$126,$O$126,AF$127,"","EUR","r"),""),"")</f>
        <v/>
      </c>
      <c r="AG174" s="1687" t="str" cm="1">
        <f t="array" aca="1" ref="AG174" ca="1">IFERROR(IF($L174&lt;&gt;"",_xll.PBF($L174,$N$126,$O$126,AG$127,"","EUR","r"),""),"")</f>
        <v/>
      </c>
      <c r="AH174" s="1687" t="str" cm="1">
        <f t="array" aca="1" ref="AH174" ca="1">IFERROR(IF($L174&lt;&gt;"",_xll.PBF($L174,$N$126,$O$126,AH$127,"","EUR","r"),""),"")</f>
        <v/>
      </c>
      <c r="AI174" s="1687" t="str" cm="1">
        <f t="array" aca="1" ref="AI174" ca="1">IFERROR(IF($L174&lt;&gt;"",_xll.PBF($L174,$N$126,$O$126,AI$127,"","EUR","r"),""),"")</f>
        <v/>
      </c>
    </row>
    <row r="175" spans="12:35">
      <c r="L175" s="438" t="str">
        <f t="shared" si="32"/>
        <v/>
      </c>
      <c r="N175" s="1687" t="str" cm="1">
        <f t="array" aca="1" ref="N175" ca="1">IFERROR(IF($L175&lt;&gt;"",_xll.PBF($L175,$N$126,$O$126,N$127,"","EUR","r"),""),"")</f>
        <v/>
      </c>
      <c r="O175" s="1687" t="str" cm="1">
        <f t="array" aca="1" ref="O175" ca="1">IFERROR(IF($L175&lt;&gt;"",_xll.PBF($L175,$N$126,$O$126,O$127,"","EUR","r"),""),"")</f>
        <v/>
      </c>
      <c r="P175" s="1687" t="str" cm="1">
        <f t="array" aca="1" ref="P175" ca="1">IFERROR(IF($L175&lt;&gt;"",_xll.PBF($L175,$N$126,$O$126,P$127,"","EUR","r"),""),"")</f>
        <v/>
      </c>
      <c r="Q175" s="1687" t="str" cm="1">
        <f t="array" aca="1" ref="Q175" ca="1">IFERROR(IF($L175&lt;&gt;"",_xll.PBF($L175,$N$126,$O$126,Q$127,"","EUR","r"),""),"")</f>
        <v/>
      </c>
      <c r="R175" s="1687" t="str" cm="1">
        <f t="array" aca="1" ref="R175" ca="1">IFERROR(IF($L175&lt;&gt;"",_xll.PBF($L175,$N$126,$O$126,R$127,"","EUR","r"),""),"")</f>
        <v/>
      </c>
      <c r="S175" s="1687" t="str" cm="1">
        <f t="array" aca="1" ref="S175" ca="1">IFERROR(IF($L175&lt;&gt;"",_xll.PBF($L175,$N$126,$O$126,S$127,"","EUR","r"),""),"")</f>
        <v/>
      </c>
      <c r="T175" s="1687" t="str" cm="1">
        <f t="array" aca="1" ref="T175" ca="1">IFERROR(IF($L175&lt;&gt;"",_xll.PBF($L175,$N$126,$O$126,T$127,"","EUR","r"),""),"")</f>
        <v/>
      </c>
      <c r="U175" s="1687" t="str" cm="1">
        <f t="array" aca="1" ref="U175" ca="1">IFERROR(IF($L175&lt;&gt;"",_xll.PBF($L175,$N$126,$O$126,U$127,"","EUR","r"),""),"")</f>
        <v/>
      </c>
      <c r="V175" s="1687" t="str" cm="1">
        <f t="array" aca="1" ref="V175" ca="1">IFERROR(IF($L175&lt;&gt;"",_xll.PBF($L175,$N$126,$O$126,V$127,"","EUR","r"),""),"")</f>
        <v/>
      </c>
      <c r="W175" s="1687" t="str" cm="1">
        <f t="array" aca="1" ref="W175" ca="1">IFERROR(IF($L175&lt;&gt;"",_xll.PBF($L175,$N$126,$O$126,W$127,"","EUR","r"),""),"")</f>
        <v/>
      </c>
      <c r="X175" s="1687" t="str" cm="1">
        <f t="array" aca="1" ref="X175" ca="1">IFERROR(IF($L175&lt;&gt;"",_xll.PBF($L175,$N$126,$O$126,X$127,"","EUR","r"),""),"")</f>
        <v/>
      </c>
      <c r="Y175" s="1687" t="str" cm="1">
        <f t="array" aca="1" ref="Y175" ca="1">IFERROR(IF($L175&lt;&gt;"",_xll.PBF($L175,$N$126,$O$126,Y$127,"","EUR","r"),""),"")</f>
        <v/>
      </c>
      <c r="Z175" s="1687" t="str" cm="1">
        <f t="array" aca="1" ref="Z175" ca="1">IFERROR(IF($L175&lt;&gt;"",_xll.PBF($L175,$N$126,$O$126,Z$127,"","EUR","r"),""),"")</f>
        <v/>
      </c>
      <c r="AA175" s="1687" t="str" cm="1">
        <f t="array" aca="1" ref="AA175" ca="1">IFERROR(IF($L175&lt;&gt;"",_xll.PBF($L175,$N$126,$O$126,AA$127,"","EUR","r"),""),"")</f>
        <v/>
      </c>
      <c r="AB175" s="1687" t="str" cm="1">
        <f t="array" aca="1" ref="AB175" ca="1">IFERROR(IF($L175&lt;&gt;"",_xll.PBF($L175,$N$126,$O$126,AB$127,"","EUR","r"),""),"")</f>
        <v/>
      </c>
      <c r="AC175" s="1687" t="str" cm="1">
        <f t="array" aca="1" ref="AC175" ca="1">IFERROR(IF($L175&lt;&gt;"",_xll.PBF($L175,$N$126,$O$126,AC$127,"","EUR","r"),""),"")</f>
        <v/>
      </c>
      <c r="AD175" s="1687" t="str" cm="1">
        <f t="array" aca="1" ref="AD175" ca="1">IFERROR(IF($L175&lt;&gt;"",_xll.PBF($L175,$N$126,$O$126,AD$127,"","EUR","r"),""),"")</f>
        <v/>
      </c>
      <c r="AE175" s="1687" t="str" cm="1">
        <f t="array" aca="1" ref="AE175" ca="1">IFERROR(IF($L175&lt;&gt;"",_xll.PBF($L175,$N$126,$O$126,AE$127,"","EUR","r"),""),"")</f>
        <v/>
      </c>
      <c r="AF175" s="1687" t="str" cm="1">
        <f t="array" aca="1" ref="AF175" ca="1">IFERROR(IF($L175&lt;&gt;"",_xll.PBF($L175,$N$126,$O$126,AF$127,"","EUR","r"),""),"")</f>
        <v/>
      </c>
      <c r="AG175" s="1687" t="str" cm="1">
        <f t="array" aca="1" ref="AG175" ca="1">IFERROR(IF($L175&lt;&gt;"",_xll.PBF($L175,$N$126,$O$126,AG$127,"","EUR","r"),""),"")</f>
        <v/>
      </c>
      <c r="AH175" s="1687" t="str" cm="1">
        <f t="array" aca="1" ref="AH175" ca="1">IFERROR(IF($L175&lt;&gt;"",_xll.PBF($L175,$N$126,$O$126,AH$127,"","EUR","r"),""),"")</f>
        <v/>
      </c>
      <c r="AI175" s="1687" t="str" cm="1">
        <f t="array" aca="1" ref="AI175" ca="1">IFERROR(IF($L175&lt;&gt;"",_xll.PBF($L175,$N$126,$O$126,AI$127,"","EUR","r"),""),"")</f>
        <v/>
      </c>
    </row>
    <row r="176" spans="12:35">
      <c r="L176" s="438" t="str">
        <f t="shared" si="32"/>
        <v/>
      </c>
      <c r="N176" s="1687" t="str" cm="1">
        <f t="array" aca="1" ref="N176" ca="1">IFERROR(IF($L176&lt;&gt;"",_xll.PBF($L176,$N$126,$O$126,N$127,"","EUR","r"),""),"")</f>
        <v/>
      </c>
      <c r="O176" s="1687" t="str" cm="1">
        <f t="array" aca="1" ref="O176" ca="1">IFERROR(IF($L176&lt;&gt;"",_xll.PBF($L176,$N$126,$O$126,O$127,"","EUR","r"),""),"")</f>
        <v/>
      </c>
      <c r="P176" s="1687" t="str" cm="1">
        <f t="array" aca="1" ref="P176" ca="1">IFERROR(IF($L176&lt;&gt;"",_xll.PBF($L176,$N$126,$O$126,P$127,"","EUR","r"),""),"")</f>
        <v/>
      </c>
      <c r="Q176" s="1687" t="str" cm="1">
        <f t="array" aca="1" ref="Q176" ca="1">IFERROR(IF($L176&lt;&gt;"",_xll.PBF($L176,$N$126,$O$126,Q$127,"","EUR","r"),""),"")</f>
        <v/>
      </c>
      <c r="R176" s="1687" t="str" cm="1">
        <f t="array" aca="1" ref="R176" ca="1">IFERROR(IF($L176&lt;&gt;"",_xll.PBF($L176,$N$126,$O$126,R$127,"","EUR","r"),""),"")</f>
        <v/>
      </c>
      <c r="S176" s="1687" t="str" cm="1">
        <f t="array" aca="1" ref="S176" ca="1">IFERROR(IF($L176&lt;&gt;"",_xll.PBF($L176,$N$126,$O$126,S$127,"","EUR","r"),""),"")</f>
        <v/>
      </c>
      <c r="T176" s="1687" t="str" cm="1">
        <f t="array" aca="1" ref="T176" ca="1">IFERROR(IF($L176&lt;&gt;"",_xll.PBF($L176,$N$126,$O$126,T$127,"","EUR","r"),""),"")</f>
        <v/>
      </c>
      <c r="U176" s="1687" t="str" cm="1">
        <f t="array" aca="1" ref="U176" ca="1">IFERROR(IF($L176&lt;&gt;"",_xll.PBF($L176,$N$126,$O$126,U$127,"","EUR","r"),""),"")</f>
        <v/>
      </c>
      <c r="V176" s="1687" t="str" cm="1">
        <f t="array" aca="1" ref="V176" ca="1">IFERROR(IF($L176&lt;&gt;"",_xll.PBF($L176,$N$126,$O$126,V$127,"","EUR","r"),""),"")</f>
        <v/>
      </c>
      <c r="W176" s="1687" t="str" cm="1">
        <f t="array" aca="1" ref="W176" ca="1">IFERROR(IF($L176&lt;&gt;"",_xll.PBF($L176,$N$126,$O$126,W$127,"","EUR","r"),""),"")</f>
        <v/>
      </c>
      <c r="X176" s="1687" t="str" cm="1">
        <f t="array" aca="1" ref="X176" ca="1">IFERROR(IF($L176&lt;&gt;"",_xll.PBF($L176,$N$126,$O$126,X$127,"","EUR","r"),""),"")</f>
        <v/>
      </c>
      <c r="Y176" s="1687" t="str" cm="1">
        <f t="array" aca="1" ref="Y176" ca="1">IFERROR(IF($L176&lt;&gt;"",_xll.PBF($L176,$N$126,$O$126,Y$127,"","EUR","r"),""),"")</f>
        <v/>
      </c>
      <c r="Z176" s="1687" t="str" cm="1">
        <f t="array" aca="1" ref="Z176" ca="1">IFERROR(IF($L176&lt;&gt;"",_xll.PBF($L176,$N$126,$O$126,Z$127,"","EUR","r"),""),"")</f>
        <v/>
      </c>
      <c r="AA176" s="1687" t="str" cm="1">
        <f t="array" aca="1" ref="AA176" ca="1">IFERROR(IF($L176&lt;&gt;"",_xll.PBF($L176,$N$126,$O$126,AA$127,"","EUR","r"),""),"")</f>
        <v/>
      </c>
      <c r="AB176" s="1687" t="str" cm="1">
        <f t="array" aca="1" ref="AB176" ca="1">IFERROR(IF($L176&lt;&gt;"",_xll.PBF($L176,$N$126,$O$126,AB$127,"","EUR","r"),""),"")</f>
        <v/>
      </c>
      <c r="AC176" s="1687" t="str" cm="1">
        <f t="array" aca="1" ref="AC176" ca="1">IFERROR(IF($L176&lt;&gt;"",_xll.PBF($L176,$N$126,$O$126,AC$127,"","EUR","r"),""),"")</f>
        <v/>
      </c>
      <c r="AD176" s="1687" t="str" cm="1">
        <f t="array" aca="1" ref="AD176" ca="1">IFERROR(IF($L176&lt;&gt;"",_xll.PBF($L176,$N$126,$O$126,AD$127,"","EUR","r"),""),"")</f>
        <v/>
      </c>
      <c r="AE176" s="1687" t="str" cm="1">
        <f t="array" aca="1" ref="AE176" ca="1">IFERROR(IF($L176&lt;&gt;"",_xll.PBF($L176,$N$126,$O$126,AE$127,"","EUR","r"),""),"")</f>
        <v/>
      </c>
      <c r="AF176" s="1687" t="str" cm="1">
        <f t="array" aca="1" ref="AF176" ca="1">IFERROR(IF($L176&lt;&gt;"",_xll.PBF($L176,$N$126,$O$126,AF$127,"","EUR","r"),""),"")</f>
        <v/>
      </c>
      <c r="AG176" s="1687" t="str" cm="1">
        <f t="array" aca="1" ref="AG176" ca="1">IFERROR(IF($L176&lt;&gt;"",_xll.PBF($L176,$N$126,$O$126,AG$127,"","EUR","r"),""),"")</f>
        <v/>
      </c>
      <c r="AH176" s="1687" t="str" cm="1">
        <f t="array" aca="1" ref="AH176" ca="1">IFERROR(IF($L176&lt;&gt;"",_xll.PBF($L176,$N$126,$O$126,AH$127,"","EUR","r"),""),"")</f>
        <v/>
      </c>
      <c r="AI176" s="1687" t="str" cm="1">
        <f t="array" aca="1" ref="AI176" ca="1">IFERROR(IF($L176&lt;&gt;"",_xll.PBF($L176,$N$126,$O$126,AI$127,"","EUR","r"),""),"")</f>
        <v/>
      </c>
    </row>
    <row r="177" spans="12:35">
      <c r="L177" s="438" t="str">
        <f t="shared" si="32"/>
        <v/>
      </c>
      <c r="N177" s="1687" t="str" cm="1">
        <f t="array" aca="1" ref="N177" ca="1">IFERROR(IF($L177&lt;&gt;"",_xll.PBF($L177,$N$126,$O$126,N$127,"","EUR","r"),""),"")</f>
        <v/>
      </c>
      <c r="O177" s="1687" t="str" cm="1">
        <f t="array" aca="1" ref="O177" ca="1">IFERROR(IF($L177&lt;&gt;"",_xll.PBF($L177,$N$126,$O$126,O$127,"","EUR","r"),""),"")</f>
        <v/>
      </c>
      <c r="P177" s="1687" t="str" cm="1">
        <f t="array" aca="1" ref="P177" ca="1">IFERROR(IF($L177&lt;&gt;"",_xll.PBF($L177,$N$126,$O$126,P$127,"","EUR","r"),""),"")</f>
        <v/>
      </c>
      <c r="Q177" s="1687" t="str" cm="1">
        <f t="array" aca="1" ref="Q177" ca="1">IFERROR(IF($L177&lt;&gt;"",_xll.PBF($L177,$N$126,$O$126,Q$127,"","EUR","r"),""),"")</f>
        <v/>
      </c>
      <c r="R177" s="1687" t="str" cm="1">
        <f t="array" aca="1" ref="R177" ca="1">IFERROR(IF($L177&lt;&gt;"",_xll.PBF($L177,$N$126,$O$126,R$127,"","EUR","r"),""),"")</f>
        <v/>
      </c>
      <c r="S177" s="1687" t="str" cm="1">
        <f t="array" aca="1" ref="S177" ca="1">IFERROR(IF($L177&lt;&gt;"",_xll.PBF($L177,$N$126,$O$126,S$127,"","EUR","r"),""),"")</f>
        <v/>
      </c>
      <c r="T177" s="1687" t="str" cm="1">
        <f t="array" aca="1" ref="T177" ca="1">IFERROR(IF($L177&lt;&gt;"",_xll.PBF($L177,$N$126,$O$126,T$127,"","EUR","r"),""),"")</f>
        <v/>
      </c>
      <c r="U177" s="1687" t="str" cm="1">
        <f t="array" aca="1" ref="U177" ca="1">IFERROR(IF($L177&lt;&gt;"",_xll.PBF($L177,$N$126,$O$126,U$127,"","EUR","r"),""),"")</f>
        <v/>
      </c>
      <c r="V177" s="1687" t="str" cm="1">
        <f t="array" aca="1" ref="V177" ca="1">IFERROR(IF($L177&lt;&gt;"",_xll.PBF($L177,$N$126,$O$126,V$127,"","EUR","r"),""),"")</f>
        <v/>
      </c>
      <c r="W177" s="1687" t="str" cm="1">
        <f t="array" aca="1" ref="W177" ca="1">IFERROR(IF($L177&lt;&gt;"",_xll.PBF($L177,$N$126,$O$126,W$127,"","EUR","r"),""),"")</f>
        <v/>
      </c>
      <c r="X177" s="1687" t="str" cm="1">
        <f t="array" aca="1" ref="X177" ca="1">IFERROR(IF($L177&lt;&gt;"",_xll.PBF($L177,$N$126,$O$126,X$127,"","EUR","r"),""),"")</f>
        <v/>
      </c>
      <c r="Y177" s="1687" t="str" cm="1">
        <f t="array" aca="1" ref="Y177" ca="1">IFERROR(IF($L177&lt;&gt;"",_xll.PBF($L177,$N$126,$O$126,Y$127,"","EUR","r"),""),"")</f>
        <v/>
      </c>
      <c r="Z177" s="1687" t="str" cm="1">
        <f t="array" aca="1" ref="Z177" ca="1">IFERROR(IF($L177&lt;&gt;"",_xll.PBF($L177,$N$126,$O$126,Z$127,"","EUR","r"),""),"")</f>
        <v/>
      </c>
      <c r="AA177" s="1687" t="str" cm="1">
        <f t="array" aca="1" ref="AA177" ca="1">IFERROR(IF($L177&lt;&gt;"",_xll.PBF($L177,$N$126,$O$126,AA$127,"","EUR","r"),""),"")</f>
        <v/>
      </c>
      <c r="AB177" s="1687" t="str" cm="1">
        <f t="array" aca="1" ref="AB177" ca="1">IFERROR(IF($L177&lt;&gt;"",_xll.PBF($L177,$N$126,$O$126,AB$127,"","EUR","r"),""),"")</f>
        <v/>
      </c>
      <c r="AC177" s="1687" t="str" cm="1">
        <f t="array" aca="1" ref="AC177" ca="1">IFERROR(IF($L177&lt;&gt;"",_xll.PBF($L177,$N$126,$O$126,AC$127,"","EUR","r"),""),"")</f>
        <v/>
      </c>
      <c r="AD177" s="1687" t="str" cm="1">
        <f t="array" aca="1" ref="AD177" ca="1">IFERROR(IF($L177&lt;&gt;"",_xll.PBF($L177,$N$126,$O$126,AD$127,"","EUR","r"),""),"")</f>
        <v/>
      </c>
      <c r="AE177" s="1687" t="str" cm="1">
        <f t="array" aca="1" ref="AE177" ca="1">IFERROR(IF($L177&lt;&gt;"",_xll.PBF($L177,$N$126,$O$126,AE$127,"","EUR","r"),""),"")</f>
        <v/>
      </c>
      <c r="AF177" s="1687" t="str" cm="1">
        <f t="array" aca="1" ref="AF177" ca="1">IFERROR(IF($L177&lt;&gt;"",_xll.PBF($L177,$N$126,$O$126,AF$127,"","EUR","r"),""),"")</f>
        <v/>
      </c>
      <c r="AG177" s="1687" t="str" cm="1">
        <f t="array" aca="1" ref="AG177" ca="1">IFERROR(IF($L177&lt;&gt;"",_xll.PBF($L177,$N$126,$O$126,AG$127,"","EUR","r"),""),"")</f>
        <v/>
      </c>
      <c r="AH177" s="1687" t="str" cm="1">
        <f t="array" aca="1" ref="AH177" ca="1">IFERROR(IF($L177&lt;&gt;"",_xll.PBF($L177,$N$126,$O$126,AH$127,"","EUR","r"),""),"")</f>
        <v/>
      </c>
      <c r="AI177" s="1687" t="str" cm="1">
        <f t="array" aca="1" ref="AI177" ca="1">IFERROR(IF($L177&lt;&gt;"",_xll.PBF($L177,$N$126,$O$126,AI$127,"","EUR","r"),""),"")</f>
        <v/>
      </c>
    </row>
    <row r="178" spans="12:35">
      <c r="L178" s="438" t="str">
        <f t="shared" si="32"/>
        <v/>
      </c>
      <c r="N178" s="1687" t="str" cm="1">
        <f t="array" aca="1" ref="N178" ca="1">IFERROR(IF($L178&lt;&gt;"",_xll.PBF($L178,$N$126,$O$126,N$127,"","EUR","r"),""),"")</f>
        <v/>
      </c>
      <c r="O178" s="1687" t="str" cm="1">
        <f t="array" aca="1" ref="O178" ca="1">IFERROR(IF($L178&lt;&gt;"",_xll.PBF($L178,$N$126,$O$126,O$127,"","EUR","r"),""),"")</f>
        <v/>
      </c>
      <c r="P178" s="1687" t="str" cm="1">
        <f t="array" aca="1" ref="P178" ca="1">IFERROR(IF($L178&lt;&gt;"",_xll.PBF($L178,$N$126,$O$126,P$127,"","EUR","r"),""),"")</f>
        <v/>
      </c>
      <c r="Q178" s="1687" t="str" cm="1">
        <f t="array" aca="1" ref="Q178" ca="1">IFERROR(IF($L178&lt;&gt;"",_xll.PBF($L178,$N$126,$O$126,Q$127,"","EUR","r"),""),"")</f>
        <v/>
      </c>
      <c r="R178" s="1687" t="str" cm="1">
        <f t="array" aca="1" ref="R178" ca="1">IFERROR(IF($L178&lt;&gt;"",_xll.PBF($L178,$N$126,$O$126,R$127,"","EUR","r"),""),"")</f>
        <v/>
      </c>
      <c r="S178" s="1687" t="str" cm="1">
        <f t="array" aca="1" ref="S178" ca="1">IFERROR(IF($L178&lt;&gt;"",_xll.PBF($L178,$N$126,$O$126,S$127,"","EUR","r"),""),"")</f>
        <v/>
      </c>
      <c r="T178" s="1687" t="str" cm="1">
        <f t="array" aca="1" ref="T178" ca="1">IFERROR(IF($L178&lt;&gt;"",_xll.PBF($L178,$N$126,$O$126,T$127,"","EUR","r"),""),"")</f>
        <v/>
      </c>
      <c r="U178" s="1687" t="str" cm="1">
        <f t="array" aca="1" ref="U178" ca="1">IFERROR(IF($L178&lt;&gt;"",_xll.PBF($L178,$N$126,$O$126,U$127,"","EUR","r"),""),"")</f>
        <v/>
      </c>
      <c r="V178" s="1687" t="str" cm="1">
        <f t="array" aca="1" ref="V178" ca="1">IFERROR(IF($L178&lt;&gt;"",_xll.PBF($L178,$N$126,$O$126,V$127,"","EUR","r"),""),"")</f>
        <v/>
      </c>
      <c r="W178" s="1687" t="str" cm="1">
        <f t="array" aca="1" ref="W178" ca="1">IFERROR(IF($L178&lt;&gt;"",_xll.PBF($L178,$N$126,$O$126,W$127,"","EUR","r"),""),"")</f>
        <v/>
      </c>
      <c r="X178" s="1687" t="str" cm="1">
        <f t="array" aca="1" ref="X178" ca="1">IFERROR(IF($L178&lt;&gt;"",_xll.PBF($L178,$N$126,$O$126,X$127,"","EUR","r"),""),"")</f>
        <v/>
      </c>
      <c r="Y178" s="1687" t="str" cm="1">
        <f t="array" aca="1" ref="Y178" ca="1">IFERROR(IF($L178&lt;&gt;"",_xll.PBF($L178,$N$126,$O$126,Y$127,"","EUR","r"),""),"")</f>
        <v/>
      </c>
      <c r="Z178" s="1687" t="str" cm="1">
        <f t="array" aca="1" ref="Z178" ca="1">IFERROR(IF($L178&lt;&gt;"",_xll.PBF($L178,$N$126,$O$126,Z$127,"","EUR","r"),""),"")</f>
        <v/>
      </c>
      <c r="AA178" s="1687" t="str" cm="1">
        <f t="array" aca="1" ref="AA178" ca="1">IFERROR(IF($L178&lt;&gt;"",_xll.PBF($L178,$N$126,$O$126,AA$127,"","EUR","r"),""),"")</f>
        <v/>
      </c>
      <c r="AB178" s="1687" t="str" cm="1">
        <f t="array" aca="1" ref="AB178" ca="1">IFERROR(IF($L178&lt;&gt;"",_xll.PBF($L178,$N$126,$O$126,AB$127,"","EUR","r"),""),"")</f>
        <v/>
      </c>
      <c r="AC178" s="1687" t="str" cm="1">
        <f t="array" aca="1" ref="AC178" ca="1">IFERROR(IF($L178&lt;&gt;"",_xll.PBF($L178,$N$126,$O$126,AC$127,"","EUR","r"),""),"")</f>
        <v/>
      </c>
      <c r="AD178" s="1687" t="str" cm="1">
        <f t="array" aca="1" ref="AD178" ca="1">IFERROR(IF($L178&lt;&gt;"",_xll.PBF($L178,$N$126,$O$126,AD$127,"","EUR","r"),""),"")</f>
        <v/>
      </c>
      <c r="AE178" s="1687" t="str" cm="1">
        <f t="array" aca="1" ref="AE178" ca="1">IFERROR(IF($L178&lt;&gt;"",_xll.PBF($L178,$N$126,$O$126,AE$127,"","EUR","r"),""),"")</f>
        <v/>
      </c>
      <c r="AF178" s="1687" t="str" cm="1">
        <f t="array" aca="1" ref="AF178" ca="1">IFERROR(IF($L178&lt;&gt;"",_xll.PBF($L178,$N$126,$O$126,AF$127,"","EUR","r"),""),"")</f>
        <v/>
      </c>
      <c r="AG178" s="1687" t="str" cm="1">
        <f t="array" aca="1" ref="AG178" ca="1">IFERROR(IF($L178&lt;&gt;"",_xll.PBF($L178,$N$126,$O$126,AG$127,"","EUR","r"),""),"")</f>
        <v/>
      </c>
      <c r="AH178" s="1687" t="str" cm="1">
        <f t="array" aca="1" ref="AH178" ca="1">IFERROR(IF($L178&lt;&gt;"",_xll.PBF($L178,$N$126,$O$126,AH$127,"","EUR","r"),""),"")</f>
        <v/>
      </c>
      <c r="AI178" s="1687" t="str" cm="1">
        <f t="array" aca="1" ref="AI178" ca="1">IFERROR(IF($L178&lt;&gt;"",_xll.PBF($L178,$N$126,$O$126,AI$127,"","EUR","r"),""),"")</f>
        <v/>
      </c>
    </row>
    <row r="179" spans="12:35">
      <c r="L179" s="438" t="str">
        <f t="shared" si="32"/>
        <v/>
      </c>
      <c r="N179" s="1687" t="str" cm="1">
        <f t="array" aca="1" ref="N179" ca="1">IFERROR(IF($L179&lt;&gt;"",_xll.PBF($L179,$N$126,$O$126,N$127,"","EUR","r"),""),"")</f>
        <v/>
      </c>
      <c r="O179" s="1687" t="str" cm="1">
        <f t="array" aca="1" ref="O179" ca="1">IFERROR(IF($L179&lt;&gt;"",_xll.PBF($L179,$N$126,$O$126,O$127,"","EUR","r"),""),"")</f>
        <v/>
      </c>
      <c r="P179" s="1687" t="str" cm="1">
        <f t="array" aca="1" ref="P179" ca="1">IFERROR(IF($L179&lt;&gt;"",_xll.PBF($L179,$N$126,$O$126,P$127,"","EUR","r"),""),"")</f>
        <v/>
      </c>
      <c r="Q179" s="1687" t="str" cm="1">
        <f t="array" aca="1" ref="Q179" ca="1">IFERROR(IF($L179&lt;&gt;"",_xll.PBF($L179,$N$126,$O$126,Q$127,"","EUR","r"),""),"")</f>
        <v/>
      </c>
      <c r="R179" s="1687" t="str" cm="1">
        <f t="array" aca="1" ref="R179" ca="1">IFERROR(IF($L179&lt;&gt;"",_xll.PBF($L179,$N$126,$O$126,R$127,"","EUR","r"),""),"")</f>
        <v/>
      </c>
      <c r="S179" s="1687" t="str" cm="1">
        <f t="array" aca="1" ref="S179" ca="1">IFERROR(IF($L179&lt;&gt;"",_xll.PBF($L179,$N$126,$O$126,S$127,"","EUR","r"),""),"")</f>
        <v/>
      </c>
      <c r="T179" s="1687" t="str" cm="1">
        <f t="array" aca="1" ref="T179" ca="1">IFERROR(IF($L179&lt;&gt;"",_xll.PBF($L179,$N$126,$O$126,T$127,"","EUR","r"),""),"")</f>
        <v/>
      </c>
      <c r="U179" s="1687" t="str" cm="1">
        <f t="array" aca="1" ref="U179" ca="1">IFERROR(IF($L179&lt;&gt;"",_xll.PBF($L179,$N$126,$O$126,U$127,"","EUR","r"),""),"")</f>
        <v/>
      </c>
      <c r="V179" s="1687" t="str" cm="1">
        <f t="array" aca="1" ref="V179" ca="1">IFERROR(IF($L179&lt;&gt;"",_xll.PBF($L179,$N$126,$O$126,V$127,"","EUR","r"),""),"")</f>
        <v/>
      </c>
      <c r="W179" s="1687" t="str" cm="1">
        <f t="array" aca="1" ref="W179" ca="1">IFERROR(IF($L179&lt;&gt;"",_xll.PBF($L179,$N$126,$O$126,W$127,"","EUR","r"),""),"")</f>
        <v/>
      </c>
      <c r="X179" s="1687" t="str" cm="1">
        <f t="array" aca="1" ref="X179" ca="1">IFERROR(IF($L179&lt;&gt;"",_xll.PBF($L179,$N$126,$O$126,X$127,"","EUR","r"),""),"")</f>
        <v/>
      </c>
      <c r="Y179" s="1687" t="str" cm="1">
        <f t="array" aca="1" ref="Y179" ca="1">IFERROR(IF($L179&lt;&gt;"",_xll.PBF($L179,$N$126,$O$126,Y$127,"","EUR","r"),""),"")</f>
        <v/>
      </c>
      <c r="Z179" s="1687" t="str" cm="1">
        <f t="array" aca="1" ref="Z179" ca="1">IFERROR(IF($L179&lt;&gt;"",_xll.PBF($L179,$N$126,$O$126,Z$127,"","EUR","r"),""),"")</f>
        <v/>
      </c>
      <c r="AA179" s="1687" t="str" cm="1">
        <f t="array" aca="1" ref="AA179" ca="1">IFERROR(IF($L179&lt;&gt;"",_xll.PBF($L179,$N$126,$O$126,AA$127,"","EUR","r"),""),"")</f>
        <v/>
      </c>
      <c r="AB179" s="1687" t="str" cm="1">
        <f t="array" aca="1" ref="AB179" ca="1">IFERROR(IF($L179&lt;&gt;"",_xll.PBF($L179,$N$126,$O$126,AB$127,"","EUR","r"),""),"")</f>
        <v/>
      </c>
      <c r="AC179" s="1687" t="str" cm="1">
        <f t="array" aca="1" ref="AC179" ca="1">IFERROR(IF($L179&lt;&gt;"",_xll.PBF($L179,$N$126,$O$126,AC$127,"","EUR","r"),""),"")</f>
        <v/>
      </c>
      <c r="AD179" s="1687" t="str" cm="1">
        <f t="array" aca="1" ref="AD179" ca="1">IFERROR(IF($L179&lt;&gt;"",_xll.PBF($L179,$N$126,$O$126,AD$127,"","EUR","r"),""),"")</f>
        <v/>
      </c>
      <c r="AE179" s="1687" t="str" cm="1">
        <f t="array" aca="1" ref="AE179" ca="1">IFERROR(IF($L179&lt;&gt;"",_xll.PBF($L179,$N$126,$O$126,AE$127,"","EUR","r"),""),"")</f>
        <v/>
      </c>
      <c r="AF179" s="1687" t="str" cm="1">
        <f t="array" aca="1" ref="AF179" ca="1">IFERROR(IF($L179&lt;&gt;"",_xll.PBF($L179,$N$126,$O$126,AF$127,"","EUR","r"),""),"")</f>
        <v/>
      </c>
      <c r="AG179" s="1687" t="str" cm="1">
        <f t="array" aca="1" ref="AG179" ca="1">IFERROR(IF($L179&lt;&gt;"",_xll.PBF($L179,$N$126,$O$126,AG$127,"","EUR","r"),""),"")</f>
        <v/>
      </c>
      <c r="AH179" s="1687" t="str" cm="1">
        <f t="array" aca="1" ref="AH179" ca="1">IFERROR(IF($L179&lt;&gt;"",_xll.PBF($L179,$N$126,$O$126,AH$127,"","EUR","r"),""),"")</f>
        <v/>
      </c>
      <c r="AI179" s="1687" t="str" cm="1">
        <f t="array" aca="1" ref="AI179" ca="1">IFERROR(IF($L179&lt;&gt;"",_xll.PBF($L179,$N$126,$O$126,AI$127,"","EUR","r"),""),"")</f>
        <v/>
      </c>
    </row>
    <row r="180" spans="12:35">
      <c r="L180" s="438" t="str">
        <f t="shared" si="32"/>
        <v/>
      </c>
      <c r="N180" s="1687" t="str" cm="1">
        <f t="array" aca="1" ref="N180" ca="1">IFERROR(IF($L180&lt;&gt;"",_xll.PBF($L180,$N$126,$O$126,N$127,"","EUR","r"),""),"")</f>
        <v/>
      </c>
      <c r="O180" s="1687" t="str" cm="1">
        <f t="array" aca="1" ref="O180" ca="1">IFERROR(IF($L180&lt;&gt;"",_xll.PBF($L180,$N$126,$O$126,O$127,"","EUR","r"),""),"")</f>
        <v/>
      </c>
      <c r="P180" s="1687" t="str" cm="1">
        <f t="array" aca="1" ref="P180" ca="1">IFERROR(IF($L180&lt;&gt;"",_xll.PBF($L180,$N$126,$O$126,P$127,"","EUR","r"),""),"")</f>
        <v/>
      </c>
      <c r="Q180" s="1687" t="str" cm="1">
        <f t="array" aca="1" ref="Q180" ca="1">IFERROR(IF($L180&lt;&gt;"",_xll.PBF($L180,$N$126,$O$126,Q$127,"","EUR","r"),""),"")</f>
        <v/>
      </c>
      <c r="R180" s="1687" t="str" cm="1">
        <f t="array" aca="1" ref="R180" ca="1">IFERROR(IF($L180&lt;&gt;"",_xll.PBF($L180,$N$126,$O$126,R$127,"","EUR","r"),""),"")</f>
        <v/>
      </c>
      <c r="S180" s="1687" t="str" cm="1">
        <f t="array" aca="1" ref="S180" ca="1">IFERROR(IF($L180&lt;&gt;"",_xll.PBF($L180,$N$126,$O$126,S$127,"","EUR","r"),""),"")</f>
        <v/>
      </c>
      <c r="T180" s="1687" t="str" cm="1">
        <f t="array" aca="1" ref="T180" ca="1">IFERROR(IF($L180&lt;&gt;"",_xll.PBF($L180,$N$126,$O$126,T$127,"","EUR","r"),""),"")</f>
        <v/>
      </c>
      <c r="U180" s="1687" t="str" cm="1">
        <f t="array" aca="1" ref="U180" ca="1">IFERROR(IF($L180&lt;&gt;"",_xll.PBF($L180,$N$126,$O$126,U$127,"","EUR","r"),""),"")</f>
        <v/>
      </c>
      <c r="V180" s="1687" t="str" cm="1">
        <f t="array" aca="1" ref="V180" ca="1">IFERROR(IF($L180&lt;&gt;"",_xll.PBF($L180,$N$126,$O$126,V$127,"","EUR","r"),""),"")</f>
        <v/>
      </c>
      <c r="W180" s="1687" t="str" cm="1">
        <f t="array" aca="1" ref="W180" ca="1">IFERROR(IF($L180&lt;&gt;"",_xll.PBF($L180,$N$126,$O$126,W$127,"","EUR","r"),""),"")</f>
        <v/>
      </c>
      <c r="X180" s="1687" t="str" cm="1">
        <f t="array" aca="1" ref="X180" ca="1">IFERROR(IF($L180&lt;&gt;"",_xll.PBF($L180,$N$126,$O$126,X$127,"","EUR","r"),""),"")</f>
        <v/>
      </c>
      <c r="Y180" s="1687" t="str" cm="1">
        <f t="array" aca="1" ref="Y180" ca="1">IFERROR(IF($L180&lt;&gt;"",_xll.PBF($L180,$N$126,$O$126,Y$127,"","EUR","r"),""),"")</f>
        <v/>
      </c>
      <c r="Z180" s="1687" t="str" cm="1">
        <f t="array" aca="1" ref="Z180" ca="1">IFERROR(IF($L180&lt;&gt;"",_xll.PBF($L180,$N$126,$O$126,Z$127,"","EUR","r"),""),"")</f>
        <v/>
      </c>
      <c r="AA180" s="1687" t="str" cm="1">
        <f t="array" aca="1" ref="AA180" ca="1">IFERROR(IF($L180&lt;&gt;"",_xll.PBF($L180,$N$126,$O$126,AA$127,"","EUR","r"),""),"")</f>
        <v/>
      </c>
      <c r="AB180" s="1687" t="str" cm="1">
        <f t="array" aca="1" ref="AB180" ca="1">IFERROR(IF($L180&lt;&gt;"",_xll.PBF($L180,$N$126,$O$126,AB$127,"","EUR","r"),""),"")</f>
        <v/>
      </c>
      <c r="AC180" s="1687" t="str" cm="1">
        <f t="array" aca="1" ref="AC180" ca="1">IFERROR(IF($L180&lt;&gt;"",_xll.PBF($L180,$N$126,$O$126,AC$127,"","EUR","r"),""),"")</f>
        <v/>
      </c>
      <c r="AD180" s="1687" t="str" cm="1">
        <f t="array" aca="1" ref="AD180" ca="1">IFERROR(IF($L180&lt;&gt;"",_xll.PBF($L180,$N$126,$O$126,AD$127,"","EUR","r"),""),"")</f>
        <v/>
      </c>
      <c r="AE180" s="1687" t="str" cm="1">
        <f t="array" aca="1" ref="AE180" ca="1">IFERROR(IF($L180&lt;&gt;"",_xll.PBF($L180,$N$126,$O$126,AE$127,"","EUR","r"),""),"")</f>
        <v/>
      </c>
      <c r="AF180" s="1687" t="str" cm="1">
        <f t="array" aca="1" ref="AF180" ca="1">IFERROR(IF($L180&lt;&gt;"",_xll.PBF($L180,$N$126,$O$126,AF$127,"","EUR","r"),""),"")</f>
        <v/>
      </c>
      <c r="AG180" s="1687" t="str" cm="1">
        <f t="array" aca="1" ref="AG180" ca="1">IFERROR(IF($L180&lt;&gt;"",_xll.PBF($L180,$N$126,$O$126,AG$127,"","EUR","r"),""),"")</f>
        <v/>
      </c>
      <c r="AH180" s="1687" t="str" cm="1">
        <f t="array" aca="1" ref="AH180" ca="1">IFERROR(IF($L180&lt;&gt;"",_xll.PBF($L180,$N$126,$O$126,AH$127,"","EUR","r"),""),"")</f>
        <v/>
      </c>
      <c r="AI180" s="1687" t="str" cm="1">
        <f t="array" aca="1" ref="AI180" ca="1">IFERROR(IF($L180&lt;&gt;"",_xll.PBF($L180,$N$126,$O$126,AI$127,"","EUR","r"),""),"")</f>
        <v/>
      </c>
    </row>
    <row r="181" spans="12:35">
      <c r="L181" s="438" t="str">
        <f t="shared" si="32"/>
        <v/>
      </c>
      <c r="N181" s="1687" t="str" cm="1">
        <f t="array" aca="1" ref="N181" ca="1">IFERROR(IF($L181&lt;&gt;"",_xll.PBF($L181,$N$126,$O$126,N$127,"","EUR","r"),""),"")</f>
        <v/>
      </c>
      <c r="O181" s="1687" t="str" cm="1">
        <f t="array" aca="1" ref="O181" ca="1">IFERROR(IF($L181&lt;&gt;"",_xll.PBF($L181,$N$126,$O$126,O$127,"","EUR","r"),""),"")</f>
        <v/>
      </c>
      <c r="P181" s="1687" t="str" cm="1">
        <f t="array" aca="1" ref="P181" ca="1">IFERROR(IF($L181&lt;&gt;"",_xll.PBF($L181,$N$126,$O$126,P$127,"","EUR","r"),""),"")</f>
        <v/>
      </c>
      <c r="Q181" s="1687" t="str" cm="1">
        <f t="array" aca="1" ref="Q181" ca="1">IFERROR(IF($L181&lt;&gt;"",_xll.PBF($L181,$N$126,$O$126,Q$127,"","EUR","r"),""),"")</f>
        <v/>
      </c>
      <c r="R181" s="1687" t="str" cm="1">
        <f t="array" aca="1" ref="R181" ca="1">IFERROR(IF($L181&lt;&gt;"",_xll.PBF($L181,$N$126,$O$126,R$127,"","EUR","r"),""),"")</f>
        <v/>
      </c>
      <c r="S181" s="1687" t="str" cm="1">
        <f t="array" aca="1" ref="S181" ca="1">IFERROR(IF($L181&lt;&gt;"",_xll.PBF($L181,$N$126,$O$126,S$127,"","EUR","r"),""),"")</f>
        <v/>
      </c>
      <c r="T181" s="1687" t="str" cm="1">
        <f t="array" aca="1" ref="T181" ca="1">IFERROR(IF($L181&lt;&gt;"",_xll.PBF($L181,$N$126,$O$126,T$127,"","EUR","r"),""),"")</f>
        <v/>
      </c>
      <c r="U181" s="1687" t="str" cm="1">
        <f t="array" aca="1" ref="U181" ca="1">IFERROR(IF($L181&lt;&gt;"",_xll.PBF($L181,$N$126,$O$126,U$127,"","EUR","r"),""),"")</f>
        <v/>
      </c>
      <c r="V181" s="1687" t="str" cm="1">
        <f t="array" aca="1" ref="V181" ca="1">IFERROR(IF($L181&lt;&gt;"",_xll.PBF($L181,$N$126,$O$126,V$127,"","EUR","r"),""),"")</f>
        <v/>
      </c>
      <c r="W181" s="1687" t="str" cm="1">
        <f t="array" aca="1" ref="W181" ca="1">IFERROR(IF($L181&lt;&gt;"",_xll.PBF($L181,$N$126,$O$126,W$127,"","EUR","r"),""),"")</f>
        <v/>
      </c>
      <c r="X181" s="1687" t="str" cm="1">
        <f t="array" aca="1" ref="X181" ca="1">IFERROR(IF($L181&lt;&gt;"",_xll.PBF($L181,$N$126,$O$126,X$127,"","EUR","r"),""),"")</f>
        <v/>
      </c>
      <c r="Y181" s="1687" t="str" cm="1">
        <f t="array" aca="1" ref="Y181" ca="1">IFERROR(IF($L181&lt;&gt;"",_xll.PBF($L181,$N$126,$O$126,Y$127,"","EUR","r"),""),"")</f>
        <v/>
      </c>
      <c r="Z181" s="1687" t="str" cm="1">
        <f t="array" aca="1" ref="Z181" ca="1">IFERROR(IF($L181&lt;&gt;"",_xll.PBF($L181,$N$126,$O$126,Z$127,"","EUR","r"),""),"")</f>
        <v/>
      </c>
      <c r="AA181" s="1687" t="str" cm="1">
        <f t="array" aca="1" ref="AA181" ca="1">IFERROR(IF($L181&lt;&gt;"",_xll.PBF($L181,$N$126,$O$126,AA$127,"","EUR","r"),""),"")</f>
        <v/>
      </c>
      <c r="AB181" s="1687" t="str" cm="1">
        <f t="array" aca="1" ref="AB181" ca="1">IFERROR(IF($L181&lt;&gt;"",_xll.PBF($L181,$N$126,$O$126,AB$127,"","EUR","r"),""),"")</f>
        <v/>
      </c>
      <c r="AC181" s="1687" t="str" cm="1">
        <f t="array" aca="1" ref="AC181" ca="1">IFERROR(IF($L181&lt;&gt;"",_xll.PBF($L181,$N$126,$O$126,AC$127,"","EUR","r"),""),"")</f>
        <v/>
      </c>
      <c r="AD181" s="1687" t="str" cm="1">
        <f t="array" aca="1" ref="AD181" ca="1">IFERROR(IF($L181&lt;&gt;"",_xll.PBF($L181,$N$126,$O$126,AD$127,"","EUR","r"),""),"")</f>
        <v/>
      </c>
      <c r="AE181" s="1687" t="str" cm="1">
        <f t="array" aca="1" ref="AE181" ca="1">IFERROR(IF($L181&lt;&gt;"",_xll.PBF($L181,$N$126,$O$126,AE$127,"","EUR","r"),""),"")</f>
        <v/>
      </c>
      <c r="AF181" s="1687" t="str" cm="1">
        <f t="array" aca="1" ref="AF181" ca="1">IFERROR(IF($L181&lt;&gt;"",_xll.PBF($L181,$N$126,$O$126,AF$127,"","EUR","r"),""),"")</f>
        <v/>
      </c>
      <c r="AG181" s="1687" t="str" cm="1">
        <f t="array" aca="1" ref="AG181" ca="1">IFERROR(IF($L181&lt;&gt;"",_xll.PBF($L181,$N$126,$O$126,AG$127,"","EUR","r"),""),"")</f>
        <v/>
      </c>
      <c r="AH181" s="1687" t="str" cm="1">
        <f t="array" aca="1" ref="AH181" ca="1">IFERROR(IF($L181&lt;&gt;"",_xll.PBF($L181,$N$126,$O$126,AH$127,"","EUR","r"),""),"")</f>
        <v/>
      </c>
      <c r="AI181" s="1687" t="str" cm="1">
        <f t="array" aca="1" ref="AI181" ca="1">IFERROR(IF($L181&lt;&gt;"",_xll.PBF($L181,$N$126,$O$126,AI$127,"","EUR","r"),""),"")</f>
        <v/>
      </c>
    </row>
    <row r="182" spans="12:35">
      <c r="L182" s="438" t="str">
        <f t="shared" si="32"/>
        <v/>
      </c>
      <c r="N182" s="1687" t="str" cm="1">
        <f t="array" aca="1" ref="N182" ca="1">IFERROR(IF($L182&lt;&gt;"",_xll.PBF($L182,$N$126,$O$126,N$127,"","EUR","r"),""),"")</f>
        <v/>
      </c>
      <c r="O182" s="1687" t="str" cm="1">
        <f t="array" aca="1" ref="O182" ca="1">IFERROR(IF($L182&lt;&gt;"",_xll.PBF($L182,$N$126,$O$126,O$127,"","EUR","r"),""),"")</f>
        <v/>
      </c>
      <c r="P182" s="1687" t="str" cm="1">
        <f t="array" aca="1" ref="P182" ca="1">IFERROR(IF($L182&lt;&gt;"",_xll.PBF($L182,$N$126,$O$126,P$127,"","EUR","r"),""),"")</f>
        <v/>
      </c>
      <c r="Q182" s="1687" t="str" cm="1">
        <f t="array" aca="1" ref="Q182" ca="1">IFERROR(IF($L182&lt;&gt;"",_xll.PBF($L182,$N$126,$O$126,Q$127,"","EUR","r"),""),"")</f>
        <v/>
      </c>
      <c r="R182" s="1687" t="str" cm="1">
        <f t="array" aca="1" ref="R182" ca="1">IFERROR(IF($L182&lt;&gt;"",_xll.PBF($L182,$N$126,$O$126,R$127,"","EUR","r"),""),"")</f>
        <v/>
      </c>
      <c r="S182" s="1687" t="str" cm="1">
        <f t="array" aca="1" ref="S182" ca="1">IFERROR(IF($L182&lt;&gt;"",_xll.PBF($L182,$N$126,$O$126,S$127,"","EUR","r"),""),"")</f>
        <v/>
      </c>
      <c r="T182" s="1687" t="str" cm="1">
        <f t="array" aca="1" ref="T182" ca="1">IFERROR(IF($L182&lt;&gt;"",_xll.PBF($L182,$N$126,$O$126,T$127,"","EUR","r"),""),"")</f>
        <v/>
      </c>
      <c r="U182" s="1687" t="str" cm="1">
        <f t="array" aca="1" ref="U182" ca="1">IFERROR(IF($L182&lt;&gt;"",_xll.PBF($L182,$N$126,$O$126,U$127,"","EUR","r"),""),"")</f>
        <v/>
      </c>
      <c r="V182" s="1687" t="str" cm="1">
        <f t="array" aca="1" ref="V182" ca="1">IFERROR(IF($L182&lt;&gt;"",_xll.PBF($L182,$N$126,$O$126,V$127,"","EUR","r"),""),"")</f>
        <v/>
      </c>
      <c r="W182" s="1687" t="str" cm="1">
        <f t="array" aca="1" ref="W182" ca="1">IFERROR(IF($L182&lt;&gt;"",_xll.PBF($L182,$N$126,$O$126,W$127,"","EUR","r"),""),"")</f>
        <v/>
      </c>
      <c r="X182" s="1687" t="str" cm="1">
        <f t="array" aca="1" ref="X182" ca="1">IFERROR(IF($L182&lt;&gt;"",_xll.PBF($L182,$N$126,$O$126,X$127,"","EUR","r"),""),"")</f>
        <v/>
      </c>
      <c r="Y182" s="1687" t="str" cm="1">
        <f t="array" aca="1" ref="Y182" ca="1">IFERROR(IF($L182&lt;&gt;"",_xll.PBF($L182,$N$126,$O$126,Y$127,"","EUR","r"),""),"")</f>
        <v/>
      </c>
      <c r="Z182" s="1687" t="str" cm="1">
        <f t="array" aca="1" ref="Z182" ca="1">IFERROR(IF($L182&lt;&gt;"",_xll.PBF($L182,$N$126,$O$126,Z$127,"","EUR","r"),""),"")</f>
        <v/>
      </c>
      <c r="AA182" s="1687" t="str" cm="1">
        <f t="array" aca="1" ref="AA182" ca="1">IFERROR(IF($L182&lt;&gt;"",_xll.PBF($L182,$N$126,$O$126,AA$127,"","EUR","r"),""),"")</f>
        <v/>
      </c>
      <c r="AB182" s="1687" t="str" cm="1">
        <f t="array" aca="1" ref="AB182" ca="1">IFERROR(IF($L182&lt;&gt;"",_xll.PBF($L182,$N$126,$O$126,AB$127,"","EUR","r"),""),"")</f>
        <v/>
      </c>
      <c r="AC182" s="1687" t="str" cm="1">
        <f t="array" aca="1" ref="AC182" ca="1">IFERROR(IF($L182&lt;&gt;"",_xll.PBF($L182,$N$126,$O$126,AC$127,"","EUR","r"),""),"")</f>
        <v/>
      </c>
      <c r="AD182" s="1687" t="str" cm="1">
        <f t="array" aca="1" ref="AD182" ca="1">IFERROR(IF($L182&lt;&gt;"",_xll.PBF($L182,$N$126,$O$126,AD$127,"","EUR","r"),""),"")</f>
        <v/>
      </c>
      <c r="AE182" s="1687" t="str" cm="1">
        <f t="array" aca="1" ref="AE182" ca="1">IFERROR(IF($L182&lt;&gt;"",_xll.PBF($L182,$N$126,$O$126,AE$127,"","EUR","r"),""),"")</f>
        <v/>
      </c>
      <c r="AF182" s="1687" t="str" cm="1">
        <f t="array" aca="1" ref="AF182" ca="1">IFERROR(IF($L182&lt;&gt;"",_xll.PBF($L182,$N$126,$O$126,AF$127,"","EUR","r"),""),"")</f>
        <v/>
      </c>
      <c r="AG182" s="1687" t="str" cm="1">
        <f t="array" aca="1" ref="AG182" ca="1">IFERROR(IF($L182&lt;&gt;"",_xll.PBF($L182,$N$126,$O$126,AG$127,"","EUR","r"),""),"")</f>
        <v/>
      </c>
      <c r="AH182" s="1687" t="str" cm="1">
        <f t="array" aca="1" ref="AH182" ca="1">IFERROR(IF($L182&lt;&gt;"",_xll.PBF($L182,$N$126,$O$126,AH$127,"","EUR","r"),""),"")</f>
        <v/>
      </c>
      <c r="AI182" s="1687" t="str" cm="1">
        <f t="array" aca="1" ref="AI182" ca="1">IFERROR(IF($L182&lt;&gt;"",_xll.PBF($L182,$N$126,$O$126,AI$127,"","EUR","r"),""),"")</f>
        <v/>
      </c>
    </row>
    <row r="183" spans="12:35">
      <c r="L183" s="438" t="str">
        <f t="shared" si="32"/>
        <v/>
      </c>
      <c r="N183" s="1687" t="str" cm="1">
        <f t="array" aca="1" ref="N183" ca="1">IFERROR(IF($L183&lt;&gt;"",_xll.PBF($L183,$N$126,$O$126,N$127,"","EUR","r"),""),"")</f>
        <v/>
      </c>
      <c r="O183" s="1687" t="str" cm="1">
        <f t="array" aca="1" ref="O183" ca="1">IFERROR(IF($L183&lt;&gt;"",_xll.PBF($L183,$N$126,$O$126,O$127,"","EUR","r"),""),"")</f>
        <v/>
      </c>
      <c r="P183" s="1687" t="str" cm="1">
        <f t="array" aca="1" ref="P183" ca="1">IFERROR(IF($L183&lt;&gt;"",_xll.PBF($L183,$N$126,$O$126,P$127,"","EUR","r"),""),"")</f>
        <v/>
      </c>
      <c r="Q183" s="1687" t="str" cm="1">
        <f t="array" aca="1" ref="Q183" ca="1">IFERROR(IF($L183&lt;&gt;"",_xll.PBF($L183,$N$126,$O$126,Q$127,"","EUR","r"),""),"")</f>
        <v/>
      </c>
      <c r="R183" s="1687" t="str" cm="1">
        <f t="array" aca="1" ref="R183" ca="1">IFERROR(IF($L183&lt;&gt;"",_xll.PBF($L183,$N$126,$O$126,R$127,"","EUR","r"),""),"")</f>
        <v/>
      </c>
      <c r="S183" s="1687" t="str" cm="1">
        <f t="array" aca="1" ref="S183" ca="1">IFERROR(IF($L183&lt;&gt;"",_xll.PBF($L183,$N$126,$O$126,S$127,"","EUR","r"),""),"")</f>
        <v/>
      </c>
      <c r="T183" s="1687" t="str" cm="1">
        <f t="array" aca="1" ref="T183" ca="1">IFERROR(IF($L183&lt;&gt;"",_xll.PBF($L183,$N$126,$O$126,T$127,"","EUR","r"),""),"")</f>
        <v/>
      </c>
      <c r="U183" s="1687" t="str" cm="1">
        <f t="array" aca="1" ref="U183" ca="1">IFERROR(IF($L183&lt;&gt;"",_xll.PBF($L183,$N$126,$O$126,U$127,"","EUR","r"),""),"")</f>
        <v/>
      </c>
      <c r="V183" s="1687" t="str" cm="1">
        <f t="array" aca="1" ref="V183" ca="1">IFERROR(IF($L183&lt;&gt;"",_xll.PBF($L183,$N$126,$O$126,V$127,"","EUR","r"),""),"")</f>
        <v/>
      </c>
      <c r="W183" s="1687" t="str" cm="1">
        <f t="array" aca="1" ref="W183" ca="1">IFERROR(IF($L183&lt;&gt;"",_xll.PBF($L183,$N$126,$O$126,W$127,"","EUR","r"),""),"")</f>
        <v/>
      </c>
      <c r="X183" s="1687" t="str" cm="1">
        <f t="array" aca="1" ref="X183" ca="1">IFERROR(IF($L183&lt;&gt;"",_xll.PBF($L183,$N$126,$O$126,X$127,"","EUR","r"),""),"")</f>
        <v/>
      </c>
      <c r="Y183" s="1687" t="str" cm="1">
        <f t="array" aca="1" ref="Y183" ca="1">IFERROR(IF($L183&lt;&gt;"",_xll.PBF($L183,$N$126,$O$126,Y$127,"","EUR","r"),""),"")</f>
        <v/>
      </c>
      <c r="Z183" s="1687" t="str" cm="1">
        <f t="array" aca="1" ref="Z183" ca="1">IFERROR(IF($L183&lt;&gt;"",_xll.PBF($L183,$N$126,$O$126,Z$127,"","EUR","r"),""),"")</f>
        <v/>
      </c>
      <c r="AA183" s="1687" t="str" cm="1">
        <f t="array" aca="1" ref="AA183" ca="1">IFERROR(IF($L183&lt;&gt;"",_xll.PBF($L183,$N$126,$O$126,AA$127,"","EUR","r"),""),"")</f>
        <v/>
      </c>
      <c r="AB183" s="1687" t="str" cm="1">
        <f t="array" aca="1" ref="AB183" ca="1">IFERROR(IF($L183&lt;&gt;"",_xll.PBF($L183,$N$126,$O$126,AB$127,"","EUR","r"),""),"")</f>
        <v/>
      </c>
      <c r="AC183" s="1687" t="str" cm="1">
        <f t="array" aca="1" ref="AC183" ca="1">IFERROR(IF($L183&lt;&gt;"",_xll.PBF($L183,$N$126,$O$126,AC$127,"","EUR","r"),""),"")</f>
        <v/>
      </c>
      <c r="AD183" s="1687" t="str" cm="1">
        <f t="array" aca="1" ref="AD183" ca="1">IFERROR(IF($L183&lt;&gt;"",_xll.PBF($L183,$N$126,$O$126,AD$127,"","EUR","r"),""),"")</f>
        <v/>
      </c>
      <c r="AE183" s="1687" t="str" cm="1">
        <f t="array" aca="1" ref="AE183" ca="1">IFERROR(IF($L183&lt;&gt;"",_xll.PBF($L183,$N$126,$O$126,AE$127,"","EUR","r"),""),"")</f>
        <v/>
      </c>
      <c r="AF183" s="1687" t="str" cm="1">
        <f t="array" aca="1" ref="AF183" ca="1">IFERROR(IF($L183&lt;&gt;"",_xll.PBF($L183,$N$126,$O$126,AF$127,"","EUR","r"),""),"")</f>
        <v/>
      </c>
      <c r="AG183" s="1687" t="str" cm="1">
        <f t="array" aca="1" ref="AG183" ca="1">IFERROR(IF($L183&lt;&gt;"",_xll.PBF($L183,$N$126,$O$126,AG$127,"","EUR","r"),""),"")</f>
        <v/>
      </c>
      <c r="AH183" s="1687" t="str" cm="1">
        <f t="array" aca="1" ref="AH183" ca="1">IFERROR(IF($L183&lt;&gt;"",_xll.PBF($L183,$N$126,$O$126,AH$127,"","EUR","r"),""),"")</f>
        <v/>
      </c>
      <c r="AI183" s="1687" t="str" cm="1">
        <f t="array" aca="1" ref="AI183" ca="1">IFERROR(IF($L183&lt;&gt;"",_xll.PBF($L183,$N$126,$O$126,AI$127,"","EUR","r"),""),"")</f>
        <v/>
      </c>
    </row>
    <row r="184" spans="12:35">
      <c r="L184" s="438" t="str">
        <f t="shared" si="32"/>
        <v/>
      </c>
      <c r="N184" s="1687" t="str" cm="1">
        <f t="array" aca="1" ref="N184" ca="1">IFERROR(IF($L184&lt;&gt;"",_xll.PBF($L184,$N$126,$O$126,N$127,"","EUR","r"),""),"")</f>
        <v/>
      </c>
      <c r="O184" s="1687" t="str" cm="1">
        <f t="array" aca="1" ref="O184" ca="1">IFERROR(IF($L184&lt;&gt;"",_xll.PBF($L184,$N$126,$O$126,O$127,"","EUR","r"),""),"")</f>
        <v/>
      </c>
      <c r="P184" s="1687" t="str" cm="1">
        <f t="array" aca="1" ref="P184" ca="1">IFERROR(IF($L184&lt;&gt;"",_xll.PBF($L184,$N$126,$O$126,P$127,"","EUR","r"),""),"")</f>
        <v/>
      </c>
      <c r="Q184" s="1687" t="str" cm="1">
        <f t="array" aca="1" ref="Q184" ca="1">IFERROR(IF($L184&lt;&gt;"",_xll.PBF($L184,$N$126,$O$126,Q$127,"","EUR","r"),""),"")</f>
        <v/>
      </c>
      <c r="R184" s="1687" t="str" cm="1">
        <f t="array" aca="1" ref="R184" ca="1">IFERROR(IF($L184&lt;&gt;"",_xll.PBF($L184,$N$126,$O$126,R$127,"","EUR","r"),""),"")</f>
        <v/>
      </c>
      <c r="S184" s="1687" t="str" cm="1">
        <f t="array" aca="1" ref="S184" ca="1">IFERROR(IF($L184&lt;&gt;"",_xll.PBF($L184,$N$126,$O$126,S$127,"","EUR","r"),""),"")</f>
        <v/>
      </c>
      <c r="T184" s="1687" t="str" cm="1">
        <f t="array" aca="1" ref="T184" ca="1">IFERROR(IF($L184&lt;&gt;"",_xll.PBF($L184,$N$126,$O$126,T$127,"","EUR","r"),""),"")</f>
        <v/>
      </c>
      <c r="U184" s="1687" t="str" cm="1">
        <f t="array" aca="1" ref="U184" ca="1">IFERROR(IF($L184&lt;&gt;"",_xll.PBF($L184,$N$126,$O$126,U$127,"","EUR","r"),""),"")</f>
        <v/>
      </c>
      <c r="V184" s="1687" t="str" cm="1">
        <f t="array" aca="1" ref="V184" ca="1">IFERROR(IF($L184&lt;&gt;"",_xll.PBF($L184,$N$126,$O$126,V$127,"","EUR","r"),""),"")</f>
        <v/>
      </c>
      <c r="W184" s="1687" t="str" cm="1">
        <f t="array" aca="1" ref="W184" ca="1">IFERROR(IF($L184&lt;&gt;"",_xll.PBF($L184,$N$126,$O$126,W$127,"","EUR","r"),""),"")</f>
        <v/>
      </c>
      <c r="X184" s="1687" t="str" cm="1">
        <f t="array" aca="1" ref="X184" ca="1">IFERROR(IF($L184&lt;&gt;"",_xll.PBF($L184,$N$126,$O$126,X$127,"","EUR","r"),""),"")</f>
        <v/>
      </c>
      <c r="Y184" s="1687" t="str" cm="1">
        <f t="array" aca="1" ref="Y184" ca="1">IFERROR(IF($L184&lt;&gt;"",_xll.PBF($L184,$N$126,$O$126,Y$127,"","EUR","r"),""),"")</f>
        <v/>
      </c>
      <c r="Z184" s="1687" t="str" cm="1">
        <f t="array" aca="1" ref="Z184" ca="1">IFERROR(IF($L184&lt;&gt;"",_xll.PBF($L184,$N$126,$O$126,Z$127,"","EUR","r"),""),"")</f>
        <v/>
      </c>
      <c r="AA184" s="1687" t="str" cm="1">
        <f t="array" aca="1" ref="AA184" ca="1">IFERROR(IF($L184&lt;&gt;"",_xll.PBF($L184,$N$126,$O$126,AA$127,"","EUR","r"),""),"")</f>
        <v/>
      </c>
      <c r="AB184" s="1687" t="str" cm="1">
        <f t="array" aca="1" ref="AB184" ca="1">IFERROR(IF($L184&lt;&gt;"",_xll.PBF($L184,$N$126,$O$126,AB$127,"","EUR","r"),""),"")</f>
        <v/>
      </c>
      <c r="AC184" s="1687" t="str" cm="1">
        <f t="array" aca="1" ref="AC184" ca="1">IFERROR(IF($L184&lt;&gt;"",_xll.PBF($L184,$N$126,$O$126,AC$127,"","EUR","r"),""),"")</f>
        <v/>
      </c>
      <c r="AD184" s="1687" t="str" cm="1">
        <f t="array" aca="1" ref="AD184" ca="1">IFERROR(IF($L184&lt;&gt;"",_xll.PBF($L184,$N$126,$O$126,AD$127,"","EUR","r"),""),"")</f>
        <v/>
      </c>
      <c r="AE184" s="1687" t="str" cm="1">
        <f t="array" aca="1" ref="AE184" ca="1">IFERROR(IF($L184&lt;&gt;"",_xll.PBF($L184,$N$126,$O$126,AE$127,"","EUR","r"),""),"")</f>
        <v/>
      </c>
      <c r="AF184" s="1687" t="str" cm="1">
        <f t="array" aca="1" ref="AF184" ca="1">IFERROR(IF($L184&lt;&gt;"",_xll.PBF($L184,$N$126,$O$126,AF$127,"","EUR","r"),""),"")</f>
        <v/>
      </c>
      <c r="AG184" s="1687" t="str" cm="1">
        <f t="array" aca="1" ref="AG184" ca="1">IFERROR(IF($L184&lt;&gt;"",_xll.PBF($L184,$N$126,$O$126,AG$127,"","EUR","r"),""),"")</f>
        <v/>
      </c>
      <c r="AH184" s="1687" t="str" cm="1">
        <f t="array" aca="1" ref="AH184" ca="1">IFERROR(IF($L184&lt;&gt;"",_xll.PBF($L184,$N$126,$O$126,AH$127,"","EUR","r"),""),"")</f>
        <v/>
      </c>
      <c r="AI184" s="1687" t="str" cm="1">
        <f t="array" aca="1" ref="AI184" ca="1">IFERROR(IF($L184&lt;&gt;"",_xll.PBF($L184,$N$126,$O$126,AI$127,"","EUR","r"),""),"")</f>
        <v/>
      </c>
    </row>
    <row r="185" spans="12:35">
      <c r="L185" s="438" t="str">
        <f t="shared" si="32"/>
        <v/>
      </c>
      <c r="N185" s="1687" t="str" cm="1">
        <f t="array" aca="1" ref="N185" ca="1">IFERROR(IF($L185&lt;&gt;"",_xll.PBF($L185,$N$126,$O$126,N$127,"","EUR","r"),""),"")</f>
        <v/>
      </c>
      <c r="O185" s="1687" t="str" cm="1">
        <f t="array" aca="1" ref="O185" ca="1">IFERROR(IF($L185&lt;&gt;"",_xll.PBF($L185,$N$126,$O$126,O$127,"","EUR","r"),""),"")</f>
        <v/>
      </c>
      <c r="P185" s="1687" t="str" cm="1">
        <f t="array" aca="1" ref="P185" ca="1">IFERROR(IF($L185&lt;&gt;"",_xll.PBF($L185,$N$126,$O$126,P$127,"","EUR","r"),""),"")</f>
        <v/>
      </c>
      <c r="Q185" s="1687" t="str" cm="1">
        <f t="array" aca="1" ref="Q185" ca="1">IFERROR(IF($L185&lt;&gt;"",_xll.PBF($L185,$N$126,$O$126,Q$127,"","EUR","r"),""),"")</f>
        <v/>
      </c>
      <c r="R185" s="1687" t="str" cm="1">
        <f t="array" aca="1" ref="R185" ca="1">IFERROR(IF($L185&lt;&gt;"",_xll.PBF($L185,$N$126,$O$126,R$127,"","EUR","r"),""),"")</f>
        <v/>
      </c>
      <c r="S185" s="1687" t="str" cm="1">
        <f t="array" aca="1" ref="S185" ca="1">IFERROR(IF($L185&lt;&gt;"",_xll.PBF($L185,$N$126,$O$126,S$127,"","EUR","r"),""),"")</f>
        <v/>
      </c>
      <c r="T185" s="1687" t="str" cm="1">
        <f t="array" aca="1" ref="T185" ca="1">IFERROR(IF($L185&lt;&gt;"",_xll.PBF($L185,$N$126,$O$126,T$127,"","EUR","r"),""),"")</f>
        <v/>
      </c>
      <c r="U185" s="1687" t="str" cm="1">
        <f t="array" aca="1" ref="U185" ca="1">IFERROR(IF($L185&lt;&gt;"",_xll.PBF($L185,$N$126,$O$126,U$127,"","EUR","r"),""),"")</f>
        <v/>
      </c>
      <c r="V185" s="1687" t="str" cm="1">
        <f t="array" aca="1" ref="V185" ca="1">IFERROR(IF($L185&lt;&gt;"",_xll.PBF($L185,$N$126,$O$126,V$127,"","EUR","r"),""),"")</f>
        <v/>
      </c>
      <c r="W185" s="1687" t="str" cm="1">
        <f t="array" aca="1" ref="W185" ca="1">IFERROR(IF($L185&lt;&gt;"",_xll.PBF($L185,$N$126,$O$126,W$127,"","EUR","r"),""),"")</f>
        <v/>
      </c>
      <c r="X185" s="1687" t="str" cm="1">
        <f t="array" aca="1" ref="X185" ca="1">IFERROR(IF($L185&lt;&gt;"",_xll.PBF($L185,$N$126,$O$126,X$127,"","EUR","r"),""),"")</f>
        <v/>
      </c>
      <c r="Y185" s="1687" t="str" cm="1">
        <f t="array" aca="1" ref="Y185" ca="1">IFERROR(IF($L185&lt;&gt;"",_xll.PBF($L185,$N$126,$O$126,Y$127,"","EUR","r"),""),"")</f>
        <v/>
      </c>
      <c r="Z185" s="1687" t="str" cm="1">
        <f t="array" aca="1" ref="Z185" ca="1">IFERROR(IF($L185&lt;&gt;"",_xll.PBF($L185,$N$126,$O$126,Z$127,"","EUR","r"),""),"")</f>
        <v/>
      </c>
      <c r="AA185" s="1687" t="str" cm="1">
        <f t="array" aca="1" ref="AA185" ca="1">IFERROR(IF($L185&lt;&gt;"",_xll.PBF($L185,$N$126,$O$126,AA$127,"","EUR","r"),""),"")</f>
        <v/>
      </c>
      <c r="AB185" s="1687" t="str" cm="1">
        <f t="array" aca="1" ref="AB185" ca="1">IFERROR(IF($L185&lt;&gt;"",_xll.PBF($L185,$N$126,$O$126,AB$127,"","EUR","r"),""),"")</f>
        <v/>
      </c>
      <c r="AC185" s="1687" t="str" cm="1">
        <f t="array" aca="1" ref="AC185" ca="1">IFERROR(IF($L185&lt;&gt;"",_xll.PBF($L185,$N$126,$O$126,AC$127,"","EUR","r"),""),"")</f>
        <v/>
      </c>
      <c r="AD185" s="1687" t="str" cm="1">
        <f t="array" aca="1" ref="AD185" ca="1">IFERROR(IF($L185&lt;&gt;"",_xll.PBF($L185,$N$126,$O$126,AD$127,"","EUR","r"),""),"")</f>
        <v/>
      </c>
      <c r="AE185" s="1687" t="str" cm="1">
        <f t="array" aca="1" ref="AE185" ca="1">IFERROR(IF($L185&lt;&gt;"",_xll.PBF($L185,$N$126,$O$126,AE$127,"","EUR","r"),""),"")</f>
        <v/>
      </c>
      <c r="AF185" s="1687" t="str" cm="1">
        <f t="array" aca="1" ref="AF185" ca="1">IFERROR(IF($L185&lt;&gt;"",_xll.PBF($L185,$N$126,$O$126,AF$127,"","EUR","r"),""),"")</f>
        <v/>
      </c>
      <c r="AG185" s="1687" t="str" cm="1">
        <f t="array" aca="1" ref="AG185" ca="1">IFERROR(IF($L185&lt;&gt;"",_xll.PBF($L185,$N$126,$O$126,AG$127,"","EUR","r"),""),"")</f>
        <v/>
      </c>
      <c r="AH185" s="1687" t="str" cm="1">
        <f t="array" aca="1" ref="AH185" ca="1">IFERROR(IF($L185&lt;&gt;"",_xll.PBF($L185,$N$126,$O$126,AH$127,"","EUR","r"),""),"")</f>
        <v/>
      </c>
      <c r="AI185" s="1687" t="str" cm="1">
        <f t="array" aca="1" ref="AI185" ca="1">IFERROR(IF($L185&lt;&gt;"",_xll.PBF($L185,$N$126,$O$126,AI$127,"","EUR","r"),""),"")</f>
        <v/>
      </c>
    </row>
    <row r="186" spans="12:35">
      <c r="L186" s="438" t="str">
        <f t="shared" si="32"/>
        <v/>
      </c>
      <c r="N186" s="1687" t="str" cm="1">
        <f t="array" aca="1" ref="N186" ca="1">IFERROR(IF($L186&lt;&gt;"",_xll.PBF($L186,$N$126,$O$126,N$127,"","EUR","r"),""),"")</f>
        <v/>
      </c>
      <c r="O186" s="1687" t="str" cm="1">
        <f t="array" aca="1" ref="O186" ca="1">IFERROR(IF($L186&lt;&gt;"",_xll.PBF($L186,$N$126,$O$126,O$127,"","EUR","r"),""),"")</f>
        <v/>
      </c>
      <c r="P186" s="1687" t="str" cm="1">
        <f t="array" aca="1" ref="P186" ca="1">IFERROR(IF($L186&lt;&gt;"",_xll.PBF($L186,$N$126,$O$126,P$127,"","EUR","r"),""),"")</f>
        <v/>
      </c>
      <c r="Q186" s="1687" t="str" cm="1">
        <f t="array" aca="1" ref="Q186" ca="1">IFERROR(IF($L186&lt;&gt;"",_xll.PBF($L186,$N$126,$O$126,Q$127,"","EUR","r"),""),"")</f>
        <v/>
      </c>
      <c r="R186" s="1687" t="str" cm="1">
        <f t="array" aca="1" ref="R186" ca="1">IFERROR(IF($L186&lt;&gt;"",_xll.PBF($L186,$N$126,$O$126,R$127,"","EUR","r"),""),"")</f>
        <v/>
      </c>
      <c r="S186" s="1687" t="str" cm="1">
        <f t="array" aca="1" ref="S186" ca="1">IFERROR(IF($L186&lt;&gt;"",_xll.PBF($L186,$N$126,$O$126,S$127,"","EUR","r"),""),"")</f>
        <v/>
      </c>
      <c r="T186" s="1687" t="str" cm="1">
        <f t="array" aca="1" ref="T186" ca="1">IFERROR(IF($L186&lt;&gt;"",_xll.PBF($L186,$N$126,$O$126,T$127,"","EUR","r"),""),"")</f>
        <v/>
      </c>
      <c r="U186" s="1687" t="str" cm="1">
        <f t="array" aca="1" ref="U186" ca="1">IFERROR(IF($L186&lt;&gt;"",_xll.PBF($L186,$N$126,$O$126,U$127,"","EUR","r"),""),"")</f>
        <v/>
      </c>
      <c r="V186" s="1687" t="str" cm="1">
        <f t="array" aca="1" ref="V186" ca="1">IFERROR(IF($L186&lt;&gt;"",_xll.PBF($L186,$N$126,$O$126,V$127,"","EUR","r"),""),"")</f>
        <v/>
      </c>
      <c r="W186" s="1687" t="str" cm="1">
        <f t="array" aca="1" ref="W186" ca="1">IFERROR(IF($L186&lt;&gt;"",_xll.PBF($L186,$N$126,$O$126,W$127,"","EUR","r"),""),"")</f>
        <v/>
      </c>
      <c r="X186" s="1687" t="str" cm="1">
        <f t="array" aca="1" ref="X186" ca="1">IFERROR(IF($L186&lt;&gt;"",_xll.PBF($L186,$N$126,$O$126,X$127,"","EUR","r"),""),"")</f>
        <v/>
      </c>
      <c r="Y186" s="1687" t="str" cm="1">
        <f t="array" aca="1" ref="Y186" ca="1">IFERROR(IF($L186&lt;&gt;"",_xll.PBF($L186,$N$126,$O$126,Y$127,"","EUR","r"),""),"")</f>
        <v/>
      </c>
      <c r="Z186" s="1687" t="str" cm="1">
        <f t="array" aca="1" ref="Z186" ca="1">IFERROR(IF($L186&lt;&gt;"",_xll.PBF($L186,$N$126,$O$126,Z$127,"","EUR","r"),""),"")</f>
        <v/>
      </c>
      <c r="AA186" s="1687" t="str" cm="1">
        <f t="array" aca="1" ref="AA186" ca="1">IFERROR(IF($L186&lt;&gt;"",_xll.PBF($L186,$N$126,$O$126,AA$127,"","EUR","r"),""),"")</f>
        <v/>
      </c>
      <c r="AB186" s="1687" t="str" cm="1">
        <f t="array" aca="1" ref="AB186" ca="1">IFERROR(IF($L186&lt;&gt;"",_xll.PBF($L186,$N$126,$O$126,AB$127,"","EUR","r"),""),"")</f>
        <v/>
      </c>
      <c r="AC186" s="1687" t="str" cm="1">
        <f t="array" aca="1" ref="AC186" ca="1">IFERROR(IF($L186&lt;&gt;"",_xll.PBF($L186,$N$126,$O$126,AC$127,"","EUR","r"),""),"")</f>
        <v/>
      </c>
      <c r="AD186" s="1687" t="str" cm="1">
        <f t="array" aca="1" ref="AD186" ca="1">IFERROR(IF($L186&lt;&gt;"",_xll.PBF($L186,$N$126,$O$126,AD$127,"","EUR","r"),""),"")</f>
        <v/>
      </c>
      <c r="AE186" s="1687" t="str" cm="1">
        <f t="array" aca="1" ref="AE186" ca="1">IFERROR(IF($L186&lt;&gt;"",_xll.PBF($L186,$N$126,$O$126,AE$127,"","EUR","r"),""),"")</f>
        <v/>
      </c>
      <c r="AF186" s="1687" t="str" cm="1">
        <f t="array" aca="1" ref="AF186" ca="1">IFERROR(IF($L186&lt;&gt;"",_xll.PBF($L186,$N$126,$O$126,AF$127,"","EUR","r"),""),"")</f>
        <v/>
      </c>
      <c r="AG186" s="1687" t="str" cm="1">
        <f t="array" aca="1" ref="AG186" ca="1">IFERROR(IF($L186&lt;&gt;"",_xll.PBF($L186,$N$126,$O$126,AG$127,"","EUR","r"),""),"")</f>
        <v/>
      </c>
      <c r="AH186" s="1687" t="str" cm="1">
        <f t="array" aca="1" ref="AH186" ca="1">IFERROR(IF($L186&lt;&gt;"",_xll.PBF($L186,$N$126,$O$126,AH$127,"","EUR","r"),""),"")</f>
        <v/>
      </c>
      <c r="AI186" s="1687" t="str" cm="1">
        <f t="array" aca="1" ref="AI186" ca="1">IFERROR(IF($L186&lt;&gt;"",_xll.PBF($L186,$N$126,$O$126,AI$127,"","EUR","r"),""),"")</f>
        <v/>
      </c>
    </row>
    <row r="187" spans="12:35">
      <c r="L187" s="438" t="str">
        <f t="shared" si="32"/>
        <v/>
      </c>
      <c r="N187" s="1687" t="str" cm="1">
        <f t="array" aca="1" ref="N187" ca="1">IFERROR(IF($L187&lt;&gt;"",_xll.PBF($L187,$N$126,$O$126,N$127,"","EUR","r"),""),"")</f>
        <v/>
      </c>
      <c r="O187" s="1687" t="str" cm="1">
        <f t="array" aca="1" ref="O187" ca="1">IFERROR(IF($L187&lt;&gt;"",_xll.PBF($L187,$N$126,$O$126,O$127,"","EUR","r"),""),"")</f>
        <v/>
      </c>
      <c r="P187" s="1687" t="str" cm="1">
        <f t="array" aca="1" ref="P187" ca="1">IFERROR(IF($L187&lt;&gt;"",_xll.PBF($L187,$N$126,$O$126,P$127,"","EUR","r"),""),"")</f>
        <v/>
      </c>
      <c r="Q187" s="1687" t="str" cm="1">
        <f t="array" aca="1" ref="Q187" ca="1">IFERROR(IF($L187&lt;&gt;"",_xll.PBF($L187,$N$126,$O$126,Q$127,"","EUR","r"),""),"")</f>
        <v/>
      </c>
      <c r="R187" s="1687" t="str" cm="1">
        <f t="array" aca="1" ref="R187" ca="1">IFERROR(IF($L187&lt;&gt;"",_xll.PBF($L187,$N$126,$O$126,R$127,"","EUR","r"),""),"")</f>
        <v/>
      </c>
      <c r="S187" s="1687" t="str" cm="1">
        <f t="array" aca="1" ref="S187" ca="1">IFERROR(IF($L187&lt;&gt;"",_xll.PBF($L187,$N$126,$O$126,S$127,"","EUR","r"),""),"")</f>
        <v/>
      </c>
      <c r="T187" s="1687" t="str" cm="1">
        <f t="array" aca="1" ref="T187" ca="1">IFERROR(IF($L187&lt;&gt;"",_xll.PBF($L187,$N$126,$O$126,T$127,"","EUR","r"),""),"")</f>
        <v/>
      </c>
      <c r="U187" s="1687" t="str" cm="1">
        <f t="array" aca="1" ref="U187" ca="1">IFERROR(IF($L187&lt;&gt;"",_xll.PBF($L187,$N$126,$O$126,U$127,"","EUR","r"),""),"")</f>
        <v/>
      </c>
      <c r="V187" s="1687" t="str" cm="1">
        <f t="array" aca="1" ref="V187" ca="1">IFERROR(IF($L187&lt;&gt;"",_xll.PBF($L187,$N$126,$O$126,V$127,"","EUR","r"),""),"")</f>
        <v/>
      </c>
      <c r="W187" s="1687" t="str" cm="1">
        <f t="array" aca="1" ref="W187" ca="1">IFERROR(IF($L187&lt;&gt;"",_xll.PBF($L187,$N$126,$O$126,W$127,"","EUR","r"),""),"")</f>
        <v/>
      </c>
      <c r="X187" s="1687" t="str" cm="1">
        <f t="array" aca="1" ref="X187" ca="1">IFERROR(IF($L187&lt;&gt;"",_xll.PBF($L187,$N$126,$O$126,X$127,"","EUR","r"),""),"")</f>
        <v/>
      </c>
      <c r="Y187" s="1687" t="str" cm="1">
        <f t="array" aca="1" ref="Y187" ca="1">IFERROR(IF($L187&lt;&gt;"",_xll.PBF($L187,$N$126,$O$126,Y$127,"","EUR","r"),""),"")</f>
        <v/>
      </c>
      <c r="Z187" s="1687" t="str" cm="1">
        <f t="array" aca="1" ref="Z187" ca="1">IFERROR(IF($L187&lt;&gt;"",_xll.PBF($L187,$N$126,$O$126,Z$127,"","EUR","r"),""),"")</f>
        <v/>
      </c>
      <c r="AA187" s="1687" t="str" cm="1">
        <f t="array" aca="1" ref="AA187" ca="1">IFERROR(IF($L187&lt;&gt;"",_xll.PBF($L187,$N$126,$O$126,AA$127,"","EUR","r"),""),"")</f>
        <v/>
      </c>
      <c r="AB187" s="1687" t="str" cm="1">
        <f t="array" aca="1" ref="AB187" ca="1">IFERROR(IF($L187&lt;&gt;"",_xll.PBF($L187,$N$126,$O$126,AB$127,"","EUR","r"),""),"")</f>
        <v/>
      </c>
      <c r="AC187" s="1687" t="str" cm="1">
        <f t="array" aca="1" ref="AC187" ca="1">IFERROR(IF($L187&lt;&gt;"",_xll.PBF($L187,$N$126,$O$126,AC$127,"","EUR","r"),""),"")</f>
        <v/>
      </c>
      <c r="AD187" s="1687" t="str" cm="1">
        <f t="array" aca="1" ref="AD187" ca="1">IFERROR(IF($L187&lt;&gt;"",_xll.PBF($L187,$N$126,$O$126,AD$127,"","EUR","r"),""),"")</f>
        <v/>
      </c>
      <c r="AE187" s="1687" t="str" cm="1">
        <f t="array" aca="1" ref="AE187" ca="1">IFERROR(IF($L187&lt;&gt;"",_xll.PBF($L187,$N$126,$O$126,AE$127,"","EUR","r"),""),"")</f>
        <v/>
      </c>
      <c r="AF187" s="1687" t="str" cm="1">
        <f t="array" aca="1" ref="AF187" ca="1">IFERROR(IF($L187&lt;&gt;"",_xll.PBF($L187,$N$126,$O$126,AF$127,"","EUR","r"),""),"")</f>
        <v/>
      </c>
      <c r="AG187" s="1687" t="str" cm="1">
        <f t="array" aca="1" ref="AG187" ca="1">IFERROR(IF($L187&lt;&gt;"",_xll.PBF($L187,$N$126,$O$126,AG$127,"","EUR","r"),""),"")</f>
        <v/>
      </c>
      <c r="AH187" s="1687" t="str" cm="1">
        <f t="array" aca="1" ref="AH187" ca="1">IFERROR(IF($L187&lt;&gt;"",_xll.PBF($L187,$N$126,$O$126,AH$127,"","EUR","r"),""),"")</f>
        <v/>
      </c>
      <c r="AI187" s="1687" t="str" cm="1">
        <f t="array" aca="1" ref="AI187" ca="1">IFERROR(IF($L187&lt;&gt;"",_xll.PBF($L187,$N$126,$O$126,AI$127,"","EUR","r"),""),"")</f>
        <v/>
      </c>
    </row>
    <row r="188" spans="12:35">
      <c r="L188" s="438" t="str">
        <f t="shared" si="32"/>
        <v/>
      </c>
      <c r="N188" s="1687" t="str" cm="1">
        <f t="array" aca="1" ref="N188" ca="1">IFERROR(IF($L188&lt;&gt;"",_xll.PBF($L188,$N$126,$O$126,N$127,"","EUR","r"),""),"")</f>
        <v/>
      </c>
      <c r="O188" s="1687" t="str" cm="1">
        <f t="array" aca="1" ref="O188" ca="1">IFERROR(IF($L188&lt;&gt;"",_xll.PBF($L188,$N$126,$O$126,O$127,"","EUR","r"),""),"")</f>
        <v/>
      </c>
      <c r="P188" s="1687" t="str" cm="1">
        <f t="array" aca="1" ref="P188" ca="1">IFERROR(IF($L188&lt;&gt;"",_xll.PBF($L188,$N$126,$O$126,P$127,"","EUR","r"),""),"")</f>
        <v/>
      </c>
      <c r="Q188" s="1687" t="str" cm="1">
        <f t="array" aca="1" ref="Q188" ca="1">IFERROR(IF($L188&lt;&gt;"",_xll.PBF($L188,$N$126,$O$126,Q$127,"","EUR","r"),""),"")</f>
        <v/>
      </c>
      <c r="R188" s="1687" t="str" cm="1">
        <f t="array" aca="1" ref="R188" ca="1">IFERROR(IF($L188&lt;&gt;"",_xll.PBF($L188,$N$126,$O$126,R$127,"","EUR","r"),""),"")</f>
        <v/>
      </c>
      <c r="S188" s="1687" t="str" cm="1">
        <f t="array" aca="1" ref="S188" ca="1">IFERROR(IF($L188&lt;&gt;"",_xll.PBF($L188,$N$126,$O$126,S$127,"","EUR","r"),""),"")</f>
        <v/>
      </c>
      <c r="T188" s="1687" t="str" cm="1">
        <f t="array" aca="1" ref="T188" ca="1">IFERROR(IF($L188&lt;&gt;"",_xll.PBF($L188,$N$126,$O$126,T$127,"","EUR","r"),""),"")</f>
        <v/>
      </c>
      <c r="U188" s="1687" t="str" cm="1">
        <f t="array" aca="1" ref="U188" ca="1">IFERROR(IF($L188&lt;&gt;"",_xll.PBF($L188,$N$126,$O$126,U$127,"","EUR","r"),""),"")</f>
        <v/>
      </c>
      <c r="V188" s="1687" t="str" cm="1">
        <f t="array" aca="1" ref="V188" ca="1">IFERROR(IF($L188&lt;&gt;"",_xll.PBF($L188,$N$126,$O$126,V$127,"","EUR","r"),""),"")</f>
        <v/>
      </c>
      <c r="W188" s="1687" t="str" cm="1">
        <f t="array" aca="1" ref="W188" ca="1">IFERROR(IF($L188&lt;&gt;"",_xll.PBF($L188,$N$126,$O$126,W$127,"","EUR","r"),""),"")</f>
        <v/>
      </c>
      <c r="X188" s="1687" t="str" cm="1">
        <f t="array" aca="1" ref="X188" ca="1">IFERROR(IF($L188&lt;&gt;"",_xll.PBF($L188,$N$126,$O$126,X$127,"","EUR","r"),""),"")</f>
        <v/>
      </c>
      <c r="Y188" s="1687" t="str" cm="1">
        <f t="array" aca="1" ref="Y188" ca="1">IFERROR(IF($L188&lt;&gt;"",_xll.PBF($L188,$N$126,$O$126,Y$127,"","EUR","r"),""),"")</f>
        <v/>
      </c>
      <c r="Z188" s="1687" t="str" cm="1">
        <f t="array" aca="1" ref="Z188" ca="1">IFERROR(IF($L188&lt;&gt;"",_xll.PBF($L188,$N$126,$O$126,Z$127,"","EUR","r"),""),"")</f>
        <v/>
      </c>
      <c r="AA188" s="1687" t="str" cm="1">
        <f t="array" aca="1" ref="AA188" ca="1">IFERROR(IF($L188&lt;&gt;"",_xll.PBF($L188,$N$126,$O$126,AA$127,"","EUR","r"),""),"")</f>
        <v/>
      </c>
      <c r="AB188" s="1687" t="str" cm="1">
        <f t="array" aca="1" ref="AB188" ca="1">IFERROR(IF($L188&lt;&gt;"",_xll.PBF($L188,$N$126,$O$126,AB$127,"","EUR","r"),""),"")</f>
        <v/>
      </c>
      <c r="AC188" s="1687" t="str" cm="1">
        <f t="array" aca="1" ref="AC188" ca="1">IFERROR(IF($L188&lt;&gt;"",_xll.PBF($L188,$N$126,$O$126,AC$127,"","EUR","r"),""),"")</f>
        <v/>
      </c>
      <c r="AD188" s="1687" t="str" cm="1">
        <f t="array" aca="1" ref="AD188" ca="1">IFERROR(IF($L188&lt;&gt;"",_xll.PBF($L188,$N$126,$O$126,AD$127,"","EUR","r"),""),"")</f>
        <v/>
      </c>
      <c r="AE188" s="1687" t="str" cm="1">
        <f t="array" aca="1" ref="AE188" ca="1">IFERROR(IF($L188&lt;&gt;"",_xll.PBF($L188,$N$126,$O$126,AE$127,"","EUR","r"),""),"")</f>
        <v/>
      </c>
      <c r="AF188" s="1687" t="str" cm="1">
        <f t="array" aca="1" ref="AF188" ca="1">IFERROR(IF($L188&lt;&gt;"",_xll.PBF($L188,$N$126,$O$126,AF$127,"","EUR","r"),""),"")</f>
        <v/>
      </c>
      <c r="AG188" s="1687" t="str" cm="1">
        <f t="array" aca="1" ref="AG188" ca="1">IFERROR(IF($L188&lt;&gt;"",_xll.PBF($L188,$N$126,$O$126,AG$127,"","EUR","r"),""),"")</f>
        <v/>
      </c>
      <c r="AH188" s="1687" t="str" cm="1">
        <f t="array" aca="1" ref="AH188" ca="1">IFERROR(IF($L188&lt;&gt;"",_xll.PBF($L188,$N$126,$O$126,AH$127,"","EUR","r"),""),"")</f>
        <v/>
      </c>
      <c r="AI188" s="1687" t="str" cm="1">
        <f t="array" aca="1" ref="AI188" ca="1">IFERROR(IF($L188&lt;&gt;"",_xll.PBF($L188,$N$126,$O$126,AI$127,"","EUR","r"),""),"")</f>
        <v/>
      </c>
    </row>
    <row r="189" spans="12:35">
      <c r="L189" s="438" t="str">
        <f t="shared" si="32"/>
        <v/>
      </c>
      <c r="N189" s="1687" t="str" cm="1">
        <f t="array" aca="1" ref="N189" ca="1">IFERROR(IF($L189&lt;&gt;"",_xll.PBF($L189,$N$126,$O$126,N$127,"","EUR","r"),""),"")</f>
        <v/>
      </c>
      <c r="O189" s="1687" t="str" cm="1">
        <f t="array" aca="1" ref="O189" ca="1">IFERROR(IF($L189&lt;&gt;"",_xll.PBF($L189,$N$126,$O$126,O$127,"","EUR","r"),""),"")</f>
        <v/>
      </c>
      <c r="P189" s="1687" t="str" cm="1">
        <f t="array" aca="1" ref="P189" ca="1">IFERROR(IF($L189&lt;&gt;"",_xll.PBF($L189,$N$126,$O$126,P$127,"","EUR","r"),""),"")</f>
        <v/>
      </c>
      <c r="Q189" s="1687" t="str" cm="1">
        <f t="array" aca="1" ref="Q189" ca="1">IFERROR(IF($L189&lt;&gt;"",_xll.PBF($L189,$N$126,$O$126,Q$127,"","EUR","r"),""),"")</f>
        <v/>
      </c>
      <c r="R189" s="1687" t="str" cm="1">
        <f t="array" aca="1" ref="R189" ca="1">IFERROR(IF($L189&lt;&gt;"",_xll.PBF($L189,$N$126,$O$126,R$127,"","EUR","r"),""),"")</f>
        <v/>
      </c>
      <c r="S189" s="1687" t="str" cm="1">
        <f t="array" aca="1" ref="S189" ca="1">IFERROR(IF($L189&lt;&gt;"",_xll.PBF($L189,$N$126,$O$126,S$127,"","EUR","r"),""),"")</f>
        <v/>
      </c>
      <c r="T189" s="1687" t="str" cm="1">
        <f t="array" aca="1" ref="T189" ca="1">IFERROR(IF($L189&lt;&gt;"",_xll.PBF($L189,$N$126,$O$126,T$127,"","EUR","r"),""),"")</f>
        <v/>
      </c>
      <c r="U189" s="1687" t="str" cm="1">
        <f t="array" aca="1" ref="U189" ca="1">IFERROR(IF($L189&lt;&gt;"",_xll.PBF($L189,$N$126,$O$126,U$127,"","EUR","r"),""),"")</f>
        <v/>
      </c>
      <c r="V189" s="1687" t="str" cm="1">
        <f t="array" aca="1" ref="V189" ca="1">IFERROR(IF($L189&lt;&gt;"",_xll.PBF($L189,$N$126,$O$126,V$127,"","EUR","r"),""),"")</f>
        <v/>
      </c>
      <c r="W189" s="1687" t="str" cm="1">
        <f t="array" aca="1" ref="W189" ca="1">IFERROR(IF($L189&lt;&gt;"",_xll.PBF($L189,$N$126,$O$126,W$127,"","EUR","r"),""),"")</f>
        <v/>
      </c>
      <c r="X189" s="1687" t="str" cm="1">
        <f t="array" aca="1" ref="X189" ca="1">IFERROR(IF($L189&lt;&gt;"",_xll.PBF($L189,$N$126,$O$126,X$127,"","EUR","r"),""),"")</f>
        <v/>
      </c>
      <c r="Y189" s="1687" t="str" cm="1">
        <f t="array" aca="1" ref="Y189" ca="1">IFERROR(IF($L189&lt;&gt;"",_xll.PBF($L189,$N$126,$O$126,Y$127,"","EUR","r"),""),"")</f>
        <v/>
      </c>
      <c r="Z189" s="1687" t="str" cm="1">
        <f t="array" aca="1" ref="Z189" ca="1">IFERROR(IF($L189&lt;&gt;"",_xll.PBF($L189,$N$126,$O$126,Z$127,"","EUR","r"),""),"")</f>
        <v/>
      </c>
      <c r="AA189" s="1687" t="str" cm="1">
        <f t="array" aca="1" ref="AA189" ca="1">IFERROR(IF($L189&lt;&gt;"",_xll.PBF($L189,$N$126,$O$126,AA$127,"","EUR","r"),""),"")</f>
        <v/>
      </c>
      <c r="AB189" s="1687" t="str" cm="1">
        <f t="array" aca="1" ref="AB189" ca="1">IFERROR(IF($L189&lt;&gt;"",_xll.PBF($L189,$N$126,$O$126,AB$127,"","EUR","r"),""),"")</f>
        <v/>
      </c>
      <c r="AC189" s="1687" t="str" cm="1">
        <f t="array" aca="1" ref="AC189" ca="1">IFERROR(IF($L189&lt;&gt;"",_xll.PBF($L189,$N$126,$O$126,AC$127,"","EUR","r"),""),"")</f>
        <v/>
      </c>
      <c r="AD189" s="1687" t="str" cm="1">
        <f t="array" aca="1" ref="AD189" ca="1">IFERROR(IF($L189&lt;&gt;"",_xll.PBF($L189,$N$126,$O$126,AD$127,"","EUR","r"),""),"")</f>
        <v/>
      </c>
      <c r="AE189" s="1687" t="str" cm="1">
        <f t="array" aca="1" ref="AE189" ca="1">IFERROR(IF($L189&lt;&gt;"",_xll.PBF($L189,$N$126,$O$126,AE$127,"","EUR","r"),""),"")</f>
        <v/>
      </c>
      <c r="AF189" s="1687" t="str" cm="1">
        <f t="array" aca="1" ref="AF189" ca="1">IFERROR(IF($L189&lt;&gt;"",_xll.PBF($L189,$N$126,$O$126,AF$127,"","EUR","r"),""),"")</f>
        <v/>
      </c>
      <c r="AG189" s="1687" t="str" cm="1">
        <f t="array" aca="1" ref="AG189" ca="1">IFERROR(IF($L189&lt;&gt;"",_xll.PBF($L189,$N$126,$O$126,AG$127,"","EUR","r"),""),"")</f>
        <v/>
      </c>
      <c r="AH189" s="1687" t="str" cm="1">
        <f t="array" aca="1" ref="AH189" ca="1">IFERROR(IF($L189&lt;&gt;"",_xll.PBF($L189,$N$126,$O$126,AH$127,"","EUR","r"),""),"")</f>
        <v/>
      </c>
      <c r="AI189" s="1687" t="str" cm="1">
        <f t="array" aca="1" ref="AI189" ca="1">IFERROR(IF($L189&lt;&gt;"",_xll.PBF($L189,$N$126,$O$126,AI$127,"","EUR","r"),""),"")</f>
        <v/>
      </c>
    </row>
    <row r="190" spans="12:35">
      <c r="L190" s="438" t="str">
        <f t="shared" si="32"/>
        <v/>
      </c>
      <c r="N190" s="1687" t="str" cm="1">
        <f t="array" aca="1" ref="N190" ca="1">IFERROR(IF($L190&lt;&gt;"",_xll.PBF($L190,$N$126,$O$126,N$127,"","EUR","r"),""),"")</f>
        <v/>
      </c>
      <c r="O190" s="1687" t="str" cm="1">
        <f t="array" aca="1" ref="O190" ca="1">IFERROR(IF($L190&lt;&gt;"",_xll.PBF($L190,$N$126,$O$126,O$127,"","EUR","r"),""),"")</f>
        <v/>
      </c>
      <c r="P190" s="1687" t="str" cm="1">
        <f t="array" aca="1" ref="P190" ca="1">IFERROR(IF($L190&lt;&gt;"",_xll.PBF($L190,$N$126,$O$126,P$127,"","EUR","r"),""),"")</f>
        <v/>
      </c>
      <c r="Q190" s="1687" t="str" cm="1">
        <f t="array" aca="1" ref="Q190" ca="1">IFERROR(IF($L190&lt;&gt;"",_xll.PBF($L190,$N$126,$O$126,Q$127,"","EUR","r"),""),"")</f>
        <v/>
      </c>
      <c r="R190" s="1687" t="str" cm="1">
        <f t="array" aca="1" ref="R190" ca="1">IFERROR(IF($L190&lt;&gt;"",_xll.PBF($L190,$N$126,$O$126,R$127,"","EUR","r"),""),"")</f>
        <v/>
      </c>
      <c r="S190" s="1687" t="str" cm="1">
        <f t="array" aca="1" ref="S190" ca="1">IFERROR(IF($L190&lt;&gt;"",_xll.PBF($L190,$N$126,$O$126,S$127,"","EUR","r"),""),"")</f>
        <v/>
      </c>
      <c r="T190" s="1687" t="str" cm="1">
        <f t="array" aca="1" ref="T190" ca="1">IFERROR(IF($L190&lt;&gt;"",_xll.PBF($L190,$N$126,$O$126,T$127,"","EUR","r"),""),"")</f>
        <v/>
      </c>
      <c r="U190" s="1687" t="str" cm="1">
        <f t="array" aca="1" ref="U190" ca="1">IFERROR(IF($L190&lt;&gt;"",_xll.PBF($L190,$N$126,$O$126,U$127,"","EUR","r"),""),"")</f>
        <v/>
      </c>
      <c r="V190" s="1687" t="str" cm="1">
        <f t="array" aca="1" ref="V190" ca="1">IFERROR(IF($L190&lt;&gt;"",_xll.PBF($L190,$N$126,$O$126,V$127,"","EUR","r"),""),"")</f>
        <v/>
      </c>
      <c r="W190" s="1687" t="str" cm="1">
        <f t="array" aca="1" ref="W190" ca="1">IFERROR(IF($L190&lt;&gt;"",_xll.PBF($L190,$N$126,$O$126,W$127,"","EUR","r"),""),"")</f>
        <v/>
      </c>
      <c r="X190" s="1687" t="str" cm="1">
        <f t="array" aca="1" ref="X190" ca="1">IFERROR(IF($L190&lt;&gt;"",_xll.PBF($L190,$N$126,$O$126,X$127,"","EUR","r"),""),"")</f>
        <v/>
      </c>
      <c r="Y190" s="1687" t="str" cm="1">
        <f t="array" aca="1" ref="Y190" ca="1">IFERROR(IF($L190&lt;&gt;"",_xll.PBF($L190,$N$126,$O$126,Y$127,"","EUR","r"),""),"")</f>
        <v/>
      </c>
      <c r="Z190" s="1687" t="str" cm="1">
        <f t="array" aca="1" ref="Z190" ca="1">IFERROR(IF($L190&lt;&gt;"",_xll.PBF($L190,$N$126,$O$126,Z$127,"","EUR","r"),""),"")</f>
        <v/>
      </c>
      <c r="AA190" s="1687" t="str" cm="1">
        <f t="array" aca="1" ref="AA190" ca="1">IFERROR(IF($L190&lt;&gt;"",_xll.PBF($L190,$N$126,$O$126,AA$127,"","EUR","r"),""),"")</f>
        <v/>
      </c>
      <c r="AB190" s="1687" t="str" cm="1">
        <f t="array" aca="1" ref="AB190" ca="1">IFERROR(IF($L190&lt;&gt;"",_xll.PBF($L190,$N$126,$O$126,AB$127,"","EUR","r"),""),"")</f>
        <v/>
      </c>
      <c r="AC190" s="1687" t="str" cm="1">
        <f t="array" aca="1" ref="AC190" ca="1">IFERROR(IF($L190&lt;&gt;"",_xll.PBF($L190,$N$126,$O$126,AC$127,"","EUR","r"),""),"")</f>
        <v/>
      </c>
      <c r="AD190" s="1687" t="str" cm="1">
        <f t="array" aca="1" ref="AD190" ca="1">IFERROR(IF($L190&lt;&gt;"",_xll.PBF($L190,$N$126,$O$126,AD$127,"","EUR","r"),""),"")</f>
        <v/>
      </c>
      <c r="AE190" s="1687" t="str" cm="1">
        <f t="array" aca="1" ref="AE190" ca="1">IFERROR(IF($L190&lt;&gt;"",_xll.PBF($L190,$N$126,$O$126,AE$127,"","EUR","r"),""),"")</f>
        <v/>
      </c>
      <c r="AF190" s="1687" t="str" cm="1">
        <f t="array" aca="1" ref="AF190" ca="1">IFERROR(IF($L190&lt;&gt;"",_xll.PBF($L190,$N$126,$O$126,AF$127,"","EUR","r"),""),"")</f>
        <v/>
      </c>
      <c r="AG190" s="1687" t="str" cm="1">
        <f t="array" aca="1" ref="AG190" ca="1">IFERROR(IF($L190&lt;&gt;"",_xll.PBF($L190,$N$126,$O$126,AG$127,"","EUR","r"),""),"")</f>
        <v/>
      </c>
      <c r="AH190" s="1687" t="str" cm="1">
        <f t="array" aca="1" ref="AH190" ca="1">IFERROR(IF($L190&lt;&gt;"",_xll.PBF($L190,$N$126,$O$126,AH$127,"","EUR","r"),""),"")</f>
        <v/>
      </c>
      <c r="AI190" s="1687" t="str" cm="1">
        <f t="array" aca="1" ref="AI190" ca="1">IFERROR(IF($L190&lt;&gt;"",_xll.PBF($L190,$N$126,$O$126,AI$127,"","EUR","r"),""),"")</f>
        <v/>
      </c>
    </row>
    <row r="191" spans="12:35">
      <c r="L191" s="438" t="str">
        <f t="shared" si="32"/>
        <v/>
      </c>
      <c r="N191" s="1687" t="str" cm="1">
        <f t="array" aca="1" ref="N191" ca="1">IFERROR(IF($L191&lt;&gt;"",_xll.PBF($L191,$N$126,$O$126,N$127,"","EUR","r"),""),"")</f>
        <v/>
      </c>
      <c r="O191" s="1687" t="str" cm="1">
        <f t="array" aca="1" ref="O191" ca="1">IFERROR(IF($L191&lt;&gt;"",_xll.PBF($L191,$N$126,$O$126,O$127,"","EUR","r"),""),"")</f>
        <v/>
      </c>
      <c r="P191" s="1687" t="str" cm="1">
        <f t="array" aca="1" ref="P191" ca="1">IFERROR(IF($L191&lt;&gt;"",_xll.PBF($L191,$N$126,$O$126,P$127,"","EUR","r"),""),"")</f>
        <v/>
      </c>
      <c r="Q191" s="1687" t="str" cm="1">
        <f t="array" aca="1" ref="Q191" ca="1">IFERROR(IF($L191&lt;&gt;"",_xll.PBF($L191,$N$126,$O$126,Q$127,"","EUR","r"),""),"")</f>
        <v/>
      </c>
      <c r="R191" s="1687" t="str" cm="1">
        <f t="array" aca="1" ref="R191" ca="1">IFERROR(IF($L191&lt;&gt;"",_xll.PBF($L191,$N$126,$O$126,R$127,"","EUR","r"),""),"")</f>
        <v/>
      </c>
      <c r="S191" s="1687" t="str" cm="1">
        <f t="array" aca="1" ref="S191" ca="1">IFERROR(IF($L191&lt;&gt;"",_xll.PBF($L191,$N$126,$O$126,S$127,"","EUR","r"),""),"")</f>
        <v/>
      </c>
      <c r="T191" s="1687" t="str" cm="1">
        <f t="array" aca="1" ref="T191" ca="1">IFERROR(IF($L191&lt;&gt;"",_xll.PBF($L191,$N$126,$O$126,T$127,"","EUR","r"),""),"")</f>
        <v/>
      </c>
      <c r="U191" s="1687" t="str" cm="1">
        <f t="array" aca="1" ref="U191" ca="1">IFERROR(IF($L191&lt;&gt;"",_xll.PBF($L191,$N$126,$O$126,U$127,"","EUR","r"),""),"")</f>
        <v/>
      </c>
      <c r="V191" s="1687" t="str" cm="1">
        <f t="array" aca="1" ref="V191" ca="1">IFERROR(IF($L191&lt;&gt;"",_xll.PBF($L191,$N$126,$O$126,V$127,"","EUR","r"),""),"")</f>
        <v/>
      </c>
      <c r="W191" s="1687" t="str" cm="1">
        <f t="array" aca="1" ref="W191" ca="1">IFERROR(IF($L191&lt;&gt;"",_xll.PBF($L191,$N$126,$O$126,W$127,"","EUR","r"),""),"")</f>
        <v/>
      </c>
      <c r="X191" s="1687" t="str" cm="1">
        <f t="array" aca="1" ref="X191" ca="1">IFERROR(IF($L191&lt;&gt;"",_xll.PBF($L191,$N$126,$O$126,X$127,"","EUR","r"),""),"")</f>
        <v/>
      </c>
      <c r="Y191" s="1687" t="str" cm="1">
        <f t="array" aca="1" ref="Y191" ca="1">IFERROR(IF($L191&lt;&gt;"",_xll.PBF($L191,$N$126,$O$126,Y$127,"","EUR","r"),""),"")</f>
        <v/>
      </c>
      <c r="Z191" s="1687" t="str" cm="1">
        <f t="array" aca="1" ref="Z191" ca="1">IFERROR(IF($L191&lt;&gt;"",_xll.PBF($L191,$N$126,$O$126,Z$127,"","EUR","r"),""),"")</f>
        <v/>
      </c>
      <c r="AA191" s="1687" t="str" cm="1">
        <f t="array" aca="1" ref="AA191" ca="1">IFERROR(IF($L191&lt;&gt;"",_xll.PBF($L191,$N$126,$O$126,AA$127,"","EUR","r"),""),"")</f>
        <v/>
      </c>
      <c r="AB191" s="1687" t="str" cm="1">
        <f t="array" aca="1" ref="AB191" ca="1">IFERROR(IF($L191&lt;&gt;"",_xll.PBF($L191,$N$126,$O$126,AB$127,"","EUR","r"),""),"")</f>
        <v/>
      </c>
      <c r="AC191" s="1687" t="str" cm="1">
        <f t="array" aca="1" ref="AC191" ca="1">IFERROR(IF($L191&lt;&gt;"",_xll.PBF($L191,$N$126,$O$126,AC$127,"","EUR","r"),""),"")</f>
        <v/>
      </c>
      <c r="AD191" s="1687" t="str" cm="1">
        <f t="array" aca="1" ref="AD191" ca="1">IFERROR(IF($L191&lt;&gt;"",_xll.PBF($L191,$N$126,$O$126,AD$127,"","EUR","r"),""),"")</f>
        <v/>
      </c>
      <c r="AE191" s="1687" t="str" cm="1">
        <f t="array" aca="1" ref="AE191" ca="1">IFERROR(IF($L191&lt;&gt;"",_xll.PBF($L191,$N$126,$O$126,AE$127,"","EUR","r"),""),"")</f>
        <v/>
      </c>
      <c r="AF191" s="1687" t="str" cm="1">
        <f t="array" aca="1" ref="AF191" ca="1">IFERROR(IF($L191&lt;&gt;"",_xll.PBF($L191,$N$126,$O$126,AF$127,"","EUR","r"),""),"")</f>
        <v/>
      </c>
      <c r="AG191" s="1687" t="str" cm="1">
        <f t="array" aca="1" ref="AG191" ca="1">IFERROR(IF($L191&lt;&gt;"",_xll.PBF($L191,$N$126,$O$126,AG$127,"","EUR","r"),""),"")</f>
        <v/>
      </c>
      <c r="AH191" s="1687" t="str" cm="1">
        <f t="array" aca="1" ref="AH191" ca="1">IFERROR(IF($L191&lt;&gt;"",_xll.PBF($L191,$N$126,$O$126,AH$127,"","EUR","r"),""),"")</f>
        <v/>
      </c>
      <c r="AI191" s="1687" t="str" cm="1">
        <f t="array" aca="1" ref="AI191" ca="1">IFERROR(IF($L191&lt;&gt;"",_xll.PBF($L191,$N$126,$O$126,AI$127,"","EUR","r"),""),"")</f>
        <v/>
      </c>
    </row>
    <row r="192" spans="12:35">
      <c r="L192" s="438" t="str">
        <f t="shared" si="32"/>
        <v/>
      </c>
      <c r="N192" s="1687" t="str" cm="1">
        <f t="array" aca="1" ref="N192" ca="1">IFERROR(IF($L192&lt;&gt;"",_xll.PBF($L192,$N$126,$O$126,N$127,"","EUR","r"),""),"")</f>
        <v/>
      </c>
      <c r="O192" s="1687" t="str" cm="1">
        <f t="array" aca="1" ref="O192" ca="1">IFERROR(IF($L192&lt;&gt;"",_xll.PBF($L192,$N$126,$O$126,O$127,"","EUR","r"),""),"")</f>
        <v/>
      </c>
      <c r="P192" s="1687" t="str" cm="1">
        <f t="array" aca="1" ref="P192" ca="1">IFERROR(IF($L192&lt;&gt;"",_xll.PBF($L192,$N$126,$O$126,P$127,"","EUR","r"),""),"")</f>
        <v/>
      </c>
      <c r="Q192" s="1687" t="str" cm="1">
        <f t="array" aca="1" ref="Q192" ca="1">IFERROR(IF($L192&lt;&gt;"",_xll.PBF($L192,$N$126,$O$126,Q$127,"","EUR","r"),""),"")</f>
        <v/>
      </c>
      <c r="R192" s="1687" t="str" cm="1">
        <f t="array" aca="1" ref="R192" ca="1">IFERROR(IF($L192&lt;&gt;"",_xll.PBF($L192,$N$126,$O$126,R$127,"","EUR","r"),""),"")</f>
        <v/>
      </c>
      <c r="S192" s="1687" t="str" cm="1">
        <f t="array" aca="1" ref="S192" ca="1">IFERROR(IF($L192&lt;&gt;"",_xll.PBF($L192,$N$126,$O$126,S$127,"","EUR","r"),""),"")</f>
        <v/>
      </c>
      <c r="T192" s="1687" t="str" cm="1">
        <f t="array" aca="1" ref="T192" ca="1">IFERROR(IF($L192&lt;&gt;"",_xll.PBF($L192,$N$126,$O$126,T$127,"","EUR","r"),""),"")</f>
        <v/>
      </c>
      <c r="U192" s="1687" t="str" cm="1">
        <f t="array" aca="1" ref="U192" ca="1">IFERROR(IF($L192&lt;&gt;"",_xll.PBF($L192,$N$126,$O$126,U$127,"","EUR","r"),""),"")</f>
        <v/>
      </c>
      <c r="V192" s="1687" t="str" cm="1">
        <f t="array" aca="1" ref="V192" ca="1">IFERROR(IF($L192&lt;&gt;"",_xll.PBF($L192,$N$126,$O$126,V$127,"","EUR","r"),""),"")</f>
        <v/>
      </c>
      <c r="W192" s="1687" t="str" cm="1">
        <f t="array" aca="1" ref="W192" ca="1">IFERROR(IF($L192&lt;&gt;"",_xll.PBF($L192,$N$126,$O$126,W$127,"","EUR","r"),""),"")</f>
        <v/>
      </c>
      <c r="X192" s="1687" t="str" cm="1">
        <f t="array" aca="1" ref="X192" ca="1">IFERROR(IF($L192&lt;&gt;"",_xll.PBF($L192,$N$126,$O$126,X$127,"","EUR","r"),""),"")</f>
        <v/>
      </c>
      <c r="Y192" s="1687" t="str" cm="1">
        <f t="array" aca="1" ref="Y192" ca="1">IFERROR(IF($L192&lt;&gt;"",_xll.PBF($L192,$N$126,$O$126,Y$127,"","EUR","r"),""),"")</f>
        <v/>
      </c>
      <c r="Z192" s="1687" t="str" cm="1">
        <f t="array" aca="1" ref="Z192" ca="1">IFERROR(IF($L192&lt;&gt;"",_xll.PBF($L192,$N$126,$O$126,Z$127,"","EUR","r"),""),"")</f>
        <v/>
      </c>
      <c r="AA192" s="1687" t="str" cm="1">
        <f t="array" aca="1" ref="AA192" ca="1">IFERROR(IF($L192&lt;&gt;"",_xll.PBF($L192,$N$126,$O$126,AA$127,"","EUR","r"),""),"")</f>
        <v/>
      </c>
      <c r="AB192" s="1687" t="str" cm="1">
        <f t="array" aca="1" ref="AB192" ca="1">IFERROR(IF($L192&lt;&gt;"",_xll.PBF($L192,$N$126,$O$126,AB$127,"","EUR","r"),""),"")</f>
        <v/>
      </c>
      <c r="AC192" s="1687" t="str" cm="1">
        <f t="array" aca="1" ref="AC192" ca="1">IFERROR(IF($L192&lt;&gt;"",_xll.PBF($L192,$N$126,$O$126,AC$127,"","EUR","r"),""),"")</f>
        <v/>
      </c>
      <c r="AD192" s="1687" t="str" cm="1">
        <f t="array" aca="1" ref="AD192" ca="1">IFERROR(IF($L192&lt;&gt;"",_xll.PBF($L192,$N$126,$O$126,AD$127,"","EUR","r"),""),"")</f>
        <v/>
      </c>
      <c r="AE192" s="1687" t="str" cm="1">
        <f t="array" aca="1" ref="AE192" ca="1">IFERROR(IF($L192&lt;&gt;"",_xll.PBF($L192,$N$126,$O$126,AE$127,"","EUR","r"),""),"")</f>
        <v/>
      </c>
      <c r="AF192" s="1687" t="str" cm="1">
        <f t="array" aca="1" ref="AF192" ca="1">IFERROR(IF($L192&lt;&gt;"",_xll.PBF($L192,$N$126,$O$126,AF$127,"","EUR","r"),""),"")</f>
        <v/>
      </c>
      <c r="AG192" s="1687" t="str" cm="1">
        <f t="array" aca="1" ref="AG192" ca="1">IFERROR(IF($L192&lt;&gt;"",_xll.PBF($L192,$N$126,$O$126,AG$127,"","EUR","r"),""),"")</f>
        <v/>
      </c>
      <c r="AH192" s="1687" t="str" cm="1">
        <f t="array" aca="1" ref="AH192" ca="1">IFERROR(IF($L192&lt;&gt;"",_xll.PBF($L192,$N$126,$O$126,AH$127,"","EUR","r"),""),"")</f>
        <v/>
      </c>
      <c r="AI192" s="1687" t="str" cm="1">
        <f t="array" aca="1" ref="AI192" ca="1">IFERROR(IF($L192&lt;&gt;"",_xll.PBF($L192,$N$126,$O$126,AI$127,"","EUR","r"),""),"")</f>
        <v/>
      </c>
    </row>
    <row r="193" spans="12:35">
      <c r="L193" s="438" t="str">
        <f t="shared" si="32"/>
        <v/>
      </c>
      <c r="N193" s="1687" t="str" cm="1">
        <f t="array" aca="1" ref="N193" ca="1">IFERROR(IF($L193&lt;&gt;"",_xll.PBF($L193,$N$126,$O$126,N$127,"","EUR","r"),""),"")</f>
        <v/>
      </c>
      <c r="O193" s="1687" t="str" cm="1">
        <f t="array" aca="1" ref="O193" ca="1">IFERROR(IF($L193&lt;&gt;"",_xll.PBF($L193,$N$126,$O$126,O$127,"","EUR","r"),""),"")</f>
        <v/>
      </c>
      <c r="P193" s="1687" t="str" cm="1">
        <f t="array" aca="1" ref="P193" ca="1">IFERROR(IF($L193&lt;&gt;"",_xll.PBF($L193,$N$126,$O$126,P$127,"","EUR","r"),""),"")</f>
        <v/>
      </c>
      <c r="Q193" s="1687" t="str" cm="1">
        <f t="array" aca="1" ref="Q193" ca="1">IFERROR(IF($L193&lt;&gt;"",_xll.PBF($L193,$N$126,$O$126,Q$127,"","EUR","r"),""),"")</f>
        <v/>
      </c>
      <c r="R193" s="1687" t="str" cm="1">
        <f t="array" aca="1" ref="R193" ca="1">IFERROR(IF($L193&lt;&gt;"",_xll.PBF($L193,$N$126,$O$126,R$127,"","EUR","r"),""),"")</f>
        <v/>
      </c>
      <c r="S193" s="1687" t="str" cm="1">
        <f t="array" aca="1" ref="S193" ca="1">IFERROR(IF($L193&lt;&gt;"",_xll.PBF($L193,$N$126,$O$126,S$127,"","EUR","r"),""),"")</f>
        <v/>
      </c>
      <c r="T193" s="1687" t="str" cm="1">
        <f t="array" aca="1" ref="T193" ca="1">IFERROR(IF($L193&lt;&gt;"",_xll.PBF($L193,$N$126,$O$126,T$127,"","EUR","r"),""),"")</f>
        <v/>
      </c>
      <c r="U193" s="1687" t="str" cm="1">
        <f t="array" aca="1" ref="U193" ca="1">IFERROR(IF($L193&lt;&gt;"",_xll.PBF($L193,$N$126,$O$126,U$127,"","EUR","r"),""),"")</f>
        <v/>
      </c>
      <c r="V193" s="1687" t="str" cm="1">
        <f t="array" aca="1" ref="V193" ca="1">IFERROR(IF($L193&lt;&gt;"",_xll.PBF($L193,$N$126,$O$126,V$127,"","EUR","r"),""),"")</f>
        <v/>
      </c>
      <c r="W193" s="1687" t="str" cm="1">
        <f t="array" aca="1" ref="W193" ca="1">IFERROR(IF($L193&lt;&gt;"",_xll.PBF($L193,$N$126,$O$126,W$127,"","EUR","r"),""),"")</f>
        <v/>
      </c>
      <c r="X193" s="1687" t="str" cm="1">
        <f t="array" aca="1" ref="X193" ca="1">IFERROR(IF($L193&lt;&gt;"",_xll.PBF($L193,$N$126,$O$126,X$127,"","EUR","r"),""),"")</f>
        <v/>
      </c>
      <c r="Y193" s="1687" t="str" cm="1">
        <f t="array" aca="1" ref="Y193" ca="1">IFERROR(IF($L193&lt;&gt;"",_xll.PBF($L193,$N$126,$O$126,Y$127,"","EUR","r"),""),"")</f>
        <v/>
      </c>
      <c r="Z193" s="1687" t="str" cm="1">
        <f t="array" aca="1" ref="Z193" ca="1">IFERROR(IF($L193&lt;&gt;"",_xll.PBF($L193,$N$126,$O$126,Z$127,"","EUR","r"),""),"")</f>
        <v/>
      </c>
      <c r="AA193" s="1687" t="str" cm="1">
        <f t="array" aca="1" ref="AA193" ca="1">IFERROR(IF($L193&lt;&gt;"",_xll.PBF($L193,$N$126,$O$126,AA$127,"","EUR","r"),""),"")</f>
        <v/>
      </c>
      <c r="AB193" s="1687" t="str" cm="1">
        <f t="array" aca="1" ref="AB193" ca="1">IFERROR(IF($L193&lt;&gt;"",_xll.PBF($L193,$N$126,$O$126,AB$127,"","EUR","r"),""),"")</f>
        <v/>
      </c>
      <c r="AC193" s="1687" t="str" cm="1">
        <f t="array" aca="1" ref="AC193" ca="1">IFERROR(IF($L193&lt;&gt;"",_xll.PBF($L193,$N$126,$O$126,AC$127,"","EUR","r"),""),"")</f>
        <v/>
      </c>
      <c r="AD193" s="1687" t="str" cm="1">
        <f t="array" aca="1" ref="AD193" ca="1">IFERROR(IF($L193&lt;&gt;"",_xll.PBF($L193,$N$126,$O$126,AD$127,"","EUR","r"),""),"")</f>
        <v/>
      </c>
      <c r="AE193" s="1687" t="str" cm="1">
        <f t="array" aca="1" ref="AE193" ca="1">IFERROR(IF($L193&lt;&gt;"",_xll.PBF($L193,$N$126,$O$126,AE$127,"","EUR","r"),""),"")</f>
        <v/>
      </c>
      <c r="AF193" s="1687" t="str" cm="1">
        <f t="array" aca="1" ref="AF193" ca="1">IFERROR(IF($L193&lt;&gt;"",_xll.PBF($L193,$N$126,$O$126,AF$127,"","EUR","r"),""),"")</f>
        <v/>
      </c>
      <c r="AG193" s="1687" t="str" cm="1">
        <f t="array" aca="1" ref="AG193" ca="1">IFERROR(IF($L193&lt;&gt;"",_xll.PBF($L193,$N$126,$O$126,AG$127,"","EUR","r"),""),"")</f>
        <v/>
      </c>
      <c r="AH193" s="1687" t="str" cm="1">
        <f t="array" aca="1" ref="AH193" ca="1">IFERROR(IF($L193&lt;&gt;"",_xll.PBF($L193,$N$126,$O$126,AH$127,"","EUR","r"),""),"")</f>
        <v/>
      </c>
      <c r="AI193" s="1687" t="str" cm="1">
        <f t="array" aca="1" ref="AI193" ca="1">IFERROR(IF($L193&lt;&gt;"",_xll.PBF($L193,$N$126,$O$126,AI$127,"","EUR","r"),""),"")</f>
        <v/>
      </c>
    </row>
    <row r="194" spans="12:35">
      <c r="L194" s="438" t="str">
        <f t="shared" ref="L194:L230" si="34">IF(L87="","",L87)</f>
        <v/>
      </c>
      <c r="N194" s="1687" t="str" cm="1">
        <f t="array" aca="1" ref="N194" ca="1">IFERROR(IF($L194&lt;&gt;"",_xll.PBF($L194,$N$126,$O$126,N$127,"","EUR","r"),""),"")</f>
        <v/>
      </c>
      <c r="O194" s="1687" t="str" cm="1">
        <f t="array" aca="1" ref="O194" ca="1">IFERROR(IF($L194&lt;&gt;"",_xll.PBF($L194,$N$126,$O$126,O$127,"","EUR","r"),""),"")</f>
        <v/>
      </c>
      <c r="P194" s="1687" t="str" cm="1">
        <f t="array" aca="1" ref="P194" ca="1">IFERROR(IF($L194&lt;&gt;"",_xll.PBF($L194,$N$126,$O$126,P$127,"","EUR","r"),""),"")</f>
        <v/>
      </c>
      <c r="Q194" s="1687" t="str" cm="1">
        <f t="array" aca="1" ref="Q194" ca="1">IFERROR(IF($L194&lt;&gt;"",_xll.PBF($L194,$N$126,$O$126,Q$127,"","EUR","r"),""),"")</f>
        <v/>
      </c>
      <c r="R194" s="1687" t="str" cm="1">
        <f t="array" aca="1" ref="R194" ca="1">IFERROR(IF($L194&lt;&gt;"",_xll.PBF($L194,$N$126,$O$126,R$127,"","EUR","r"),""),"")</f>
        <v/>
      </c>
      <c r="S194" s="1687" t="str" cm="1">
        <f t="array" aca="1" ref="S194" ca="1">IFERROR(IF($L194&lt;&gt;"",_xll.PBF($L194,$N$126,$O$126,S$127,"","EUR","r"),""),"")</f>
        <v/>
      </c>
      <c r="T194" s="1687" t="str" cm="1">
        <f t="array" aca="1" ref="T194" ca="1">IFERROR(IF($L194&lt;&gt;"",_xll.PBF($L194,$N$126,$O$126,T$127,"","EUR","r"),""),"")</f>
        <v/>
      </c>
      <c r="U194" s="1687" t="str" cm="1">
        <f t="array" aca="1" ref="U194" ca="1">IFERROR(IF($L194&lt;&gt;"",_xll.PBF($L194,$N$126,$O$126,U$127,"","EUR","r"),""),"")</f>
        <v/>
      </c>
      <c r="V194" s="1687" t="str" cm="1">
        <f t="array" aca="1" ref="V194" ca="1">IFERROR(IF($L194&lt;&gt;"",_xll.PBF($L194,$N$126,$O$126,V$127,"","EUR","r"),""),"")</f>
        <v/>
      </c>
      <c r="W194" s="1687" t="str" cm="1">
        <f t="array" aca="1" ref="W194" ca="1">IFERROR(IF($L194&lt;&gt;"",_xll.PBF($L194,$N$126,$O$126,W$127,"","EUR","r"),""),"")</f>
        <v/>
      </c>
      <c r="X194" s="1687" t="str" cm="1">
        <f t="array" aca="1" ref="X194" ca="1">IFERROR(IF($L194&lt;&gt;"",_xll.PBF($L194,$N$126,$O$126,X$127,"","EUR","r"),""),"")</f>
        <v/>
      </c>
      <c r="Y194" s="1687" t="str" cm="1">
        <f t="array" aca="1" ref="Y194" ca="1">IFERROR(IF($L194&lt;&gt;"",_xll.PBF($L194,$N$126,$O$126,Y$127,"","EUR","r"),""),"")</f>
        <v/>
      </c>
      <c r="Z194" s="1687" t="str" cm="1">
        <f t="array" aca="1" ref="Z194" ca="1">IFERROR(IF($L194&lt;&gt;"",_xll.PBF($L194,$N$126,$O$126,Z$127,"","EUR","r"),""),"")</f>
        <v/>
      </c>
      <c r="AA194" s="1687" t="str" cm="1">
        <f t="array" aca="1" ref="AA194" ca="1">IFERROR(IF($L194&lt;&gt;"",_xll.PBF($L194,$N$126,$O$126,AA$127,"","EUR","r"),""),"")</f>
        <v/>
      </c>
      <c r="AB194" s="1687" t="str" cm="1">
        <f t="array" aca="1" ref="AB194" ca="1">IFERROR(IF($L194&lt;&gt;"",_xll.PBF($L194,$N$126,$O$126,AB$127,"","EUR","r"),""),"")</f>
        <v/>
      </c>
      <c r="AC194" s="1687" t="str" cm="1">
        <f t="array" aca="1" ref="AC194" ca="1">IFERROR(IF($L194&lt;&gt;"",_xll.PBF($L194,$N$126,$O$126,AC$127,"","EUR","r"),""),"")</f>
        <v/>
      </c>
      <c r="AD194" s="1687" t="str" cm="1">
        <f t="array" aca="1" ref="AD194" ca="1">IFERROR(IF($L194&lt;&gt;"",_xll.PBF($L194,$N$126,$O$126,AD$127,"","EUR","r"),""),"")</f>
        <v/>
      </c>
      <c r="AE194" s="1687" t="str" cm="1">
        <f t="array" aca="1" ref="AE194" ca="1">IFERROR(IF($L194&lt;&gt;"",_xll.PBF($L194,$N$126,$O$126,AE$127,"","EUR","r"),""),"")</f>
        <v/>
      </c>
      <c r="AF194" s="1687" t="str" cm="1">
        <f t="array" aca="1" ref="AF194" ca="1">IFERROR(IF($L194&lt;&gt;"",_xll.PBF($L194,$N$126,$O$126,AF$127,"","EUR","r"),""),"")</f>
        <v/>
      </c>
      <c r="AG194" s="1687" t="str" cm="1">
        <f t="array" aca="1" ref="AG194" ca="1">IFERROR(IF($L194&lt;&gt;"",_xll.PBF($L194,$N$126,$O$126,AG$127,"","EUR","r"),""),"")</f>
        <v/>
      </c>
      <c r="AH194" s="1687" t="str" cm="1">
        <f t="array" aca="1" ref="AH194" ca="1">IFERROR(IF($L194&lt;&gt;"",_xll.PBF($L194,$N$126,$O$126,AH$127,"","EUR","r"),""),"")</f>
        <v/>
      </c>
      <c r="AI194" s="1687" t="str" cm="1">
        <f t="array" aca="1" ref="AI194" ca="1">IFERROR(IF($L194&lt;&gt;"",_xll.PBF($L194,$N$126,$O$126,AI$127,"","EUR","r"),""),"")</f>
        <v/>
      </c>
    </row>
    <row r="195" spans="12:35">
      <c r="L195" s="438" t="str">
        <f t="shared" si="34"/>
        <v/>
      </c>
      <c r="N195" s="1687" t="str" cm="1">
        <f t="array" aca="1" ref="N195" ca="1">IFERROR(IF($L195&lt;&gt;"",_xll.PBF($L195,$N$126,$O$126,N$127,"","EUR","r"),""),"")</f>
        <v/>
      </c>
      <c r="O195" s="1687" t="str" cm="1">
        <f t="array" aca="1" ref="O195" ca="1">IFERROR(IF($L195&lt;&gt;"",_xll.PBF($L195,$N$126,$O$126,O$127,"","EUR","r"),""),"")</f>
        <v/>
      </c>
      <c r="P195" s="1687" t="str" cm="1">
        <f t="array" aca="1" ref="P195" ca="1">IFERROR(IF($L195&lt;&gt;"",_xll.PBF($L195,$N$126,$O$126,P$127,"","EUR","r"),""),"")</f>
        <v/>
      </c>
      <c r="Q195" s="1687" t="str" cm="1">
        <f t="array" aca="1" ref="Q195" ca="1">IFERROR(IF($L195&lt;&gt;"",_xll.PBF($L195,$N$126,$O$126,Q$127,"","EUR","r"),""),"")</f>
        <v/>
      </c>
      <c r="R195" s="1687" t="str" cm="1">
        <f t="array" aca="1" ref="R195" ca="1">IFERROR(IF($L195&lt;&gt;"",_xll.PBF($L195,$N$126,$O$126,R$127,"","EUR","r"),""),"")</f>
        <v/>
      </c>
      <c r="S195" s="1687" t="str" cm="1">
        <f t="array" aca="1" ref="S195" ca="1">IFERROR(IF($L195&lt;&gt;"",_xll.PBF($L195,$N$126,$O$126,S$127,"","EUR","r"),""),"")</f>
        <v/>
      </c>
      <c r="T195" s="1687" t="str" cm="1">
        <f t="array" aca="1" ref="T195" ca="1">IFERROR(IF($L195&lt;&gt;"",_xll.PBF($L195,$N$126,$O$126,T$127,"","EUR","r"),""),"")</f>
        <v/>
      </c>
      <c r="U195" s="1687" t="str" cm="1">
        <f t="array" aca="1" ref="U195" ca="1">IFERROR(IF($L195&lt;&gt;"",_xll.PBF($L195,$N$126,$O$126,U$127,"","EUR","r"),""),"")</f>
        <v/>
      </c>
      <c r="V195" s="1687" t="str" cm="1">
        <f t="array" aca="1" ref="V195" ca="1">IFERROR(IF($L195&lt;&gt;"",_xll.PBF($L195,$N$126,$O$126,V$127,"","EUR","r"),""),"")</f>
        <v/>
      </c>
      <c r="W195" s="1687" t="str" cm="1">
        <f t="array" aca="1" ref="W195" ca="1">IFERROR(IF($L195&lt;&gt;"",_xll.PBF($L195,$N$126,$O$126,W$127,"","EUR","r"),""),"")</f>
        <v/>
      </c>
      <c r="X195" s="1687" t="str" cm="1">
        <f t="array" aca="1" ref="X195" ca="1">IFERROR(IF($L195&lt;&gt;"",_xll.PBF($L195,$N$126,$O$126,X$127,"","EUR","r"),""),"")</f>
        <v/>
      </c>
      <c r="Y195" s="1687" t="str" cm="1">
        <f t="array" aca="1" ref="Y195" ca="1">IFERROR(IF($L195&lt;&gt;"",_xll.PBF($L195,$N$126,$O$126,Y$127,"","EUR","r"),""),"")</f>
        <v/>
      </c>
      <c r="Z195" s="1687" t="str" cm="1">
        <f t="array" aca="1" ref="Z195" ca="1">IFERROR(IF($L195&lt;&gt;"",_xll.PBF($L195,$N$126,$O$126,Z$127,"","EUR","r"),""),"")</f>
        <v/>
      </c>
      <c r="AA195" s="1687" t="str" cm="1">
        <f t="array" aca="1" ref="AA195" ca="1">IFERROR(IF($L195&lt;&gt;"",_xll.PBF($L195,$N$126,$O$126,AA$127,"","EUR","r"),""),"")</f>
        <v/>
      </c>
      <c r="AB195" s="1687" t="str" cm="1">
        <f t="array" aca="1" ref="AB195" ca="1">IFERROR(IF($L195&lt;&gt;"",_xll.PBF($L195,$N$126,$O$126,AB$127,"","EUR","r"),""),"")</f>
        <v/>
      </c>
      <c r="AC195" s="1687" t="str" cm="1">
        <f t="array" aca="1" ref="AC195" ca="1">IFERROR(IF($L195&lt;&gt;"",_xll.PBF($L195,$N$126,$O$126,AC$127,"","EUR","r"),""),"")</f>
        <v/>
      </c>
      <c r="AD195" s="1687" t="str" cm="1">
        <f t="array" aca="1" ref="AD195" ca="1">IFERROR(IF($L195&lt;&gt;"",_xll.PBF($L195,$N$126,$O$126,AD$127,"","EUR","r"),""),"")</f>
        <v/>
      </c>
      <c r="AE195" s="1687" t="str" cm="1">
        <f t="array" aca="1" ref="AE195" ca="1">IFERROR(IF($L195&lt;&gt;"",_xll.PBF($L195,$N$126,$O$126,AE$127,"","EUR","r"),""),"")</f>
        <v/>
      </c>
      <c r="AF195" s="1687" t="str" cm="1">
        <f t="array" aca="1" ref="AF195" ca="1">IFERROR(IF($L195&lt;&gt;"",_xll.PBF($L195,$N$126,$O$126,AF$127,"","EUR","r"),""),"")</f>
        <v/>
      </c>
      <c r="AG195" s="1687" t="str" cm="1">
        <f t="array" aca="1" ref="AG195" ca="1">IFERROR(IF($L195&lt;&gt;"",_xll.PBF($L195,$N$126,$O$126,AG$127,"","EUR","r"),""),"")</f>
        <v/>
      </c>
      <c r="AH195" s="1687" t="str" cm="1">
        <f t="array" aca="1" ref="AH195" ca="1">IFERROR(IF($L195&lt;&gt;"",_xll.PBF($L195,$N$126,$O$126,AH$127,"","EUR","r"),""),"")</f>
        <v/>
      </c>
      <c r="AI195" s="1687" t="str" cm="1">
        <f t="array" aca="1" ref="AI195" ca="1">IFERROR(IF($L195&lt;&gt;"",_xll.PBF($L195,$N$126,$O$126,AI$127,"","EUR","r"),""),"")</f>
        <v/>
      </c>
    </row>
    <row r="196" spans="12:35">
      <c r="L196" s="438" t="str">
        <f t="shared" si="34"/>
        <v/>
      </c>
      <c r="N196" s="1687" t="str" cm="1">
        <f t="array" aca="1" ref="N196" ca="1">IFERROR(IF($L196&lt;&gt;"",_xll.PBF($L196,$N$126,$O$126,N$127,"","EUR","r"),""),"")</f>
        <v/>
      </c>
      <c r="O196" s="1687" t="str" cm="1">
        <f t="array" aca="1" ref="O196" ca="1">IFERROR(IF($L196&lt;&gt;"",_xll.PBF($L196,$N$126,$O$126,O$127,"","EUR","r"),""),"")</f>
        <v/>
      </c>
      <c r="P196" s="1687" t="str" cm="1">
        <f t="array" aca="1" ref="P196" ca="1">IFERROR(IF($L196&lt;&gt;"",_xll.PBF($L196,$N$126,$O$126,P$127,"","EUR","r"),""),"")</f>
        <v/>
      </c>
      <c r="Q196" s="1687" t="str" cm="1">
        <f t="array" aca="1" ref="Q196" ca="1">IFERROR(IF($L196&lt;&gt;"",_xll.PBF($L196,$N$126,$O$126,Q$127,"","EUR","r"),""),"")</f>
        <v/>
      </c>
      <c r="R196" s="1687" t="str" cm="1">
        <f t="array" aca="1" ref="R196" ca="1">IFERROR(IF($L196&lt;&gt;"",_xll.PBF($L196,$N$126,$O$126,R$127,"","EUR","r"),""),"")</f>
        <v/>
      </c>
      <c r="S196" s="1687" t="str" cm="1">
        <f t="array" aca="1" ref="S196" ca="1">IFERROR(IF($L196&lt;&gt;"",_xll.PBF($L196,$N$126,$O$126,S$127,"","EUR","r"),""),"")</f>
        <v/>
      </c>
      <c r="T196" s="1687" t="str" cm="1">
        <f t="array" aca="1" ref="T196" ca="1">IFERROR(IF($L196&lt;&gt;"",_xll.PBF($L196,$N$126,$O$126,T$127,"","EUR","r"),""),"")</f>
        <v/>
      </c>
      <c r="U196" s="1687" t="str" cm="1">
        <f t="array" aca="1" ref="U196" ca="1">IFERROR(IF($L196&lt;&gt;"",_xll.PBF($L196,$N$126,$O$126,U$127,"","EUR","r"),""),"")</f>
        <v/>
      </c>
      <c r="V196" s="1687" t="str" cm="1">
        <f t="array" aca="1" ref="V196" ca="1">IFERROR(IF($L196&lt;&gt;"",_xll.PBF($L196,$N$126,$O$126,V$127,"","EUR","r"),""),"")</f>
        <v/>
      </c>
      <c r="W196" s="1687" t="str" cm="1">
        <f t="array" aca="1" ref="W196" ca="1">IFERROR(IF($L196&lt;&gt;"",_xll.PBF($L196,$N$126,$O$126,W$127,"","EUR","r"),""),"")</f>
        <v/>
      </c>
      <c r="X196" s="1687" t="str" cm="1">
        <f t="array" aca="1" ref="X196" ca="1">IFERROR(IF($L196&lt;&gt;"",_xll.PBF($L196,$N$126,$O$126,X$127,"","EUR","r"),""),"")</f>
        <v/>
      </c>
      <c r="Y196" s="1687" t="str" cm="1">
        <f t="array" aca="1" ref="Y196" ca="1">IFERROR(IF($L196&lt;&gt;"",_xll.PBF($L196,$N$126,$O$126,Y$127,"","EUR","r"),""),"")</f>
        <v/>
      </c>
      <c r="Z196" s="1687" t="str" cm="1">
        <f t="array" aca="1" ref="Z196" ca="1">IFERROR(IF($L196&lt;&gt;"",_xll.PBF($L196,$N$126,$O$126,Z$127,"","EUR","r"),""),"")</f>
        <v/>
      </c>
      <c r="AA196" s="1687" t="str" cm="1">
        <f t="array" aca="1" ref="AA196" ca="1">IFERROR(IF($L196&lt;&gt;"",_xll.PBF($L196,$N$126,$O$126,AA$127,"","EUR","r"),""),"")</f>
        <v/>
      </c>
      <c r="AB196" s="1687" t="str" cm="1">
        <f t="array" aca="1" ref="AB196" ca="1">IFERROR(IF($L196&lt;&gt;"",_xll.PBF($L196,$N$126,$O$126,AB$127,"","EUR","r"),""),"")</f>
        <v/>
      </c>
      <c r="AC196" s="1687" t="str" cm="1">
        <f t="array" aca="1" ref="AC196" ca="1">IFERROR(IF($L196&lt;&gt;"",_xll.PBF($L196,$N$126,$O$126,AC$127,"","EUR","r"),""),"")</f>
        <v/>
      </c>
      <c r="AD196" s="1687" t="str" cm="1">
        <f t="array" aca="1" ref="AD196" ca="1">IFERROR(IF($L196&lt;&gt;"",_xll.PBF($L196,$N$126,$O$126,AD$127,"","EUR","r"),""),"")</f>
        <v/>
      </c>
      <c r="AE196" s="1687" t="str" cm="1">
        <f t="array" aca="1" ref="AE196" ca="1">IFERROR(IF($L196&lt;&gt;"",_xll.PBF($L196,$N$126,$O$126,AE$127,"","EUR","r"),""),"")</f>
        <v/>
      </c>
      <c r="AF196" s="1687" t="str" cm="1">
        <f t="array" aca="1" ref="AF196" ca="1">IFERROR(IF($L196&lt;&gt;"",_xll.PBF($L196,$N$126,$O$126,AF$127,"","EUR","r"),""),"")</f>
        <v/>
      </c>
      <c r="AG196" s="1687" t="str" cm="1">
        <f t="array" aca="1" ref="AG196" ca="1">IFERROR(IF($L196&lt;&gt;"",_xll.PBF($L196,$N$126,$O$126,AG$127,"","EUR","r"),""),"")</f>
        <v/>
      </c>
      <c r="AH196" s="1687" t="str" cm="1">
        <f t="array" aca="1" ref="AH196" ca="1">IFERROR(IF($L196&lt;&gt;"",_xll.PBF($L196,$N$126,$O$126,AH$127,"","EUR","r"),""),"")</f>
        <v/>
      </c>
      <c r="AI196" s="1687" t="str" cm="1">
        <f t="array" aca="1" ref="AI196" ca="1">IFERROR(IF($L196&lt;&gt;"",_xll.PBF($L196,$N$126,$O$126,AI$127,"","EUR","r"),""),"")</f>
        <v/>
      </c>
    </row>
    <row r="197" spans="12:35">
      <c r="L197" s="438" t="str">
        <f t="shared" si="34"/>
        <v/>
      </c>
      <c r="N197" s="1687" t="str" cm="1">
        <f t="array" aca="1" ref="N197" ca="1">IFERROR(IF($L197&lt;&gt;"",_xll.PBF($L197,$N$126,$O$126,N$127,"","EUR","r"),""),"")</f>
        <v/>
      </c>
      <c r="O197" s="1687" t="str" cm="1">
        <f t="array" aca="1" ref="O197" ca="1">IFERROR(IF($L197&lt;&gt;"",_xll.PBF($L197,$N$126,$O$126,O$127,"","EUR","r"),""),"")</f>
        <v/>
      </c>
      <c r="P197" s="1687" t="str" cm="1">
        <f t="array" aca="1" ref="P197" ca="1">IFERROR(IF($L197&lt;&gt;"",_xll.PBF($L197,$N$126,$O$126,P$127,"","EUR","r"),""),"")</f>
        <v/>
      </c>
      <c r="Q197" s="1687" t="str" cm="1">
        <f t="array" aca="1" ref="Q197" ca="1">IFERROR(IF($L197&lt;&gt;"",_xll.PBF($L197,$N$126,$O$126,Q$127,"","EUR","r"),""),"")</f>
        <v/>
      </c>
      <c r="R197" s="1687" t="str" cm="1">
        <f t="array" aca="1" ref="R197" ca="1">IFERROR(IF($L197&lt;&gt;"",_xll.PBF($L197,$N$126,$O$126,R$127,"","EUR","r"),""),"")</f>
        <v/>
      </c>
      <c r="S197" s="1687" t="str" cm="1">
        <f t="array" aca="1" ref="S197" ca="1">IFERROR(IF($L197&lt;&gt;"",_xll.PBF($L197,$N$126,$O$126,S$127,"","EUR","r"),""),"")</f>
        <v/>
      </c>
      <c r="T197" s="1687" t="str" cm="1">
        <f t="array" aca="1" ref="T197" ca="1">IFERROR(IF($L197&lt;&gt;"",_xll.PBF($L197,$N$126,$O$126,T$127,"","EUR","r"),""),"")</f>
        <v/>
      </c>
      <c r="U197" s="1687" t="str" cm="1">
        <f t="array" aca="1" ref="U197" ca="1">IFERROR(IF($L197&lt;&gt;"",_xll.PBF($L197,$N$126,$O$126,U$127,"","EUR","r"),""),"")</f>
        <v/>
      </c>
      <c r="V197" s="1687" t="str" cm="1">
        <f t="array" aca="1" ref="V197" ca="1">IFERROR(IF($L197&lt;&gt;"",_xll.PBF($L197,$N$126,$O$126,V$127,"","EUR","r"),""),"")</f>
        <v/>
      </c>
      <c r="W197" s="1687" t="str" cm="1">
        <f t="array" aca="1" ref="W197" ca="1">IFERROR(IF($L197&lt;&gt;"",_xll.PBF($L197,$N$126,$O$126,W$127,"","EUR","r"),""),"")</f>
        <v/>
      </c>
      <c r="X197" s="1687" t="str" cm="1">
        <f t="array" aca="1" ref="X197" ca="1">IFERROR(IF($L197&lt;&gt;"",_xll.PBF($L197,$N$126,$O$126,X$127,"","EUR","r"),""),"")</f>
        <v/>
      </c>
      <c r="Y197" s="1687" t="str" cm="1">
        <f t="array" aca="1" ref="Y197" ca="1">IFERROR(IF($L197&lt;&gt;"",_xll.PBF($L197,$N$126,$O$126,Y$127,"","EUR","r"),""),"")</f>
        <v/>
      </c>
      <c r="Z197" s="1687" t="str" cm="1">
        <f t="array" aca="1" ref="Z197" ca="1">IFERROR(IF($L197&lt;&gt;"",_xll.PBF($L197,$N$126,$O$126,Z$127,"","EUR","r"),""),"")</f>
        <v/>
      </c>
      <c r="AA197" s="1687" t="str" cm="1">
        <f t="array" aca="1" ref="AA197" ca="1">IFERROR(IF($L197&lt;&gt;"",_xll.PBF($L197,$N$126,$O$126,AA$127,"","EUR","r"),""),"")</f>
        <v/>
      </c>
      <c r="AB197" s="1687" t="str" cm="1">
        <f t="array" aca="1" ref="AB197" ca="1">IFERROR(IF($L197&lt;&gt;"",_xll.PBF($L197,$N$126,$O$126,AB$127,"","EUR","r"),""),"")</f>
        <v/>
      </c>
      <c r="AC197" s="1687" t="str" cm="1">
        <f t="array" aca="1" ref="AC197" ca="1">IFERROR(IF($L197&lt;&gt;"",_xll.PBF($L197,$N$126,$O$126,AC$127,"","EUR","r"),""),"")</f>
        <v/>
      </c>
      <c r="AD197" s="1687" t="str" cm="1">
        <f t="array" aca="1" ref="AD197" ca="1">IFERROR(IF($L197&lt;&gt;"",_xll.PBF($L197,$N$126,$O$126,AD$127,"","EUR","r"),""),"")</f>
        <v/>
      </c>
      <c r="AE197" s="1687" t="str" cm="1">
        <f t="array" aca="1" ref="AE197" ca="1">IFERROR(IF($L197&lt;&gt;"",_xll.PBF($L197,$N$126,$O$126,AE$127,"","EUR","r"),""),"")</f>
        <v/>
      </c>
      <c r="AF197" s="1687" t="str" cm="1">
        <f t="array" aca="1" ref="AF197" ca="1">IFERROR(IF($L197&lt;&gt;"",_xll.PBF($L197,$N$126,$O$126,AF$127,"","EUR","r"),""),"")</f>
        <v/>
      </c>
      <c r="AG197" s="1687" t="str" cm="1">
        <f t="array" aca="1" ref="AG197" ca="1">IFERROR(IF($L197&lt;&gt;"",_xll.PBF($L197,$N$126,$O$126,AG$127,"","EUR","r"),""),"")</f>
        <v/>
      </c>
      <c r="AH197" s="1687" t="str" cm="1">
        <f t="array" aca="1" ref="AH197" ca="1">IFERROR(IF($L197&lt;&gt;"",_xll.PBF($L197,$N$126,$O$126,AH$127,"","EUR","r"),""),"")</f>
        <v/>
      </c>
      <c r="AI197" s="1687" t="str" cm="1">
        <f t="array" aca="1" ref="AI197" ca="1">IFERROR(IF($L197&lt;&gt;"",_xll.PBF($L197,$N$126,$O$126,AI$127,"","EUR","r"),""),"")</f>
        <v/>
      </c>
    </row>
    <row r="198" spans="12:35">
      <c r="L198" s="438" t="str">
        <f t="shared" si="34"/>
        <v/>
      </c>
      <c r="N198" s="1687" t="str" cm="1">
        <f t="array" aca="1" ref="N198" ca="1">IFERROR(IF($L198&lt;&gt;"",_xll.PBF($L198,$N$126,$O$126,N$127,"","EUR","r"),""),"")</f>
        <v/>
      </c>
      <c r="O198" s="1687" t="str" cm="1">
        <f t="array" aca="1" ref="O198" ca="1">IFERROR(IF($L198&lt;&gt;"",_xll.PBF($L198,$N$126,$O$126,O$127,"","EUR","r"),""),"")</f>
        <v/>
      </c>
      <c r="P198" s="1687" t="str" cm="1">
        <f t="array" aca="1" ref="P198" ca="1">IFERROR(IF($L198&lt;&gt;"",_xll.PBF($L198,$N$126,$O$126,P$127,"","EUR","r"),""),"")</f>
        <v/>
      </c>
      <c r="Q198" s="1687" t="str" cm="1">
        <f t="array" aca="1" ref="Q198" ca="1">IFERROR(IF($L198&lt;&gt;"",_xll.PBF($L198,$N$126,$O$126,Q$127,"","EUR","r"),""),"")</f>
        <v/>
      </c>
      <c r="R198" s="1687" t="str" cm="1">
        <f t="array" aca="1" ref="R198" ca="1">IFERROR(IF($L198&lt;&gt;"",_xll.PBF($L198,$N$126,$O$126,R$127,"","EUR","r"),""),"")</f>
        <v/>
      </c>
      <c r="S198" s="1687" t="str" cm="1">
        <f t="array" aca="1" ref="S198" ca="1">IFERROR(IF($L198&lt;&gt;"",_xll.PBF($L198,$N$126,$O$126,S$127,"","EUR","r"),""),"")</f>
        <v/>
      </c>
      <c r="T198" s="1687" t="str" cm="1">
        <f t="array" aca="1" ref="T198" ca="1">IFERROR(IF($L198&lt;&gt;"",_xll.PBF($L198,$N$126,$O$126,T$127,"","EUR","r"),""),"")</f>
        <v/>
      </c>
      <c r="U198" s="1687" t="str" cm="1">
        <f t="array" aca="1" ref="U198" ca="1">IFERROR(IF($L198&lt;&gt;"",_xll.PBF($L198,$N$126,$O$126,U$127,"","EUR","r"),""),"")</f>
        <v/>
      </c>
      <c r="V198" s="1687" t="str" cm="1">
        <f t="array" aca="1" ref="V198" ca="1">IFERROR(IF($L198&lt;&gt;"",_xll.PBF($L198,$N$126,$O$126,V$127,"","EUR","r"),""),"")</f>
        <v/>
      </c>
      <c r="W198" s="1687" t="str" cm="1">
        <f t="array" aca="1" ref="W198" ca="1">IFERROR(IF($L198&lt;&gt;"",_xll.PBF($L198,$N$126,$O$126,W$127,"","EUR","r"),""),"")</f>
        <v/>
      </c>
      <c r="X198" s="1687" t="str" cm="1">
        <f t="array" aca="1" ref="X198" ca="1">IFERROR(IF($L198&lt;&gt;"",_xll.PBF($L198,$N$126,$O$126,X$127,"","EUR","r"),""),"")</f>
        <v/>
      </c>
      <c r="Y198" s="1687" t="str" cm="1">
        <f t="array" aca="1" ref="Y198" ca="1">IFERROR(IF($L198&lt;&gt;"",_xll.PBF($L198,$N$126,$O$126,Y$127,"","EUR","r"),""),"")</f>
        <v/>
      </c>
      <c r="Z198" s="1687" t="str" cm="1">
        <f t="array" aca="1" ref="Z198" ca="1">IFERROR(IF($L198&lt;&gt;"",_xll.PBF($L198,$N$126,$O$126,Z$127,"","EUR","r"),""),"")</f>
        <v/>
      </c>
      <c r="AA198" s="1687" t="str" cm="1">
        <f t="array" aca="1" ref="AA198" ca="1">IFERROR(IF($L198&lt;&gt;"",_xll.PBF($L198,$N$126,$O$126,AA$127,"","EUR","r"),""),"")</f>
        <v/>
      </c>
      <c r="AB198" s="1687" t="str" cm="1">
        <f t="array" aca="1" ref="AB198" ca="1">IFERROR(IF($L198&lt;&gt;"",_xll.PBF($L198,$N$126,$O$126,AB$127,"","EUR","r"),""),"")</f>
        <v/>
      </c>
      <c r="AC198" s="1687" t="str" cm="1">
        <f t="array" aca="1" ref="AC198" ca="1">IFERROR(IF($L198&lt;&gt;"",_xll.PBF($L198,$N$126,$O$126,AC$127,"","EUR","r"),""),"")</f>
        <v/>
      </c>
      <c r="AD198" s="1687" t="str" cm="1">
        <f t="array" aca="1" ref="AD198" ca="1">IFERROR(IF($L198&lt;&gt;"",_xll.PBF($L198,$N$126,$O$126,AD$127,"","EUR","r"),""),"")</f>
        <v/>
      </c>
      <c r="AE198" s="1687" t="str" cm="1">
        <f t="array" aca="1" ref="AE198" ca="1">IFERROR(IF($L198&lt;&gt;"",_xll.PBF($L198,$N$126,$O$126,AE$127,"","EUR","r"),""),"")</f>
        <v/>
      </c>
      <c r="AF198" s="1687" t="str" cm="1">
        <f t="array" aca="1" ref="AF198" ca="1">IFERROR(IF($L198&lt;&gt;"",_xll.PBF($L198,$N$126,$O$126,AF$127,"","EUR","r"),""),"")</f>
        <v/>
      </c>
      <c r="AG198" s="1687" t="str" cm="1">
        <f t="array" aca="1" ref="AG198" ca="1">IFERROR(IF($L198&lt;&gt;"",_xll.PBF($L198,$N$126,$O$126,AG$127,"","EUR","r"),""),"")</f>
        <v/>
      </c>
      <c r="AH198" s="1687" t="str" cm="1">
        <f t="array" aca="1" ref="AH198" ca="1">IFERROR(IF($L198&lt;&gt;"",_xll.PBF($L198,$N$126,$O$126,AH$127,"","EUR","r"),""),"")</f>
        <v/>
      </c>
      <c r="AI198" s="1687" t="str" cm="1">
        <f t="array" aca="1" ref="AI198" ca="1">IFERROR(IF($L198&lt;&gt;"",_xll.PBF($L198,$N$126,$O$126,AI$127,"","EUR","r"),""),"")</f>
        <v/>
      </c>
    </row>
    <row r="199" spans="12:35">
      <c r="L199" s="438" t="str">
        <f t="shared" si="34"/>
        <v/>
      </c>
      <c r="N199" s="1687" t="str" cm="1">
        <f t="array" aca="1" ref="N199" ca="1">IFERROR(IF($L199&lt;&gt;"",_xll.PBF($L199,$N$126,$O$126,N$127,"","EUR","r"),""),"")</f>
        <v/>
      </c>
      <c r="O199" s="1687" t="str" cm="1">
        <f t="array" aca="1" ref="O199" ca="1">IFERROR(IF($L199&lt;&gt;"",_xll.PBF($L199,$N$126,$O$126,O$127,"","EUR","r"),""),"")</f>
        <v/>
      </c>
      <c r="P199" s="1687" t="str" cm="1">
        <f t="array" aca="1" ref="P199" ca="1">IFERROR(IF($L199&lt;&gt;"",_xll.PBF($L199,$N$126,$O$126,P$127,"","EUR","r"),""),"")</f>
        <v/>
      </c>
      <c r="Q199" s="1687" t="str" cm="1">
        <f t="array" aca="1" ref="Q199" ca="1">IFERROR(IF($L199&lt;&gt;"",_xll.PBF($L199,$N$126,$O$126,Q$127,"","EUR","r"),""),"")</f>
        <v/>
      </c>
      <c r="R199" s="1687" t="str" cm="1">
        <f t="array" aca="1" ref="R199" ca="1">IFERROR(IF($L199&lt;&gt;"",_xll.PBF($L199,$N$126,$O$126,R$127,"","EUR","r"),""),"")</f>
        <v/>
      </c>
      <c r="S199" s="1687" t="str" cm="1">
        <f t="array" aca="1" ref="S199" ca="1">IFERROR(IF($L199&lt;&gt;"",_xll.PBF($L199,$N$126,$O$126,S$127,"","EUR","r"),""),"")</f>
        <v/>
      </c>
      <c r="T199" s="1687" t="str" cm="1">
        <f t="array" aca="1" ref="T199" ca="1">IFERROR(IF($L199&lt;&gt;"",_xll.PBF($L199,$N$126,$O$126,T$127,"","EUR","r"),""),"")</f>
        <v/>
      </c>
      <c r="U199" s="1687" t="str" cm="1">
        <f t="array" aca="1" ref="U199" ca="1">IFERROR(IF($L199&lt;&gt;"",_xll.PBF($L199,$N$126,$O$126,U$127,"","EUR","r"),""),"")</f>
        <v/>
      </c>
      <c r="V199" s="1687" t="str" cm="1">
        <f t="array" aca="1" ref="V199" ca="1">IFERROR(IF($L199&lt;&gt;"",_xll.PBF($L199,$N$126,$O$126,V$127,"","EUR","r"),""),"")</f>
        <v/>
      </c>
      <c r="W199" s="1687" t="str" cm="1">
        <f t="array" aca="1" ref="W199" ca="1">IFERROR(IF($L199&lt;&gt;"",_xll.PBF($L199,$N$126,$O$126,W$127,"","EUR","r"),""),"")</f>
        <v/>
      </c>
      <c r="X199" s="1687" t="str" cm="1">
        <f t="array" aca="1" ref="X199" ca="1">IFERROR(IF($L199&lt;&gt;"",_xll.PBF($L199,$N$126,$O$126,X$127,"","EUR","r"),""),"")</f>
        <v/>
      </c>
      <c r="Y199" s="1687" t="str" cm="1">
        <f t="array" aca="1" ref="Y199" ca="1">IFERROR(IF($L199&lt;&gt;"",_xll.PBF($L199,$N$126,$O$126,Y$127,"","EUR","r"),""),"")</f>
        <v/>
      </c>
      <c r="Z199" s="1687" t="str" cm="1">
        <f t="array" aca="1" ref="Z199" ca="1">IFERROR(IF($L199&lt;&gt;"",_xll.PBF($L199,$N$126,$O$126,Z$127,"","EUR","r"),""),"")</f>
        <v/>
      </c>
      <c r="AA199" s="1687" t="str" cm="1">
        <f t="array" aca="1" ref="AA199" ca="1">IFERROR(IF($L199&lt;&gt;"",_xll.PBF($L199,$N$126,$O$126,AA$127,"","EUR","r"),""),"")</f>
        <v/>
      </c>
      <c r="AB199" s="1687" t="str" cm="1">
        <f t="array" aca="1" ref="AB199" ca="1">IFERROR(IF($L199&lt;&gt;"",_xll.PBF($L199,$N$126,$O$126,AB$127,"","EUR","r"),""),"")</f>
        <v/>
      </c>
      <c r="AC199" s="1687" t="str" cm="1">
        <f t="array" aca="1" ref="AC199" ca="1">IFERROR(IF($L199&lt;&gt;"",_xll.PBF($L199,$N$126,$O$126,AC$127,"","EUR","r"),""),"")</f>
        <v/>
      </c>
      <c r="AD199" s="1687" t="str" cm="1">
        <f t="array" aca="1" ref="AD199" ca="1">IFERROR(IF($L199&lt;&gt;"",_xll.PBF($L199,$N$126,$O$126,AD$127,"","EUR","r"),""),"")</f>
        <v/>
      </c>
      <c r="AE199" s="1687" t="str" cm="1">
        <f t="array" aca="1" ref="AE199" ca="1">IFERROR(IF($L199&lt;&gt;"",_xll.PBF($L199,$N$126,$O$126,AE$127,"","EUR","r"),""),"")</f>
        <v/>
      </c>
      <c r="AF199" s="1687" t="str" cm="1">
        <f t="array" aca="1" ref="AF199" ca="1">IFERROR(IF($L199&lt;&gt;"",_xll.PBF($L199,$N$126,$O$126,AF$127,"","EUR","r"),""),"")</f>
        <v/>
      </c>
      <c r="AG199" s="1687" t="str" cm="1">
        <f t="array" aca="1" ref="AG199" ca="1">IFERROR(IF($L199&lt;&gt;"",_xll.PBF($L199,$N$126,$O$126,AG$127,"","EUR","r"),""),"")</f>
        <v/>
      </c>
      <c r="AH199" s="1687" t="str" cm="1">
        <f t="array" aca="1" ref="AH199" ca="1">IFERROR(IF($L199&lt;&gt;"",_xll.PBF($L199,$N$126,$O$126,AH$127,"","EUR","r"),""),"")</f>
        <v/>
      </c>
      <c r="AI199" s="1687" t="str" cm="1">
        <f t="array" aca="1" ref="AI199" ca="1">IFERROR(IF($L199&lt;&gt;"",_xll.PBF($L199,$N$126,$O$126,AI$127,"","EUR","r"),""),"")</f>
        <v/>
      </c>
    </row>
    <row r="200" spans="12:35">
      <c r="L200" s="438" t="str">
        <f t="shared" si="34"/>
        <v/>
      </c>
      <c r="N200" s="1687" t="str" cm="1">
        <f t="array" aca="1" ref="N200" ca="1">IFERROR(IF($L200&lt;&gt;"",_xll.PBF($L200,$N$126,$O$126,N$127,"","EUR","r"),""),"")</f>
        <v/>
      </c>
      <c r="O200" s="1687" t="str" cm="1">
        <f t="array" aca="1" ref="O200" ca="1">IFERROR(IF($L200&lt;&gt;"",_xll.PBF($L200,$N$126,$O$126,O$127,"","EUR","r"),""),"")</f>
        <v/>
      </c>
      <c r="P200" s="1687" t="str" cm="1">
        <f t="array" aca="1" ref="P200" ca="1">IFERROR(IF($L200&lt;&gt;"",_xll.PBF($L200,$N$126,$O$126,P$127,"","EUR","r"),""),"")</f>
        <v/>
      </c>
      <c r="Q200" s="1687" t="str" cm="1">
        <f t="array" aca="1" ref="Q200" ca="1">IFERROR(IF($L200&lt;&gt;"",_xll.PBF($L200,$N$126,$O$126,Q$127,"","EUR","r"),""),"")</f>
        <v/>
      </c>
      <c r="R200" s="1687" t="str" cm="1">
        <f t="array" aca="1" ref="R200" ca="1">IFERROR(IF($L200&lt;&gt;"",_xll.PBF($L200,$N$126,$O$126,R$127,"","EUR","r"),""),"")</f>
        <v/>
      </c>
      <c r="S200" s="1687" t="str" cm="1">
        <f t="array" aca="1" ref="S200" ca="1">IFERROR(IF($L200&lt;&gt;"",_xll.PBF($L200,$N$126,$O$126,S$127,"","EUR","r"),""),"")</f>
        <v/>
      </c>
      <c r="T200" s="1687" t="str" cm="1">
        <f t="array" aca="1" ref="T200" ca="1">IFERROR(IF($L200&lt;&gt;"",_xll.PBF($L200,$N$126,$O$126,T$127,"","EUR","r"),""),"")</f>
        <v/>
      </c>
      <c r="U200" s="1687" t="str" cm="1">
        <f t="array" aca="1" ref="U200" ca="1">IFERROR(IF($L200&lt;&gt;"",_xll.PBF($L200,$N$126,$O$126,U$127,"","EUR","r"),""),"")</f>
        <v/>
      </c>
      <c r="V200" s="1687" t="str" cm="1">
        <f t="array" aca="1" ref="V200" ca="1">IFERROR(IF($L200&lt;&gt;"",_xll.PBF($L200,$N$126,$O$126,V$127,"","EUR","r"),""),"")</f>
        <v/>
      </c>
      <c r="W200" s="1687" t="str" cm="1">
        <f t="array" aca="1" ref="W200" ca="1">IFERROR(IF($L200&lt;&gt;"",_xll.PBF($L200,$N$126,$O$126,W$127,"","EUR","r"),""),"")</f>
        <v/>
      </c>
      <c r="X200" s="1687" t="str" cm="1">
        <f t="array" aca="1" ref="X200" ca="1">IFERROR(IF($L200&lt;&gt;"",_xll.PBF($L200,$N$126,$O$126,X$127,"","EUR","r"),""),"")</f>
        <v/>
      </c>
      <c r="Y200" s="1687" t="str" cm="1">
        <f t="array" aca="1" ref="Y200" ca="1">IFERROR(IF($L200&lt;&gt;"",_xll.PBF($L200,$N$126,$O$126,Y$127,"","EUR","r"),""),"")</f>
        <v/>
      </c>
      <c r="Z200" s="1687" t="str" cm="1">
        <f t="array" aca="1" ref="Z200" ca="1">IFERROR(IF($L200&lt;&gt;"",_xll.PBF($L200,$N$126,$O$126,Z$127,"","EUR","r"),""),"")</f>
        <v/>
      </c>
      <c r="AA200" s="1687" t="str" cm="1">
        <f t="array" aca="1" ref="AA200" ca="1">IFERROR(IF($L200&lt;&gt;"",_xll.PBF($L200,$N$126,$O$126,AA$127,"","EUR","r"),""),"")</f>
        <v/>
      </c>
      <c r="AB200" s="1687" t="str" cm="1">
        <f t="array" aca="1" ref="AB200" ca="1">IFERROR(IF($L200&lt;&gt;"",_xll.PBF($L200,$N$126,$O$126,AB$127,"","EUR","r"),""),"")</f>
        <v/>
      </c>
      <c r="AC200" s="1687" t="str" cm="1">
        <f t="array" aca="1" ref="AC200" ca="1">IFERROR(IF($L200&lt;&gt;"",_xll.PBF($L200,$N$126,$O$126,AC$127,"","EUR","r"),""),"")</f>
        <v/>
      </c>
      <c r="AD200" s="1687" t="str" cm="1">
        <f t="array" aca="1" ref="AD200" ca="1">IFERROR(IF($L200&lt;&gt;"",_xll.PBF($L200,$N$126,$O$126,AD$127,"","EUR","r"),""),"")</f>
        <v/>
      </c>
      <c r="AE200" s="1687" t="str" cm="1">
        <f t="array" aca="1" ref="AE200" ca="1">IFERROR(IF($L200&lt;&gt;"",_xll.PBF($L200,$N$126,$O$126,AE$127,"","EUR","r"),""),"")</f>
        <v/>
      </c>
      <c r="AF200" s="1687" t="str" cm="1">
        <f t="array" aca="1" ref="AF200" ca="1">IFERROR(IF($L200&lt;&gt;"",_xll.PBF($L200,$N$126,$O$126,AF$127,"","EUR","r"),""),"")</f>
        <v/>
      </c>
      <c r="AG200" s="1687" t="str" cm="1">
        <f t="array" aca="1" ref="AG200" ca="1">IFERROR(IF($L200&lt;&gt;"",_xll.PBF($L200,$N$126,$O$126,AG$127,"","EUR","r"),""),"")</f>
        <v/>
      </c>
      <c r="AH200" s="1687" t="str" cm="1">
        <f t="array" aca="1" ref="AH200" ca="1">IFERROR(IF($L200&lt;&gt;"",_xll.PBF($L200,$N$126,$O$126,AH$127,"","EUR","r"),""),"")</f>
        <v/>
      </c>
      <c r="AI200" s="1687" t="str" cm="1">
        <f t="array" aca="1" ref="AI200" ca="1">IFERROR(IF($L200&lt;&gt;"",_xll.PBF($L200,$N$126,$O$126,AI$127,"","EUR","r"),""),"")</f>
        <v/>
      </c>
    </row>
    <row r="201" spans="12:35">
      <c r="L201" s="438" t="str">
        <f t="shared" si="34"/>
        <v/>
      </c>
      <c r="N201" s="1687" t="str" cm="1">
        <f t="array" aca="1" ref="N201" ca="1">IFERROR(IF($L201&lt;&gt;"",_xll.PBF($L201,$N$126,$O$126,N$127,"","EUR","r"),""),"")</f>
        <v/>
      </c>
      <c r="O201" s="1687" t="str" cm="1">
        <f t="array" aca="1" ref="O201" ca="1">IFERROR(IF($L201&lt;&gt;"",_xll.PBF($L201,$N$126,$O$126,O$127,"","EUR","r"),""),"")</f>
        <v/>
      </c>
      <c r="P201" s="1687" t="str" cm="1">
        <f t="array" aca="1" ref="P201" ca="1">IFERROR(IF($L201&lt;&gt;"",_xll.PBF($L201,$N$126,$O$126,P$127,"","EUR","r"),""),"")</f>
        <v/>
      </c>
      <c r="Q201" s="1687" t="str" cm="1">
        <f t="array" aca="1" ref="Q201" ca="1">IFERROR(IF($L201&lt;&gt;"",_xll.PBF($L201,$N$126,$O$126,Q$127,"","EUR","r"),""),"")</f>
        <v/>
      </c>
      <c r="R201" s="1687" t="str" cm="1">
        <f t="array" aca="1" ref="R201" ca="1">IFERROR(IF($L201&lt;&gt;"",_xll.PBF($L201,$N$126,$O$126,R$127,"","EUR","r"),""),"")</f>
        <v/>
      </c>
      <c r="S201" s="1687" t="str" cm="1">
        <f t="array" aca="1" ref="S201" ca="1">IFERROR(IF($L201&lt;&gt;"",_xll.PBF($L201,$N$126,$O$126,S$127,"","EUR","r"),""),"")</f>
        <v/>
      </c>
      <c r="T201" s="1687" t="str" cm="1">
        <f t="array" aca="1" ref="T201" ca="1">IFERROR(IF($L201&lt;&gt;"",_xll.PBF($L201,$N$126,$O$126,T$127,"","EUR","r"),""),"")</f>
        <v/>
      </c>
      <c r="U201" s="1687" t="str" cm="1">
        <f t="array" aca="1" ref="U201" ca="1">IFERROR(IF($L201&lt;&gt;"",_xll.PBF($L201,$N$126,$O$126,U$127,"","EUR","r"),""),"")</f>
        <v/>
      </c>
      <c r="V201" s="1687" t="str" cm="1">
        <f t="array" aca="1" ref="V201" ca="1">IFERROR(IF($L201&lt;&gt;"",_xll.PBF($L201,$N$126,$O$126,V$127,"","EUR","r"),""),"")</f>
        <v/>
      </c>
      <c r="W201" s="1687" t="str" cm="1">
        <f t="array" aca="1" ref="W201" ca="1">IFERROR(IF($L201&lt;&gt;"",_xll.PBF($L201,$N$126,$O$126,W$127,"","EUR","r"),""),"")</f>
        <v/>
      </c>
      <c r="X201" s="1687" t="str" cm="1">
        <f t="array" aca="1" ref="X201" ca="1">IFERROR(IF($L201&lt;&gt;"",_xll.PBF($L201,$N$126,$O$126,X$127,"","EUR","r"),""),"")</f>
        <v/>
      </c>
      <c r="Y201" s="1687" t="str" cm="1">
        <f t="array" aca="1" ref="Y201" ca="1">IFERROR(IF($L201&lt;&gt;"",_xll.PBF($L201,$N$126,$O$126,Y$127,"","EUR","r"),""),"")</f>
        <v/>
      </c>
      <c r="Z201" s="1687" t="str" cm="1">
        <f t="array" aca="1" ref="Z201" ca="1">IFERROR(IF($L201&lt;&gt;"",_xll.PBF($L201,$N$126,$O$126,Z$127,"","EUR","r"),""),"")</f>
        <v/>
      </c>
      <c r="AA201" s="1687" t="str" cm="1">
        <f t="array" aca="1" ref="AA201" ca="1">IFERROR(IF($L201&lt;&gt;"",_xll.PBF($L201,$N$126,$O$126,AA$127,"","EUR","r"),""),"")</f>
        <v/>
      </c>
      <c r="AB201" s="1687" t="str" cm="1">
        <f t="array" aca="1" ref="AB201" ca="1">IFERROR(IF($L201&lt;&gt;"",_xll.PBF($L201,$N$126,$O$126,AB$127,"","EUR","r"),""),"")</f>
        <v/>
      </c>
      <c r="AC201" s="1687" t="str" cm="1">
        <f t="array" aca="1" ref="AC201" ca="1">IFERROR(IF($L201&lt;&gt;"",_xll.PBF($L201,$N$126,$O$126,AC$127,"","EUR","r"),""),"")</f>
        <v/>
      </c>
      <c r="AD201" s="1687" t="str" cm="1">
        <f t="array" aca="1" ref="AD201" ca="1">IFERROR(IF($L201&lt;&gt;"",_xll.PBF($L201,$N$126,$O$126,AD$127,"","EUR","r"),""),"")</f>
        <v/>
      </c>
      <c r="AE201" s="1687" t="str" cm="1">
        <f t="array" aca="1" ref="AE201" ca="1">IFERROR(IF($L201&lt;&gt;"",_xll.PBF($L201,$N$126,$O$126,AE$127,"","EUR","r"),""),"")</f>
        <v/>
      </c>
      <c r="AF201" s="1687" t="str" cm="1">
        <f t="array" aca="1" ref="AF201" ca="1">IFERROR(IF($L201&lt;&gt;"",_xll.PBF($L201,$N$126,$O$126,AF$127,"","EUR","r"),""),"")</f>
        <v/>
      </c>
      <c r="AG201" s="1687" t="str" cm="1">
        <f t="array" aca="1" ref="AG201" ca="1">IFERROR(IF($L201&lt;&gt;"",_xll.PBF($L201,$N$126,$O$126,AG$127,"","EUR","r"),""),"")</f>
        <v/>
      </c>
      <c r="AH201" s="1687" t="str" cm="1">
        <f t="array" aca="1" ref="AH201" ca="1">IFERROR(IF($L201&lt;&gt;"",_xll.PBF($L201,$N$126,$O$126,AH$127,"","EUR","r"),""),"")</f>
        <v/>
      </c>
      <c r="AI201" s="1687" t="str" cm="1">
        <f t="array" aca="1" ref="AI201" ca="1">IFERROR(IF($L201&lt;&gt;"",_xll.PBF($L201,$N$126,$O$126,AI$127,"","EUR","r"),""),"")</f>
        <v/>
      </c>
    </row>
    <row r="202" spans="12:35">
      <c r="L202" s="438" t="str">
        <f t="shared" si="34"/>
        <v/>
      </c>
      <c r="N202" s="1687" t="str" cm="1">
        <f t="array" aca="1" ref="N202" ca="1">IFERROR(IF($L202&lt;&gt;"",_xll.PBF($L202,$N$126,$O$126,N$127,"","EUR","r"),""),"")</f>
        <v/>
      </c>
      <c r="O202" s="1687" t="str" cm="1">
        <f t="array" aca="1" ref="O202" ca="1">IFERROR(IF($L202&lt;&gt;"",_xll.PBF($L202,$N$126,$O$126,O$127,"","EUR","r"),""),"")</f>
        <v/>
      </c>
      <c r="P202" s="1687" t="str" cm="1">
        <f t="array" aca="1" ref="P202" ca="1">IFERROR(IF($L202&lt;&gt;"",_xll.PBF($L202,$N$126,$O$126,P$127,"","EUR","r"),""),"")</f>
        <v/>
      </c>
      <c r="Q202" s="1687" t="str" cm="1">
        <f t="array" aca="1" ref="Q202" ca="1">IFERROR(IF($L202&lt;&gt;"",_xll.PBF($L202,$N$126,$O$126,Q$127,"","EUR","r"),""),"")</f>
        <v/>
      </c>
      <c r="R202" s="1687" t="str" cm="1">
        <f t="array" aca="1" ref="R202" ca="1">IFERROR(IF($L202&lt;&gt;"",_xll.PBF($L202,$N$126,$O$126,R$127,"","EUR","r"),""),"")</f>
        <v/>
      </c>
      <c r="S202" s="1687" t="str" cm="1">
        <f t="array" aca="1" ref="S202" ca="1">IFERROR(IF($L202&lt;&gt;"",_xll.PBF($L202,$N$126,$O$126,S$127,"","EUR","r"),""),"")</f>
        <v/>
      </c>
      <c r="T202" s="1687" t="str" cm="1">
        <f t="array" aca="1" ref="T202" ca="1">IFERROR(IF($L202&lt;&gt;"",_xll.PBF($L202,$N$126,$O$126,T$127,"","EUR","r"),""),"")</f>
        <v/>
      </c>
      <c r="U202" s="1687" t="str" cm="1">
        <f t="array" aca="1" ref="U202" ca="1">IFERROR(IF($L202&lt;&gt;"",_xll.PBF($L202,$N$126,$O$126,U$127,"","EUR","r"),""),"")</f>
        <v/>
      </c>
      <c r="V202" s="1687" t="str" cm="1">
        <f t="array" aca="1" ref="V202" ca="1">IFERROR(IF($L202&lt;&gt;"",_xll.PBF($L202,$N$126,$O$126,V$127,"","EUR","r"),""),"")</f>
        <v/>
      </c>
      <c r="W202" s="1687" t="str" cm="1">
        <f t="array" aca="1" ref="W202" ca="1">IFERROR(IF($L202&lt;&gt;"",_xll.PBF($L202,$N$126,$O$126,W$127,"","EUR","r"),""),"")</f>
        <v/>
      </c>
      <c r="X202" s="1687" t="str" cm="1">
        <f t="array" aca="1" ref="X202" ca="1">IFERROR(IF($L202&lt;&gt;"",_xll.PBF($L202,$N$126,$O$126,X$127,"","EUR","r"),""),"")</f>
        <v/>
      </c>
      <c r="Y202" s="1687" t="str" cm="1">
        <f t="array" aca="1" ref="Y202" ca="1">IFERROR(IF($L202&lt;&gt;"",_xll.PBF($L202,$N$126,$O$126,Y$127,"","EUR","r"),""),"")</f>
        <v/>
      </c>
      <c r="Z202" s="1687" t="str" cm="1">
        <f t="array" aca="1" ref="Z202" ca="1">IFERROR(IF($L202&lt;&gt;"",_xll.PBF($L202,$N$126,$O$126,Z$127,"","EUR","r"),""),"")</f>
        <v/>
      </c>
      <c r="AA202" s="1687" t="str" cm="1">
        <f t="array" aca="1" ref="AA202" ca="1">IFERROR(IF($L202&lt;&gt;"",_xll.PBF($L202,$N$126,$O$126,AA$127,"","EUR","r"),""),"")</f>
        <v/>
      </c>
      <c r="AB202" s="1687" t="str" cm="1">
        <f t="array" aca="1" ref="AB202" ca="1">IFERROR(IF($L202&lt;&gt;"",_xll.PBF($L202,$N$126,$O$126,AB$127,"","EUR","r"),""),"")</f>
        <v/>
      </c>
      <c r="AC202" s="1687" t="str" cm="1">
        <f t="array" aca="1" ref="AC202" ca="1">IFERROR(IF($L202&lt;&gt;"",_xll.PBF($L202,$N$126,$O$126,AC$127,"","EUR","r"),""),"")</f>
        <v/>
      </c>
      <c r="AD202" s="1687" t="str" cm="1">
        <f t="array" aca="1" ref="AD202" ca="1">IFERROR(IF($L202&lt;&gt;"",_xll.PBF($L202,$N$126,$O$126,AD$127,"","EUR","r"),""),"")</f>
        <v/>
      </c>
      <c r="AE202" s="1687" t="str" cm="1">
        <f t="array" aca="1" ref="AE202" ca="1">IFERROR(IF($L202&lt;&gt;"",_xll.PBF($L202,$N$126,$O$126,AE$127,"","EUR","r"),""),"")</f>
        <v/>
      </c>
      <c r="AF202" s="1687" t="str" cm="1">
        <f t="array" aca="1" ref="AF202" ca="1">IFERROR(IF($L202&lt;&gt;"",_xll.PBF($L202,$N$126,$O$126,AF$127,"","EUR","r"),""),"")</f>
        <v/>
      </c>
      <c r="AG202" s="1687" t="str" cm="1">
        <f t="array" aca="1" ref="AG202" ca="1">IFERROR(IF($L202&lt;&gt;"",_xll.PBF($L202,$N$126,$O$126,AG$127,"","EUR","r"),""),"")</f>
        <v/>
      </c>
      <c r="AH202" s="1687" t="str" cm="1">
        <f t="array" aca="1" ref="AH202" ca="1">IFERROR(IF($L202&lt;&gt;"",_xll.PBF($L202,$N$126,$O$126,AH$127,"","EUR","r"),""),"")</f>
        <v/>
      </c>
      <c r="AI202" s="1687" t="str" cm="1">
        <f t="array" aca="1" ref="AI202" ca="1">IFERROR(IF($L202&lt;&gt;"",_xll.PBF($L202,$N$126,$O$126,AI$127,"","EUR","r"),""),"")</f>
        <v/>
      </c>
    </row>
    <row r="203" spans="12:35">
      <c r="L203" s="438" t="str">
        <f t="shared" si="34"/>
        <v/>
      </c>
      <c r="N203" s="1687" t="str" cm="1">
        <f t="array" aca="1" ref="N203" ca="1">IFERROR(IF($L203&lt;&gt;"",_xll.PBF($L203,$N$126,$O$126,N$127,"","EUR","r"),""),"")</f>
        <v/>
      </c>
      <c r="O203" s="1687" t="str" cm="1">
        <f t="array" aca="1" ref="O203" ca="1">IFERROR(IF($L203&lt;&gt;"",_xll.PBF($L203,$N$126,$O$126,O$127,"","EUR","r"),""),"")</f>
        <v/>
      </c>
      <c r="P203" s="1687" t="str" cm="1">
        <f t="array" aca="1" ref="P203" ca="1">IFERROR(IF($L203&lt;&gt;"",_xll.PBF($L203,$N$126,$O$126,P$127,"","EUR","r"),""),"")</f>
        <v/>
      </c>
      <c r="Q203" s="1687" t="str" cm="1">
        <f t="array" aca="1" ref="Q203" ca="1">IFERROR(IF($L203&lt;&gt;"",_xll.PBF($L203,$N$126,$O$126,Q$127,"","EUR","r"),""),"")</f>
        <v/>
      </c>
      <c r="R203" s="1687" t="str" cm="1">
        <f t="array" aca="1" ref="R203" ca="1">IFERROR(IF($L203&lt;&gt;"",_xll.PBF($L203,$N$126,$O$126,R$127,"","EUR","r"),""),"")</f>
        <v/>
      </c>
      <c r="S203" s="1687" t="str" cm="1">
        <f t="array" aca="1" ref="S203" ca="1">IFERROR(IF($L203&lt;&gt;"",_xll.PBF($L203,$N$126,$O$126,S$127,"","EUR","r"),""),"")</f>
        <v/>
      </c>
      <c r="T203" s="1687" t="str" cm="1">
        <f t="array" aca="1" ref="T203" ca="1">IFERROR(IF($L203&lt;&gt;"",_xll.PBF($L203,$N$126,$O$126,T$127,"","EUR","r"),""),"")</f>
        <v/>
      </c>
      <c r="U203" s="1687" t="str" cm="1">
        <f t="array" aca="1" ref="U203" ca="1">IFERROR(IF($L203&lt;&gt;"",_xll.PBF($L203,$N$126,$O$126,U$127,"","EUR","r"),""),"")</f>
        <v/>
      </c>
      <c r="V203" s="1687" t="str" cm="1">
        <f t="array" aca="1" ref="V203" ca="1">IFERROR(IF($L203&lt;&gt;"",_xll.PBF($L203,$N$126,$O$126,V$127,"","EUR","r"),""),"")</f>
        <v/>
      </c>
      <c r="W203" s="1687" t="str" cm="1">
        <f t="array" aca="1" ref="W203" ca="1">IFERROR(IF($L203&lt;&gt;"",_xll.PBF($L203,$N$126,$O$126,W$127,"","EUR","r"),""),"")</f>
        <v/>
      </c>
      <c r="X203" s="1687" t="str" cm="1">
        <f t="array" aca="1" ref="X203" ca="1">IFERROR(IF($L203&lt;&gt;"",_xll.PBF($L203,$N$126,$O$126,X$127,"","EUR","r"),""),"")</f>
        <v/>
      </c>
      <c r="Y203" s="1687" t="str" cm="1">
        <f t="array" aca="1" ref="Y203" ca="1">IFERROR(IF($L203&lt;&gt;"",_xll.PBF($L203,$N$126,$O$126,Y$127,"","EUR","r"),""),"")</f>
        <v/>
      </c>
      <c r="Z203" s="1687" t="str" cm="1">
        <f t="array" aca="1" ref="Z203" ca="1">IFERROR(IF($L203&lt;&gt;"",_xll.PBF($L203,$N$126,$O$126,Z$127,"","EUR","r"),""),"")</f>
        <v/>
      </c>
      <c r="AA203" s="1687" t="str" cm="1">
        <f t="array" aca="1" ref="AA203" ca="1">IFERROR(IF($L203&lt;&gt;"",_xll.PBF($L203,$N$126,$O$126,AA$127,"","EUR","r"),""),"")</f>
        <v/>
      </c>
      <c r="AB203" s="1687" t="str" cm="1">
        <f t="array" aca="1" ref="AB203" ca="1">IFERROR(IF($L203&lt;&gt;"",_xll.PBF($L203,$N$126,$O$126,AB$127,"","EUR","r"),""),"")</f>
        <v/>
      </c>
      <c r="AC203" s="1687" t="str" cm="1">
        <f t="array" aca="1" ref="AC203" ca="1">IFERROR(IF($L203&lt;&gt;"",_xll.PBF($L203,$N$126,$O$126,AC$127,"","EUR","r"),""),"")</f>
        <v/>
      </c>
      <c r="AD203" s="1687" t="str" cm="1">
        <f t="array" aca="1" ref="AD203" ca="1">IFERROR(IF($L203&lt;&gt;"",_xll.PBF($L203,$N$126,$O$126,AD$127,"","EUR","r"),""),"")</f>
        <v/>
      </c>
      <c r="AE203" s="1687" t="str" cm="1">
        <f t="array" aca="1" ref="AE203" ca="1">IFERROR(IF($L203&lt;&gt;"",_xll.PBF($L203,$N$126,$O$126,AE$127,"","EUR","r"),""),"")</f>
        <v/>
      </c>
      <c r="AF203" s="1687" t="str" cm="1">
        <f t="array" aca="1" ref="AF203" ca="1">IFERROR(IF($L203&lt;&gt;"",_xll.PBF($L203,$N$126,$O$126,AF$127,"","EUR","r"),""),"")</f>
        <v/>
      </c>
      <c r="AG203" s="1687" t="str" cm="1">
        <f t="array" aca="1" ref="AG203" ca="1">IFERROR(IF($L203&lt;&gt;"",_xll.PBF($L203,$N$126,$O$126,AG$127,"","EUR","r"),""),"")</f>
        <v/>
      </c>
      <c r="AH203" s="1687" t="str" cm="1">
        <f t="array" aca="1" ref="AH203" ca="1">IFERROR(IF($L203&lt;&gt;"",_xll.PBF($L203,$N$126,$O$126,AH$127,"","EUR","r"),""),"")</f>
        <v/>
      </c>
      <c r="AI203" s="1687" t="str" cm="1">
        <f t="array" aca="1" ref="AI203" ca="1">IFERROR(IF($L203&lt;&gt;"",_xll.PBF($L203,$N$126,$O$126,AI$127,"","EUR","r"),""),"")</f>
        <v/>
      </c>
    </row>
    <row r="204" spans="12:35">
      <c r="L204" s="438" t="str">
        <f t="shared" si="34"/>
        <v/>
      </c>
      <c r="N204" s="1687" t="str" cm="1">
        <f t="array" aca="1" ref="N204" ca="1">IFERROR(IF($L204&lt;&gt;"",_xll.PBF($L204,$N$126,$O$126,N$127,"","EUR","r"),""),"")</f>
        <v/>
      </c>
      <c r="O204" s="1687" t="str" cm="1">
        <f t="array" aca="1" ref="O204" ca="1">IFERROR(IF($L204&lt;&gt;"",_xll.PBF($L204,$N$126,$O$126,O$127,"","EUR","r"),""),"")</f>
        <v/>
      </c>
      <c r="P204" s="1687" t="str" cm="1">
        <f t="array" aca="1" ref="P204" ca="1">IFERROR(IF($L204&lt;&gt;"",_xll.PBF($L204,$N$126,$O$126,P$127,"","EUR","r"),""),"")</f>
        <v/>
      </c>
      <c r="Q204" s="1687" t="str" cm="1">
        <f t="array" aca="1" ref="Q204" ca="1">IFERROR(IF($L204&lt;&gt;"",_xll.PBF($L204,$N$126,$O$126,Q$127,"","EUR","r"),""),"")</f>
        <v/>
      </c>
      <c r="R204" s="1687" t="str" cm="1">
        <f t="array" aca="1" ref="R204" ca="1">IFERROR(IF($L204&lt;&gt;"",_xll.PBF($L204,$N$126,$O$126,R$127,"","EUR","r"),""),"")</f>
        <v/>
      </c>
      <c r="S204" s="1687" t="str" cm="1">
        <f t="array" aca="1" ref="S204" ca="1">IFERROR(IF($L204&lt;&gt;"",_xll.PBF($L204,$N$126,$O$126,S$127,"","EUR","r"),""),"")</f>
        <v/>
      </c>
      <c r="T204" s="1687" t="str" cm="1">
        <f t="array" aca="1" ref="T204" ca="1">IFERROR(IF($L204&lt;&gt;"",_xll.PBF($L204,$N$126,$O$126,T$127,"","EUR","r"),""),"")</f>
        <v/>
      </c>
      <c r="U204" s="1687" t="str" cm="1">
        <f t="array" aca="1" ref="U204" ca="1">IFERROR(IF($L204&lt;&gt;"",_xll.PBF($L204,$N$126,$O$126,U$127,"","EUR","r"),""),"")</f>
        <v/>
      </c>
      <c r="V204" s="1687" t="str" cm="1">
        <f t="array" aca="1" ref="V204" ca="1">IFERROR(IF($L204&lt;&gt;"",_xll.PBF($L204,$N$126,$O$126,V$127,"","EUR","r"),""),"")</f>
        <v/>
      </c>
      <c r="W204" s="1687" t="str" cm="1">
        <f t="array" aca="1" ref="W204" ca="1">IFERROR(IF($L204&lt;&gt;"",_xll.PBF($L204,$N$126,$O$126,W$127,"","EUR","r"),""),"")</f>
        <v/>
      </c>
      <c r="X204" s="1687" t="str" cm="1">
        <f t="array" aca="1" ref="X204" ca="1">IFERROR(IF($L204&lt;&gt;"",_xll.PBF($L204,$N$126,$O$126,X$127,"","EUR","r"),""),"")</f>
        <v/>
      </c>
      <c r="Y204" s="1687" t="str" cm="1">
        <f t="array" aca="1" ref="Y204" ca="1">IFERROR(IF($L204&lt;&gt;"",_xll.PBF($L204,$N$126,$O$126,Y$127,"","EUR","r"),""),"")</f>
        <v/>
      </c>
      <c r="Z204" s="1687" t="str" cm="1">
        <f t="array" aca="1" ref="Z204" ca="1">IFERROR(IF($L204&lt;&gt;"",_xll.PBF($L204,$N$126,$O$126,Z$127,"","EUR","r"),""),"")</f>
        <v/>
      </c>
      <c r="AA204" s="1687" t="str" cm="1">
        <f t="array" aca="1" ref="AA204" ca="1">IFERROR(IF($L204&lt;&gt;"",_xll.PBF($L204,$N$126,$O$126,AA$127,"","EUR","r"),""),"")</f>
        <v/>
      </c>
      <c r="AB204" s="1687" t="str" cm="1">
        <f t="array" aca="1" ref="AB204" ca="1">IFERROR(IF($L204&lt;&gt;"",_xll.PBF($L204,$N$126,$O$126,AB$127,"","EUR","r"),""),"")</f>
        <v/>
      </c>
      <c r="AC204" s="1687" t="str" cm="1">
        <f t="array" aca="1" ref="AC204" ca="1">IFERROR(IF($L204&lt;&gt;"",_xll.PBF($L204,$N$126,$O$126,AC$127,"","EUR","r"),""),"")</f>
        <v/>
      </c>
      <c r="AD204" s="1687" t="str" cm="1">
        <f t="array" aca="1" ref="AD204" ca="1">IFERROR(IF($L204&lt;&gt;"",_xll.PBF($L204,$N$126,$O$126,AD$127,"","EUR","r"),""),"")</f>
        <v/>
      </c>
      <c r="AE204" s="1687" t="str" cm="1">
        <f t="array" aca="1" ref="AE204" ca="1">IFERROR(IF($L204&lt;&gt;"",_xll.PBF($L204,$N$126,$O$126,AE$127,"","EUR","r"),""),"")</f>
        <v/>
      </c>
      <c r="AF204" s="1687" t="str" cm="1">
        <f t="array" aca="1" ref="AF204" ca="1">IFERROR(IF($L204&lt;&gt;"",_xll.PBF($L204,$N$126,$O$126,AF$127,"","EUR","r"),""),"")</f>
        <v/>
      </c>
      <c r="AG204" s="1687" t="str" cm="1">
        <f t="array" aca="1" ref="AG204" ca="1">IFERROR(IF($L204&lt;&gt;"",_xll.PBF($L204,$N$126,$O$126,AG$127,"","EUR","r"),""),"")</f>
        <v/>
      </c>
      <c r="AH204" s="1687" t="str" cm="1">
        <f t="array" aca="1" ref="AH204" ca="1">IFERROR(IF($L204&lt;&gt;"",_xll.PBF($L204,$N$126,$O$126,AH$127,"","EUR","r"),""),"")</f>
        <v/>
      </c>
      <c r="AI204" s="1687" t="str" cm="1">
        <f t="array" aca="1" ref="AI204" ca="1">IFERROR(IF($L204&lt;&gt;"",_xll.PBF($L204,$N$126,$O$126,AI$127,"","EUR","r"),""),"")</f>
        <v/>
      </c>
    </row>
    <row r="205" spans="12:35">
      <c r="L205" s="438" t="str">
        <f t="shared" si="34"/>
        <v/>
      </c>
      <c r="N205" s="1687" t="str" cm="1">
        <f t="array" aca="1" ref="N205" ca="1">IFERROR(IF($L205&lt;&gt;"",_xll.PBF($L205,$N$126,$O$126,N$127,"","EUR","r"),""),"")</f>
        <v/>
      </c>
      <c r="O205" s="1687" t="str" cm="1">
        <f t="array" aca="1" ref="O205" ca="1">IFERROR(IF($L205&lt;&gt;"",_xll.PBF($L205,$N$126,$O$126,O$127,"","EUR","r"),""),"")</f>
        <v/>
      </c>
      <c r="P205" s="1687" t="str" cm="1">
        <f t="array" aca="1" ref="P205" ca="1">IFERROR(IF($L205&lt;&gt;"",_xll.PBF($L205,$N$126,$O$126,P$127,"","EUR","r"),""),"")</f>
        <v/>
      </c>
      <c r="Q205" s="1687" t="str" cm="1">
        <f t="array" aca="1" ref="Q205" ca="1">IFERROR(IF($L205&lt;&gt;"",_xll.PBF($L205,$N$126,$O$126,Q$127,"","EUR","r"),""),"")</f>
        <v/>
      </c>
      <c r="R205" s="1687" t="str" cm="1">
        <f t="array" aca="1" ref="R205" ca="1">IFERROR(IF($L205&lt;&gt;"",_xll.PBF($L205,$N$126,$O$126,R$127,"","EUR","r"),""),"")</f>
        <v/>
      </c>
      <c r="S205" s="1687" t="str" cm="1">
        <f t="array" aca="1" ref="S205" ca="1">IFERROR(IF($L205&lt;&gt;"",_xll.PBF($L205,$N$126,$O$126,S$127,"","EUR","r"),""),"")</f>
        <v/>
      </c>
      <c r="T205" s="1687" t="str" cm="1">
        <f t="array" aca="1" ref="T205" ca="1">IFERROR(IF($L205&lt;&gt;"",_xll.PBF($L205,$N$126,$O$126,T$127,"","EUR","r"),""),"")</f>
        <v/>
      </c>
      <c r="U205" s="1687" t="str" cm="1">
        <f t="array" aca="1" ref="U205" ca="1">IFERROR(IF($L205&lt;&gt;"",_xll.PBF($L205,$N$126,$O$126,U$127,"","EUR","r"),""),"")</f>
        <v/>
      </c>
      <c r="V205" s="1687" t="str" cm="1">
        <f t="array" aca="1" ref="V205" ca="1">IFERROR(IF($L205&lt;&gt;"",_xll.PBF($L205,$N$126,$O$126,V$127,"","EUR","r"),""),"")</f>
        <v/>
      </c>
      <c r="W205" s="1687" t="str" cm="1">
        <f t="array" aca="1" ref="W205" ca="1">IFERROR(IF($L205&lt;&gt;"",_xll.PBF($L205,$N$126,$O$126,W$127,"","EUR","r"),""),"")</f>
        <v/>
      </c>
      <c r="X205" s="1687" t="str" cm="1">
        <f t="array" aca="1" ref="X205" ca="1">IFERROR(IF($L205&lt;&gt;"",_xll.PBF($L205,$N$126,$O$126,X$127,"","EUR","r"),""),"")</f>
        <v/>
      </c>
      <c r="Y205" s="1687" t="str" cm="1">
        <f t="array" aca="1" ref="Y205" ca="1">IFERROR(IF($L205&lt;&gt;"",_xll.PBF($L205,$N$126,$O$126,Y$127,"","EUR","r"),""),"")</f>
        <v/>
      </c>
      <c r="Z205" s="1687" t="str" cm="1">
        <f t="array" aca="1" ref="Z205" ca="1">IFERROR(IF($L205&lt;&gt;"",_xll.PBF($L205,$N$126,$O$126,Z$127,"","EUR","r"),""),"")</f>
        <v/>
      </c>
      <c r="AA205" s="1687" t="str" cm="1">
        <f t="array" aca="1" ref="AA205" ca="1">IFERROR(IF($L205&lt;&gt;"",_xll.PBF($L205,$N$126,$O$126,AA$127,"","EUR","r"),""),"")</f>
        <v/>
      </c>
      <c r="AB205" s="1687" t="str" cm="1">
        <f t="array" aca="1" ref="AB205" ca="1">IFERROR(IF($L205&lt;&gt;"",_xll.PBF($L205,$N$126,$O$126,AB$127,"","EUR","r"),""),"")</f>
        <v/>
      </c>
      <c r="AC205" s="1687" t="str" cm="1">
        <f t="array" aca="1" ref="AC205" ca="1">IFERROR(IF($L205&lt;&gt;"",_xll.PBF($L205,$N$126,$O$126,AC$127,"","EUR","r"),""),"")</f>
        <v/>
      </c>
      <c r="AD205" s="1687" t="str" cm="1">
        <f t="array" aca="1" ref="AD205" ca="1">IFERROR(IF($L205&lt;&gt;"",_xll.PBF($L205,$N$126,$O$126,AD$127,"","EUR","r"),""),"")</f>
        <v/>
      </c>
      <c r="AE205" s="1687" t="str" cm="1">
        <f t="array" aca="1" ref="AE205" ca="1">IFERROR(IF($L205&lt;&gt;"",_xll.PBF($L205,$N$126,$O$126,AE$127,"","EUR","r"),""),"")</f>
        <v/>
      </c>
      <c r="AF205" s="1687" t="str" cm="1">
        <f t="array" aca="1" ref="AF205" ca="1">IFERROR(IF($L205&lt;&gt;"",_xll.PBF($L205,$N$126,$O$126,AF$127,"","EUR","r"),""),"")</f>
        <v/>
      </c>
      <c r="AG205" s="1687" t="str" cm="1">
        <f t="array" aca="1" ref="AG205" ca="1">IFERROR(IF($L205&lt;&gt;"",_xll.PBF($L205,$N$126,$O$126,AG$127,"","EUR","r"),""),"")</f>
        <v/>
      </c>
      <c r="AH205" s="1687" t="str" cm="1">
        <f t="array" aca="1" ref="AH205" ca="1">IFERROR(IF($L205&lt;&gt;"",_xll.PBF($L205,$N$126,$O$126,AH$127,"","EUR","r"),""),"")</f>
        <v/>
      </c>
      <c r="AI205" s="1687" t="str" cm="1">
        <f t="array" aca="1" ref="AI205" ca="1">IFERROR(IF($L205&lt;&gt;"",_xll.PBF($L205,$N$126,$O$126,AI$127,"","EUR","r"),""),"")</f>
        <v/>
      </c>
    </row>
    <row r="206" spans="12:35">
      <c r="L206" s="438" t="str">
        <f t="shared" si="34"/>
        <v/>
      </c>
      <c r="N206" s="1687" t="str" cm="1">
        <f t="array" aca="1" ref="N206" ca="1">IFERROR(IF($L206&lt;&gt;"",_xll.PBF($L206,$N$126,$O$126,N$127,"","EUR","r"),""),"")</f>
        <v/>
      </c>
      <c r="O206" s="1687" t="str" cm="1">
        <f t="array" aca="1" ref="O206" ca="1">IFERROR(IF($L206&lt;&gt;"",_xll.PBF($L206,$N$126,$O$126,O$127,"","EUR","r"),""),"")</f>
        <v/>
      </c>
      <c r="P206" s="1687" t="str" cm="1">
        <f t="array" aca="1" ref="P206" ca="1">IFERROR(IF($L206&lt;&gt;"",_xll.PBF($L206,$N$126,$O$126,P$127,"","EUR","r"),""),"")</f>
        <v/>
      </c>
      <c r="Q206" s="1687" t="str" cm="1">
        <f t="array" aca="1" ref="Q206" ca="1">IFERROR(IF($L206&lt;&gt;"",_xll.PBF($L206,$N$126,$O$126,Q$127,"","EUR","r"),""),"")</f>
        <v/>
      </c>
      <c r="R206" s="1687" t="str" cm="1">
        <f t="array" aca="1" ref="R206" ca="1">IFERROR(IF($L206&lt;&gt;"",_xll.PBF($L206,$N$126,$O$126,R$127,"","EUR","r"),""),"")</f>
        <v/>
      </c>
      <c r="S206" s="1687" t="str" cm="1">
        <f t="array" aca="1" ref="S206" ca="1">IFERROR(IF($L206&lt;&gt;"",_xll.PBF($L206,$N$126,$O$126,S$127,"","EUR","r"),""),"")</f>
        <v/>
      </c>
      <c r="T206" s="1687" t="str" cm="1">
        <f t="array" aca="1" ref="T206" ca="1">IFERROR(IF($L206&lt;&gt;"",_xll.PBF($L206,$N$126,$O$126,T$127,"","EUR","r"),""),"")</f>
        <v/>
      </c>
      <c r="U206" s="1687" t="str" cm="1">
        <f t="array" aca="1" ref="U206" ca="1">IFERROR(IF($L206&lt;&gt;"",_xll.PBF($L206,$N$126,$O$126,U$127,"","EUR","r"),""),"")</f>
        <v/>
      </c>
      <c r="V206" s="1687" t="str" cm="1">
        <f t="array" aca="1" ref="V206" ca="1">IFERROR(IF($L206&lt;&gt;"",_xll.PBF($L206,$N$126,$O$126,V$127,"","EUR","r"),""),"")</f>
        <v/>
      </c>
      <c r="W206" s="1687" t="str" cm="1">
        <f t="array" aca="1" ref="W206" ca="1">IFERROR(IF($L206&lt;&gt;"",_xll.PBF($L206,$N$126,$O$126,W$127,"","EUR","r"),""),"")</f>
        <v/>
      </c>
      <c r="X206" s="1687" t="str" cm="1">
        <f t="array" aca="1" ref="X206" ca="1">IFERROR(IF($L206&lt;&gt;"",_xll.PBF($L206,$N$126,$O$126,X$127,"","EUR","r"),""),"")</f>
        <v/>
      </c>
      <c r="Y206" s="1687" t="str" cm="1">
        <f t="array" aca="1" ref="Y206" ca="1">IFERROR(IF($L206&lt;&gt;"",_xll.PBF($L206,$N$126,$O$126,Y$127,"","EUR","r"),""),"")</f>
        <v/>
      </c>
      <c r="Z206" s="1687" t="str" cm="1">
        <f t="array" aca="1" ref="Z206" ca="1">IFERROR(IF($L206&lt;&gt;"",_xll.PBF($L206,$N$126,$O$126,Z$127,"","EUR","r"),""),"")</f>
        <v/>
      </c>
      <c r="AA206" s="1687" t="str" cm="1">
        <f t="array" aca="1" ref="AA206" ca="1">IFERROR(IF($L206&lt;&gt;"",_xll.PBF($L206,$N$126,$O$126,AA$127,"","EUR","r"),""),"")</f>
        <v/>
      </c>
      <c r="AB206" s="1687" t="str" cm="1">
        <f t="array" aca="1" ref="AB206" ca="1">IFERROR(IF($L206&lt;&gt;"",_xll.PBF($L206,$N$126,$O$126,AB$127,"","EUR","r"),""),"")</f>
        <v/>
      </c>
      <c r="AC206" s="1687" t="str" cm="1">
        <f t="array" aca="1" ref="AC206" ca="1">IFERROR(IF($L206&lt;&gt;"",_xll.PBF($L206,$N$126,$O$126,AC$127,"","EUR","r"),""),"")</f>
        <v/>
      </c>
      <c r="AD206" s="1687" t="str" cm="1">
        <f t="array" aca="1" ref="AD206" ca="1">IFERROR(IF($L206&lt;&gt;"",_xll.PBF($L206,$N$126,$O$126,AD$127,"","EUR","r"),""),"")</f>
        <v/>
      </c>
      <c r="AE206" s="1687" t="str" cm="1">
        <f t="array" aca="1" ref="AE206" ca="1">IFERROR(IF($L206&lt;&gt;"",_xll.PBF($L206,$N$126,$O$126,AE$127,"","EUR","r"),""),"")</f>
        <v/>
      </c>
      <c r="AF206" s="1687" t="str" cm="1">
        <f t="array" aca="1" ref="AF206" ca="1">IFERROR(IF($L206&lt;&gt;"",_xll.PBF($L206,$N$126,$O$126,AF$127,"","EUR","r"),""),"")</f>
        <v/>
      </c>
      <c r="AG206" s="1687" t="str" cm="1">
        <f t="array" aca="1" ref="AG206" ca="1">IFERROR(IF($L206&lt;&gt;"",_xll.PBF($L206,$N$126,$O$126,AG$127,"","EUR","r"),""),"")</f>
        <v/>
      </c>
      <c r="AH206" s="1687" t="str" cm="1">
        <f t="array" aca="1" ref="AH206" ca="1">IFERROR(IF($L206&lt;&gt;"",_xll.PBF($L206,$N$126,$O$126,AH$127,"","EUR","r"),""),"")</f>
        <v/>
      </c>
      <c r="AI206" s="1687" t="str" cm="1">
        <f t="array" aca="1" ref="AI206" ca="1">IFERROR(IF($L206&lt;&gt;"",_xll.PBF($L206,$N$126,$O$126,AI$127,"","EUR","r"),""),"")</f>
        <v/>
      </c>
    </row>
    <row r="207" spans="12:35">
      <c r="L207" s="438" t="str">
        <f t="shared" si="34"/>
        <v/>
      </c>
      <c r="N207" s="1687" t="str" cm="1">
        <f t="array" aca="1" ref="N207" ca="1">IFERROR(IF($L207&lt;&gt;"",_xll.PBF($L207,$N$126,$O$126,N$127,"","EUR","r"),""),"")</f>
        <v/>
      </c>
      <c r="O207" s="1687" t="str" cm="1">
        <f t="array" aca="1" ref="O207" ca="1">IFERROR(IF($L207&lt;&gt;"",_xll.PBF($L207,$N$126,$O$126,O$127,"","EUR","r"),""),"")</f>
        <v/>
      </c>
      <c r="P207" s="1687" t="str" cm="1">
        <f t="array" aca="1" ref="P207" ca="1">IFERROR(IF($L207&lt;&gt;"",_xll.PBF($L207,$N$126,$O$126,P$127,"","EUR","r"),""),"")</f>
        <v/>
      </c>
      <c r="Q207" s="1687" t="str" cm="1">
        <f t="array" aca="1" ref="Q207" ca="1">IFERROR(IF($L207&lt;&gt;"",_xll.PBF($L207,$N$126,$O$126,Q$127,"","EUR","r"),""),"")</f>
        <v/>
      </c>
      <c r="R207" s="1687" t="str" cm="1">
        <f t="array" aca="1" ref="R207" ca="1">IFERROR(IF($L207&lt;&gt;"",_xll.PBF($L207,$N$126,$O$126,R$127,"","EUR","r"),""),"")</f>
        <v/>
      </c>
      <c r="S207" s="1687" t="str" cm="1">
        <f t="array" aca="1" ref="S207" ca="1">IFERROR(IF($L207&lt;&gt;"",_xll.PBF($L207,$N$126,$O$126,S$127,"","EUR","r"),""),"")</f>
        <v/>
      </c>
      <c r="T207" s="1687" t="str" cm="1">
        <f t="array" aca="1" ref="T207" ca="1">IFERROR(IF($L207&lt;&gt;"",_xll.PBF($L207,$N$126,$O$126,T$127,"","EUR","r"),""),"")</f>
        <v/>
      </c>
      <c r="U207" s="1687" t="str" cm="1">
        <f t="array" aca="1" ref="U207" ca="1">IFERROR(IF($L207&lt;&gt;"",_xll.PBF($L207,$N$126,$O$126,U$127,"","EUR","r"),""),"")</f>
        <v/>
      </c>
      <c r="V207" s="1687" t="str" cm="1">
        <f t="array" aca="1" ref="V207" ca="1">IFERROR(IF($L207&lt;&gt;"",_xll.PBF($L207,$N$126,$O$126,V$127,"","EUR","r"),""),"")</f>
        <v/>
      </c>
      <c r="W207" s="1687" t="str" cm="1">
        <f t="array" aca="1" ref="W207" ca="1">IFERROR(IF($L207&lt;&gt;"",_xll.PBF($L207,$N$126,$O$126,W$127,"","EUR","r"),""),"")</f>
        <v/>
      </c>
      <c r="X207" s="1687" t="str" cm="1">
        <f t="array" aca="1" ref="X207" ca="1">IFERROR(IF($L207&lt;&gt;"",_xll.PBF($L207,$N$126,$O$126,X$127,"","EUR","r"),""),"")</f>
        <v/>
      </c>
      <c r="Y207" s="1687" t="str" cm="1">
        <f t="array" aca="1" ref="Y207" ca="1">IFERROR(IF($L207&lt;&gt;"",_xll.PBF($L207,$N$126,$O$126,Y$127,"","EUR","r"),""),"")</f>
        <v/>
      </c>
      <c r="Z207" s="1687" t="str" cm="1">
        <f t="array" aca="1" ref="Z207" ca="1">IFERROR(IF($L207&lt;&gt;"",_xll.PBF($L207,$N$126,$O$126,Z$127,"","EUR","r"),""),"")</f>
        <v/>
      </c>
      <c r="AA207" s="1687" t="str" cm="1">
        <f t="array" aca="1" ref="AA207" ca="1">IFERROR(IF($L207&lt;&gt;"",_xll.PBF($L207,$N$126,$O$126,AA$127,"","EUR","r"),""),"")</f>
        <v/>
      </c>
      <c r="AB207" s="1687" t="str" cm="1">
        <f t="array" aca="1" ref="AB207" ca="1">IFERROR(IF($L207&lt;&gt;"",_xll.PBF($L207,$N$126,$O$126,AB$127,"","EUR","r"),""),"")</f>
        <v/>
      </c>
      <c r="AC207" s="1687" t="str" cm="1">
        <f t="array" aca="1" ref="AC207" ca="1">IFERROR(IF($L207&lt;&gt;"",_xll.PBF($L207,$N$126,$O$126,AC$127,"","EUR","r"),""),"")</f>
        <v/>
      </c>
      <c r="AD207" s="1687" t="str" cm="1">
        <f t="array" aca="1" ref="AD207" ca="1">IFERROR(IF($L207&lt;&gt;"",_xll.PBF($L207,$N$126,$O$126,AD$127,"","EUR","r"),""),"")</f>
        <v/>
      </c>
      <c r="AE207" s="1687" t="str" cm="1">
        <f t="array" aca="1" ref="AE207" ca="1">IFERROR(IF($L207&lt;&gt;"",_xll.PBF($L207,$N$126,$O$126,AE$127,"","EUR","r"),""),"")</f>
        <v/>
      </c>
      <c r="AF207" s="1687" t="str" cm="1">
        <f t="array" aca="1" ref="AF207" ca="1">IFERROR(IF($L207&lt;&gt;"",_xll.PBF($L207,$N$126,$O$126,AF$127,"","EUR","r"),""),"")</f>
        <v/>
      </c>
      <c r="AG207" s="1687" t="str" cm="1">
        <f t="array" aca="1" ref="AG207" ca="1">IFERROR(IF($L207&lt;&gt;"",_xll.PBF($L207,$N$126,$O$126,AG$127,"","EUR","r"),""),"")</f>
        <v/>
      </c>
      <c r="AH207" s="1687" t="str" cm="1">
        <f t="array" aca="1" ref="AH207" ca="1">IFERROR(IF($L207&lt;&gt;"",_xll.PBF($L207,$N$126,$O$126,AH$127,"","EUR","r"),""),"")</f>
        <v/>
      </c>
      <c r="AI207" s="1687" t="str" cm="1">
        <f t="array" aca="1" ref="AI207" ca="1">IFERROR(IF($L207&lt;&gt;"",_xll.PBF($L207,$N$126,$O$126,AI$127,"","EUR","r"),""),"")</f>
        <v/>
      </c>
    </row>
    <row r="208" spans="12:35">
      <c r="L208" s="438" t="str">
        <f t="shared" si="34"/>
        <v/>
      </c>
      <c r="N208" s="1687" t="str" cm="1">
        <f t="array" aca="1" ref="N208" ca="1">IFERROR(IF($L208&lt;&gt;"",_xll.PBF($L208,$N$126,$O$126,N$127,"","EUR","r"),""),"")</f>
        <v/>
      </c>
      <c r="O208" s="1687" t="str" cm="1">
        <f t="array" aca="1" ref="O208" ca="1">IFERROR(IF($L208&lt;&gt;"",_xll.PBF($L208,$N$126,$O$126,O$127,"","EUR","r"),""),"")</f>
        <v/>
      </c>
      <c r="P208" s="1687" t="str" cm="1">
        <f t="array" aca="1" ref="P208" ca="1">IFERROR(IF($L208&lt;&gt;"",_xll.PBF($L208,$N$126,$O$126,P$127,"","EUR","r"),""),"")</f>
        <v/>
      </c>
      <c r="Q208" s="1687" t="str" cm="1">
        <f t="array" aca="1" ref="Q208" ca="1">IFERROR(IF($L208&lt;&gt;"",_xll.PBF($L208,$N$126,$O$126,Q$127,"","EUR","r"),""),"")</f>
        <v/>
      </c>
      <c r="R208" s="1687" t="str" cm="1">
        <f t="array" aca="1" ref="R208" ca="1">IFERROR(IF($L208&lt;&gt;"",_xll.PBF($L208,$N$126,$O$126,R$127,"","EUR","r"),""),"")</f>
        <v/>
      </c>
      <c r="S208" s="1687" t="str" cm="1">
        <f t="array" aca="1" ref="S208" ca="1">IFERROR(IF($L208&lt;&gt;"",_xll.PBF($L208,$N$126,$O$126,S$127,"","EUR","r"),""),"")</f>
        <v/>
      </c>
      <c r="T208" s="1687" t="str" cm="1">
        <f t="array" aca="1" ref="T208" ca="1">IFERROR(IF($L208&lt;&gt;"",_xll.PBF($L208,$N$126,$O$126,T$127,"","EUR","r"),""),"")</f>
        <v/>
      </c>
      <c r="U208" s="1687" t="str" cm="1">
        <f t="array" aca="1" ref="U208" ca="1">IFERROR(IF($L208&lt;&gt;"",_xll.PBF($L208,$N$126,$O$126,U$127,"","EUR","r"),""),"")</f>
        <v/>
      </c>
      <c r="V208" s="1687" t="str" cm="1">
        <f t="array" aca="1" ref="V208" ca="1">IFERROR(IF($L208&lt;&gt;"",_xll.PBF($L208,$N$126,$O$126,V$127,"","EUR","r"),""),"")</f>
        <v/>
      </c>
      <c r="W208" s="1687" t="str" cm="1">
        <f t="array" aca="1" ref="W208" ca="1">IFERROR(IF($L208&lt;&gt;"",_xll.PBF($L208,$N$126,$O$126,W$127,"","EUR","r"),""),"")</f>
        <v/>
      </c>
      <c r="X208" s="1687" t="str" cm="1">
        <f t="array" aca="1" ref="X208" ca="1">IFERROR(IF($L208&lt;&gt;"",_xll.PBF($L208,$N$126,$O$126,X$127,"","EUR","r"),""),"")</f>
        <v/>
      </c>
      <c r="Y208" s="1687" t="str" cm="1">
        <f t="array" aca="1" ref="Y208" ca="1">IFERROR(IF($L208&lt;&gt;"",_xll.PBF($L208,$N$126,$O$126,Y$127,"","EUR","r"),""),"")</f>
        <v/>
      </c>
      <c r="Z208" s="1687" t="str" cm="1">
        <f t="array" aca="1" ref="Z208" ca="1">IFERROR(IF($L208&lt;&gt;"",_xll.PBF($L208,$N$126,$O$126,Z$127,"","EUR","r"),""),"")</f>
        <v/>
      </c>
      <c r="AA208" s="1687" t="str" cm="1">
        <f t="array" aca="1" ref="AA208" ca="1">IFERROR(IF($L208&lt;&gt;"",_xll.PBF($L208,$N$126,$O$126,AA$127,"","EUR","r"),""),"")</f>
        <v/>
      </c>
      <c r="AB208" s="1687" t="str" cm="1">
        <f t="array" aca="1" ref="AB208" ca="1">IFERROR(IF($L208&lt;&gt;"",_xll.PBF($L208,$N$126,$O$126,AB$127,"","EUR","r"),""),"")</f>
        <v/>
      </c>
      <c r="AC208" s="1687" t="str" cm="1">
        <f t="array" aca="1" ref="AC208" ca="1">IFERROR(IF($L208&lt;&gt;"",_xll.PBF($L208,$N$126,$O$126,AC$127,"","EUR","r"),""),"")</f>
        <v/>
      </c>
      <c r="AD208" s="1687" t="str" cm="1">
        <f t="array" aca="1" ref="AD208" ca="1">IFERROR(IF($L208&lt;&gt;"",_xll.PBF($L208,$N$126,$O$126,AD$127,"","EUR","r"),""),"")</f>
        <v/>
      </c>
      <c r="AE208" s="1687" t="str" cm="1">
        <f t="array" aca="1" ref="AE208" ca="1">IFERROR(IF($L208&lt;&gt;"",_xll.PBF($L208,$N$126,$O$126,AE$127,"","EUR","r"),""),"")</f>
        <v/>
      </c>
      <c r="AF208" s="1687" t="str" cm="1">
        <f t="array" aca="1" ref="AF208" ca="1">IFERROR(IF($L208&lt;&gt;"",_xll.PBF($L208,$N$126,$O$126,AF$127,"","EUR","r"),""),"")</f>
        <v/>
      </c>
      <c r="AG208" s="1687" t="str" cm="1">
        <f t="array" aca="1" ref="AG208" ca="1">IFERROR(IF($L208&lt;&gt;"",_xll.PBF($L208,$N$126,$O$126,AG$127,"","EUR","r"),""),"")</f>
        <v/>
      </c>
      <c r="AH208" s="1687" t="str" cm="1">
        <f t="array" aca="1" ref="AH208" ca="1">IFERROR(IF($L208&lt;&gt;"",_xll.PBF($L208,$N$126,$O$126,AH$127,"","EUR","r"),""),"")</f>
        <v/>
      </c>
      <c r="AI208" s="1687" t="str" cm="1">
        <f t="array" aca="1" ref="AI208" ca="1">IFERROR(IF($L208&lt;&gt;"",_xll.PBF($L208,$N$126,$O$126,AI$127,"","EUR","r"),""),"")</f>
        <v/>
      </c>
    </row>
    <row r="209" spans="12:35">
      <c r="L209" s="438" t="str">
        <f t="shared" si="34"/>
        <v/>
      </c>
      <c r="N209" s="1687" t="str" cm="1">
        <f t="array" aca="1" ref="N209" ca="1">IFERROR(IF($L209&lt;&gt;"",_xll.PBF($L209,$N$126,$O$126,N$127,"","EUR","r"),""),"")</f>
        <v/>
      </c>
      <c r="O209" s="1687" t="str" cm="1">
        <f t="array" aca="1" ref="O209" ca="1">IFERROR(IF($L209&lt;&gt;"",_xll.PBF($L209,$N$126,$O$126,O$127,"","EUR","r"),""),"")</f>
        <v/>
      </c>
      <c r="P209" s="1687" t="str" cm="1">
        <f t="array" aca="1" ref="P209" ca="1">IFERROR(IF($L209&lt;&gt;"",_xll.PBF($L209,$N$126,$O$126,P$127,"","EUR","r"),""),"")</f>
        <v/>
      </c>
      <c r="Q209" s="1687" t="str" cm="1">
        <f t="array" aca="1" ref="Q209" ca="1">IFERROR(IF($L209&lt;&gt;"",_xll.PBF($L209,$N$126,$O$126,Q$127,"","EUR","r"),""),"")</f>
        <v/>
      </c>
      <c r="R209" s="1687" t="str" cm="1">
        <f t="array" aca="1" ref="R209" ca="1">IFERROR(IF($L209&lt;&gt;"",_xll.PBF($L209,$N$126,$O$126,R$127,"","EUR","r"),""),"")</f>
        <v/>
      </c>
      <c r="S209" s="1687" t="str" cm="1">
        <f t="array" aca="1" ref="S209" ca="1">IFERROR(IF($L209&lt;&gt;"",_xll.PBF($L209,$N$126,$O$126,S$127,"","EUR","r"),""),"")</f>
        <v/>
      </c>
      <c r="T209" s="1687" t="str" cm="1">
        <f t="array" aca="1" ref="T209" ca="1">IFERROR(IF($L209&lt;&gt;"",_xll.PBF($L209,$N$126,$O$126,T$127,"","EUR","r"),""),"")</f>
        <v/>
      </c>
      <c r="U209" s="1687" t="str" cm="1">
        <f t="array" aca="1" ref="U209" ca="1">IFERROR(IF($L209&lt;&gt;"",_xll.PBF($L209,$N$126,$O$126,U$127,"","EUR","r"),""),"")</f>
        <v/>
      </c>
      <c r="V209" s="1687" t="str" cm="1">
        <f t="array" aca="1" ref="V209" ca="1">IFERROR(IF($L209&lt;&gt;"",_xll.PBF($L209,$N$126,$O$126,V$127,"","EUR","r"),""),"")</f>
        <v/>
      </c>
      <c r="W209" s="1687" t="str" cm="1">
        <f t="array" aca="1" ref="W209" ca="1">IFERROR(IF($L209&lt;&gt;"",_xll.PBF($L209,$N$126,$O$126,W$127,"","EUR","r"),""),"")</f>
        <v/>
      </c>
      <c r="X209" s="1687" t="str" cm="1">
        <f t="array" aca="1" ref="X209" ca="1">IFERROR(IF($L209&lt;&gt;"",_xll.PBF($L209,$N$126,$O$126,X$127,"","EUR","r"),""),"")</f>
        <v/>
      </c>
      <c r="Y209" s="1687" t="str" cm="1">
        <f t="array" aca="1" ref="Y209" ca="1">IFERROR(IF($L209&lt;&gt;"",_xll.PBF($L209,$N$126,$O$126,Y$127,"","EUR","r"),""),"")</f>
        <v/>
      </c>
      <c r="Z209" s="1687" t="str" cm="1">
        <f t="array" aca="1" ref="Z209" ca="1">IFERROR(IF($L209&lt;&gt;"",_xll.PBF($L209,$N$126,$O$126,Z$127,"","EUR","r"),""),"")</f>
        <v/>
      </c>
      <c r="AA209" s="1687" t="str" cm="1">
        <f t="array" aca="1" ref="AA209" ca="1">IFERROR(IF($L209&lt;&gt;"",_xll.PBF($L209,$N$126,$O$126,AA$127,"","EUR","r"),""),"")</f>
        <v/>
      </c>
      <c r="AB209" s="1687" t="str" cm="1">
        <f t="array" aca="1" ref="AB209" ca="1">IFERROR(IF($L209&lt;&gt;"",_xll.PBF($L209,$N$126,$O$126,AB$127,"","EUR","r"),""),"")</f>
        <v/>
      </c>
      <c r="AC209" s="1687" t="str" cm="1">
        <f t="array" aca="1" ref="AC209" ca="1">IFERROR(IF($L209&lt;&gt;"",_xll.PBF($L209,$N$126,$O$126,AC$127,"","EUR","r"),""),"")</f>
        <v/>
      </c>
      <c r="AD209" s="1687" t="str" cm="1">
        <f t="array" aca="1" ref="AD209" ca="1">IFERROR(IF($L209&lt;&gt;"",_xll.PBF($L209,$N$126,$O$126,AD$127,"","EUR","r"),""),"")</f>
        <v/>
      </c>
      <c r="AE209" s="1687" t="str" cm="1">
        <f t="array" aca="1" ref="AE209" ca="1">IFERROR(IF($L209&lt;&gt;"",_xll.PBF($L209,$N$126,$O$126,AE$127,"","EUR","r"),""),"")</f>
        <v/>
      </c>
      <c r="AF209" s="1687" t="str" cm="1">
        <f t="array" aca="1" ref="AF209" ca="1">IFERROR(IF($L209&lt;&gt;"",_xll.PBF($L209,$N$126,$O$126,AF$127,"","EUR","r"),""),"")</f>
        <v/>
      </c>
      <c r="AG209" s="1687" t="str" cm="1">
        <f t="array" aca="1" ref="AG209" ca="1">IFERROR(IF($L209&lt;&gt;"",_xll.PBF($L209,$N$126,$O$126,AG$127,"","EUR","r"),""),"")</f>
        <v/>
      </c>
      <c r="AH209" s="1687" t="str" cm="1">
        <f t="array" aca="1" ref="AH209" ca="1">IFERROR(IF($L209&lt;&gt;"",_xll.PBF($L209,$N$126,$O$126,AH$127,"","EUR","r"),""),"")</f>
        <v/>
      </c>
      <c r="AI209" s="1687" t="str" cm="1">
        <f t="array" aca="1" ref="AI209" ca="1">IFERROR(IF($L209&lt;&gt;"",_xll.PBF($L209,$N$126,$O$126,AI$127,"","EUR","r"),""),"")</f>
        <v/>
      </c>
    </row>
    <row r="210" spans="12:35">
      <c r="L210" s="438" t="str">
        <f t="shared" si="34"/>
        <v/>
      </c>
      <c r="N210" s="1687" t="str" cm="1">
        <f t="array" aca="1" ref="N210" ca="1">IFERROR(IF($L210&lt;&gt;"",_xll.PBF($L210,$N$126,$O$126,N$127,"","EUR","r"),""),"")</f>
        <v/>
      </c>
      <c r="O210" s="1687" t="str" cm="1">
        <f t="array" aca="1" ref="O210" ca="1">IFERROR(IF($L210&lt;&gt;"",_xll.PBF($L210,$N$126,$O$126,O$127,"","EUR","r"),""),"")</f>
        <v/>
      </c>
      <c r="P210" s="1687" t="str" cm="1">
        <f t="array" aca="1" ref="P210" ca="1">IFERROR(IF($L210&lt;&gt;"",_xll.PBF($L210,$N$126,$O$126,P$127,"","EUR","r"),""),"")</f>
        <v/>
      </c>
      <c r="Q210" s="1687" t="str" cm="1">
        <f t="array" aca="1" ref="Q210" ca="1">IFERROR(IF($L210&lt;&gt;"",_xll.PBF($L210,$N$126,$O$126,Q$127,"","EUR","r"),""),"")</f>
        <v/>
      </c>
      <c r="R210" s="1687" t="str" cm="1">
        <f t="array" aca="1" ref="R210" ca="1">IFERROR(IF($L210&lt;&gt;"",_xll.PBF($L210,$N$126,$O$126,R$127,"","EUR","r"),""),"")</f>
        <v/>
      </c>
      <c r="S210" s="1687" t="str" cm="1">
        <f t="array" aca="1" ref="S210" ca="1">IFERROR(IF($L210&lt;&gt;"",_xll.PBF($L210,$N$126,$O$126,S$127,"","EUR","r"),""),"")</f>
        <v/>
      </c>
      <c r="T210" s="1687" t="str" cm="1">
        <f t="array" aca="1" ref="T210" ca="1">IFERROR(IF($L210&lt;&gt;"",_xll.PBF($L210,$N$126,$O$126,T$127,"","EUR","r"),""),"")</f>
        <v/>
      </c>
      <c r="U210" s="1687" t="str" cm="1">
        <f t="array" aca="1" ref="U210" ca="1">IFERROR(IF($L210&lt;&gt;"",_xll.PBF($L210,$N$126,$O$126,U$127,"","EUR","r"),""),"")</f>
        <v/>
      </c>
      <c r="V210" s="1687" t="str" cm="1">
        <f t="array" aca="1" ref="V210" ca="1">IFERROR(IF($L210&lt;&gt;"",_xll.PBF($L210,$N$126,$O$126,V$127,"","EUR","r"),""),"")</f>
        <v/>
      </c>
      <c r="W210" s="1687" t="str" cm="1">
        <f t="array" aca="1" ref="W210" ca="1">IFERROR(IF($L210&lt;&gt;"",_xll.PBF($L210,$N$126,$O$126,W$127,"","EUR","r"),""),"")</f>
        <v/>
      </c>
      <c r="X210" s="1687" t="str" cm="1">
        <f t="array" aca="1" ref="X210" ca="1">IFERROR(IF($L210&lt;&gt;"",_xll.PBF($L210,$N$126,$O$126,X$127,"","EUR","r"),""),"")</f>
        <v/>
      </c>
      <c r="Y210" s="1687" t="str" cm="1">
        <f t="array" aca="1" ref="Y210" ca="1">IFERROR(IF($L210&lt;&gt;"",_xll.PBF($L210,$N$126,$O$126,Y$127,"","EUR","r"),""),"")</f>
        <v/>
      </c>
      <c r="Z210" s="1687" t="str" cm="1">
        <f t="array" aca="1" ref="Z210" ca="1">IFERROR(IF($L210&lt;&gt;"",_xll.PBF($L210,$N$126,$O$126,Z$127,"","EUR","r"),""),"")</f>
        <v/>
      </c>
      <c r="AA210" s="1687" t="str" cm="1">
        <f t="array" aca="1" ref="AA210" ca="1">IFERROR(IF($L210&lt;&gt;"",_xll.PBF($L210,$N$126,$O$126,AA$127,"","EUR","r"),""),"")</f>
        <v/>
      </c>
      <c r="AB210" s="1687" t="str" cm="1">
        <f t="array" aca="1" ref="AB210" ca="1">IFERROR(IF($L210&lt;&gt;"",_xll.PBF($L210,$N$126,$O$126,AB$127,"","EUR","r"),""),"")</f>
        <v/>
      </c>
      <c r="AC210" s="1687" t="str" cm="1">
        <f t="array" aca="1" ref="AC210" ca="1">IFERROR(IF($L210&lt;&gt;"",_xll.PBF($L210,$N$126,$O$126,AC$127,"","EUR","r"),""),"")</f>
        <v/>
      </c>
      <c r="AD210" s="1687" t="str" cm="1">
        <f t="array" aca="1" ref="AD210" ca="1">IFERROR(IF($L210&lt;&gt;"",_xll.PBF($L210,$N$126,$O$126,AD$127,"","EUR","r"),""),"")</f>
        <v/>
      </c>
      <c r="AE210" s="1687" t="str" cm="1">
        <f t="array" aca="1" ref="AE210" ca="1">IFERROR(IF($L210&lt;&gt;"",_xll.PBF($L210,$N$126,$O$126,AE$127,"","EUR","r"),""),"")</f>
        <v/>
      </c>
      <c r="AF210" s="1687" t="str" cm="1">
        <f t="array" aca="1" ref="AF210" ca="1">IFERROR(IF($L210&lt;&gt;"",_xll.PBF($L210,$N$126,$O$126,AF$127,"","EUR","r"),""),"")</f>
        <v/>
      </c>
      <c r="AG210" s="1687" t="str" cm="1">
        <f t="array" aca="1" ref="AG210" ca="1">IFERROR(IF($L210&lt;&gt;"",_xll.PBF($L210,$N$126,$O$126,AG$127,"","EUR","r"),""),"")</f>
        <v/>
      </c>
      <c r="AH210" s="1687" t="str" cm="1">
        <f t="array" aca="1" ref="AH210" ca="1">IFERROR(IF($L210&lt;&gt;"",_xll.PBF($L210,$N$126,$O$126,AH$127,"","EUR","r"),""),"")</f>
        <v/>
      </c>
      <c r="AI210" s="1687" t="str" cm="1">
        <f t="array" aca="1" ref="AI210" ca="1">IFERROR(IF($L210&lt;&gt;"",_xll.PBF($L210,$N$126,$O$126,AI$127,"","EUR","r"),""),"")</f>
        <v/>
      </c>
    </row>
    <row r="211" spans="12:35">
      <c r="L211" s="438" t="str">
        <f t="shared" si="34"/>
        <v/>
      </c>
      <c r="N211" s="1687" t="str" cm="1">
        <f t="array" aca="1" ref="N211" ca="1">IFERROR(IF($L211&lt;&gt;"",_xll.PBF($L211,$N$126,$O$126,N$127,"","EUR","r"),""),"")</f>
        <v/>
      </c>
      <c r="O211" s="1687" t="str" cm="1">
        <f t="array" aca="1" ref="O211" ca="1">IFERROR(IF($L211&lt;&gt;"",_xll.PBF($L211,$N$126,$O$126,O$127,"","EUR","r"),""),"")</f>
        <v/>
      </c>
      <c r="P211" s="1687" t="str" cm="1">
        <f t="array" aca="1" ref="P211" ca="1">IFERROR(IF($L211&lt;&gt;"",_xll.PBF($L211,$N$126,$O$126,P$127,"","EUR","r"),""),"")</f>
        <v/>
      </c>
      <c r="Q211" s="1687" t="str" cm="1">
        <f t="array" aca="1" ref="Q211" ca="1">IFERROR(IF($L211&lt;&gt;"",_xll.PBF($L211,$N$126,$O$126,Q$127,"","EUR","r"),""),"")</f>
        <v/>
      </c>
      <c r="R211" s="1687" t="str" cm="1">
        <f t="array" aca="1" ref="R211" ca="1">IFERROR(IF($L211&lt;&gt;"",_xll.PBF($L211,$N$126,$O$126,R$127,"","EUR","r"),""),"")</f>
        <v/>
      </c>
      <c r="S211" s="1687" t="str" cm="1">
        <f t="array" aca="1" ref="S211" ca="1">IFERROR(IF($L211&lt;&gt;"",_xll.PBF($L211,$N$126,$O$126,S$127,"","EUR","r"),""),"")</f>
        <v/>
      </c>
      <c r="T211" s="1687" t="str" cm="1">
        <f t="array" aca="1" ref="T211" ca="1">IFERROR(IF($L211&lt;&gt;"",_xll.PBF($L211,$N$126,$O$126,T$127,"","EUR","r"),""),"")</f>
        <v/>
      </c>
      <c r="U211" s="1687" t="str" cm="1">
        <f t="array" aca="1" ref="U211" ca="1">IFERROR(IF($L211&lt;&gt;"",_xll.PBF($L211,$N$126,$O$126,U$127,"","EUR","r"),""),"")</f>
        <v/>
      </c>
      <c r="V211" s="1687" t="str" cm="1">
        <f t="array" aca="1" ref="V211" ca="1">IFERROR(IF($L211&lt;&gt;"",_xll.PBF($L211,$N$126,$O$126,V$127,"","EUR","r"),""),"")</f>
        <v/>
      </c>
      <c r="W211" s="1687" t="str" cm="1">
        <f t="array" aca="1" ref="W211" ca="1">IFERROR(IF($L211&lt;&gt;"",_xll.PBF($L211,$N$126,$O$126,W$127,"","EUR","r"),""),"")</f>
        <v/>
      </c>
      <c r="X211" s="1687" t="str" cm="1">
        <f t="array" aca="1" ref="X211" ca="1">IFERROR(IF($L211&lt;&gt;"",_xll.PBF($L211,$N$126,$O$126,X$127,"","EUR","r"),""),"")</f>
        <v/>
      </c>
      <c r="Y211" s="1687" t="str" cm="1">
        <f t="array" aca="1" ref="Y211" ca="1">IFERROR(IF($L211&lt;&gt;"",_xll.PBF($L211,$N$126,$O$126,Y$127,"","EUR","r"),""),"")</f>
        <v/>
      </c>
      <c r="Z211" s="1687" t="str" cm="1">
        <f t="array" aca="1" ref="Z211" ca="1">IFERROR(IF($L211&lt;&gt;"",_xll.PBF($L211,$N$126,$O$126,Z$127,"","EUR","r"),""),"")</f>
        <v/>
      </c>
      <c r="AA211" s="1687" t="str" cm="1">
        <f t="array" aca="1" ref="AA211" ca="1">IFERROR(IF($L211&lt;&gt;"",_xll.PBF($L211,$N$126,$O$126,AA$127,"","EUR","r"),""),"")</f>
        <v/>
      </c>
      <c r="AB211" s="1687" t="str" cm="1">
        <f t="array" aca="1" ref="AB211" ca="1">IFERROR(IF($L211&lt;&gt;"",_xll.PBF($L211,$N$126,$O$126,AB$127,"","EUR","r"),""),"")</f>
        <v/>
      </c>
      <c r="AC211" s="1687" t="str" cm="1">
        <f t="array" aca="1" ref="AC211" ca="1">IFERROR(IF($L211&lt;&gt;"",_xll.PBF($L211,$N$126,$O$126,AC$127,"","EUR","r"),""),"")</f>
        <v/>
      </c>
      <c r="AD211" s="1687" t="str" cm="1">
        <f t="array" aca="1" ref="AD211" ca="1">IFERROR(IF($L211&lt;&gt;"",_xll.PBF($L211,$N$126,$O$126,AD$127,"","EUR","r"),""),"")</f>
        <v/>
      </c>
      <c r="AE211" s="1687" t="str" cm="1">
        <f t="array" aca="1" ref="AE211" ca="1">IFERROR(IF($L211&lt;&gt;"",_xll.PBF($L211,$N$126,$O$126,AE$127,"","EUR","r"),""),"")</f>
        <v/>
      </c>
      <c r="AF211" s="1687" t="str" cm="1">
        <f t="array" aca="1" ref="AF211" ca="1">IFERROR(IF($L211&lt;&gt;"",_xll.PBF($L211,$N$126,$O$126,AF$127,"","EUR","r"),""),"")</f>
        <v/>
      </c>
      <c r="AG211" s="1687" t="str" cm="1">
        <f t="array" aca="1" ref="AG211" ca="1">IFERROR(IF($L211&lt;&gt;"",_xll.PBF($L211,$N$126,$O$126,AG$127,"","EUR","r"),""),"")</f>
        <v/>
      </c>
      <c r="AH211" s="1687" t="str" cm="1">
        <f t="array" aca="1" ref="AH211" ca="1">IFERROR(IF($L211&lt;&gt;"",_xll.PBF($L211,$N$126,$O$126,AH$127,"","EUR","r"),""),"")</f>
        <v/>
      </c>
      <c r="AI211" s="1687" t="str" cm="1">
        <f t="array" aca="1" ref="AI211" ca="1">IFERROR(IF($L211&lt;&gt;"",_xll.PBF($L211,$N$126,$O$126,AI$127,"","EUR","r"),""),"")</f>
        <v/>
      </c>
    </row>
    <row r="212" spans="12:35">
      <c r="L212" s="438" t="str">
        <f t="shared" si="34"/>
        <v/>
      </c>
      <c r="N212" s="1687" t="str" cm="1">
        <f t="array" aca="1" ref="N212" ca="1">IFERROR(IF($L212&lt;&gt;"",_xll.PBF($L212,$N$126,$O$126,N$127,"","EUR","r"),""),"")</f>
        <v/>
      </c>
      <c r="O212" s="1687" t="str" cm="1">
        <f t="array" aca="1" ref="O212" ca="1">IFERROR(IF($L212&lt;&gt;"",_xll.PBF($L212,$N$126,$O$126,O$127,"","EUR","r"),""),"")</f>
        <v/>
      </c>
      <c r="P212" s="1687" t="str" cm="1">
        <f t="array" aca="1" ref="P212" ca="1">IFERROR(IF($L212&lt;&gt;"",_xll.PBF($L212,$N$126,$O$126,P$127,"","EUR","r"),""),"")</f>
        <v/>
      </c>
      <c r="Q212" s="1687" t="str" cm="1">
        <f t="array" aca="1" ref="Q212" ca="1">IFERROR(IF($L212&lt;&gt;"",_xll.PBF($L212,$N$126,$O$126,Q$127,"","EUR","r"),""),"")</f>
        <v/>
      </c>
      <c r="R212" s="1687" t="str" cm="1">
        <f t="array" aca="1" ref="R212" ca="1">IFERROR(IF($L212&lt;&gt;"",_xll.PBF($L212,$N$126,$O$126,R$127,"","EUR","r"),""),"")</f>
        <v/>
      </c>
      <c r="S212" s="1687" t="str" cm="1">
        <f t="array" aca="1" ref="S212" ca="1">IFERROR(IF($L212&lt;&gt;"",_xll.PBF($L212,$N$126,$O$126,S$127,"","EUR","r"),""),"")</f>
        <v/>
      </c>
      <c r="T212" s="1687" t="str" cm="1">
        <f t="array" aca="1" ref="T212" ca="1">IFERROR(IF($L212&lt;&gt;"",_xll.PBF($L212,$N$126,$O$126,T$127,"","EUR","r"),""),"")</f>
        <v/>
      </c>
      <c r="U212" s="1687" t="str" cm="1">
        <f t="array" aca="1" ref="U212" ca="1">IFERROR(IF($L212&lt;&gt;"",_xll.PBF($L212,$N$126,$O$126,U$127,"","EUR","r"),""),"")</f>
        <v/>
      </c>
      <c r="V212" s="1687" t="str" cm="1">
        <f t="array" aca="1" ref="V212" ca="1">IFERROR(IF($L212&lt;&gt;"",_xll.PBF($L212,$N$126,$O$126,V$127,"","EUR","r"),""),"")</f>
        <v/>
      </c>
      <c r="W212" s="1687" t="str" cm="1">
        <f t="array" aca="1" ref="W212" ca="1">IFERROR(IF($L212&lt;&gt;"",_xll.PBF($L212,$N$126,$O$126,W$127,"","EUR","r"),""),"")</f>
        <v/>
      </c>
      <c r="X212" s="1687" t="str" cm="1">
        <f t="array" aca="1" ref="X212" ca="1">IFERROR(IF($L212&lt;&gt;"",_xll.PBF($L212,$N$126,$O$126,X$127,"","EUR","r"),""),"")</f>
        <v/>
      </c>
      <c r="Y212" s="1687" t="str" cm="1">
        <f t="array" aca="1" ref="Y212" ca="1">IFERROR(IF($L212&lt;&gt;"",_xll.PBF($L212,$N$126,$O$126,Y$127,"","EUR","r"),""),"")</f>
        <v/>
      </c>
      <c r="Z212" s="1687" t="str" cm="1">
        <f t="array" aca="1" ref="Z212" ca="1">IFERROR(IF($L212&lt;&gt;"",_xll.PBF($L212,$N$126,$O$126,Z$127,"","EUR","r"),""),"")</f>
        <v/>
      </c>
      <c r="AA212" s="1687" t="str" cm="1">
        <f t="array" aca="1" ref="AA212" ca="1">IFERROR(IF($L212&lt;&gt;"",_xll.PBF($L212,$N$126,$O$126,AA$127,"","EUR","r"),""),"")</f>
        <v/>
      </c>
      <c r="AB212" s="1687" t="str" cm="1">
        <f t="array" aca="1" ref="AB212" ca="1">IFERROR(IF($L212&lt;&gt;"",_xll.PBF($L212,$N$126,$O$126,AB$127,"","EUR","r"),""),"")</f>
        <v/>
      </c>
      <c r="AC212" s="1687" t="str" cm="1">
        <f t="array" aca="1" ref="AC212" ca="1">IFERROR(IF($L212&lt;&gt;"",_xll.PBF($L212,$N$126,$O$126,AC$127,"","EUR","r"),""),"")</f>
        <v/>
      </c>
      <c r="AD212" s="1687" t="str" cm="1">
        <f t="array" aca="1" ref="AD212" ca="1">IFERROR(IF($L212&lt;&gt;"",_xll.PBF($L212,$N$126,$O$126,AD$127,"","EUR","r"),""),"")</f>
        <v/>
      </c>
      <c r="AE212" s="1687" t="str" cm="1">
        <f t="array" aca="1" ref="AE212" ca="1">IFERROR(IF($L212&lt;&gt;"",_xll.PBF($L212,$N$126,$O$126,AE$127,"","EUR","r"),""),"")</f>
        <v/>
      </c>
      <c r="AF212" s="1687" t="str" cm="1">
        <f t="array" aca="1" ref="AF212" ca="1">IFERROR(IF($L212&lt;&gt;"",_xll.PBF($L212,$N$126,$O$126,AF$127,"","EUR","r"),""),"")</f>
        <v/>
      </c>
      <c r="AG212" s="1687" t="str" cm="1">
        <f t="array" aca="1" ref="AG212" ca="1">IFERROR(IF($L212&lt;&gt;"",_xll.PBF($L212,$N$126,$O$126,AG$127,"","EUR","r"),""),"")</f>
        <v/>
      </c>
      <c r="AH212" s="1687" t="str" cm="1">
        <f t="array" aca="1" ref="AH212" ca="1">IFERROR(IF($L212&lt;&gt;"",_xll.PBF($L212,$N$126,$O$126,AH$127,"","EUR","r"),""),"")</f>
        <v/>
      </c>
      <c r="AI212" s="1687" t="str" cm="1">
        <f t="array" aca="1" ref="AI212" ca="1">IFERROR(IF($L212&lt;&gt;"",_xll.PBF($L212,$N$126,$O$126,AI$127,"","EUR","r"),""),"")</f>
        <v/>
      </c>
    </row>
    <row r="213" spans="12:35">
      <c r="L213" s="438" t="str">
        <f t="shared" si="34"/>
        <v/>
      </c>
      <c r="N213" s="1687" t="str" cm="1">
        <f t="array" aca="1" ref="N213" ca="1">IFERROR(IF($L213&lt;&gt;"",_xll.PBF($L213,$N$126,$O$126,N$127,"","EUR","r"),""),"")</f>
        <v/>
      </c>
      <c r="O213" s="1687" t="str" cm="1">
        <f t="array" aca="1" ref="O213" ca="1">IFERROR(IF($L213&lt;&gt;"",_xll.PBF($L213,$N$126,$O$126,O$127,"","EUR","r"),""),"")</f>
        <v/>
      </c>
      <c r="P213" s="1687" t="str" cm="1">
        <f t="array" aca="1" ref="P213" ca="1">IFERROR(IF($L213&lt;&gt;"",_xll.PBF($L213,$N$126,$O$126,P$127,"","EUR","r"),""),"")</f>
        <v/>
      </c>
      <c r="Q213" s="1687" t="str" cm="1">
        <f t="array" aca="1" ref="Q213" ca="1">IFERROR(IF($L213&lt;&gt;"",_xll.PBF($L213,$N$126,$O$126,Q$127,"","EUR","r"),""),"")</f>
        <v/>
      </c>
      <c r="R213" s="1687" t="str" cm="1">
        <f t="array" aca="1" ref="R213" ca="1">IFERROR(IF($L213&lt;&gt;"",_xll.PBF($L213,$N$126,$O$126,R$127,"","EUR","r"),""),"")</f>
        <v/>
      </c>
      <c r="S213" s="1687" t="str" cm="1">
        <f t="array" aca="1" ref="S213" ca="1">IFERROR(IF($L213&lt;&gt;"",_xll.PBF($L213,$N$126,$O$126,S$127,"","EUR","r"),""),"")</f>
        <v/>
      </c>
      <c r="T213" s="1687" t="str" cm="1">
        <f t="array" aca="1" ref="T213" ca="1">IFERROR(IF($L213&lt;&gt;"",_xll.PBF($L213,$N$126,$O$126,T$127,"","EUR","r"),""),"")</f>
        <v/>
      </c>
      <c r="U213" s="1687" t="str" cm="1">
        <f t="array" aca="1" ref="U213" ca="1">IFERROR(IF($L213&lt;&gt;"",_xll.PBF($L213,$N$126,$O$126,U$127,"","EUR","r"),""),"")</f>
        <v/>
      </c>
      <c r="V213" s="1687" t="str" cm="1">
        <f t="array" aca="1" ref="V213" ca="1">IFERROR(IF($L213&lt;&gt;"",_xll.PBF($L213,$N$126,$O$126,V$127,"","EUR","r"),""),"")</f>
        <v/>
      </c>
      <c r="W213" s="1687" t="str" cm="1">
        <f t="array" aca="1" ref="W213" ca="1">IFERROR(IF($L213&lt;&gt;"",_xll.PBF($L213,$N$126,$O$126,W$127,"","EUR","r"),""),"")</f>
        <v/>
      </c>
      <c r="X213" s="1687" t="str" cm="1">
        <f t="array" aca="1" ref="X213" ca="1">IFERROR(IF($L213&lt;&gt;"",_xll.PBF($L213,$N$126,$O$126,X$127,"","EUR","r"),""),"")</f>
        <v/>
      </c>
      <c r="Y213" s="1687" t="str" cm="1">
        <f t="array" aca="1" ref="Y213" ca="1">IFERROR(IF($L213&lt;&gt;"",_xll.PBF($L213,$N$126,$O$126,Y$127,"","EUR","r"),""),"")</f>
        <v/>
      </c>
      <c r="Z213" s="1687" t="str" cm="1">
        <f t="array" aca="1" ref="Z213" ca="1">IFERROR(IF($L213&lt;&gt;"",_xll.PBF($L213,$N$126,$O$126,Z$127,"","EUR","r"),""),"")</f>
        <v/>
      </c>
      <c r="AA213" s="1687" t="str" cm="1">
        <f t="array" aca="1" ref="AA213" ca="1">IFERROR(IF($L213&lt;&gt;"",_xll.PBF($L213,$N$126,$O$126,AA$127,"","EUR","r"),""),"")</f>
        <v/>
      </c>
      <c r="AB213" s="1687" t="str" cm="1">
        <f t="array" aca="1" ref="AB213" ca="1">IFERROR(IF($L213&lt;&gt;"",_xll.PBF($L213,$N$126,$O$126,AB$127,"","EUR","r"),""),"")</f>
        <v/>
      </c>
      <c r="AC213" s="1687" t="str" cm="1">
        <f t="array" aca="1" ref="AC213" ca="1">IFERROR(IF($L213&lt;&gt;"",_xll.PBF($L213,$N$126,$O$126,AC$127,"","EUR","r"),""),"")</f>
        <v/>
      </c>
      <c r="AD213" s="1687" t="str" cm="1">
        <f t="array" aca="1" ref="AD213" ca="1">IFERROR(IF($L213&lt;&gt;"",_xll.PBF($L213,$N$126,$O$126,AD$127,"","EUR","r"),""),"")</f>
        <v/>
      </c>
      <c r="AE213" s="1687" t="str" cm="1">
        <f t="array" aca="1" ref="AE213" ca="1">IFERROR(IF($L213&lt;&gt;"",_xll.PBF($L213,$N$126,$O$126,AE$127,"","EUR","r"),""),"")</f>
        <v/>
      </c>
      <c r="AF213" s="1687" t="str" cm="1">
        <f t="array" aca="1" ref="AF213" ca="1">IFERROR(IF($L213&lt;&gt;"",_xll.PBF($L213,$N$126,$O$126,AF$127,"","EUR","r"),""),"")</f>
        <v/>
      </c>
      <c r="AG213" s="1687" t="str" cm="1">
        <f t="array" aca="1" ref="AG213" ca="1">IFERROR(IF($L213&lt;&gt;"",_xll.PBF($L213,$N$126,$O$126,AG$127,"","EUR","r"),""),"")</f>
        <v/>
      </c>
      <c r="AH213" s="1687" t="str" cm="1">
        <f t="array" aca="1" ref="AH213" ca="1">IFERROR(IF($L213&lt;&gt;"",_xll.PBF($L213,$N$126,$O$126,AH$127,"","EUR","r"),""),"")</f>
        <v/>
      </c>
      <c r="AI213" s="1687" t="str" cm="1">
        <f t="array" aca="1" ref="AI213" ca="1">IFERROR(IF($L213&lt;&gt;"",_xll.PBF($L213,$N$126,$O$126,AI$127,"","EUR","r"),""),"")</f>
        <v/>
      </c>
    </row>
    <row r="214" spans="12:35">
      <c r="L214" s="438" t="str">
        <f t="shared" si="34"/>
        <v/>
      </c>
      <c r="N214" s="1687" t="str" cm="1">
        <f t="array" aca="1" ref="N214" ca="1">IFERROR(IF($L214&lt;&gt;"",_xll.PBF($L214,$N$126,$O$126,N$127,"","EUR","r"),""),"")</f>
        <v/>
      </c>
      <c r="O214" s="1687" t="str" cm="1">
        <f t="array" aca="1" ref="O214" ca="1">IFERROR(IF($L214&lt;&gt;"",_xll.PBF($L214,$N$126,$O$126,O$127,"","EUR","r"),""),"")</f>
        <v/>
      </c>
      <c r="P214" s="1687" t="str" cm="1">
        <f t="array" aca="1" ref="P214" ca="1">IFERROR(IF($L214&lt;&gt;"",_xll.PBF($L214,$N$126,$O$126,P$127,"","EUR","r"),""),"")</f>
        <v/>
      </c>
      <c r="Q214" s="1687" t="str" cm="1">
        <f t="array" aca="1" ref="Q214" ca="1">IFERROR(IF($L214&lt;&gt;"",_xll.PBF($L214,$N$126,$O$126,Q$127,"","EUR","r"),""),"")</f>
        <v/>
      </c>
      <c r="R214" s="1687" t="str" cm="1">
        <f t="array" aca="1" ref="R214" ca="1">IFERROR(IF($L214&lt;&gt;"",_xll.PBF($L214,$N$126,$O$126,R$127,"","EUR","r"),""),"")</f>
        <v/>
      </c>
      <c r="S214" s="1687" t="str" cm="1">
        <f t="array" aca="1" ref="S214" ca="1">IFERROR(IF($L214&lt;&gt;"",_xll.PBF($L214,$N$126,$O$126,S$127,"","EUR","r"),""),"")</f>
        <v/>
      </c>
      <c r="T214" s="1687" t="str" cm="1">
        <f t="array" aca="1" ref="T214" ca="1">IFERROR(IF($L214&lt;&gt;"",_xll.PBF($L214,$N$126,$O$126,T$127,"","EUR","r"),""),"")</f>
        <v/>
      </c>
      <c r="U214" s="1687" t="str" cm="1">
        <f t="array" aca="1" ref="U214" ca="1">IFERROR(IF($L214&lt;&gt;"",_xll.PBF($L214,$N$126,$O$126,U$127,"","EUR","r"),""),"")</f>
        <v/>
      </c>
      <c r="V214" s="1687" t="str" cm="1">
        <f t="array" aca="1" ref="V214" ca="1">IFERROR(IF($L214&lt;&gt;"",_xll.PBF($L214,$N$126,$O$126,V$127,"","EUR","r"),""),"")</f>
        <v/>
      </c>
      <c r="W214" s="1687" t="str" cm="1">
        <f t="array" aca="1" ref="W214" ca="1">IFERROR(IF($L214&lt;&gt;"",_xll.PBF($L214,$N$126,$O$126,W$127,"","EUR","r"),""),"")</f>
        <v/>
      </c>
      <c r="X214" s="1687" t="str" cm="1">
        <f t="array" aca="1" ref="X214" ca="1">IFERROR(IF($L214&lt;&gt;"",_xll.PBF($L214,$N$126,$O$126,X$127,"","EUR","r"),""),"")</f>
        <v/>
      </c>
      <c r="Y214" s="1687" t="str" cm="1">
        <f t="array" aca="1" ref="Y214" ca="1">IFERROR(IF($L214&lt;&gt;"",_xll.PBF($L214,$N$126,$O$126,Y$127,"","EUR","r"),""),"")</f>
        <v/>
      </c>
      <c r="Z214" s="1687" t="str" cm="1">
        <f t="array" aca="1" ref="Z214" ca="1">IFERROR(IF($L214&lt;&gt;"",_xll.PBF($L214,$N$126,$O$126,Z$127,"","EUR","r"),""),"")</f>
        <v/>
      </c>
      <c r="AA214" s="1687" t="str" cm="1">
        <f t="array" aca="1" ref="AA214" ca="1">IFERROR(IF($L214&lt;&gt;"",_xll.PBF($L214,$N$126,$O$126,AA$127,"","EUR","r"),""),"")</f>
        <v/>
      </c>
      <c r="AB214" s="1687" t="str" cm="1">
        <f t="array" aca="1" ref="AB214" ca="1">IFERROR(IF($L214&lt;&gt;"",_xll.PBF($L214,$N$126,$O$126,AB$127,"","EUR","r"),""),"")</f>
        <v/>
      </c>
      <c r="AC214" s="1687" t="str" cm="1">
        <f t="array" aca="1" ref="AC214" ca="1">IFERROR(IF($L214&lt;&gt;"",_xll.PBF($L214,$N$126,$O$126,AC$127,"","EUR","r"),""),"")</f>
        <v/>
      </c>
      <c r="AD214" s="1687" t="str" cm="1">
        <f t="array" aca="1" ref="AD214" ca="1">IFERROR(IF($L214&lt;&gt;"",_xll.PBF($L214,$N$126,$O$126,AD$127,"","EUR","r"),""),"")</f>
        <v/>
      </c>
      <c r="AE214" s="1687" t="str" cm="1">
        <f t="array" aca="1" ref="AE214" ca="1">IFERROR(IF($L214&lt;&gt;"",_xll.PBF($L214,$N$126,$O$126,AE$127,"","EUR","r"),""),"")</f>
        <v/>
      </c>
      <c r="AF214" s="1687" t="str" cm="1">
        <f t="array" aca="1" ref="AF214" ca="1">IFERROR(IF($L214&lt;&gt;"",_xll.PBF($L214,$N$126,$O$126,AF$127,"","EUR","r"),""),"")</f>
        <v/>
      </c>
      <c r="AG214" s="1687" t="str" cm="1">
        <f t="array" aca="1" ref="AG214" ca="1">IFERROR(IF($L214&lt;&gt;"",_xll.PBF($L214,$N$126,$O$126,AG$127,"","EUR","r"),""),"")</f>
        <v/>
      </c>
      <c r="AH214" s="1687" t="str" cm="1">
        <f t="array" aca="1" ref="AH214" ca="1">IFERROR(IF($L214&lt;&gt;"",_xll.PBF($L214,$N$126,$O$126,AH$127,"","EUR","r"),""),"")</f>
        <v/>
      </c>
      <c r="AI214" s="1687" t="str" cm="1">
        <f t="array" aca="1" ref="AI214" ca="1">IFERROR(IF($L214&lt;&gt;"",_xll.PBF($L214,$N$126,$O$126,AI$127,"","EUR","r"),""),"")</f>
        <v/>
      </c>
    </row>
    <row r="215" spans="12:35">
      <c r="L215" s="438" t="str">
        <f t="shared" si="34"/>
        <v/>
      </c>
      <c r="N215" s="1687" t="str" cm="1">
        <f t="array" aca="1" ref="N215" ca="1">IFERROR(IF($L215&lt;&gt;"",_xll.PBF($L215,$N$126,$O$126,N$127,"","EUR","r"),""),"")</f>
        <v/>
      </c>
      <c r="O215" s="1687" t="str" cm="1">
        <f t="array" aca="1" ref="O215" ca="1">IFERROR(IF($L215&lt;&gt;"",_xll.PBF($L215,$N$126,$O$126,O$127,"","EUR","r"),""),"")</f>
        <v/>
      </c>
      <c r="P215" s="1687" t="str" cm="1">
        <f t="array" aca="1" ref="P215" ca="1">IFERROR(IF($L215&lt;&gt;"",_xll.PBF($L215,$N$126,$O$126,P$127,"","EUR","r"),""),"")</f>
        <v/>
      </c>
      <c r="Q215" s="1687" t="str" cm="1">
        <f t="array" aca="1" ref="Q215" ca="1">IFERROR(IF($L215&lt;&gt;"",_xll.PBF($L215,$N$126,$O$126,Q$127,"","EUR","r"),""),"")</f>
        <v/>
      </c>
      <c r="R215" s="1687" t="str" cm="1">
        <f t="array" aca="1" ref="R215" ca="1">IFERROR(IF($L215&lt;&gt;"",_xll.PBF($L215,$N$126,$O$126,R$127,"","EUR","r"),""),"")</f>
        <v/>
      </c>
      <c r="S215" s="1687" t="str" cm="1">
        <f t="array" aca="1" ref="S215" ca="1">IFERROR(IF($L215&lt;&gt;"",_xll.PBF($L215,$N$126,$O$126,S$127,"","EUR","r"),""),"")</f>
        <v/>
      </c>
      <c r="T215" s="1687" t="str" cm="1">
        <f t="array" aca="1" ref="T215" ca="1">IFERROR(IF($L215&lt;&gt;"",_xll.PBF($L215,$N$126,$O$126,T$127,"","EUR","r"),""),"")</f>
        <v/>
      </c>
      <c r="U215" s="1687" t="str" cm="1">
        <f t="array" aca="1" ref="U215" ca="1">IFERROR(IF($L215&lt;&gt;"",_xll.PBF($L215,$N$126,$O$126,U$127,"","EUR","r"),""),"")</f>
        <v/>
      </c>
      <c r="V215" s="1687" t="str" cm="1">
        <f t="array" aca="1" ref="V215" ca="1">IFERROR(IF($L215&lt;&gt;"",_xll.PBF($L215,$N$126,$O$126,V$127,"","EUR","r"),""),"")</f>
        <v/>
      </c>
      <c r="W215" s="1687" t="str" cm="1">
        <f t="array" aca="1" ref="W215" ca="1">IFERROR(IF($L215&lt;&gt;"",_xll.PBF($L215,$N$126,$O$126,W$127,"","EUR","r"),""),"")</f>
        <v/>
      </c>
      <c r="X215" s="1687" t="str" cm="1">
        <f t="array" aca="1" ref="X215" ca="1">IFERROR(IF($L215&lt;&gt;"",_xll.PBF($L215,$N$126,$O$126,X$127,"","EUR","r"),""),"")</f>
        <v/>
      </c>
      <c r="Y215" s="1687" t="str" cm="1">
        <f t="array" aca="1" ref="Y215" ca="1">IFERROR(IF($L215&lt;&gt;"",_xll.PBF($L215,$N$126,$O$126,Y$127,"","EUR","r"),""),"")</f>
        <v/>
      </c>
      <c r="Z215" s="1687" t="str" cm="1">
        <f t="array" aca="1" ref="Z215" ca="1">IFERROR(IF($L215&lt;&gt;"",_xll.PBF($L215,$N$126,$O$126,Z$127,"","EUR","r"),""),"")</f>
        <v/>
      </c>
      <c r="AA215" s="1687" t="str" cm="1">
        <f t="array" aca="1" ref="AA215" ca="1">IFERROR(IF($L215&lt;&gt;"",_xll.PBF($L215,$N$126,$O$126,AA$127,"","EUR","r"),""),"")</f>
        <v/>
      </c>
      <c r="AB215" s="1687" t="str" cm="1">
        <f t="array" aca="1" ref="AB215" ca="1">IFERROR(IF($L215&lt;&gt;"",_xll.PBF($L215,$N$126,$O$126,AB$127,"","EUR","r"),""),"")</f>
        <v/>
      </c>
      <c r="AC215" s="1687" t="str" cm="1">
        <f t="array" aca="1" ref="AC215" ca="1">IFERROR(IF($L215&lt;&gt;"",_xll.PBF($L215,$N$126,$O$126,AC$127,"","EUR","r"),""),"")</f>
        <v/>
      </c>
      <c r="AD215" s="1687" t="str" cm="1">
        <f t="array" aca="1" ref="AD215" ca="1">IFERROR(IF($L215&lt;&gt;"",_xll.PBF($L215,$N$126,$O$126,AD$127,"","EUR","r"),""),"")</f>
        <v/>
      </c>
      <c r="AE215" s="1687" t="str" cm="1">
        <f t="array" aca="1" ref="AE215" ca="1">IFERROR(IF($L215&lt;&gt;"",_xll.PBF($L215,$N$126,$O$126,AE$127,"","EUR","r"),""),"")</f>
        <v/>
      </c>
      <c r="AF215" s="1687" t="str" cm="1">
        <f t="array" aca="1" ref="AF215" ca="1">IFERROR(IF($L215&lt;&gt;"",_xll.PBF($L215,$N$126,$O$126,AF$127,"","EUR","r"),""),"")</f>
        <v/>
      </c>
      <c r="AG215" s="1687" t="str" cm="1">
        <f t="array" aca="1" ref="AG215" ca="1">IFERROR(IF($L215&lt;&gt;"",_xll.PBF($L215,$N$126,$O$126,AG$127,"","EUR","r"),""),"")</f>
        <v/>
      </c>
      <c r="AH215" s="1687" t="str" cm="1">
        <f t="array" aca="1" ref="AH215" ca="1">IFERROR(IF($L215&lt;&gt;"",_xll.PBF($L215,$N$126,$O$126,AH$127,"","EUR","r"),""),"")</f>
        <v/>
      </c>
      <c r="AI215" s="1687" t="str" cm="1">
        <f t="array" aca="1" ref="AI215" ca="1">IFERROR(IF($L215&lt;&gt;"",_xll.PBF($L215,$N$126,$O$126,AI$127,"","EUR","r"),""),"")</f>
        <v/>
      </c>
    </row>
    <row r="216" spans="12:35">
      <c r="L216" s="438" t="str">
        <f t="shared" si="34"/>
        <v/>
      </c>
      <c r="N216" s="1687" t="str" cm="1">
        <f t="array" aca="1" ref="N216" ca="1">IFERROR(IF($L216&lt;&gt;"",_xll.PBF($L216,$N$126,$O$126,N$127,"","EUR","r"),""),"")</f>
        <v/>
      </c>
      <c r="O216" s="1687" t="str" cm="1">
        <f t="array" aca="1" ref="O216" ca="1">IFERROR(IF($L216&lt;&gt;"",_xll.PBF($L216,$N$126,$O$126,O$127,"","EUR","r"),""),"")</f>
        <v/>
      </c>
      <c r="P216" s="1687" t="str" cm="1">
        <f t="array" aca="1" ref="P216" ca="1">IFERROR(IF($L216&lt;&gt;"",_xll.PBF($L216,$N$126,$O$126,P$127,"","EUR","r"),""),"")</f>
        <v/>
      </c>
      <c r="Q216" s="1687" t="str" cm="1">
        <f t="array" aca="1" ref="Q216" ca="1">IFERROR(IF($L216&lt;&gt;"",_xll.PBF($L216,$N$126,$O$126,Q$127,"","EUR","r"),""),"")</f>
        <v/>
      </c>
      <c r="R216" s="1687" t="str" cm="1">
        <f t="array" aca="1" ref="R216" ca="1">IFERROR(IF($L216&lt;&gt;"",_xll.PBF($L216,$N$126,$O$126,R$127,"","EUR","r"),""),"")</f>
        <v/>
      </c>
      <c r="S216" s="1687" t="str" cm="1">
        <f t="array" aca="1" ref="S216" ca="1">IFERROR(IF($L216&lt;&gt;"",_xll.PBF($L216,$N$126,$O$126,S$127,"","EUR","r"),""),"")</f>
        <v/>
      </c>
      <c r="T216" s="1687" t="str" cm="1">
        <f t="array" aca="1" ref="T216" ca="1">IFERROR(IF($L216&lt;&gt;"",_xll.PBF($L216,$N$126,$O$126,T$127,"","EUR","r"),""),"")</f>
        <v/>
      </c>
      <c r="U216" s="1687" t="str" cm="1">
        <f t="array" aca="1" ref="U216" ca="1">IFERROR(IF($L216&lt;&gt;"",_xll.PBF($L216,$N$126,$O$126,U$127,"","EUR","r"),""),"")</f>
        <v/>
      </c>
      <c r="V216" s="1687" t="str" cm="1">
        <f t="array" aca="1" ref="V216" ca="1">IFERROR(IF($L216&lt;&gt;"",_xll.PBF($L216,$N$126,$O$126,V$127,"","EUR","r"),""),"")</f>
        <v/>
      </c>
      <c r="W216" s="1687" t="str" cm="1">
        <f t="array" aca="1" ref="W216" ca="1">IFERROR(IF($L216&lt;&gt;"",_xll.PBF($L216,$N$126,$O$126,W$127,"","EUR","r"),""),"")</f>
        <v/>
      </c>
      <c r="X216" s="1687" t="str" cm="1">
        <f t="array" aca="1" ref="X216" ca="1">IFERROR(IF($L216&lt;&gt;"",_xll.PBF($L216,$N$126,$O$126,X$127,"","EUR","r"),""),"")</f>
        <v/>
      </c>
      <c r="Y216" s="1687" t="str" cm="1">
        <f t="array" aca="1" ref="Y216" ca="1">IFERROR(IF($L216&lt;&gt;"",_xll.PBF($L216,$N$126,$O$126,Y$127,"","EUR","r"),""),"")</f>
        <v/>
      </c>
      <c r="Z216" s="1687" t="str" cm="1">
        <f t="array" aca="1" ref="Z216" ca="1">IFERROR(IF($L216&lt;&gt;"",_xll.PBF($L216,$N$126,$O$126,Z$127,"","EUR","r"),""),"")</f>
        <v/>
      </c>
      <c r="AA216" s="1687" t="str" cm="1">
        <f t="array" aca="1" ref="AA216" ca="1">IFERROR(IF($L216&lt;&gt;"",_xll.PBF($L216,$N$126,$O$126,AA$127,"","EUR","r"),""),"")</f>
        <v/>
      </c>
      <c r="AB216" s="1687" t="str" cm="1">
        <f t="array" aca="1" ref="AB216" ca="1">IFERROR(IF($L216&lt;&gt;"",_xll.PBF($L216,$N$126,$O$126,AB$127,"","EUR","r"),""),"")</f>
        <v/>
      </c>
      <c r="AC216" s="1687" t="str" cm="1">
        <f t="array" aca="1" ref="AC216" ca="1">IFERROR(IF($L216&lt;&gt;"",_xll.PBF($L216,$N$126,$O$126,AC$127,"","EUR","r"),""),"")</f>
        <v/>
      </c>
      <c r="AD216" s="1687" t="str" cm="1">
        <f t="array" aca="1" ref="AD216" ca="1">IFERROR(IF($L216&lt;&gt;"",_xll.PBF($L216,$N$126,$O$126,AD$127,"","EUR","r"),""),"")</f>
        <v/>
      </c>
      <c r="AE216" s="1687" t="str" cm="1">
        <f t="array" aca="1" ref="AE216" ca="1">IFERROR(IF($L216&lt;&gt;"",_xll.PBF($L216,$N$126,$O$126,AE$127,"","EUR","r"),""),"")</f>
        <v/>
      </c>
      <c r="AF216" s="1687" t="str" cm="1">
        <f t="array" aca="1" ref="AF216" ca="1">IFERROR(IF($L216&lt;&gt;"",_xll.PBF($L216,$N$126,$O$126,AF$127,"","EUR","r"),""),"")</f>
        <v/>
      </c>
      <c r="AG216" s="1687" t="str" cm="1">
        <f t="array" aca="1" ref="AG216" ca="1">IFERROR(IF($L216&lt;&gt;"",_xll.PBF($L216,$N$126,$O$126,AG$127,"","EUR","r"),""),"")</f>
        <v/>
      </c>
      <c r="AH216" s="1687" t="str" cm="1">
        <f t="array" aca="1" ref="AH216" ca="1">IFERROR(IF($L216&lt;&gt;"",_xll.PBF($L216,$N$126,$O$126,AH$127,"","EUR","r"),""),"")</f>
        <v/>
      </c>
      <c r="AI216" s="1687" t="str" cm="1">
        <f t="array" aca="1" ref="AI216" ca="1">IFERROR(IF($L216&lt;&gt;"",_xll.PBF($L216,$N$126,$O$126,AI$127,"","EUR","r"),""),"")</f>
        <v/>
      </c>
    </row>
    <row r="217" spans="12:35">
      <c r="L217" s="438" t="str">
        <f t="shared" si="34"/>
        <v/>
      </c>
      <c r="N217" s="1687" t="str" cm="1">
        <f t="array" aca="1" ref="N217" ca="1">IFERROR(IF($L217&lt;&gt;"",_xll.PBF($L217,$N$126,$O$126,N$127,"","EUR","r"),""),"")</f>
        <v/>
      </c>
      <c r="O217" s="1687" t="str" cm="1">
        <f t="array" aca="1" ref="O217" ca="1">IFERROR(IF($L217&lt;&gt;"",_xll.PBF($L217,$N$126,$O$126,O$127,"","EUR","r"),""),"")</f>
        <v/>
      </c>
      <c r="P217" s="1687" t="str" cm="1">
        <f t="array" aca="1" ref="P217" ca="1">IFERROR(IF($L217&lt;&gt;"",_xll.PBF($L217,$N$126,$O$126,P$127,"","EUR","r"),""),"")</f>
        <v/>
      </c>
      <c r="Q217" s="1687" t="str" cm="1">
        <f t="array" aca="1" ref="Q217" ca="1">IFERROR(IF($L217&lt;&gt;"",_xll.PBF($L217,$N$126,$O$126,Q$127,"","EUR","r"),""),"")</f>
        <v/>
      </c>
      <c r="R217" s="1687" t="str" cm="1">
        <f t="array" aca="1" ref="R217" ca="1">IFERROR(IF($L217&lt;&gt;"",_xll.PBF($L217,$N$126,$O$126,R$127,"","EUR","r"),""),"")</f>
        <v/>
      </c>
      <c r="S217" s="1687" t="str" cm="1">
        <f t="array" aca="1" ref="S217" ca="1">IFERROR(IF($L217&lt;&gt;"",_xll.PBF($L217,$N$126,$O$126,S$127,"","EUR","r"),""),"")</f>
        <v/>
      </c>
      <c r="T217" s="1687" t="str" cm="1">
        <f t="array" aca="1" ref="T217" ca="1">IFERROR(IF($L217&lt;&gt;"",_xll.PBF($L217,$N$126,$O$126,T$127,"","EUR","r"),""),"")</f>
        <v/>
      </c>
      <c r="U217" s="1687" t="str" cm="1">
        <f t="array" aca="1" ref="U217" ca="1">IFERROR(IF($L217&lt;&gt;"",_xll.PBF($L217,$N$126,$O$126,U$127,"","EUR","r"),""),"")</f>
        <v/>
      </c>
      <c r="V217" s="1687" t="str" cm="1">
        <f t="array" aca="1" ref="V217" ca="1">IFERROR(IF($L217&lt;&gt;"",_xll.PBF($L217,$N$126,$O$126,V$127,"","EUR","r"),""),"")</f>
        <v/>
      </c>
      <c r="W217" s="1687" t="str" cm="1">
        <f t="array" aca="1" ref="W217" ca="1">IFERROR(IF($L217&lt;&gt;"",_xll.PBF($L217,$N$126,$O$126,W$127,"","EUR","r"),""),"")</f>
        <v/>
      </c>
      <c r="X217" s="1687" t="str" cm="1">
        <f t="array" aca="1" ref="X217" ca="1">IFERROR(IF($L217&lt;&gt;"",_xll.PBF($L217,$N$126,$O$126,X$127,"","EUR","r"),""),"")</f>
        <v/>
      </c>
      <c r="Y217" s="1687" t="str" cm="1">
        <f t="array" aca="1" ref="Y217" ca="1">IFERROR(IF($L217&lt;&gt;"",_xll.PBF($L217,$N$126,$O$126,Y$127,"","EUR","r"),""),"")</f>
        <v/>
      </c>
      <c r="Z217" s="1687" t="str" cm="1">
        <f t="array" aca="1" ref="Z217" ca="1">IFERROR(IF($L217&lt;&gt;"",_xll.PBF($L217,$N$126,$O$126,Z$127,"","EUR","r"),""),"")</f>
        <v/>
      </c>
      <c r="AA217" s="1687" t="str" cm="1">
        <f t="array" aca="1" ref="AA217" ca="1">IFERROR(IF($L217&lt;&gt;"",_xll.PBF($L217,$N$126,$O$126,AA$127,"","EUR","r"),""),"")</f>
        <v/>
      </c>
      <c r="AB217" s="1687" t="str" cm="1">
        <f t="array" aca="1" ref="AB217" ca="1">IFERROR(IF($L217&lt;&gt;"",_xll.PBF($L217,$N$126,$O$126,AB$127,"","EUR","r"),""),"")</f>
        <v/>
      </c>
      <c r="AC217" s="1687" t="str" cm="1">
        <f t="array" aca="1" ref="AC217" ca="1">IFERROR(IF($L217&lt;&gt;"",_xll.PBF($L217,$N$126,$O$126,AC$127,"","EUR","r"),""),"")</f>
        <v/>
      </c>
      <c r="AD217" s="1687" t="str" cm="1">
        <f t="array" aca="1" ref="AD217" ca="1">IFERROR(IF($L217&lt;&gt;"",_xll.PBF($L217,$N$126,$O$126,AD$127,"","EUR","r"),""),"")</f>
        <v/>
      </c>
      <c r="AE217" s="1687" t="str" cm="1">
        <f t="array" aca="1" ref="AE217" ca="1">IFERROR(IF($L217&lt;&gt;"",_xll.PBF($L217,$N$126,$O$126,AE$127,"","EUR","r"),""),"")</f>
        <v/>
      </c>
      <c r="AF217" s="1687" t="str" cm="1">
        <f t="array" aca="1" ref="AF217" ca="1">IFERROR(IF($L217&lt;&gt;"",_xll.PBF($L217,$N$126,$O$126,AF$127,"","EUR","r"),""),"")</f>
        <v/>
      </c>
      <c r="AG217" s="1687" t="str" cm="1">
        <f t="array" aca="1" ref="AG217" ca="1">IFERROR(IF($L217&lt;&gt;"",_xll.PBF($L217,$N$126,$O$126,AG$127,"","EUR","r"),""),"")</f>
        <v/>
      </c>
      <c r="AH217" s="1687" t="str" cm="1">
        <f t="array" aca="1" ref="AH217" ca="1">IFERROR(IF($L217&lt;&gt;"",_xll.PBF($L217,$N$126,$O$126,AH$127,"","EUR","r"),""),"")</f>
        <v/>
      </c>
      <c r="AI217" s="1687" t="str" cm="1">
        <f t="array" aca="1" ref="AI217" ca="1">IFERROR(IF($L217&lt;&gt;"",_xll.PBF($L217,$N$126,$O$126,AI$127,"","EUR","r"),""),"")</f>
        <v/>
      </c>
    </row>
    <row r="218" spans="12:35">
      <c r="L218" s="438" t="str">
        <f t="shared" si="34"/>
        <v/>
      </c>
      <c r="N218" s="1687" t="str" cm="1">
        <f t="array" aca="1" ref="N218" ca="1">IFERROR(IF($L218&lt;&gt;"",_xll.PBF($L218,$N$126,$O$126,N$127,"","EUR","r"),""),"")</f>
        <v/>
      </c>
      <c r="O218" s="1687" t="str" cm="1">
        <f t="array" aca="1" ref="O218" ca="1">IFERROR(IF($L218&lt;&gt;"",_xll.PBF($L218,$N$126,$O$126,O$127,"","EUR","r"),""),"")</f>
        <v/>
      </c>
      <c r="P218" s="1687" t="str" cm="1">
        <f t="array" aca="1" ref="P218" ca="1">IFERROR(IF($L218&lt;&gt;"",_xll.PBF($L218,$N$126,$O$126,P$127,"","EUR","r"),""),"")</f>
        <v/>
      </c>
      <c r="Q218" s="1687" t="str" cm="1">
        <f t="array" aca="1" ref="Q218" ca="1">IFERROR(IF($L218&lt;&gt;"",_xll.PBF($L218,$N$126,$O$126,Q$127,"","EUR","r"),""),"")</f>
        <v/>
      </c>
      <c r="R218" s="1687" t="str" cm="1">
        <f t="array" aca="1" ref="R218" ca="1">IFERROR(IF($L218&lt;&gt;"",_xll.PBF($L218,$N$126,$O$126,R$127,"","EUR","r"),""),"")</f>
        <v/>
      </c>
      <c r="S218" s="1687" t="str" cm="1">
        <f t="array" aca="1" ref="S218" ca="1">IFERROR(IF($L218&lt;&gt;"",_xll.PBF($L218,$N$126,$O$126,S$127,"","EUR","r"),""),"")</f>
        <v/>
      </c>
      <c r="T218" s="1687" t="str" cm="1">
        <f t="array" aca="1" ref="T218" ca="1">IFERROR(IF($L218&lt;&gt;"",_xll.PBF($L218,$N$126,$O$126,T$127,"","EUR","r"),""),"")</f>
        <v/>
      </c>
      <c r="U218" s="1687" t="str" cm="1">
        <f t="array" aca="1" ref="U218" ca="1">IFERROR(IF($L218&lt;&gt;"",_xll.PBF($L218,$N$126,$O$126,U$127,"","EUR","r"),""),"")</f>
        <v/>
      </c>
      <c r="V218" s="1687" t="str" cm="1">
        <f t="array" aca="1" ref="V218" ca="1">IFERROR(IF($L218&lt;&gt;"",_xll.PBF($L218,$N$126,$O$126,V$127,"","EUR","r"),""),"")</f>
        <v/>
      </c>
      <c r="W218" s="1687" t="str" cm="1">
        <f t="array" aca="1" ref="W218" ca="1">IFERROR(IF($L218&lt;&gt;"",_xll.PBF($L218,$N$126,$O$126,W$127,"","EUR","r"),""),"")</f>
        <v/>
      </c>
      <c r="X218" s="1687" t="str" cm="1">
        <f t="array" aca="1" ref="X218" ca="1">IFERROR(IF($L218&lt;&gt;"",_xll.PBF($L218,$N$126,$O$126,X$127,"","EUR","r"),""),"")</f>
        <v/>
      </c>
      <c r="Y218" s="1687" t="str" cm="1">
        <f t="array" aca="1" ref="Y218" ca="1">IFERROR(IF($L218&lt;&gt;"",_xll.PBF($L218,$N$126,$O$126,Y$127,"","EUR","r"),""),"")</f>
        <v/>
      </c>
      <c r="Z218" s="1687" t="str" cm="1">
        <f t="array" aca="1" ref="Z218" ca="1">IFERROR(IF($L218&lt;&gt;"",_xll.PBF($L218,$N$126,$O$126,Z$127,"","EUR","r"),""),"")</f>
        <v/>
      </c>
      <c r="AA218" s="1687" t="str" cm="1">
        <f t="array" aca="1" ref="AA218" ca="1">IFERROR(IF($L218&lt;&gt;"",_xll.PBF($L218,$N$126,$O$126,AA$127,"","EUR","r"),""),"")</f>
        <v/>
      </c>
      <c r="AB218" s="1687" t="str" cm="1">
        <f t="array" aca="1" ref="AB218" ca="1">IFERROR(IF($L218&lt;&gt;"",_xll.PBF($L218,$N$126,$O$126,AB$127,"","EUR","r"),""),"")</f>
        <v/>
      </c>
      <c r="AC218" s="1687" t="str" cm="1">
        <f t="array" aca="1" ref="AC218" ca="1">IFERROR(IF($L218&lt;&gt;"",_xll.PBF($L218,$N$126,$O$126,AC$127,"","EUR","r"),""),"")</f>
        <v/>
      </c>
      <c r="AD218" s="1687" t="str" cm="1">
        <f t="array" aca="1" ref="AD218" ca="1">IFERROR(IF($L218&lt;&gt;"",_xll.PBF($L218,$N$126,$O$126,AD$127,"","EUR","r"),""),"")</f>
        <v/>
      </c>
      <c r="AE218" s="1687" t="str" cm="1">
        <f t="array" aca="1" ref="AE218" ca="1">IFERROR(IF($L218&lt;&gt;"",_xll.PBF($L218,$N$126,$O$126,AE$127,"","EUR","r"),""),"")</f>
        <v/>
      </c>
      <c r="AF218" s="1687" t="str" cm="1">
        <f t="array" aca="1" ref="AF218" ca="1">IFERROR(IF($L218&lt;&gt;"",_xll.PBF($L218,$N$126,$O$126,AF$127,"","EUR","r"),""),"")</f>
        <v/>
      </c>
      <c r="AG218" s="1687" t="str" cm="1">
        <f t="array" aca="1" ref="AG218" ca="1">IFERROR(IF($L218&lt;&gt;"",_xll.PBF($L218,$N$126,$O$126,AG$127,"","EUR","r"),""),"")</f>
        <v/>
      </c>
      <c r="AH218" s="1687" t="str" cm="1">
        <f t="array" aca="1" ref="AH218" ca="1">IFERROR(IF($L218&lt;&gt;"",_xll.PBF($L218,$N$126,$O$126,AH$127,"","EUR","r"),""),"")</f>
        <v/>
      </c>
      <c r="AI218" s="1687" t="str" cm="1">
        <f t="array" aca="1" ref="AI218" ca="1">IFERROR(IF($L218&lt;&gt;"",_xll.PBF($L218,$N$126,$O$126,AI$127,"","EUR","r"),""),"")</f>
        <v/>
      </c>
    </row>
    <row r="219" spans="12:35">
      <c r="L219" s="438" t="str">
        <f t="shared" si="34"/>
        <v/>
      </c>
      <c r="N219" s="1687" t="str" cm="1">
        <f t="array" aca="1" ref="N219" ca="1">IFERROR(IF($L219&lt;&gt;"",_xll.PBF($L219,$N$126,$O$126,N$127,"","EUR","r"),""),"")</f>
        <v/>
      </c>
      <c r="O219" s="1687" t="str" cm="1">
        <f t="array" aca="1" ref="O219" ca="1">IFERROR(IF($L219&lt;&gt;"",_xll.PBF($L219,$N$126,$O$126,O$127,"","EUR","r"),""),"")</f>
        <v/>
      </c>
      <c r="P219" s="1687" t="str" cm="1">
        <f t="array" aca="1" ref="P219" ca="1">IFERROR(IF($L219&lt;&gt;"",_xll.PBF($L219,$N$126,$O$126,P$127,"","EUR","r"),""),"")</f>
        <v/>
      </c>
      <c r="Q219" s="1687" t="str" cm="1">
        <f t="array" aca="1" ref="Q219" ca="1">IFERROR(IF($L219&lt;&gt;"",_xll.PBF($L219,$N$126,$O$126,Q$127,"","EUR","r"),""),"")</f>
        <v/>
      </c>
      <c r="R219" s="1687" t="str" cm="1">
        <f t="array" aca="1" ref="R219" ca="1">IFERROR(IF($L219&lt;&gt;"",_xll.PBF($L219,$N$126,$O$126,R$127,"","EUR","r"),""),"")</f>
        <v/>
      </c>
      <c r="S219" s="1687" t="str" cm="1">
        <f t="array" aca="1" ref="S219" ca="1">IFERROR(IF($L219&lt;&gt;"",_xll.PBF($L219,$N$126,$O$126,S$127,"","EUR","r"),""),"")</f>
        <v/>
      </c>
      <c r="T219" s="1687" t="str" cm="1">
        <f t="array" aca="1" ref="T219" ca="1">IFERROR(IF($L219&lt;&gt;"",_xll.PBF($L219,$N$126,$O$126,T$127,"","EUR","r"),""),"")</f>
        <v/>
      </c>
      <c r="U219" s="1687" t="str" cm="1">
        <f t="array" aca="1" ref="U219" ca="1">IFERROR(IF($L219&lt;&gt;"",_xll.PBF($L219,$N$126,$O$126,U$127,"","EUR","r"),""),"")</f>
        <v/>
      </c>
      <c r="V219" s="1687" t="str" cm="1">
        <f t="array" aca="1" ref="V219" ca="1">IFERROR(IF($L219&lt;&gt;"",_xll.PBF($L219,$N$126,$O$126,V$127,"","EUR","r"),""),"")</f>
        <v/>
      </c>
      <c r="W219" s="1687" t="str" cm="1">
        <f t="array" aca="1" ref="W219" ca="1">IFERROR(IF($L219&lt;&gt;"",_xll.PBF($L219,$N$126,$O$126,W$127,"","EUR","r"),""),"")</f>
        <v/>
      </c>
      <c r="X219" s="1687" t="str" cm="1">
        <f t="array" aca="1" ref="X219" ca="1">IFERROR(IF($L219&lt;&gt;"",_xll.PBF($L219,$N$126,$O$126,X$127,"","EUR","r"),""),"")</f>
        <v/>
      </c>
      <c r="Y219" s="1687" t="str" cm="1">
        <f t="array" aca="1" ref="Y219" ca="1">IFERROR(IF($L219&lt;&gt;"",_xll.PBF($L219,$N$126,$O$126,Y$127,"","EUR","r"),""),"")</f>
        <v/>
      </c>
      <c r="Z219" s="1687" t="str" cm="1">
        <f t="array" aca="1" ref="Z219" ca="1">IFERROR(IF($L219&lt;&gt;"",_xll.PBF($L219,$N$126,$O$126,Z$127,"","EUR","r"),""),"")</f>
        <v/>
      </c>
      <c r="AA219" s="1687" t="str" cm="1">
        <f t="array" aca="1" ref="AA219" ca="1">IFERROR(IF($L219&lt;&gt;"",_xll.PBF($L219,$N$126,$O$126,AA$127,"","EUR","r"),""),"")</f>
        <v/>
      </c>
      <c r="AB219" s="1687" t="str" cm="1">
        <f t="array" aca="1" ref="AB219" ca="1">IFERROR(IF($L219&lt;&gt;"",_xll.PBF($L219,$N$126,$O$126,AB$127,"","EUR","r"),""),"")</f>
        <v/>
      </c>
      <c r="AC219" s="1687" t="str" cm="1">
        <f t="array" aca="1" ref="AC219" ca="1">IFERROR(IF($L219&lt;&gt;"",_xll.PBF($L219,$N$126,$O$126,AC$127,"","EUR","r"),""),"")</f>
        <v/>
      </c>
      <c r="AD219" s="1687" t="str" cm="1">
        <f t="array" aca="1" ref="AD219" ca="1">IFERROR(IF($L219&lt;&gt;"",_xll.PBF($L219,$N$126,$O$126,AD$127,"","EUR","r"),""),"")</f>
        <v/>
      </c>
      <c r="AE219" s="1687" t="str" cm="1">
        <f t="array" aca="1" ref="AE219" ca="1">IFERROR(IF($L219&lt;&gt;"",_xll.PBF($L219,$N$126,$O$126,AE$127,"","EUR","r"),""),"")</f>
        <v/>
      </c>
      <c r="AF219" s="1687" t="str" cm="1">
        <f t="array" aca="1" ref="AF219" ca="1">IFERROR(IF($L219&lt;&gt;"",_xll.PBF($L219,$N$126,$O$126,AF$127,"","EUR","r"),""),"")</f>
        <v/>
      </c>
      <c r="AG219" s="1687" t="str" cm="1">
        <f t="array" aca="1" ref="AG219" ca="1">IFERROR(IF($L219&lt;&gt;"",_xll.PBF($L219,$N$126,$O$126,AG$127,"","EUR","r"),""),"")</f>
        <v/>
      </c>
      <c r="AH219" s="1687" t="str" cm="1">
        <f t="array" aca="1" ref="AH219" ca="1">IFERROR(IF($L219&lt;&gt;"",_xll.PBF($L219,$N$126,$O$126,AH$127,"","EUR","r"),""),"")</f>
        <v/>
      </c>
      <c r="AI219" s="1687" t="str" cm="1">
        <f t="array" aca="1" ref="AI219" ca="1">IFERROR(IF($L219&lt;&gt;"",_xll.PBF($L219,$N$126,$O$126,AI$127,"","EUR","r"),""),"")</f>
        <v/>
      </c>
    </row>
    <row r="220" spans="12:35">
      <c r="L220" s="438" t="str">
        <f t="shared" si="34"/>
        <v/>
      </c>
      <c r="N220" s="1687" t="str" cm="1">
        <f t="array" aca="1" ref="N220" ca="1">IFERROR(IF($L220&lt;&gt;"",_xll.PBF($L220,$N$126,$O$126,N$127,"","EUR","r"),""),"")</f>
        <v/>
      </c>
      <c r="O220" s="1687" t="str" cm="1">
        <f t="array" aca="1" ref="O220" ca="1">IFERROR(IF($L220&lt;&gt;"",_xll.PBF($L220,$N$126,$O$126,O$127,"","EUR","r"),""),"")</f>
        <v/>
      </c>
      <c r="P220" s="1687" t="str" cm="1">
        <f t="array" aca="1" ref="P220" ca="1">IFERROR(IF($L220&lt;&gt;"",_xll.PBF($L220,$N$126,$O$126,P$127,"","EUR","r"),""),"")</f>
        <v/>
      </c>
      <c r="Q220" s="1687" t="str" cm="1">
        <f t="array" aca="1" ref="Q220" ca="1">IFERROR(IF($L220&lt;&gt;"",_xll.PBF($L220,$N$126,$O$126,Q$127,"","EUR","r"),""),"")</f>
        <v/>
      </c>
      <c r="R220" s="1687" t="str" cm="1">
        <f t="array" aca="1" ref="R220" ca="1">IFERROR(IF($L220&lt;&gt;"",_xll.PBF($L220,$N$126,$O$126,R$127,"","EUR","r"),""),"")</f>
        <v/>
      </c>
      <c r="S220" s="1687" t="str" cm="1">
        <f t="array" aca="1" ref="S220" ca="1">IFERROR(IF($L220&lt;&gt;"",_xll.PBF($L220,$N$126,$O$126,S$127,"","EUR","r"),""),"")</f>
        <v/>
      </c>
      <c r="T220" s="1687" t="str" cm="1">
        <f t="array" aca="1" ref="T220" ca="1">IFERROR(IF($L220&lt;&gt;"",_xll.PBF($L220,$N$126,$O$126,T$127,"","EUR","r"),""),"")</f>
        <v/>
      </c>
      <c r="U220" s="1687" t="str" cm="1">
        <f t="array" aca="1" ref="U220" ca="1">IFERROR(IF($L220&lt;&gt;"",_xll.PBF($L220,$N$126,$O$126,U$127,"","EUR","r"),""),"")</f>
        <v/>
      </c>
      <c r="V220" s="1687" t="str" cm="1">
        <f t="array" aca="1" ref="V220" ca="1">IFERROR(IF($L220&lt;&gt;"",_xll.PBF($L220,$N$126,$O$126,V$127,"","EUR","r"),""),"")</f>
        <v/>
      </c>
      <c r="W220" s="1687" t="str" cm="1">
        <f t="array" aca="1" ref="W220" ca="1">IFERROR(IF($L220&lt;&gt;"",_xll.PBF($L220,$N$126,$O$126,W$127,"","EUR","r"),""),"")</f>
        <v/>
      </c>
      <c r="X220" s="1687" t="str" cm="1">
        <f t="array" aca="1" ref="X220" ca="1">IFERROR(IF($L220&lt;&gt;"",_xll.PBF($L220,$N$126,$O$126,X$127,"","EUR","r"),""),"")</f>
        <v/>
      </c>
      <c r="Y220" s="1687" t="str" cm="1">
        <f t="array" aca="1" ref="Y220" ca="1">IFERROR(IF($L220&lt;&gt;"",_xll.PBF($L220,$N$126,$O$126,Y$127,"","EUR","r"),""),"")</f>
        <v/>
      </c>
      <c r="Z220" s="1687" t="str" cm="1">
        <f t="array" aca="1" ref="Z220" ca="1">IFERROR(IF($L220&lt;&gt;"",_xll.PBF($L220,$N$126,$O$126,Z$127,"","EUR","r"),""),"")</f>
        <v/>
      </c>
      <c r="AA220" s="1687" t="str" cm="1">
        <f t="array" aca="1" ref="AA220" ca="1">IFERROR(IF($L220&lt;&gt;"",_xll.PBF($L220,$N$126,$O$126,AA$127,"","EUR","r"),""),"")</f>
        <v/>
      </c>
      <c r="AB220" s="1687" t="str" cm="1">
        <f t="array" aca="1" ref="AB220" ca="1">IFERROR(IF($L220&lt;&gt;"",_xll.PBF($L220,$N$126,$O$126,AB$127,"","EUR","r"),""),"")</f>
        <v/>
      </c>
      <c r="AC220" s="1687" t="str" cm="1">
        <f t="array" aca="1" ref="AC220" ca="1">IFERROR(IF($L220&lt;&gt;"",_xll.PBF($L220,$N$126,$O$126,AC$127,"","EUR","r"),""),"")</f>
        <v/>
      </c>
      <c r="AD220" s="1687" t="str" cm="1">
        <f t="array" aca="1" ref="AD220" ca="1">IFERROR(IF($L220&lt;&gt;"",_xll.PBF($L220,$N$126,$O$126,AD$127,"","EUR","r"),""),"")</f>
        <v/>
      </c>
      <c r="AE220" s="1687" t="str" cm="1">
        <f t="array" aca="1" ref="AE220" ca="1">IFERROR(IF($L220&lt;&gt;"",_xll.PBF($L220,$N$126,$O$126,AE$127,"","EUR","r"),""),"")</f>
        <v/>
      </c>
      <c r="AF220" s="1687" t="str" cm="1">
        <f t="array" aca="1" ref="AF220" ca="1">IFERROR(IF($L220&lt;&gt;"",_xll.PBF($L220,$N$126,$O$126,AF$127,"","EUR","r"),""),"")</f>
        <v/>
      </c>
      <c r="AG220" s="1687" t="str" cm="1">
        <f t="array" aca="1" ref="AG220" ca="1">IFERROR(IF($L220&lt;&gt;"",_xll.PBF($L220,$N$126,$O$126,AG$127,"","EUR","r"),""),"")</f>
        <v/>
      </c>
      <c r="AH220" s="1687" t="str" cm="1">
        <f t="array" aca="1" ref="AH220" ca="1">IFERROR(IF($L220&lt;&gt;"",_xll.PBF($L220,$N$126,$O$126,AH$127,"","EUR","r"),""),"")</f>
        <v/>
      </c>
      <c r="AI220" s="1687" t="str" cm="1">
        <f t="array" aca="1" ref="AI220" ca="1">IFERROR(IF($L220&lt;&gt;"",_xll.PBF($L220,$N$126,$O$126,AI$127,"","EUR","r"),""),"")</f>
        <v/>
      </c>
    </row>
    <row r="221" spans="12:35">
      <c r="L221" s="438" t="str">
        <f t="shared" si="34"/>
        <v/>
      </c>
      <c r="N221" s="1687" t="str" cm="1">
        <f t="array" aca="1" ref="N221" ca="1">IFERROR(IF($L221&lt;&gt;"",_xll.PBF($L221,$N$126,$O$126,N$127,"","EUR","r"),""),"")</f>
        <v/>
      </c>
      <c r="O221" s="1687" t="str" cm="1">
        <f t="array" aca="1" ref="O221" ca="1">IFERROR(IF($L221&lt;&gt;"",_xll.PBF($L221,$N$126,$O$126,O$127,"","EUR","r"),""),"")</f>
        <v/>
      </c>
      <c r="P221" s="1687" t="str" cm="1">
        <f t="array" aca="1" ref="P221" ca="1">IFERROR(IF($L221&lt;&gt;"",_xll.PBF($L221,$N$126,$O$126,P$127,"","EUR","r"),""),"")</f>
        <v/>
      </c>
      <c r="Q221" s="1687" t="str" cm="1">
        <f t="array" aca="1" ref="Q221" ca="1">IFERROR(IF($L221&lt;&gt;"",_xll.PBF($L221,$N$126,$O$126,Q$127,"","EUR","r"),""),"")</f>
        <v/>
      </c>
      <c r="R221" s="1687" t="str" cm="1">
        <f t="array" aca="1" ref="R221" ca="1">IFERROR(IF($L221&lt;&gt;"",_xll.PBF($L221,$N$126,$O$126,R$127,"","EUR","r"),""),"")</f>
        <v/>
      </c>
      <c r="S221" s="1687" t="str" cm="1">
        <f t="array" aca="1" ref="S221" ca="1">IFERROR(IF($L221&lt;&gt;"",_xll.PBF($L221,$N$126,$O$126,S$127,"","EUR","r"),""),"")</f>
        <v/>
      </c>
      <c r="T221" s="1687" t="str" cm="1">
        <f t="array" aca="1" ref="T221" ca="1">IFERROR(IF($L221&lt;&gt;"",_xll.PBF($L221,$N$126,$O$126,T$127,"","EUR","r"),""),"")</f>
        <v/>
      </c>
      <c r="U221" s="1687" t="str" cm="1">
        <f t="array" aca="1" ref="U221" ca="1">IFERROR(IF($L221&lt;&gt;"",_xll.PBF($L221,$N$126,$O$126,U$127,"","EUR","r"),""),"")</f>
        <v/>
      </c>
      <c r="V221" s="1687" t="str" cm="1">
        <f t="array" aca="1" ref="V221" ca="1">IFERROR(IF($L221&lt;&gt;"",_xll.PBF($L221,$N$126,$O$126,V$127,"","EUR","r"),""),"")</f>
        <v/>
      </c>
      <c r="W221" s="1687" t="str" cm="1">
        <f t="array" aca="1" ref="W221" ca="1">IFERROR(IF($L221&lt;&gt;"",_xll.PBF($L221,$N$126,$O$126,W$127,"","EUR","r"),""),"")</f>
        <v/>
      </c>
      <c r="X221" s="1687" t="str" cm="1">
        <f t="array" aca="1" ref="X221" ca="1">IFERROR(IF($L221&lt;&gt;"",_xll.PBF($L221,$N$126,$O$126,X$127,"","EUR","r"),""),"")</f>
        <v/>
      </c>
      <c r="Y221" s="1687" t="str" cm="1">
        <f t="array" aca="1" ref="Y221" ca="1">IFERROR(IF($L221&lt;&gt;"",_xll.PBF($L221,$N$126,$O$126,Y$127,"","EUR","r"),""),"")</f>
        <v/>
      </c>
      <c r="Z221" s="1687" t="str" cm="1">
        <f t="array" aca="1" ref="Z221" ca="1">IFERROR(IF($L221&lt;&gt;"",_xll.PBF($L221,$N$126,$O$126,Z$127,"","EUR","r"),""),"")</f>
        <v/>
      </c>
      <c r="AA221" s="1687" t="str" cm="1">
        <f t="array" aca="1" ref="AA221" ca="1">IFERROR(IF($L221&lt;&gt;"",_xll.PBF($L221,$N$126,$O$126,AA$127,"","EUR","r"),""),"")</f>
        <v/>
      </c>
      <c r="AB221" s="1687" t="str" cm="1">
        <f t="array" aca="1" ref="AB221" ca="1">IFERROR(IF($L221&lt;&gt;"",_xll.PBF($L221,$N$126,$O$126,AB$127,"","EUR","r"),""),"")</f>
        <v/>
      </c>
      <c r="AC221" s="1687" t="str" cm="1">
        <f t="array" aca="1" ref="AC221" ca="1">IFERROR(IF($L221&lt;&gt;"",_xll.PBF($L221,$N$126,$O$126,AC$127,"","EUR","r"),""),"")</f>
        <v/>
      </c>
      <c r="AD221" s="1687" t="str" cm="1">
        <f t="array" aca="1" ref="AD221" ca="1">IFERROR(IF($L221&lt;&gt;"",_xll.PBF($L221,$N$126,$O$126,AD$127,"","EUR","r"),""),"")</f>
        <v/>
      </c>
      <c r="AE221" s="1687" t="str" cm="1">
        <f t="array" aca="1" ref="AE221" ca="1">IFERROR(IF($L221&lt;&gt;"",_xll.PBF($L221,$N$126,$O$126,AE$127,"","EUR","r"),""),"")</f>
        <v/>
      </c>
      <c r="AF221" s="1687" t="str" cm="1">
        <f t="array" aca="1" ref="AF221" ca="1">IFERROR(IF($L221&lt;&gt;"",_xll.PBF($L221,$N$126,$O$126,AF$127,"","EUR","r"),""),"")</f>
        <v/>
      </c>
      <c r="AG221" s="1687" t="str" cm="1">
        <f t="array" aca="1" ref="AG221" ca="1">IFERROR(IF($L221&lt;&gt;"",_xll.PBF($L221,$N$126,$O$126,AG$127,"","EUR","r"),""),"")</f>
        <v/>
      </c>
      <c r="AH221" s="1687" t="str" cm="1">
        <f t="array" aca="1" ref="AH221" ca="1">IFERROR(IF($L221&lt;&gt;"",_xll.PBF($L221,$N$126,$O$126,AH$127,"","EUR","r"),""),"")</f>
        <v/>
      </c>
      <c r="AI221" s="1687" t="str" cm="1">
        <f t="array" aca="1" ref="AI221" ca="1">IFERROR(IF($L221&lt;&gt;"",_xll.PBF($L221,$N$126,$O$126,AI$127,"","EUR","r"),""),"")</f>
        <v/>
      </c>
    </row>
    <row r="222" spans="12:35">
      <c r="L222" s="438" t="str">
        <f t="shared" si="34"/>
        <v/>
      </c>
      <c r="N222" s="1687" t="str" cm="1">
        <f t="array" aca="1" ref="N222" ca="1">IFERROR(IF($L222&lt;&gt;"",_xll.PBF($L222,$N$126,$O$126,N$127,"","EUR","r"),""),"")</f>
        <v/>
      </c>
      <c r="O222" s="1687" t="str" cm="1">
        <f t="array" aca="1" ref="O222" ca="1">IFERROR(IF($L222&lt;&gt;"",_xll.PBF($L222,$N$126,$O$126,O$127,"","EUR","r"),""),"")</f>
        <v/>
      </c>
      <c r="P222" s="1687" t="str" cm="1">
        <f t="array" aca="1" ref="P222" ca="1">IFERROR(IF($L222&lt;&gt;"",_xll.PBF($L222,$N$126,$O$126,P$127,"","EUR","r"),""),"")</f>
        <v/>
      </c>
      <c r="Q222" s="1687" t="str" cm="1">
        <f t="array" aca="1" ref="Q222" ca="1">IFERROR(IF($L222&lt;&gt;"",_xll.PBF($L222,$N$126,$O$126,Q$127,"","EUR","r"),""),"")</f>
        <v/>
      </c>
      <c r="R222" s="1687" t="str" cm="1">
        <f t="array" aca="1" ref="R222" ca="1">IFERROR(IF($L222&lt;&gt;"",_xll.PBF($L222,$N$126,$O$126,R$127,"","EUR","r"),""),"")</f>
        <v/>
      </c>
      <c r="S222" s="1687" t="str" cm="1">
        <f t="array" aca="1" ref="S222" ca="1">IFERROR(IF($L222&lt;&gt;"",_xll.PBF($L222,$N$126,$O$126,S$127,"","EUR","r"),""),"")</f>
        <v/>
      </c>
      <c r="T222" s="1687" t="str" cm="1">
        <f t="array" aca="1" ref="T222" ca="1">IFERROR(IF($L222&lt;&gt;"",_xll.PBF($L222,$N$126,$O$126,T$127,"","EUR","r"),""),"")</f>
        <v/>
      </c>
      <c r="U222" s="1687" t="str" cm="1">
        <f t="array" aca="1" ref="U222" ca="1">IFERROR(IF($L222&lt;&gt;"",_xll.PBF($L222,$N$126,$O$126,U$127,"","EUR","r"),""),"")</f>
        <v/>
      </c>
      <c r="V222" s="1687" t="str" cm="1">
        <f t="array" aca="1" ref="V222" ca="1">IFERROR(IF($L222&lt;&gt;"",_xll.PBF($L222,$N$126,$O$126,V$127,"","EUR","r"),""),"")</f>
        <v/>
      </c>
      <c r="W222" s="1687" t="str" cm="1">
        <f t="array" aca="1" ref="W222" ca="1">IFERROR(IF($L222&lt;&gt;"",_xll.PBF($L222,$N$126,$O$126,W$127,"","EUR","r"),""),"")</f>
        <v/>
      </c>
      <c r="X222" s="1687" t="str" cm="1">
        <f t="array" aca="1" ref="X222" ca="1">IFERROR(IF($L222&lt;&gt;"",_xll.PBF($L222,$N$126,$O$126,X$127,"","EUR","r"),""),"")</f>
        <v/>
      </c>
      <c r="Y222" s="1687" t="str" cm="1">
        <f t="array" aca="1" ref="Y222" ca="1">IFERROR(IF($L222&lt;&gt;"",_xll.PBF($L222,$N$126,$O$126,Y$127,"","EUR","r"),""),"")</f>
        <v/>
      </c>
      <c r="Z222" s="1687" t="str" cm="1">
        <f t="array" aca="1" ref="Z222" ca="1">IFERROR(IF($L222&lt;&gt;"",_xll.PBF($L222,$N$126,$O$126,Z$127,"","EUR","r"),""),"")</f>
        <v/>
      </c>
      <c r="AA222" s="1687" t="str" cm="1">
        <f t="array" aca="1" ref="AA222" ca="1">IFERROR(IF($L222&lt;&gt;"",_xll.PBF($L222,$N$126,$O$126,AA$127,"","EUR","r"),""),"")</f>
        <v/>
      </c>
      <c r="AB222" s="1687" t="str" cm="1">
        <f t="array" aca="1" ref="AB222" ca="1">IFERROR(IF($L222&lt;&gt;"",_xll.PBF($L222,$N$126,$O$126,AB$127,"","EUR","r"),""),"")</f>
        <v/>
      </c>
      <c r="AC222" s="1687" t="str" cm="1">
        <f t="array" aca="1" ref="AC222" ca="1">IFERROR(IF($L222&lt;&gt;"",_xll.PBF($L222,$N$126,$O$126,AC$127,"","EUR","r"),""),"")</f>
        <v/>
      </c>
      <c r="AD222" s="1687" t="str" cm="1">
        <f t="array" aca="1" ref="AD222" ca="1">IFERROR(IF($L222&lt;&gt;"",_xll.PBF($L222,$N$126,$O$126,AD$127,"","EUR","r"),""),"")</f>
        <v/>
      </c>
      <c r="AE222" s="1687" t="str" cm="1">
        <f t="array" aca="1" ref="AE222" ca="1">IFERROR(IF($L222&lt;&gt;"",_xll.PBF($L222,$N$126,$O$126,AE$127,"","EUR","r"),""),"")</f>
        <v/>
      </c>
      <c r="AF222" s="1687" t="str" cm="1">
        <f t="array" aca="1" ref="AF222" ca="1">IFERROR(IF($L222&lt;&gt;"",_xll.PBF($L222,$N$126,$O$126,AF$127,"","EUR","r"),""),"")</f>
        <v/>
      </c>
      <c r="AG222" s="1687" t="str" cm="1">
        <f t="array" aca="1" ref="AG222" ca="1">IFERROR(IF($L222&lt;&gt;"",_xll.PBF($L222,$N$126,$O$126,AG$127,"","EUR","r"),""),"")</f>
        <v/>
      </c>
      <c r="AH222" s="1687" t="str" cm="1">
        <f t="array" aca="1" ref="AH222" ca="1">IFERROR(IF($L222&lt;&gt;"",_xll.PBF($L222,$N$126,$O$126,AH$127,"","EUR","r"),""),"")</f>
        <v/>
      </c>
      <c r="AI222" s="1687" t="str" cm="1">
        <f t="array" aca="1" ref="AI222" ca="1">IFERROR(IF($L222&lt;&gt;"",_xll.PBF($L222,$N$126,$O$126,AI$127,"","EUR","r"),""),"")</f>
        <v/>
      </c>
    </row>
    <row r="223" spans="12:35">
      <c r="L223" s="438" t="str">
        <f t="shared" si="34"/>
        <v/>
      </c>
      <c r="N223" s="1687" t="str" cm="1">
        <f t="array" aca="1" ref="N223" ca="1">IFERROR(IF($L223&lt;&gt;"",_xll.PBF($L223,$N$126,$O$126,N$127,"","EUR","r"),""),"")</f>
        <v/>
      </c>
      <c r="O223" s="1687" t="str" cm="1">
        <f t="array" aca="1" ref="O223" ca="1">IFERROR(IF($L223&lt;&gt;"",_xll.PBF($L223,$N$126,$O$126,O$127,"","EUR","r"),""),"")</f>
        <v/>
      </c>
      <c r="P223" s="1687" t="str" cm="1">
        <f t="array" aca="1" ref="P223" ca="1">IFERROR(IF($L223&lt;&gt;"",_xll.PBF($L223,$N$126,$O$126,P$127,"","EUR","r"),""),"")</f>
        <v/>
      </c>
      <c r="Q223" s="1687" t="str" cm="1">
        <f t="array" aca="1" ref="Q223" ca="1">IFERROR(IF($L223&lt;&gt;"",_xll.PBF($L223,$N$126,$O$126,Q$127,"","EUR","r"),""),"")</f>
        <v/>
      </c>
      <c r="R223" s="1687" t="str" cm="1">
        <f t="array" aca="1" ref="R223" ca="1">IFERROR(IF($L223&lt;&gt;"",_xll.PBF($L223,$N$126,$O$126,R$127,"","EUR","r"),""),"")</f>
        <v/>
      </c>
      <c r="S223" s="1687" t="str" cm="1">
        <f t="array" aca="1" ref="S223" ca="1">IFERROR(IF($L223&lt;&gt;"",_xll.PBF($L223,$N$126,$O$126,S$127,"","EUR","r"),""),"")</f>
        <v/>
      </c>
      <c r="T223" s="1687" t="str" cm="1">
        <f t="array" aca="1" ref="T223" ca="1">IFERROR(IF($L223&lt;&gt;"",_xll.PBF($L223,$N$126,$O$126,T$127,"","EUR","r"),""),"")</f>
        <v/>
      </c>
      <c r="U223" s="1687" t="str" cm="1">
        <f t="array" aca="1" ref="U223" ca="1">IFERROR(IF($L223&lt;&gt;"",_xll.PBF($L223,$N$126,$O$126,U$127,"","EUR","r"),""),"")</f>
        <v/>
      </c>
      <c r="V223" s="1687" t="str" cm="1">
        <f t="array" aca="1" ref="V223" ca="1">IFERROR(IF($L223&lt;&gt;"",_xll.PBF($L223,$N$126,$O$126,V$127,"","EUR","r"),""),"")</f>
        <v/>
      </c>
      <c r="W223" s="1687" t="str" cm="1">
        <f t="array" aca="1" ref="W223" ca="1">IFERROR(IF($L223&lt;&gt;"",_xll.PBF($L223,$N$126,$O$126,W$127,"","EUR","r"),""),"")</f>
        <v/>
      </c>
      <c r="X223" s="1687" t="str" cm="1">
        <f t="array" aca="1" ref="X223" ca="1">IFERROR(IF($L223&lt;&gt;"",_xll.PBF($L223,$N$126,$O$126,X$127,"","EUR","r"),""),"")</f>
        <v/>
      </c>
      <c r="Y223" s="1687" t="str" cm="1">
        <f t="array" aca="1" ref="Y223" ca="1">IFERROR(IF($L223&lt;&gt;"",_xll.PBF($L223,$N$126,$O$126,Y$127,"","EUR","r"),""),"")</f>
        <v/>
      </c>
      <c r="Z223" s="1687" t="str" cm="1">
        <f t="array" aca="1" ref="Z223" ca="1">IFERROR(IF($L223&lt;&gt;"",_xll.PBF($L223,$N$126,$O$126,Z$127,"","EUR","r"),""),"")</f>
        <v/>
      </c>
      <c r="AA223" s="1687" t="str" cm="1">
        <f t="array" aca="1" ref="AA223" ca="1">IFERROR(IF($L223&lt;&gt;"",_xll.PBF($L223,$N$126,$O$126,AA$127,"","EUR","r"),""),"")</f>
        <v/>
      </c>
      <c r="AB223" s="1687" t="str" cm="1">
        <f t="array" aca="1" ref="AB223" ca="1">IFERROR(IF($L223&lt;&gt;"",_xll.PBF($L223,$N$126,$O$126,AB$127,"","EUR","r"),""),"")</f>
        <v/>
      </c>
      <c r="AC223" s="1687" t="str" cm="1">
        <f t="array" aca="1" ref="AC223" ca="1">IFERROR(IF($L223&lt;&gt;"",_xll.PBF($L223,$N$126,$O$126,AC$127,"","EUR","r"),""),"")</f>
        <v/>
      </c>
      <c r="AD223" s="1687" t="str" cm="1">
        <f t="array" aca="1" ref="AD223" ca="1">IFERROR(IF($L223&lt;&gt;"",_xll.PBF($L223,$N$126,$O$126,AD$127,"","EUR","r"),""),"")</f>
        <v/>
      </c>
      <c r="AE223" s="1687" t="str" cm="1">
        <f t="array" aca="1" ref="AE223" ca="1">IFERROR(IF($L223&lt;&gt;"",_xll.PBF($L223,$N$126,$O$126,AE$127,"","EUR","r"),""),"")</f>
        <v/>
      </c>
      <c r="AF223" s="1687" t="str" cm="1">
        <f t="array" aca="1" ref="AF223" ca="1">IFERROR(IF($L223&lt;&gt;"",_xll.PBF($L223,$N$126,$O$126,AF$127,"","EUR","r"),""),"")</f>
        <v/>
      </c>
      <c r="AG223" s="1687" t="str" cm="1">
        <f t="array" aca="1" ref="AG223" ca="1">IFERROR(IF($L223&lt;&gt;"",_xll.PBF($L223,$N$126,$O$126,AG$127,"","EUR","r"),""),"")</f>
        <v/>
      </c>
      <c r="AH223" s="1687" t="str" cm="1">
        <f t="array" aca="1" ref="AH223" ca="1">IFERROR(IF($L223&lt;&gt;"",_xll.PBF($L223,$N$126,$O$126,AH$127,"","EUR","r"),""),"")</f>
        <v/>
      </c>
      <c r="AI223" s="1687" t="str" cm="1">
        <f t="array" aca="1" ref="AI223" ca="1">IFERROR(IF($L223&lt;&gt;"",_xll.PBF($L223,$N$126,$O$126,AI$127,"","EUR","r"),""),"")</f>
        <v/>
      </c>
    </row>
    <row r="224" spans="12:35">
      <c r="L224" s="438" t="str">
        <f t="shared" si="34"/>
        <v/>
      </c>
      <c r="N224" s="1687" t="str" cm="1">
        <f t="array" aca="1" ref="N224" ca="1">IFERROR(IF($L224&lt;&gt;"",_xll.PBF($L224,$N$126,$O$126,N$127,"","EUR","r"),""),"")</f>
        <v/>
      </c>
      <c r="O224" s="1687" t="str" cm="1">
        <f t="array" aca="1" ref="O224" ca="1">IFERROR(IF($L224&lt;&gt;"",_xll.PBF($L224,$N$126,$O$126,O$127,"","EUR","r"),""),"")</f>
        <v/>
      </c>
      <c r="P224" s="1687" t="str" cm="1">
        <f t="array" aca="1" ref="P224" ca="1">IFERROR(IF($L224&lt;&gt;"",_xll.PBF($L224,$N$126,$O$126,P$127,"","EUR","r"),""),"")</f>
        <v/>
      </c>
      <c r="Q224" s="1687" t="str" cm="1">
        <f t="array" aca="1" ref="Q224" ca="1">IFERROR(IF($L224&lt;&gt;"",_xll.PBF($L224,$N$126,$O$126,Q$127,"","EUR","r"),""),"")</f>
        <v/>
      </c>
      <c r="R224" s="1687" t="str" cm="1">
        <f t="array" aca="1" ref="R224" ca="1">IFERROR(IF($L224&lt;&gt;"",_xll.PBF($L224,$N$126,$O$126,R$127,"","EUR","r"),""),"")</f>
        <v/>
      </c>
      <c r="S224" s="1687" t="str" cm="1">
        <f t="array" aca="1" ref="S224" ca="1">IFERROR(IF($L224&lt;&gt;"",_xll.PBF($L224,$N$126,$O$126,S$127,"","EUR","r"),""),"")</f>
        <v/>
      </c>
      <c r="T224" s="1687" t="str" cm="1">
        <f t="array" aca="1" ref="T224" ca="1">IFERROR(IF($L224&lt;&gt;"",_xll.PBF($L224,$N$126,$O$126,T$127,"","EUR","r"),""),"")</f>
        <v/>
      </c>
      <c r="U224" s="1687" t="str" cm="1">
        <f t="array" aca="1" ref="U224" ca="1">IFERROR(IF($L224&lt;&gt;"",_xll.PBF($L224,$N$126,$O$126,U$127,"","EUR","r"),""),"")</f>
        <v/>
      </c>
      <c r="V224" s="1687" t="str" cm="1">
        <f t="array" aca="1" ref="V224" ca="1">IFERROR(IF($L224&lt;&gt;"",_xll.PBF($L224,$N$126,$O$126,V$127,"","EUR","r"),""),"")</f>
        <v/>
      </c>
      <c r="W224" s="1687" t="str" cm="1">
        <f t="array" aca="1" ref="W224" ca="1">IFERROR(IF($L224&lt;&gt;"",_xll.PBF($L224,$N$126,$O$126,W$127,"","EUR","r"),""),"")</f>
        <v/>
      </c>
      <c r="X224" s="1687" t="str" cm="1">
        <f t="array" aca="1" ref="X224" ca="1">IFERROR(IF($L224&lt;&gt;"",_xll.PBF($L224,$N$126,$O$126,X$127,"","EUR","r"),""),"")</f>
        <v/>
      </c>
      <c r="Y224" s="1687" t="str" cm="1">
        <f t="array" aca="1" ref="Y224" ca="1">IFERROR(IF($L224&lt;&gt;"",_xll.PBF($L224,$N$126,$O$126,Y$127,"","EUR","r"),""),"")</f>
        <v/>
      </c>
      <c r="Z224" s="1687" t="str" cm="1">
        <f t="array" aca="1" ref="Z224" ca="1">IFERROR(IF($L224&lt;&gt;"",_xll.PBF($L224,$N$126,$O$126,Z$127,"","EUR","r"),""),"")</f>
        <v/>
      </c>
      <c r="AA224" s="1687" t="str" cm="1">
        <f t="array" aca="1" ref="AA224" ca="1">IFERROR(IF($L224&lt;&gt;"",_xll.PBF($L224,$N$126,$O$126,AA$127,"","EUR","r"),""),"")</f>
        <v/>
      </c>
      <c r="AB224" s="1687" t="str" cm="1">
        <f t="array" aca="1" ref="AB224" ca="1">IFERROR(IF($L224&lt;&gt;"",_xll.PBF($L224,$N$126,$O$126,AB$127,"","EUR","r"),""),"")</f>
        <v/>
      </c>
      <c r="AC224" s="1687" t="str" cm="1">
        <f t="array" aca="1" ref="AC224" ca="1">IFERROR(IF($L224&lt;&gt;"",_xll.PBF($L224,$N$126,$O$126,AC$127,"","EUR","r"),""),"")</f>
        <v/>
      </c>
      <c r="AD224" s="1687" t="str" cm="1">
        <f t="array" aca="1" ref="AD224" ca="1">IFERROR(IF($L224&lt;&gt;"",_xll.PBF($L224,$N$126,$O$126,AD$127,"","EUR","r"),""),"")</f>
        <v/>
      </c>
      <c r="AE224" s="1687" t="str" cm="1">
        <f t="array" aca="1" ref="AE224" ca="1">IFERROR(IF($L224&lt;&gt;"",_xll.PBF($L224,$N$126,$O$126,AE$127,"","EUR","r"),""),"")</f>
        <v/>
      </c>
      <c r="AF224" s="1687" t="str" cm="1">
        <f t="array" aca="1" ref="AF224" ca="1">IFERROR(IF($L224&lt;&gt;"",_xll.PBF($L224,$N$126,$O$126,AF$127,"","EUR","r"),""),"")</f>
        <v/>
      </c>
      <c r="AG224" s="1687" t="str" cm="1">
        <f t="array" aca="1" ref="AG224" ca="1">IFERROR(IF($L224&lt;&gt;"",_xll.PBF($L224,$N$126,$O$126,AG$127,"","EUR","r"),""),"")</f>
        <v/>
      </c>
      <c r="AH224" s="1687" t="str" cm="1">
        <f t="array" aca="1" ref="AH224" ca="1">IFERROR(IF($L224&lt;&gt;"",_xll.PBF($L224,$N$126,$O$126,AH$127,"","EUR","r"),""),"")</f>
        <v/>
      </c>
      <c r="AI224" s="1687" t="str" cm="1">
        <f t="array" aca="1" ref="AI224" ca="1">IFERROR(IF($L224&lt;&gt;"",_xll.PBF($L224,$N$126,$O$126,AI$127,"","EUR","r"),""),"")</f>
        <v/>
      </c>
    </row>
    <row r="225" spans="12:35">
      <c r="L225" s="438" t="str">
        <f t="shared" si="34"/>
        <v/>
      </c>
      <c r="N225" s="1687" t="str" cm="1">
        <f t="array" aca="1" ref="N225" ca="1">IFERROR(IF($L225&lt;&gt;"",_xll.PBF($L225,$N$126,$O$126,N$127,"","EUR","r"),""),"")</f>
        <v/>
      </c>
      <c r="O225" s="1687" t="str" cm="1">
        <f t="array" aca="1" ref="O225" ca="1">IFERROR(IF($L225&lt;&gt;"",_xll.PBF($L225,$N$126,$O$126,O$127,"","EUR","r"),""),"")</f>
        <v/>
      </c>
      <c r="P225" s="1687" t="str" cm="1">
        <f t="array" aca="1" ref="P225" ca="1">IFERROR(IF($L225&lt;&gt;"",_xll.PBF($L225,$N$126,$O$126,P$127,"","EUR","r"),""),"")</f>
        <v/>
      </c>
      <c r="Q225" s="1687" t="str" cm="1">
        <f t="array" aca="1" ref="Q225" ca="1">IFERROR(IF($L225&lt;&gt;"",_xll.PBF($L225,$N$126,$O$126,Q$127,"","EUR","r"),""),"")</f>
        <v/>
      </c>
      <c r="R225" s="1687" t="str" cm="1">
        <f t="array" aca="1" ref="R225" ca="1">IFERROR(IF($L225&lt;&gt;"",_xll.PBF($L225,$N$126,$O$126,R$127,"","EUR","r"),""),"")</f>
        <v/>
      </c>
      <c r="S225" s="1687" t="str" cm="1">
        <f t="array" aca="1" ref="S225" ca="1">IFERROR(IF($L225&lt;&gt;"",_xll.PBF($L225,$N$126,$O$126,S$127,"","EUR","r"),""),"")</f>
        <v/>
      </c>
      <c r="T225" s="1687" t="str" cm="1">
        <f t="array" aca="1" ref="T225" ca="1">IFERROR(IF($L225&lt;&gt;"",_xll.PBF($L225,$N$126,$O$126,T$127,"","EUR","r"),""),"")</f>
        <v/>
      </c>
      <c r="U225" s="1687" t="str" cm="1">
        <f t="array" aca="1" ref="U225" ca="1">IFERROR(IF($L225&lt;&gt;"",_xll.PBF($L225,$N$126,$O$126,U$127,"","EUR","r"),""),"")</f>
        <v/>
      </c>
      <c r="V225" s="1687" t="str" cm="1">
        <f t="array" aca="1" ref="V225" ca="1">IFERROR(IF($L225&lt;&gt;"",_xll.PBF($L225,$N$126,$O$126,V$127,"","EUR","r"),""),"")</f>
        <v/>
      </c>
      <c r="W225" s="1687" t="str" cm="1">
        <f t="array" aca="1" ref="W225" ca="1">IFERROR(IF($L225&lt;&gt;"",_xll.PBF($L225,$N$126,$O$126,W$127,"","EUR","r"),""),"")</f>
        <v/>
      </c>
      <c r="X225" s="1687" t="str" cm="1">
        <f t="array" aca="1" ref="X225" ca="1">IFERROR(IF($L225&lt;&gt;"",_xll.PBF($L225,$N$126,$O$126,X$127,"","EUR","r"),""),"")</f>
        <v/>
      </c>
      <c r="Y225" s="1687" t="str" cm="1">
        <f t="array" aca="1" ref="Y225" ca="1">IFERROR(IF($L225&lt;&gt;"",_xll.PBF($L225,$N$126,$O$126,Y$127,"","EUR","r"),""),"")</f>
        <v/>
      </c>
      <c r="Z225" s="1687" t="str" cm="1">
        <f t="array" aca="1" ref="Z225" ca="1">IFERROR(IF($L225&lt;&gt;"",_xll.PBF($L225,$N$126,$O$126,Z$127,"","EUR","r"),""),"")</f>
        <v/>
      </c>
      <c r="AA225" s="1687" t="str" cm="1">
        <f t="array" aca="1" ref="AA225" ca="1">IFERROR(IF($L225&lt;&gt;"",_xll.PBF($L225,$N$126,$O$126,AA$127,"","EUR","r"),""),"")</f>
        <v/>
      </c>
      <c r="AB225" s="1687" t="str" cm="1">
        <f t="array" aca="1" ref="AB225" ca="1">IFERROR(IF($L225&lt;&gt;"",_xll.PBF($L225,$N$126,$O$126,AB$127,"","EUR","r"),""),"")</f>
        <v/>
      </c>
      <c r="AC225" s="1687" t="str" cm="1">
        <f t="array" aca="1" ref="AC225" ca="1">IFERROR(IF($L225&lt;&gt;"",_xll.PBF($L225,$N$126,$O$126,AC$127,"","EUR","r"),""),"")</f>
        <v/>
      </c>
      <c r="AD225" s="1687" t="str" cm="1">
        <f t="array" aca="1" ref="AD225" ca="1">IFERROR(IF($L225&lt;&gt;"",_xll.PBF($L225,$N$126,$O$126,AD$127,"","EUR","r"),""),"")</f>
        <v/>
      </c>
      <c r="AE225" s="1687" t="str" cm="1">
        <f t="array" aca="1" ref="AE225" ca="1">IFERROR(IF($L225&lt;&gt;"",_xll.PBF($L225,$N$126,$O$126,AE$127,"","EUR","r"),""),"")</f>
        <v/>
      </c>
      <c r="AF225" s="1687" t="str" cm="1">
        <f t="array" aca="1" ref="AF225" ca="1">IFERROR(IF($L225&lt;&gt;"",_xll.PBF($L225,$N$126,$O$126,AF$127,"","EUR","r"),""),"")</f>
        <v/>
      </c>
      <c r="AG225" s="1687" t="str" cm="1">
        <f t="array" aca="1" ref="AG225" ca="1">IFERROR(IF($L225&lt;&gt;"",_xll.PBF($L225,$N$126,$O$126,AG$127,"","EUR","r"),""),"")</f>
        <v/>
      </c>
      <c r="AH225" s="1687" t="str" cm="1">
        <f t="array" aca="1" ref="AH225" ca="1">IFERROR(IF($L225&lt;&gt;"",_xll.PBF($L225,$N$126,$O$126,AH$127,"","EUR","r"),""),"")</f>
        <v/>
      </c>
      <c r="AI225" s="1687" t="str" cm="1">
        <f t="array" aca="1" ref="AI225" ca="1">IFERROR(IF($L225&lt;&gt;"",_xll.PBF($L225,$N$126,$O$126,AI$127,"","EUR","r"),""),"")</f>
        <v/>
      </c>
    </row>
    <row r="226" spans="12:35">
      <c r="L226" s="438" t="str">
        <f t="shared" si="34"/>
        <v/>
      </c>
      <c r="N226" s="1687" t="str" cm="1">
        <f t="array" aca="1" ref="N226" ca="1">IFERROR(IF($L226&lt;&gt;"",_xll.PBF($L226,$N$126,$O$126,N$127,"","EUR","r"),""),"")</f>
        <v/>
      </c>
      <c r="O226" s="1687" t="str" cm="1">
        <f t="array" aca="1" ref="O226" ca="1">IFERROR(IF($L226&lt;&gt;"",_xll.PBF($L226,$N$126,$O$126,O$127,"","EUR","r"),""),"")</f>
        <v/>
      </c>
      <c r="P226" s="1687" t="str" cm="1">
        <f t="array" aca="1" ref="P226" ca="1">IFERROR(IF($L226&lt;&gt;"",_xll.PBF($L226,$N$126,$O$126,P$127,"","EUR","r"),""),"")</f>
        <v/>
      </c>
      <c r="Q226" s="1687" t="str" cm="1">
        <f t="array" aca="1" ref="Q226" ca="1">IFERROR(IF($L226&lt;&gt;"",_xll.PBF($L226,$N$126,$O$126,Q$127,"","EUR","r"),""),"")</f>
        <v/>
      </c>
      <c r="R226" s="1687" t="str" cm="1">
        <f t="array" aca="1" ref="R226" ca="1">IFERROR(IF($L226&lt;&gt;"",_xll.PBF($L226,$N$126,$O$126,R$127,"","EUR","r"),""),"")</f>
        <v/>
      </c>
      <c r="S226" s="1687" t="str" cm="1">
        <f t="array" aca="1" ref="S226" ca="1">IFERROR(IF($L226&lt;&gt;"",_xll.PBF($L226,$N$126,$O$126,S$127,"","EUR","r"),""),"")</f>
        <v/>
      </c>
      <c r="T226" s="1687" t="str" cm="1">
        <f t="array" aca="1" ref="T226" ca="1">IFERROR(IF($L226&lt;&gt;"",_xll.PBF($L226,$N$126,$O$126,T$127,"","EUR","r"),""),"")</f>
        <v/>
      </c>
      <c r="U226" s="1687" t="str" cm="1">
        <f t="array" aca="1" ref="U226" ca="1">IFERROR(IF($L226&lt;&gt;"",_xll.PBF($L226,$N$126,$O$126,U$127,"","EUR","r"),""),"")</f>
        <v/>
      </c>
      <c r="V226" s="1687" t="str" cm="1">
        <f t="array" aca="1" ref="V226" ca="1">IFERROR(IF($L226&lt;&gt;"",_xll.PBF($L226,$N$126,$O$126,V$127,"","EUR","r"),""),"")</f>
        <v/>
      </c>
      <c r="W226" s="1687" t="str" cm="1">
        <f t="array" aca="1" ref="W226" ca="1">IFERROR(IF($L226&lt;&gt;"",_xll.PBF($L226,$N$126,$O$126,W$127,"","EUR","r"),""),"")</f>
        <v/>
      </c>
      <c r="X226" s="1687" t="str" cm="1">
        <f t="array" aca="1" ref="X226" ca="1">IFERROR(IF($L226&lt;&gt;"",_xll.PBF($L226,$N$126,$O$126,X$127,"","EUR","r"),""),"")</f>
        <v/>
      </c>
      <c r="Y226" s="1687" t="str" cm="1">
        <f t="array" aca="1" ref="Y226" ca="1">IFERROR(IF($L226&lt;&gt;"",_xll.PBF($L226,$N$126,$O$126,Y$127,"","EUR","r"),""),"")</f>
        <v/>
      </c>
      <c r="Z226" s="1687" t="str" cm="1">
        <f t="array" aca="1" ref="Z226" ca="1">IFERROR(IF($L226&lt;&gt;"",_xll.PBF($L226,$N$126,$O$126,Z$127,"","EUR","r"),""),"")</f>
        <v/>
      </c>
      <c r="AA226" s="1687" t="str" cm="1">
        <f t="array" aca="1" ref="AA226" ca="1">IFERROR(IF($L226&lt;&gt;"",_xll.PBF($L226,$N$126,$O$126,AA$127,"","EUR","r"),""),"")</f>
        <v/>
      </c>
      <c r="AB226" s="1687" t="str" cm="1">
        <f t="array" aca="1" ref="AB226" ca="1">IFERROR(IF($L226&lt;&gt;"",_xll.PBF($L226,$N$126,$O$126,AB$127,"","EUR","r"),""),"")</f>
        <v/>
      </c>
      <c r="AC226" s="1687" t="str" cm="1">
        <f t="array" aca="1" ref="AC226" ca="1">IFERROR(IF($L226&lt;&gt;"",_xll.PBF($L226,$N$126,$O$126,AC$127,"","EUR","r"),""),"")</f>
        <v/>
      </c>
      <c r="AD226" s="1687" t="str" cm="1">
        <f t="array" aca="1" ref="AD226" ca="1">IFERROR(IF($L226&lt;&gt;"",_xll.PBF($L226,$N$126,$O$126,AD$127,"","EUR","r"),""),"")</f>
        <v/>
      </c>
      <c r="AE226" s="1687" t="str" cm="1">
        <f t="array" aca="1" ref="AE226" ca="1">IFERROR(IF($L226&lt;&gt;"",_xll.PBF($L226,$N$126,$O$126,AE$127,"","EUR","r"),""),"")</f>
        <v/>
      </c>
      <c r="AF226" s="1687" t="str" cm="1">
        <f t="array" aca="1" ref="AF226" ca="1">IFERROR(IF($L226&lt;&gt;"",_xll.PBF($L226,$N$126,$O$126,AF$127,"","EUR","r"),""),"")</f>
        <v/>
      </c>
      <c r="AG226" s="1687" t="str" cm="1">
        <f t="array" aca="1" ref="AG226" ca="1">IFERROR(IF($L226&lt;&gt;"",_xll.PBF($L226,$N$126,$O$126,AG$127,"","EUR","r"),""),"")</f>
        <v/>
      </c>
      <c r="AH226" s="1687" t="str" cm="1">
        <f t="array" aca="1" ref="AH226" ca="1">IFERROR(IF($L226&lt;&gt;"",_xll.PBF($L226,$N$126,$O$126,AH$127,"","EUR","r"),""),"")</f>
        <v/>
      </c>
      <c r="AI226" s="1687" t="str" cm="1">
        <f t="array" aca="1" ref="AI226" ca="1">IFERROR(IF($L226&lt;&gt;"",_xll.PBF($L226,$N$126,$O$126,AI$127,"","EUR","r"),""),"")</f>
        <v/>
      </c>
    </row>
    <row r="227" spans="12:35">
      <c r="L227" s="438" t="str">
        <f t="shared" si="34"/>
        <v/>
      </c>
      <c r="N227" s="1687" t="str" cm="1">
        <f t="array" aca="1" ref="N227" ca="1">IFERROR(IF($L227&lt;&gt;"",_xll.PBF($L227,$N$126,$O$126,N$127,"","EUR","r"),""),"")</f>
        <v/>
      </c>
      <c r="O227" s="1687" t="str" cm="1">
        <f t="array" aca="1" ref="O227" ca="1">IFERROR(IF($L227&lt;&gt;"",_xll.PBF($L227,$N$126,$O$126,O$127,"","EUR","r"),""),"")</f>
        <v/>
      </c>
      <c r="P227" s="1687" t="str" cm="1">
        <f t="array" aca="1" ref="P227" ca="1">IFERROR(IF($L227&lt;&gt;"",_xll.PBF($L227,$N$126,$O$126,P$127,"","EUR","r"),""),"")</f>
        <v/>
      </c>
      <c r="Q227" s="1687" t="str" cm="1">
        <f t="array" aca="1" ref="Q227" ca="1">IFERROR(IF($L227&lt;&gt;"",_xll.PBF($L227,$N$126,$O$126,Q$127,"","EUR","r"),""),"")</f>
        <v/>
      </c>
      <c r="R227" s="1687" t="str" cm="1">
        <f t="array" aca="1" ref="R227" ca="1">IFERROR(IF($L227&lt;&gt;"",_xll.PBF($L227,$N$126,$O$126,R$127,"","EUR","r"),""),"")</f>
        <v/>
      </c>
      <c r="S227" s="1687" t="str" cm="1">
        <f t="array" aca="1" ref="S227" ca="1">IFERROR(IF($L227&lt;&gt;"",_xll.PBF($L227,$N$126,$O$126,S$127,"","EUR","r"),""),"")</f>
        <v/>
      </c>
      <c r="T227" s="1687" t="str" cm="1">
        <f t="array" aca="1" ref="T227" ca="1">IFERROR(IF($L227&lt;&gt;"",_xll.PBF($L227,$N$126,$O$126,T$127,"","EUR","r"),""),"")</f>
        <v/>
      </c>
      <c r="U227" s="1687" t="str" cm="1">
        <f t="array" aca="1" ref="U227" ca="1">IFERROR(IF($L227&lt;&gt;"",_xll.PBF($L227,$N$126,$O$126,U$127,"","EUR","r"),""),"")</f>
        <v/>
      </c>
      <c r="V227" s="1687" t="str" cm="1">
        <f t="array" aca="1" ref="V227" ca="1">IFERROR(IF($L227&lt;&gt;"",_xll.PBF($L227,$N$126,$O$126,V$127,"","EUR","r"),""),"")</f>
        <v/>
      </c>
      <c r="W227" s="1687" t="str" cm="1">
        <f t="array" aca="1" ref="W227" ca="1">IFERROR(IF($L227&lt;&gt;"",_xll.PBF($L227,$N$126,$O$126,W$127,"","EUR","r"),""),"")</f>
        <v/>
      </c>
      <c r="X227" s="1687" t="str" cm="1">
        <f t="array" aca="1" ref="X227" ca="1">IFERROR(IF($L227&lt;&gt;"",_xll.PBF($L227,$N$126,$O$126,X$127,"","EUR","r"),""),"")</f>
        <v/>
      </c>
      <c r="Y227" s="1687" t="str" cm="1">
        <f t="array" aca="1" ref="Y227" ca="1">IFERROR(IF($L227&lt;&gt;"",_xll.PBF($L227,$N$126,$O$126,Y$127,"","EUR","r"),""),"")</f>
        <v/>
      </c>
      <c r="Z227" s="1687" t="str" cm="1">
        <f t="array" aca="1" ref="Z227" ca="1">IFERROR(IF($L227&lt;&gt;"",_xll.PBF($L227,$N$126,$O$126,Z$127,"","EUR","r"),""),"")</f>
        <v/>
      </c>
      <c r="AA227" s="1687" t="str" cm="1">
        <f t="array" aca="1" ref="AA227" ca="1">IFERROR(IF($L227&lt;&gt;"",_xll.PBF($L227,$N$126,$O$126,AA$127,"","EUR","r"),""),"")</f>
        <v/>
      </c>
      <c r="AB227" s="1687" t="str" cm="1">
        <f t="array" aca="1" ref="AB227" ca="1">IFERROR(IF($L227&lt;&gt;"",_xll.PBF($L227,$N$126,$O$126,AB$127,"","EUR","r"),""),"")</f>
        <v/>
      </c>
      <c r="AC227" s="1687" t="str" cm="1">
        <f t="array" aca="1" ref="AC227" ca="1">IFERROR(IF($L227&lt;&gt;"",_xll.PBF($L227,$N$126,$O$126,AC$127,"","EUR","r"),""),"")</f>
        <v/>
      </c>
      <c r="AD227" s="1687" t="str" cm="1">
        <f t="array" aca="1" ref="AD227" ca="1">IFERROR(IF($L227&lt;&gt;"",_xll.PBF($L227,$N$126,$O$126,AD$127,"","EUR","r"),""),"")</f>
        <v/>
      </c>
      <c r="AE227" s="1687" t="str" cm="1">
        <f t="array" aca="1" ref="AE227" ca="1">IFERROR(IF($L227&lt;&gt;"",_xll.PBF($L227,$N$126,$O$126,AE$127,"","EUR","r"),""),"")</f>
        <v/>
      </c>
      <c r="AF227" s="1687" t="str" cm="1">
        <f t="array" aca="1" ref="AF227" ca="1">IFERROR(IF($L227&lt;&gt;"",_xll.PBF($L227,$N$126,$O$126,AF$127,"","EUR","r"),""),"")</f>
        <v/>
      </c>
      <c r="AG227" s="1687" t="str" cm="1">
        <f t="array" aca="1" ref="AG227" ca="1">IFERROR(IF($L227&lt;&gt;"",_xll.PBF($L227,$N$126,$O$126,AG$127,"","EUR","r"),""),"")</f>
        <v/>
      </c>
      <c r="AH227" s="1687" t="str" cm="1">
        <f t="array" aca="1" ref="AH227" ca="1">IFERROR(IF($L227&lt;&gt;"",_xll.PBF($L227,$N$126,$O$126,AH$127,"","EUR","r"),""),"")</f>
        <v/>
      </c>
      <c r="AI227" s="1687" t="str" cm="1">
        <f t="array" aca="1" ref="AI227" ca="1">IFERROR(IF($L227&lt;&gt;"",_xll.PBF($L227,$N$126,$O$126,AI$127,"","EUR","r"),""),"")</f>
        <v/>
      </c>
    </row>
    <row r="228" spans="12:35">
      <c r="L228" s="438" t="str">
        <f t="shared" si="34"/>
        <v/>
      </c>
      <c r="N228" s="1687" t="str" cm="1">
        <f t="array" aca="1" ref="N228" ca="1">IFERROR(IF($L228&lt;&gt;"",_xll.PBF($L228,$N$126,$O$126,N$127,"","EUR","r"),""),"")</f>
        <v/>
      </c>
      <c r="O228" s="1687" t="str" cm="1">
        <f t="array" aca="1" ref="O228" ca="1">IFERROR(IF($L228&lt;&gt;"",_xll.PBF($L228,$N$126,$O$126,O$127,"","EUR","r"),""),"")</f>
        <v/>
      </c>
      <c r="P228" s="1687" t="str" cm="1">
        <f t="array" aca="1" ref="P228" ca="1">IFERROR(IF($L228&lt;&gt;"",_xll.PBF($L228,$N$126,$O$126,P$127,"","EUR","r"),""),"")</f>
        <v/>
      </c>
      <c r="Q228" s="1687" t="str" cm="1">
        <f t="array" aca="1" ref="Q228" ca="1">IFERROR(IF($L228&lt;&gt;"",_xll.PBF($L228,$N$126,$O$126,Q$127,"","EUR","r"),""),"")</f>
        <v/>
      </c>
      <c r="R228" s="1687" t="str" cm="1">
        <f t="array" aca="1" ref="R228" ca="1">IFERROR(IF($L228&lt;&gt;"",_xll.PBF($L228,$N$126,$O$126,R$127,"","EUR","r"),""),"")</f>
        <v/>
      </c>
      <c r="S228" s="1687" t="str" cm="1">
        <f t="array" aca="1" ref="S228" ca="1">IFERROR(IF($L228&lt;&gt;"",_xll.PBF($L228,$N$126,$O$126,S$127,"","EUR","r"),""),"")</f>
        <v/>
      </c>
      <c r="T228" s="1687" t="str" cm="1">
        <f t="array" aca="1" ref="T228" ca="1">IFERROR(IF($L228&lt;&gt;"",_xll.PBF($L228,$N$126,$O$126,T$127,"","EUR","r"),""),"")</f>
        <v/>
      </c>
      <c r="U228" s="1687" t="str" cm="1">
        <f t="array" aca="1" ref="U228" ca="1">IFERROR(IF($L228&lt;&gt;"",_xll.PBF($L228,$N$126,$O$126,U$127,"","EUR","r"),""),"")</f>
        <v/>
      </c>
      <c r="V228" s="1687" t="str" cm="1">
        <f t="array" aca="1" ref="V228" ca="1">IFERROR(IF($L228&lt;&gt;"",_xll.PBF($L228,$N$126,$O$126,V$127,"","EUR","r"),""),"")</f>
        <v/>
      </c>
      <c r="W228" s="1687" t="str" cm="1">
        <f t="array" aca="1" ref="W228" ca="1">IFERROR(IF($L228&lt;&gt;"",_xll.PBF($L228,$N$126,$O$126,W$127,"","EUR","r"),""),"")</f>
        <v/>
      </c>
      <c r="X228" s="1687" t="str" cm="1">
        <f t="array" aca="1" ref="X228" ca="1">IFERROR(IF($L228&lt;&gt;"",_xll.PBF($L228,$N$126,$O$126,X$127,"","EUR","r"),""),"")</f>
        <v/>
      </c>
      <c r="Y228" s="1687" t="str" cm="1">
        <f t="array" aca="1" ref="Y228" ca="1">IFERROR(IF($L228&lt;&gt;"",_xll.PBF($L228,$N$126,$O$126,Y$127,"","EUR","r"),""),"")</f>
        <v/>
      </c>
      <c r="Z228" s="1687" t="str" cm="1">
        <f t="array" aca="1" ref="Z228" ca="1">IFERROR(IF($L228&lt;&gt;"",_xll.PBF($L228,$N$126,$O$126,Z$127,"","EUR","r"),""),"")</f>
        <v/>
      </c>
      <c r="AA228" s="1687" t="str" cm="1">
        <f t="array" aca="1" ref="AA228" ca="1">IFERROR(IF($L228&lt;&gt;"",_xll.PBF($L228,$N$126,$O$126,AA$127,"","EUR","r"),""),"")</f>
        <v/>
      </c>
      <c r="AB228" s="1687" t="str" cm="1">
        <f t="array" aca="1" ref="AB228" ca="1">IFERROR(IF($L228&lt;&gt;"",_xll.PBF($L228,$N$126,$O$126,AB$127,"","EUR","r"),""),"")</f>
        <v/>
      </c>
      <c r="AC228" s="1687" t="str" cm="1">
        <f t="array" aca="1" ref="AC228" ca="1">IFERROR(IF($L228&lt;&gt;"",_xll.PBF($L228,$N$126,$O$126,AC$127,"","EUR","r"),""),"")</f>
        <v/>
      </c>
      <c r="AD228" s="1687" t="str" cm="1">
        <f t="array" aca="1" ref="AD228" ca="1">IFERROR(IF($L228&lt;&gt;"",_xll.PBF($L228,$N$126,$O$126,AD$127,"","EUR","r"),""),"")</f>
        <v/>
      </c>
      <c r="AE228" s="1687" t="str" cm="1">
        <f t="array" aca="1" ref="AE228" ca="1">IFERROR(IF($L228&lt;&gt;"",_xll.PBF($L228,$N$126,$O$126,AE$127,"","EUR","r"),""),"")</f>
        <v/>
      </c>
      <c r="AF228" s="1687" t="str" cm="1">
        <f t="array" aca="1" ref="AF228" ca="1">IFERROR(IF($L228&lt;&gt;"",_xll.PBF($L228,$N$126,$O$126,AF$127,"","EUR","r"),""),"")</f>
        <v/>
      </c>
      <c r="AG228" s="1687" t="str" cm="1">
        <f t="array" aca="1" ref="AG228" ca="1">IFERROR(IF($L228&lt;&gt;"",_xll.PBF($L228,$N$126,$O$126,AG$127,"","EUR","r"),""),"")</f>
        <v/>
      </c>
      <c r="AH228" s="1687" t="str" cm="1">
        <f t="array" aca="1" ref="AH228" ca="1">IFERROR(IF($L228&lt;&gt;"",_xll.PBF($L228,$N$126,$O$126,AH$127,"","EUR","r"),""),"")</f>
        <v/>
      </c>
      <c r="AI228" s="1687" t="str" cm="1">
        <f t="array" aca="1" ref="AI228" ca="1">IFERROR(IF($L228&lt;&gt;"",_xll.PBF($L228,$N$126,$O$126,AI$127,"","EUR","r"),""),"")</f>
        <v/>
      </c>
    </row>
    <row r="229" spans="12:35">
      <c r="L229" s="438" t="str">
        <f t="shared" si="34"/>
        <v/>
      </c>
      <c r="N229" s="1687" t="str" cm="1">
        <f t="array" aca="1" ref="N229" ca="1">IFERROR(IF($L229&lt;&gt;"",_xll.PBF($L229,$N$126,"TTM",N$127,"","EUR","r"),""),"")</f>
        <v/>
      </c>
      <c r="O229" s="1687" t="str" cm="1">
        <f t="array" aca="1" ref="O229" ca="1">IFERROR(IF($L229&lt;&gt;"",_xll.PBF($L229,$N$126,"TTM",O$127,"","EUR","r"),""),"")</f>
        <v/>
      </c>
      <c r="P229" s="1687" t="str" cm="1">
        <f t="array" aca="1" ref="P229" ca="1">IFERROR(IF($L229&lt;&gt;"",_xll.PBF($L229,$N$126,"TTM",P$127,"","EUR","r"),""),"")</f>
        <v/>
      </c>
      <c r="Q229" s="1687" t="str" cm="1">
        <f t="array" aca="1" ref="Q229" ca="1">IFERROR(IF($L229&lt;&gt;"",_xll.PBF($L229,$N$126,"TTM",Q$127,"","EUR","r"),""),"")</f>
        <v/>
      </c>
      <c r="R229" s="1687" t="str" cm="1">
        <f t="array" aca="1" ref="R229" ca="1">IFERROR(IF($L229&lt;&gt;"",_xll.PBF($L229,$N$126,"TTM",R$127,"","EUR","r"),""),"")</f>
        <v/>
      </c>
      <c r="S229" s="1687" t="str" cm="1">
        <f t="array" aca="1" ref="S229" ca="1">IFERROR(IF($L229&lt;&gt;"",_xll.PBF($L229,$N$126,"TTM",S$127,"","EUR","r"),""),"")</f>
        <v/>
      </c>
      <c r="T229" s="1687" t="str" cm="1">
        <f t="array" aca="1" ref="T229" ca="1">IFERROR(IF($L229&lt;&gt;"",_xll.PBF($L229,$N$126,"TTM",T$127,"","EUR","r"),""),"")</f>
        <v/>
      </c>
      <c r="U229" s="1687" t="str" cm="1">
        <f t="array" aca="1" ref="U229" ca="1">IFERROR(IF($L229&lt;&gt;"",_xll.PBF($L229,$N$126,"TTM",U$127,"","EUR","r"),""),"")</f>
        <v/>
      </c>
      <c r="V229" s="1687" t="str" cm="1">
        <f t="array" aca="1" ref="V229" ca="1">IFERROR(IF($L229&lt;&gt;"",_xll.PBF($L229,$N$126,"TTM",V$127,"","EUR","r"),""),"")</f>
        <v/>
      </c>
      <c r="W229" s="1687" t="str" cm="1">
        <f t="array" aca="1" ref="W229" ca="1">IFERROR(IF($L229&lt;&gt;"",_xll.PBF($L229,$N$126,"TTM",W$127,"","EUR","r"),""),"")</f>
        <v/>
      </c>
      <c r="X229" s="1687" t="str" cm="1">
        <f t="array" aca="1" ref="X229" ca="1">IFERROR(IF($L229&lt;&gt;"",_xll.PBF($L229,$N$126,"TTM",X$127,"","EUR","r"),""),"")</f>
        <v/>
      </c>
      <c r="Y229" s="1687" t="str" cm="1">
        <f t="array" aca="1" ref="Y229" ca="1">IFERROR(IF($L229&lt;&gt;"",_xll.PBF($L229,$N$126,"TTM",Y$127,"","EUR","r"),""),"")</f>
        <v/>
      </c>
      <c r="Z229" s="1687" t="str" cm="1">
        <f t="array" aca="1" ref="Z229" ca="1">IFERROR(IF($L229&lt;&gt;"",_xll.PBF($L229,$N$126,"TTM",Z$127,"","EUR","r"),""),"")</f>
        <v/>
      </c>
      <c r="AA229" s="1687" t="str" cm="1">
        <f t="array" aca="1" ref="AA229" ca="1">IFERROR(IF($L229&lt;&gt;"",_xll.PBF($L229,$N$126,"TTM",AA$127,"","EUR","r"),""),"")</f>
        <v/>
      </c>
      <c r="AB229" s="1687" t="str" cm="1">
        <f t="array" aca="1" ref="AB229" ca="1">IFERROR(IF($L229&lt;&gt;"",_xll.PBF($L229,$N$126,"TTM",AB$127,"","EUR","r"),""),"")</f>
        <v/>
      </c>
      <c r="AC229" s="1687" t="str" cm="1">
        <f t="array" aca="1" ref="AC229" ca="1">IFERROR(IF($L229&lt;&gt;"",_xll.PBF($L229,$N$126,"TTM",AC$127,"","EUR","r"),""),"")</f>
        <v/>
      </c>
      <c r="AD229" s="1687" t="str" cm="1">
        <f t="array" aca="1" ref="AD229" ca="1">IFERROR(IF($L229&lt;&gt;"",_xll.PBF($L229,$N$126,"TTM",AD$127,"","EUR","r"),""),"")</f>
        <v/>
      </c>
      <c r="AE229" s="1687" t="str" cm="1">
        <f t="array" aca="1" ref="AE229" ca="1">IFERROR(IF($L229&lt;&gt;"",_xll.PBF($L229,$N$126,"TTM",AE$127,"","EUR","r"),""),"")</f>
        <v/>
      </c>
      <c r="AF229" s="1687" t="str" cm="1">
        <f t="array" aca="1" ref="AF229" ca="1">IFERROR(IF($L229&lt;&gt;"",_xll.PBF($L229,$N$126,"TTM",AF$127,"","EUR","r"),""),"")</f>
        <v/>
      </c>
      <c r="AG229" s="1687" t="str" cm="1">
        <f t="array" aca="1" ref="AG229" ca="1">IFERROR(IF($L229&lt;&gt;"",_xll.PBF($L229,$N$126,"TTM",AG$127,"","EUR","r"),""),"")</f>
        <v/>
      </c>
      <c r="AH229" s="1687" t="str" cm="1">
        <f t="array" aca="1" ref="AH229" ca="1">IFERROR(IF($L229&lt;&gt;"",_xll.PBF($L229,$N$126,"TTM",AH$127,"","EUR","r"),""),"")</f>
        <v/>
      </c>
      <c r="AI229" s="1687" t="str" cm="1">
        <f t="array" aca="1" ref="AI229" ca="1">IFERROR(IF($L229&lt;&gt;"",_xll.PBF($L229,$N$126,"TTM",AI$127,"","EUR","r"),""),"")</f>
        <v/>
      </c>
    </row>
    <row r="230" spans="12:35">
      <c r="L230" s="438" t="str">
        <f t="shared" si="34"/>
        <v/>
      </c>
      <c r="N230" s="1674" t="str" cm="1">
        <f t="array" aca="1" ref="N230" ca="1">IFERROR(IF($L230&lt;&gt;"",_xll.PBF($L230,"EV to EBITDA","TTM",N$127,"","EUR","r"),""),"")</f>
        <v/>
      </c>
      <c r="O230" s="1674" t="str" cm="1">
        <f t="array" aca="1" ref="O230" ca="1">IFERROR(IF($L230&lt;&gt;"",_xll.PBF($L230,"EV to EBITDA","TTM",O$127,"","EUR","r"),""),"")</f>
        <v/>
      </c>
      <c r="P230" s="1674" t="str" cm="1">
        <f t="array" aca="1" ref="P230" ca="1">IFERROR(IF($L230&lt;&gt;"",_xll.PBF($L230,"EV to EBITDA","TTM",P$127,"","EUR","r"),""),"")</f>
        <v/>
      </c>
      <c r="Q230" s="1674" t="str" cm="1">
        <f t="array" aca="1" ref="Q230" ca="1">IFERROR(IF($L230&lt;&gt;"",_xll.PBF($L230,"EV to EBITDA","TTM",Q$127,"","EUR","r"),""),"")</f>
        <v/>
      </c>
      <c r="R230" s="1674" t="str" cm="1">
        <f t="array" aca="1" ref="R230" ca="1">IFERROR(IF($L230&lt;&gt;"",_xll.PBF($L230,"EV to EBITDA","TTM",R$127,"","EUR","r"),""),"")</f>
        <v/>
      </c>
      <c r="S230" s="1674" t="str" cm="1">
        <f t="array" aca="1" ref="S230" ca="1">IFERROR(IF($L230&lt;&gt;"",_xll.PBF($L230,"EV to EBITDA","TTM",S$127,"","EUR","r"),""),"")</f>
        <v/>
      </c>
      <c r="T230" s="1674" t="str" cm="1">
        <f t="array" aca="1" ref="T230" ca="1">IFERROR(IF($L230&lt;&gt;"",_xll.PBF($L230,"EV to EBITDA","TTM",T$127,"","EUR","r"),""),"")</f>
        <v/>
      </c>
      <c r="U230" s="1674" t="str" cm="1">
        <f t="array" aca="1" ref="U230" ca="1">IFERROR(IF($L230&lt;&gt;"",_xll.PBF($L230,"EV to EBITDA","TTM",U$127,"","EUR","r"),""),"")</f>
        <v/>
      </c>
      <c r="V230" s="1674" t="str" cm="1">
        <f t="array" aca="1" ref="V230" ca="1">IFERROR(IF($L230&lt;&gt;"",_xll.PBF($L230,"EV to EBITDA","TTM",V$127,"","EUR","r"),""),"")</f>
        <v/>
      </c>
      <c r="W230" s="1674"/>
      <c r="X230" s="1674" t="str" cm="1">
        <f t="array" aca="1" ref="X230" ca="1">IFERROR(IF($L230&lt;&gt;"",_xll.PBF($L230,"EV to EBITDA","TTM",X$127,"","EUR","r"),""),"")</f>
        <v/>
      </c>
      <c r="Y230" s="1674" t="str" cm="1">
        <f t="array" aca="1" ref="Y230" ca="1">IFERROR(IF($L230&lt;&gt;"",_xll.PBF($L230,"EV to EBITDA","TTM",Y$127,"","EUR","r"),""),"")</f>
        <v/>
      </c>
      <c r="Z230" s="1674" t="str" cm="1">
        <f t="array" aca="1" ref="Z230" ca="1">IFERROR(IF($L230&lt;&gt;"",_xll.PBF($L230,"EV to EBITDA","TTM",Z$127,"","EUR","r"),""),"")</f>
        <v/>
      </c>
      <c r="AA230" s="1674" t="str" cm="1">
        <f t="array" aca="1" ref="AA230" ca="1">IFERROR(IF($L230&lt;&gt;"",_xll.PBF($L230,"EV to EBITDA","TTM",AA$127,"","EUR","r"),""),"")</f>
        <v/>
      </c>
      <c r="AB230" s="1674"/>
      <c r="AC230" s="1674" t="str" cm="1">
        <f t="array" aca="1" ref="AC230" ca="1">IFERROR(IF($L230&lt;&gt;"",_xll.PBF($L230,"EV to EBITDA","TTM",AC$127,"","EUR","r"),""),"")</f>
        <v/>
      </c>
      <c r="AD230" s="1674" t="str" cm="1">
        <f t="array" aca="1" ref="AD230" ca="1">IFERROR(IF($L230&lt;&gt;"",_xll.PBF($L230,"EV to EBITDA","TTM",AD$127,"","EUR","r"),""),"")</f>
        <v/>
      </c>
      <c r="AE230" s="1674" t="str" cm="1">
        <f t="array" aca="1" ref="AE230" ca="1">IFERROR(IF($L230&lt;&gt;"",_xll.PBF($L230,"EV to EBITDA","TTM",AE$127,"","EUR","r"),""),"")</f>
        <v/>
      </c>
      <c r="AF230" s="1674" t="str" cm="1">
        <f t="array" aca="1" ref="AF230" ca="1">IFERROR(IF($L230&lt;&gt;"",_xll.PBF($L230,"EV to EBITDA","TTM",AF$127,"","EUR","r"),""),"")</f>
        <v/>
      </c>
      <c r="AG230" s="1674" t="str" cm="1">
        <f t="array" aca="1" ref="AG230" ca="1">IFERROR(IF($L230&lt;&gt;"",_xll.PBF($L230,"EV to EBITDA","TTM",AG$127,"","EUR","r"),""),"")</f>
        <v/>
      </c>
      <c r="AH230" s="1674" t="str" cm="1">
        <f t="array" aca="1" ref="AH230" ca="1">IFERROR(IF($L230&lt;&gt;"",_xll.PBF($L230,"EV to EBITDA","TTM",AH$127,"","EUR","r"),""),"")</f>
        <v/>
      </c>
      <c r="AI230" s="1674" t="str" cm="1">
        <f t="array" aca="1" ref="AI230" ca="1">IFERROR(IF($L230&lt;&gt;"",_xll.PBF($L230,"EV to EBITDA","TTM",AI$127,"","EUR","r"),""),"")</f>
        <v/>
      </c>
    </row>
    <row r="231" spans="12:35">
      <c r="L231" s="1636"/>
      <c r="M231" s="451"/>
      <c r="N231" s="1645"/>
      <c r="O231" s="1645"/>
      <c r="P231" s="1645"/>
      <c r="Q231" s="1645"/>
      <c r="R231" s="1645"/>
      <c r="S231" s="1652"/>
      <c r="T231" s="1652"/>
      <c r="U231" s="1652"/>
      <c r="V231" s="1652"/>
      <c r="W231" s="1652"/>
      <c r="X231" s="1652"/>
      <c r="Y231" s="1652"/>
      <c r="Z231" s="1652"/>
      <c r="AA231" s="1646"/>
      <c r="AB231" s="1646"/>
      <c r="AC231" s="1648"/>
      <c r="AD231" s="1648"/>
      <c r="AE231" s="1648"/>
      <c r="AF231" s="1648"/>
      <c r="AG231" s="1648"/>
      <c r="AH231" s="1648"/>
      <c r="AI231" s="1648"/>
    </row>
    <row r="232" spans="12:35">
      <c r="L232" s="1583"/>
      <c r="N232" s="1650"/>
      <c r="O232" s="1650"/>
      <c r="P232" s="1650"/>
      <c r="Q232" s="1650"/>
      <c r="R232" s="1650"/>
      <c r="S232" s="1653"/>
      <c r="T232" s="1653"/>
      <c r="U232" s="1653"/>
      <c r="V232" s="1653"/>
      <c r="W232" s="1653"/>
      <c r="X232" s="1653"/>
      <c r="Y232" s="1653"/>
      <c r="Z232" s="1653"/>
      <c r="AA232" s="1651"/>
      <c r="AB232" s="1651"/>
      <c r="AC232" s="1656"/>
      <c r="AD232" s="1656"/>
      <c r="AE232" s="1656"/>
      <c r="AF232" s="1656"/>
      <c r="AG232" s="1656"/>
      <c r="AH232" s="1656"/>
      <c r="AI232" s="1656"/>
    </row>
    <row r="233" spans="12:35">
      <c r="L233" s="1583"/>
      <c r="N233" s="1650"/>
      <c r="O233" s="1650"/>
      <c r="P233" s="1650"/>
      <c r="Q233" s="1650"/>
      <c r="R233" s="1650"/>
      <c r="S233" s="1653"/>
      <c r="T233" s="1653"/>
      <c r="U233" s="1653"/>
      <c r="V233" s="1653"/>
      <c r="W233" s="1653"/>
      <c r="X233" s="1653"/>
      <c r="Y233" s="1653"/>
      <c r="Z233" s="1653"/>
      <c r="AA233" s="1651"/>
      <c r="AB233" s="1651"/>
      <c r="AC233" s="1656"/>
      <c r="AD233" s="1656"/>
      <c r="AE233" s="1656"/>
      <c r="AF233" s="1656"/>
      <c r="AG233" s="1656"/>
      <c r="AH233" s="1656"/>
      <c r="AI233" s="1656"/>
    </row>
    <row r="234" spans="12:35">
      <c r="L234" s="1583"/>
      <c r="N234" s="1650"/>
      <c r="O234" s="1650"/>
      <c r="P234" s="1650"/>
      <c r="Q234" s="1650"/>
      <c r="R234" s="1650"/>
      <c r="S234" s="1653"/>
      <c r="T234" s="1653"/>
      <c r="U234" s="1653"/>
      <c r="V234" s="1653"/>
      <c r="W234" s="1653"/>
      <c r="X234" s="1653"/>
      <c r="Y234" s="1653"/>
      <c r="Z234" s="1653"/>
      <c r="AA234" s="1651"/>
      <c r="AB234" s="1651"/>
      <c r="AC234" s="1656"/>
      <c r="AD234" s="1656"/>
      <c r="AE234" s="1656"/>
      <c r="AF234" s="1656"/>
      <c r="AG234" s="1656"/>
      <c r="AH234" s="1656"/>
      <c r="AI234" s="1656"/>
    </row>
    <row r="235" spans="12:35">
      <c r="L235" s="1583"/>
      <c r="N235" s="1650"/>
      <c r="O235" s="1650"/>
      <c r="P235" s="1650"/>
      <c r="Q235" s="1650"/>
      <c r="R235" s="1650"/>
      <c r="S235" s="1653"/>
      <c r="T235" s="1653"/>
      <c r="U235" s="1653"/>
      <c r="V235" s="1653"/>
      <c r="W235" s="1653"/>
      <c r="X235" s="1653"/>
      <c r="Y235" s="1653"/>
      <c r="Z235" s="1653"/>
      <c r="AA235" s="1651"/>
      <c r="AB235" s="1651"/>
      <c r="AC235" s="1656"/>
      <c r="AD235" s="1656"/>
      <c r="AE235" s="1656"/>
      <c r="AF235" s="1656"/>
      <c r="AG235" s="1656"/>
      <c r="AH235" s="1656"/>
      <c r="AI235" s="1656"/>
    </row>
    <row r="236" spans="12:35">
      <c r="L236" s="1583"/>
      <c r="N236" s="1650"/>
      <c r="O236" s="1650"/>
      <c r="P236" s="1650"/>
      <c r="Q236" s="1650"/>
      <c r="R236" s="1650"/>
      <c r="S236" s="1653"/>
      <c r="T236" s="1653"/>
      <c r="U236" s="1653"/>
      <c r="V236" s="1653"/>
      <c r="W236" s="1653"/>
      <c r="X236" s="1653"/>
      <c r="Y236" s="1653"/>
      <c r="Z236" s="1653"/>
      <c r="AA236" s="1651"/>
      <c r="AB236" s="1651"/>
      <c r="AC236" s="1656"/>
      <c r="AD236" s="1656"/>
      <c r="AE236" s="1656"/>
      <c r="AF236" s="1656"/>
      <c r="AG236" s="1656"/>
      <c r="AH236" s="1656"/>
      <c r="AI236" s="1656"/>
    </row>
    <row r="237" spans="12:35">
      <c r="L237" s="1583"/>
      <c r="N237" s="1650"/>
      <c r="O237" s="1650"/>
      <c r="P237" s="1650"/>
      <c r="Q237" s="1650"/>
      <c r="R237" s="1650"/>
      <c r="S237" s="1653"/>
      <c r="T237" s="1653"/>
      <c r="U237" s="1653"/>
      <c r="V237" s="1653"/>
      <c r="W237" s="1653"/>
      <c r="X237" s="1653"/>
      <c r="Y237" s="1653"/>
      <c r="Z237" s="1653"/>
      <c r="AA237" s="1651"/>
      <c r="AB237" s="1651"/>
      <c r="AC237" s="1656"/>
      <c r="AD237" s="1656"/>
      <c r="AE237" s="1656"/>
      <c r="AF237" s="1656"/>
      <c r="AG237" s="1656"/>
      <c r="AH237" s="1656"/>
      <c r="AI237" s="1656"/>
    </row>
    <row r="238" spans="12:35">
      <c r="L238" s="1583"/>
      <c r="N238" s="1650"/>
      <c r="O238" s="1650"/>
      <c r="P238" s="1650"/>
      <c r="Q238" s="1650"/>
      <c r="R238" s="1650"/>
      <c r="S238" s="1653"/>
      <c r="T238" s="1653"/>
      <c r="U238" s="1653"/>
      <c r="V238" s="1653"/>
      <c r="W238" s="1653"/>
      <c r="X238" s="1653"/>
      <c r="Y238" s="1653"/>
      <c r="Z238" s="1653"/>
      <c r="AA238" s="1651"/>
      <c r="AB238" s="1651"/>
      <c r="AC238" s="1656"/>
      <c r="AD238" s="1656"/>
      <c r="AE238" s="1656"/>
      <c r="AF238" s="1656"/>
      <c r="AG238" s="1656"/>
      <c r="AH238" s="1656"/>
      <c r="AI238" s="1656"/>
    </row>
    <row r="239" spans="12:35">
      <c r="L239" s="1583"/>
      <c r="N239" s="1650"/>
      <c r="O239" s="1650"/>
      <c r="P239" s="1650"/>
      <c r="Q239" s="1650"/>
      <c r="R239" s="1650"/>
      <c r="S239" s="1653"/>
      <c r="T239" s="1653"/>
      <c r="U239" s="1653"/>
      <c r="V239" s="1653"/>
      <c r="W239" s="1653"/>
      <c r="X239" s="1653"/>
      <c r="Y239" s="1653"/>
      <c r="Z239" s="1653"/>
      <c r="AA239" s="1651"/>
      <c r="AB239" s="1651"/>
      <c r="AC239" s="1656"/>
      <c r="AD239" s="1656"/>
      <c r="AE239" s="1656"/>
      <c r="AF239" s="1656"/>
      <c r="AG239" s="1656"/>
      <c r="AH239" s="1656"/>
      <c r="AI239" s="1656"/>
    </row>
    <row r="240" spans="12:35">
      <c r="L240" s="1583"/>
      <c r="N240" s="1650"/>
      <c r="O240" s="1650"/>
      <c r="P240" s="1650"/>
      <c r="Q240" s="1650"/>
      <c r="R240" s="1650"/>
      <c r="S240" s="1653"/>
      <c r="T240" s="1653"/>
      <c r="U240" s="1653"/>
      <c r="V240" s="1653"/>
      <c r="W240" s="1653"/>
      <c r="X240" s="1653"/>
      <c r="Y240" s="1653"/>
      <c r="Z240" s="1653"/>
      <c r="AA240" s="1651"/>
      <c r="AB240" s="1651"/>
      <c r="AC240" s="1656"/>
      <c r="AD240" s="1656"/>
      <c r="AE240" s="1656"/>
      <c r="AF240" s="1656"/>
      <c r="AG240" s="1656"/>
      <c r="AH240" s="1656"/>
      <c r="AI240" s="1656"/>
    </row>
    <row r="241" spans="12:35">
      <c r="L241" s="1583"/>
      <c r="N241" s="1650"/>
      <c r="O241" s="1650"/>
      <c r="P241" s="1650"/>
      <c r="Q241" s="1650"/>
      <c r="R241" s="1650"/>
      <c r="S241" s="1653"/>
      <c r="T241" s="1653"/>
      <c r="U241" s="1653"/>
      <c r="V241" s="1653"/>
      <c r="W241" s="1653"/>
      <c r="X241" s="1653"/>
      <c r="Y241" s="1653"/>
      <c r="Z241" s="1653"/>
      <c r="AA241" s="1651"/>
      <c r="AB241" s="1651"/>
      <c r="AC241" s="1656"/>
      <c r="AD241" s="1656"/>
      <c r="AE241" s="1656"/>
      <c r="AF241" s="1656"/>
      <c r="AG241" s="1656"/>
      <c r="AH241" s="1656"/>
      <c r="AI241" s="1656"/>
    </row>
    <row r="242" spans="12:35">
      <c r="L242" s="1583"/>
      <c r="N242" s="1650"/>
      <c r="O242" s="1650"/>
      <c r="P242" s="1650"/>
      <c r="Q242" s="1650"/>
      <c r="R242" s="1650"/>
      <c r="S242" s="1653"/>
      <c r="T242" s="1653"/>
      <c r="U242" s="1653"/>
      <c r="V242" s="1653"/>
      <c r="W242" s="1653"/>
      <c r="X242" s="1653"/>
      <c r="Y242" s="1653"/>
      <c r="Z242" s="1653"/>
      <c r="AA242" s="1651"/>
      <c r="AB242" s="1651"/>
      <c r="AC242" s="1656"/>
      <c r="AD242" s="1656"/>
      <c r="AE242" s="1656"/>
      <c r="AF242" s="1656"/>
      <c r="AG242" s="1656"/>
      <c r="AH242" s="1656"/>
      <c r="AI242" s="1656"/>
    </row>
    <row r="243" spans="12:35">
      <c r="L243" s="1583"/>
      <c r="N243" s="1650"/>
      <c r="O243" s="1650"/>
      <c r="P243" s="1650"/>
      <c r="Q243" s="1650"/>
      <c r="R243" s="1650"/>
      <c r="S243" s="1653"/>
      <c r="T243" s="1653"/>
      <c r="U243" s="1653"/>
      <c r="V243" s="1653"/>
      <c r="W243" s="1653"/>
      <c r="X243" s="1653"/>
      <c r="Y243" s="1653"/>
      <c r="Z243" s="1653"/>
      <c r="AA243" s="1651"/>
      <c r="AB243" s="1651"/>
      <c r="AC243" s="1656"/>
      <c r="AD243" s="1656"/>
      <c r="AE243" s="1656"/>
      <c r="AF243" s="1656"/>
      <c r="AG243" s="1656"/>
      <c r="AH243" s="1656"/>
      <c r="AI243" s="1656"/>
    </row>
    <row r="244" spans="12:35">
      <c r="L244" s="1583"/>
      <c r="N244" s="1650"/>
      <c r="O244" s="1650"/>
      <c r="P244" s="1650"/>
      <c r="Q244" s="1650"/>
      <c r="R244" s="1650"/>
      <c r="S244" s="1653"/>
      <c r="T244" s="1653"/>
      <c r="U244" s="1653"/>
      <c r="V244" s="1653"/>
      <c r="W244" s="1653"/>
      <c r="X244" s="1653"/>
      <c r="Y244" s="1653"/>
      <c r="Z244" s="1653"/>
      <c r="AA244" s="1651"/>
      <c r="AB244" s="1651"/>
      <c r="AC244" s="1656"/>
      <c r="AD244" s="1656"/>
      <c r="AE244" s="1656"/>
      <c r="AF244" s="1656"/>
      <c r="AG244" s="1656"/>
      <c r="AH244" s="1656"/>
      <c r="AI244" s="1656"/>
    </row>
    <row r="245" spans="12:35">
      <c r="N245" s="1650"/>
      <c r="O245" s="1650"/>
      <c r="P245" s="1650"/>
      <c r="Q245" s="1650"/>
      <c r="R245" s="1650"/>
      <c r="S245" s="1653"/>
      <c r="T245" s="1653"/>
      <c r="U245" s="1653"/>
      <c r="V245" s="1653"/>
      <c r="W245" s="1653"/>
      <c r="X245" s="1653"/>
      <c r="Y245" s="1653"/>
      <c r="Z245" s="1653"/>
      <c r="AA245" s="1651"/>
      <c r="AB245" s="1651"/>
      <c r="AC245" s="1656"/>
      <c r="AD245" s="1656"/>
      <c r="AE245" s="1656"/>
      <c r="AF245" s="1656"/>
      <c r="AG245" s="1656"/>
      <c r="AH245" s="1656"/>
      <c r="AI245" s="1656"/>
    </row>
    <row r="246" spans="12:35">
      <c r="N246" s="1650"/>
      <c r="O246" s="1650"/>
      <c r="P246" s="1650"/>
      <c r="Q246" s="1650"/>
      <c r="R246" s="1650"/>
      <c r="S246" s="1653"/>
      <c r="T246" s="1653"/>
      <c r="U246" s="1653"/>
      <c r="V246" s="1653"/>
      <c r="W246" s="1653"/>
      <c r="X246" s="1653"/>
      <c r="Y246" s="1653"/>
      <c r="Z246" s="1653"/>
      <c r="AA246" s="1651"/>
      <c r="AB246" s="1651"/>
      <c r="AC246" s="1656"/>
      <c r="AD246" s="1656"/>
      <c r="AE246" s="1656"/>
      <c r="AF246" s="1656"/>
      <c r="AG246" s="1656"/>
      <c r="AH246" s="1656"/>
      <c r="AI246" s="1656"/>
    </row>
    <row r="247" spans="12:35">
      <c r="S247" s="1653"/>
      <c r="T247" s="1653"/>
      <c r="U247" s="1653"/>
      <c r="V247" s="1653"/>
      <c r="W247" s="1653"/>
      <c r="X247" s="1653"/>
      <c r="Y247" s="1653"/>
      <c r="Z247" s="1653"/>
    </row>
    <row r="248" spans="12:35">
      <c r="S248" s="1653"/>
      <c r="T248" s="1653"/>
      <c r="U248" s="1653"/>
      <c r="V248" s="1653"/>
      <c r="W248" s="1653"/>
      <c r="X248" s="1653"/>
      <c r="Y248" s="1653"/>
      <c r="Z248" s="1653"/>
    </row>
  </sheetData>
  <sheetProtection formatCells="0" formatColumns="0" formatRows="0" insertRows="0"/>
  <mergeCells count="4">
    <mergeCell ref="B9:J9"/>
    <mergeCell ref="L9:AI9"/>
    <mergeCell ref="AK9:BD9"/>
    <mergeCell ref="L124:AI124"/>
  </mergeCell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610A14A9-50C0-F24E-9753-46F3293BF126}">
          <x14:formula1>
            <xm:f>'Mult.Aggr.'!$AV$7:$AV$23</xm:f>
          </x14:formula1>
          <xm:sqref>H12</xm:sqref>
        </x14:dataValidation>
        <x14:dataValidation type="list" allowBlank="1" showInputMessage="1" showErrorMessage="1" xr:uid="{51C64C36-6DF1-5442-99B8-6F6DBEB12969}">
          <x14:formula1>
            <xm:f>'Mult.Aggr.'!$AD$7:$AD$103</xm:f>
          </x14:formula1>
          <xm:sqref>F12</xm:sqref>
        </x14:dataValidation>
        <x14:dataValidation type="list" allowBlank="1" showInputMessage="1" showErrorMessage="1" xr:uid="{D7742924-2C45-C741-88C8-A905C7AEAD28}">
          <x14:formula1>
            <xm:f>'Mult.Aggr.'!$AM$7:$AM$36</xm:f>
          </x14:formula1>
          <xm:sqref>G12</xm:sqref>
        </x14:dataValidation>
        <x14:dataValidation type="list" allowBlank="1" showInputMessage="1" showErrorMessage="1" xr:uid="{940FD35C-FE72-BA4E-8654-B82A3FBEF4A5}">
          <x14:formula1>
            <xm:f>HS!$B$14:$B$16</xm:f>
          </x14:formula1>
          <xm:sqref>N126</xm:sqref>
        </x14:dataValidation>
        <x14:dataValidation type="list" allowBlank="1" showInputMessage="1" showErrorMessage="1" xr:uid="{0BD53C50-8973-B04E-AD63-EA47324F2DA7}">
          <x14:formula1>
            <xm:f>'Mult.Aggr.'!$C$29:$C$32</xm:f>
          </x14:formula1>
          <xm:sqref>C67 E13:F13</xm:sqref>
        </x14:dataValidation>
        <x14:dataValidation type="list" allowBlank="1" showInputMessage="1" showErrorMessage="1" xr:uid="{ABC411B8-C8DE-934E-B478-9CDA694A2103}">
          <x14:formula1>
            <xm:f>'Mult.Aggr.'!$C$8:$C$28</xm:f>
          </x14:formula1>
          <xm:sqref>E12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F88A2-EC0E-42F1-A9C8-6C0ED565F179}">
  <sheetPr>
    <tabColor rgb="FF0000FF"/>
  </sheetPr>
  <dimension ref="C3:K19"/>
  <sheetViews>
    <sheetView showGridLines="0" workbookViewId="0">
      <selection activeCell="L27" sqref="L27:L28"/>
    </sheetView>
  </sheetViews>
  <sheetFormatPr defaultRowHeight="12.75"/>
  <cols>
    <col min="3" max="3" width="17" bestFit="1" customWidth="1"/>
    <col min="4" max="4" width="13.7109375" bestFit="1" customWidth="1"/>
    <col min="5" max="5" width="19.85546875" bestFit="1" customWidth="1"/>
    <col min="6" max="6" width="8.28515625" bestFit="1" customWidth="1"/>
    <col min="7" max="7" width="8.5703125" bestFit="1" customWidth="1"/>
    <col min="8" max="8" width="10.42578125" bestFit="1" customWidth="1"/>
    <col min="9" max="9" width="10.7109375" bestFit="1" customWidth="1"/>
    <col min="10" max="10" width="11.42578125" bestFit="1" customWidth="1"/>
    <col min="11" max="11" width="11.7109375" bestFit="1" customWidth="1"/>
  </cols>
  <sheetData>
    <row r="3" spans="3:11">
      <c r="C3" s="1922" t="s">
        <v>46</v>
      </c>
      <c r="D3" s="1961"/>
      <c r="E3" s="1961"/>
      <c r="F3" s="1961"/>
      <c r="G3" s="1961"/>
      <c r="H3" s="1961"/>
      <c r="I3" s="1961"/>
      <c r="J3" s="1961"/>
      <c r="K3" s="1961"/>
    </row>
    <row r="4" spans="3:11" ht="15">
      <c r="C4" s="1903" t="s">
        <v>582</v>
      </c>
      <c r="D4" s="1903" t="s">
        <v>583</v>
      </c>
      <c r="E4" s="1903" t="s">
        <v>584</v>
      </c>
      <c r="F4" s="1903" t="s">
        <v>585</v>
      </c>
      <c r="G4" s="1903" t="s">
        <v>586</v>
      </c>
      <c r="H4" s="1903" t="s">
        <v>587</v>
      </c>
      <c r="I4" s="1903" t="s">
        <v>588</v>
      </c>
      <c r="J4" s="1903" t="s">
        <v>589</v>
      </c>
      <c r="K4" s="1903" t="s">
        <v>590</v>
      </c>
    </row>
    <row r="5" spans="3:11" ht="15" customHeight="1">
      <c r="C5" t="s">
        <v>511</v>
      </c>
      <c r="D5" t="s">
        <v>591</v>
      </c>
      <c r="E5" s="1904" t="s">
        <v>592</v>
      </c>
      <c r="F5">
        <v>4.0999999999999996</v>
      </c>
      <c r="G5">
        <v>6.3</v>
      </c>
      <c r="H5">
        <v>3.2</v>
      </c>
      <c r="I5">
        <v>4.5</v>
      </c>
      <c r="J5" s="101">
        <v>0.41</v>
      </c>
      <c r="K5" s="101">
        <v>0.75</v>
      </c>
    </row>
    <row r="6" spans="3:11" ht="15" customHeight="1">
      <c r="C6" t="s">
        <v>511</v>
      </c>
      <c r="D6" t="s">
        <v>591</v>
      </c>
      <c r="E6" s="1905" t="s">
        <v>530</v>
      </c>
      <c r="F6">
        <v>4.0999999999999996</v>
      </c>
      <c r="G6">
        <v>6.5</v>
      </c>
      <c r="H6">
        <v>3.5</v>
      </c>
      <c r="I6">
        <v>5.2</v>
      </c>
      <c r="J6" s="101">
        <v>0.43</v>
      </c>
      <c r="K6" s="101">
        <v>0.81</v>
      </c>
    </row>
    <row r="7" spans="3:11" ht="15" customHeight="1">
      <c r="C7" t="s">
        <v>511</v>
      </c>
      <c r="D7" t="s">
        <v>591</v>
      </c>
      <c r="E7" s="1906" t="s">
        <v>593</v>
      </c>
      <c r="F7">
        <v>6</v>
      </c>
      <c r="G7">
        <v>7.8</v>
      </c>
      <c r="H7">
        <v>4.2</v>
      </c>
      <c r="I7">
        <v>5.2</v>
      </c>
      <c r="J7" s="101">
        <v>0.56999999999999995</v>
      </c>
      <c r="K7" s="101">
        <v>0.98</v>
      </c>
    </row>
    <row r="8" spans="3:11" ht="15" customHeight="1">
      <c r="C8" t="s">
        <v>511</v>
      </c>
      <c r="D8" t="s">
        <v>591</v>
      </c>
      <c r="E8" s="86" t="s">
        <v>594</v>
      </c>
      <c r="F8">
        <v>7.6</v>
      </c>
      <c r="G8">
        <v>9.8000000000000007</v>
      </c>
      <c r="H8">
        <v>4.8</v>
      </c>
      <c r="I8">
        <v>6.2</v>
      </c>
      <c r="J8" s="101">
        <v>0.72</v>
      </c>
      <c r="K8" s="101">
        <v>1.2</v>
      </c>
    </row>
    <row r="9" spans="3:11" ht="15" customHeight="1">
      <c r="C9" t="s">
        <v>511</v>
      </c>
      <c r="D9" t="s">
        <v>595</v>
      </c>
      <c r="E9" s="1904" t="s">
        <v>592</v>
      </c>
      <c r="F9">
        <v>4.2</v>
      </c>
      <c r="G9">
        <v>6.3</v>
      </c>
      <c r="H9">
        <v>3.1</v>
      </c>
      <c r="I9">
        <v>4.5</v>
      </c>
      <c r="J9" s="101">
        <v>0.41</v>
      </c>
      <c r="K9" s="101">
        <v>0.77</v>
      </c>
    </row>
    <row r="10" spans="3:11" ht="15" customHeight="1">
      <c r="C10" t="s">
        <v>511</v>
      </c>
      <c r="D10" t="s">
        <v>595</v>
      </c>
      <c r="E10" s="1905" t="s">
        <v>530</v>
      </c>
      <c r="F10">
        <v>4.0999999999999996</v>
      </c>
      <c r="G10">
        <v>6.1</v>
      </c>
      <c r="H10">
        <v>3.5</v>
      </c>
      <c r="I10">
        <v>4.8</v>
      </c>
      <c r="J10" s="101">
        <v>0.43</v>
      </c>
      <c r="K10" s="101">
        <v>0.9</v>
      </c>
    </row>
    <row r="11" spans="3:11" ht="15" customHeight="1">
      <c r="C11" t="s">
        <v>511</v>
      </c>
      <c r="D11" t="s">
        <v>595</v>
      </c>
      <c r="E11" s="1906" t="s">
        <v>593</v>
      </c>
      <c r="F11">
        <v>6</v>
      </c>
      <c r="G11">
        <v>8</v>
      </c>
      <c r="H11">
        <v>3.9</v>
      </c>
      <c r="I11">
        <v>4.8</v>
      </c>
      <c r="J11" s="101">
        <v>0.57999999999999996</v>
      </c>
      <c r="K11" s="101">
        <v>1</v>
      </c>
    </row>
    <row r="12" spans="3:11" ht="15" customHeight="1">
      <c r="C12" t="s">
        <v>511</v>
      </c>
      <c r="D12" t="s">
        <v>595</v>
      </c>
      <c r="E12" s="86" t="s">
        <v>594</v>
      </c>
      <c r="F12">
        <v>7.5</v>
      </c>
      <c r="G12">
        <v>9</v>
      </c>
      <c r="H12">
        <v>4.2</v>
      </c>
      <c r="I12">
        <v>5.4</v>
      </c>
      <c r="J12" s="101">
        <v>0.73</v>
      </c>
      <c r="K12" s="101">
        <v>0.9</v>
      </c>
    </row>
    <row r="13" spans="3:11" ht="15" customHeight="1">
      <c r="C13" t="s">
        <v>511</v>
      </c>
      <c r="D13" t="s">
        <v>596</v>
      </c>
      <c r="E13" s="1904" t="s">
        <v>592</v>
      </c>
      <c r="F13">
        <v>4.0999999999999996</v>
      </c>
      <c r="G13">
        <v>6</v>
      </c>
      <c r="H13">
        <v>3.8</v>
      </c>
      <c r="I13">
        <v>5.7</v>
      </c>
      <c r="J13" s="101">
        <v>0.59</v>
      </c>
      <c r="K13" s="101">
        <v>0.78</v>
      </c>
    </row>
    <row r="14" spans="3:11" ht="15" customHeight="1">
      <c r="C14" t="s">
        <v>511</v>
      </c>
      <c r="D14" t="s">
        <v>596</v>
      </c>
      <c r="E14" s="1905" t="s">
        <v>530</v>
      </c>
      <c r="F14">
        <v>5.6</v>
      </c>
      <c r="G14">
        <v>7</v>
      </c>
      <c r="H14">
        <v>4.4000000000000004</v>
      </c>
      <c r="I14">
        <v>6</v>
      </c>
      <c r="J14" s="101">
        <v>0.51</v>
      </c>
      <c r="K14" s="101">
        <v>0.82</v>
      </c>
    </row>
    <row r="15" spans="3:11" ht="15" customHeight="1">
      <c r="C15" t="s">
        <v>511</v>
      </c>
      <c r="D15" t="s">
        <v>596</v>
      </c>
      <c r="E15" s="1906" t="s">
        <v>593</v>
      </c>
      <c r="F15">
        <v>6.3</v>
      </c>
      <c r="G15">
        <v>8</v>
      </c>
      <c r="H15">
        <v>5.3</v>
      </c>
      <c r="I15">
        <v>7.1</v>
      </c>
      <c r="J15" s="101">
        <v>0.51</v>
      </c>
      <c r="K15" s="101">
        <v>0.99</v>
      </c>
    </row>
    <row r="16" spans="3:11" ht="15" customHeight="1">
      <c r="C16" t="s">
        <v>511</v>
      </c>
      <c r="D16" t="s">
        <v>596</v>
      </c>
      <c r="E16" s="86" t="s">
        <v>594</v>
      </c>
      <c r="F16">
        <v>7.6</v>
      </c>
      <c r="G16">
        <v>10.9</v>
      </c>
      <c r="H16">
        <v>6.6</v>
      </c>
      <c r="I16">
        <v>9.6999999999999993</v>
      </c>
      <c r="J16" s="101">
        <v>0.68</v>
      </c>
      <c r="K16" s="101">
        <v>1.23</v>
      </c>
    </row>
    <row r="18" spans="3:5" ht="21">
      <c r="C18" s="1962" t="s">
        <v>597</v>
      </c>
      <c r="D18" s="1961"/>
      <c r="E18" s="1961"/>
    </row>
    <row r="19" spans="3:5">
      <c r="C19" s="1923" t="s">
        <v>598</v>
      </c>
      <c r="D19" s="1961"/>
      <c r="E19" s="1961"/>
    </row>
  </sheetData>
  <mergeCells count="3">
    <mergeCell ref="C3:K3"/>
    <mergeCell ref="C18:E18"/>
    <mergeCell ref="C19:E19"/>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5">
    <tabColor rgb="FF0000FF"/>
    <pageSetUpPr fitToPage="1"/>
  </sheetPr>
  <dimension ref="A1:AT50"/>
  <sheetViews>
    <sheetView workbookViewId="0">
      <selection activeCell="T33" sqref="T33"/>
    </sheetView>
  </sheetViews>
  <sheetFormatPr defaultColWidth="8.42578125" defaultRowHeight="12.75"/>
  <cols>
    <col min="1" max="1" width="5.7109375" style="446" customWidth="1"/>
    <col min="2" max="2" width="29.42578125" style="438" bestFit="1" customWidth="1"/>
    <col min="3" max="3" width="24.140625" style="438" customWidth="1"/>
    <col min="4" max="4" width="12.28515625" style="438" customWidth="1"/>
    <col min="5" max="12" width="13.140625" style="438" customWidth="1"/>
    <col min="13" max="13" width="1.7109375" style="438" customWidth="1"/>
    <col min="14" max="17" width="1.42578125" style="438" customWidth="1"/>
    <col min="18" max="18" width="8.42578125" style="438"/>
    <col min="19" max="19" width="5.140625" style="438" customWidth="1"/>
    <col min="20" max="20" width="7.42578125" style="438" customWidth="1"/>
    <col min="21" max="21" width="17" style="438" bestFit="1" customWidth="1"/>
    <col min="22" max="22" width="11.7109375" style="438" customWidth="1"/>
    <col min="23" max="23" width="5.140625" style="438" bestFit="1" customWidth="1"/>
    <col min="24" max="28" width="9.140625" style="438" customWidth="1"/>
    <col min="29" max="29" width="8.42578125" style="438"/>
    <col min="30" max="30" width="14.140625" style="438" bestFit="1" customWidth="1"/>
    <col min="31" max="31" width="4.7109375" style="438" customWidth="1"/>
    <col min="32" max="36" width="12.42578125" style="438" customWidth="1"/>
    <col min="37" max="37" width="8.7109375" style="438" customWidth="1"/>
    <col min="38" max="38" width="16" style="438" bestFit="1" customWidth="1"/>
    <col min="39" max="39" width="8.7109375" style="438" customWidth="1"/>
    <col min="40" max="40" width="11.7109375" style="438" customWidth="1"/>
    <col min="41" max="41" width="4.7109375" style="438" customWidth="1"/>
    <col min="42" max="42" width="12.28515625" style="438" bestFit="1" customWidth="1"/>
    <col min="43" max="46" width="12.42578125" style="438" customWidth="1"/>
    <col min="47" max="16384" width="8.42578125" style="438"/>
  </cols>
  <sheetData>
    <row r="1" spans="1:46" ht="15" customHeight="1">
      <c r="G1" s="457"/>
      <c r="H1" s="458"/>
      <c r="I1" s="459"/>
      <c r="J1" s="459"/>
      <c r="K1" s="459"/>
      <c r="L1" s="459"/>
      <c r="AL1" s="447"/>
    </row>
    <row r="2" spans="1:46" ht="18.75">
      <c r="B2" s="109" t="str">
        <f>Übersicht!C21</f>
        <v>Multiplikator Bewertung</v>
      </c>
      <c r="G2" s="457"/>
      <c r="H2" s="458"/>
      <c r="I2" s="459"/>
      <c r="J2" s="459"/>
      <c r="K2" s="459"/>
      <c r="L2" s="459"/>
      <c r="AL2" s="447"/>
    </row>
    <row r="3" spans="1:46">
      <c r="G3" s="457"/>
      <c r="H3" s="458"/>
      <c r="I3" s="459"/>
      <c r="J3" s="459"/>
      <c r="K3" s="459"/>
      <c r="L3" s="459"/>
      <c r="AL3" s="447"/>
    </row>
    <row r="4" spans="1:46">
      <c r="B4" s="121" t="s">
        <v>599</v>
      </c>
      <c r="C4" s="510" t="str">
        <f>Eckdaten!C14</f>
        <v>EUR</v>
      </c>
      <c r="D4" s="141">
        <f>+E4-1</f>
        <v>2021</v>
      </c>
      <c r="E4" s="141">
        <f>+F4-1</f>
        <v>2022</v>
      </c>
      <c r="F4" s="141">
        <f>+G4-1</f>
        <v>2023</v>
      </c>
      <c r="G4" s="141">
        <f>+Eckdaten!C12</f>
        <v>2024</v>
      </c>
      <c r="H4" s="143">
        <f>+G4+1</f>
        <v>2025</v>
      </c>
      <c r="I4" s="1492">
        <f>IF(Eckdaten!$C$20+Eckdaten!$C$12&gt;H4,H4+1," ")</f>
        <v>2026</v>
      </c>
      <c r="J4" s="1492">
        <f>IF(Eckdaten!$C$20+Eckdaten!$C$12&gt;I4,I4+1," ")</f>
        <v>2027</v>
      </c>
      <c r="K4" s="1492">
        <f>IF(Eckdaten!$C$20+Eckdaten!$C$12&gt;J4,J4+1," ")</f>
        <v>2028</v>
      </c>
      <c r="L4" s="1492">
        <f>IF(Eckdaten!$C$20+Eckdaten!$C$12&gt;K4,K4+1," ")</f>
        <v>2029</v>
      </c>
      <c r="M4" s="1492" t="str">
        <f>IF(Eckdaten!$C$20+Eckdaten!$C$12&gt;L4,L4+1," ")</f>
        <v xml:space="preserve"> </v>
      </c>
      <c r="N4" s="1492" t="str">
        <f>IF(Eckdaten!$C$20+Eckdaten!$C$12&gt;M4,M4+1," ")</f>
        <v xml:space="preserve"> </v>
      </c>
      <c r="O4" s="1492" t="str">
        <f>IF(Eckdaten!$C$20+Eckdaten!$C$12&gt;N4,N4+1," ")</f>
        <v xml:space="preserve"> </v>
      </c>
      <c r="P4" s="1492" t="str">
        <f>IF(Eckdaten!$C$20+Eckdaten!$C$12&gt;O4,O4+1," ")</f>
        <v xml:space="preserve"> </v>
      </c>
      <c r="Q4" s="1492" t="str">
        <f>IF(Eckdaten!$C$20+Eckdaten!$C$12&gt;P4,P4+1," ")</f>
        <v xml:space="preserve"> </v>
      </c>
      <c r="U4" s="1421" t="s">
        <v>139</v>
      </c>
      <c r="V4" s="1421"/>
      <c r="W4" s="1422"/>
      <c r="X4" s="1421"/>
      <c r="Y4" s="1421"/>
      <c r="Z4" s="1421"/>
      <c r="AA4" s="1421"/>
      <c r="AB4" s="1421"/>
      <c r="AC4" s="1421"/>
      <c r="AD4" s="1421"/>
      <c r="AE4" s="1421"/>
      <c r="AF4" s="1421"/>
      <c r="AG4" s="1421"/>
      <c r="AH4" s="1421"/>
      <c r="AI4" s="1421"/>
      <c r="AJ4" s="1421"/>
      <c r="AK4" s="1421"/>
      <c r="AL4" s="1423"/>
      <c r="AM4" s="1421"/>
      <c r="AN4" s="1421"/>
      <c r="AO4" s="1421"/>
      <c r="AP4" s="1421"/>
      <c r="AQ4" s="1421"/>
      <c r="AR4" s="1421"/>
      <c r="AS4" s="1421"/>
      <c r="AT4" s="1424"/>
    </row>
    <row r="5" spans="1:46" s="463" customFormat="1">
      <c r="A5" s="460"/>
      <c r="B5" s="461"/>
      <c r="C5" s="462"/>
      <c r="D5" s="127" t="s">
        <v>173</v>
      </c>
      <c r="E5" s="127" t="s">
        <v>173</v>
      </c>
      <c r="F5" s="127" t="s">
        <v>173</v>
      </c>
      <c r="G5" s="127" t="s">
        <v>173</v>
      </c>
      <c r="H5" s="128" t="s">
        <v>174</v>
      </c>
      <c r="I5" s="1493" t="str">
        <f>IF(I4=" "," ","P")</f>
        <v>P</v>
      </c>
      <c r="J5" s="1493" t="str">
        <f t="shared" ref="J5:Q5" si="0">IF(J4=" "," ","P")</f>
        <v>P</v>
      </c>
      <c r="K5" s="1493" t="str">
        <f t="shared" si="0"/>
        <v>P</v>
      </c>
      <c r="L5" s="1493" t="str">
        <f t="shared" si="0"/>
        <v>P</v>
      </c>
      <c r="M5" s="1493" t="str">
        <f t="shared" si="0"/>
        <v xml:space="preserve"> </v>
      </c>
      <c r="N5" s="1493" t="str">
        <f t="shared" si="0"/>
        <v xml:space="preserve"> </v>
      </c>
      <c r="O5" s="1493" t="str">
        <f t="shared" si="0"/>
        <v xml:space="preserve"> </v>
      </c>
      <c r="P5" s="1493" t="str">
        <f t="shared" si="0"/>
        <v xml:space="preserve"> </v>
      </c>
      <c r="Q5" s="1493" t="str">
        <f t="shared" si="0"/>
        <v xml:space="preserve"> </v>
      </c>
      <c r="U5" s="1425"/>
      <c r="V5" s="1426" t="s">
        <v>600</v>
      </c>
      <c r="W5" s="1426"/>
      <c r="X5" s="1426" t="s">
        <v>142</v>
      </c>
      <c r="Y5" s="1426" t="s">
        <v>143</v>
      </c>
      <c r="Z5" s="1426" t="s">
        <v>144</v>
      </c>
      <c r="AA5" s="1426" t="s">
        <v>145</v>
      </c>
      <c r="AB5" s="1426" t="s">
        <v>146</v>
      </c>
      <c r="AC5" s="1426"/>
      <c r="AD5" s="1426" t="s">
        <v>601</v>
      </c>
      <c r="AE5" s="1426"/>
      <c r="AF5" s="1426" t="s">
        <v>142</v>
      </c>
      <c r="AG5" s="1426" t="s">
        <v>143</v>
      </c>
      <c r="AH5" s="1426" t="s">
        <v>144</v>
      </c>
      <c r="AI5" s="1426" t="s">
        <v>145</v>
      </c>
      <c r="AJ5" s="1426" t="s">
        <v>146</v>
      </c>
      <c r="AK5" s="1426"/>
      <c r="AL5" s="1427" t="s">
        <v>602</v>
      </c>
      <c r="AM5" s="1426"/>
      <c r="AN5" s="1426" t="s">
        <v>603</v>
      </c>
      <c r="AO5" s="1426"/>
      <c r="AP5" s="1426" t="s">
        <v>142</v>
      </c>
      <c r="AQ5" s="1426" t="s">
        <v>143</v>
      </c>
      <c r="AR5" s="1426" t="s">
        <v>144</v>
      </c>
      <c r="AS5" s="1426" t="s">
        <v>145</v>
      </c>
      <c r="AT5" s="1428" t="s">
        <v>146</v>
      </c>
    </row>
    <row r="6" spans="1:46">
      <c r="B6" s="464"/>
      <c r="C6" s="464"/>
      <c r="D6" s="465"/>
      <c r="E6" s="465"/>
      <c r="F6" s="465"/>
      <c r="G6" s="465"/>
      <c r="H6" s="465"/>
      <c r="I6" s="465"/>
      <c r="J6" s="465"/>
      <c r="K6" s="465"/>
      <c r="L6" s="465"/>
      <c r="M6" s="464"/>
      <c r="U6" s="466"/>
      <c r="AC6" s="467"/>
      <c r="AD6" s="467"/>
      <c r="AE6" s="467"/>
      <c r="AF6" s="467"/>
      <c r="AL6" s="468"/>
      <c r="AT6" s="469"/>
    </row>
    <row r="7" spans="1:46">
      <c r="B7" s="470" t="str">
        <f>'G&amp;V'!B8</f>
        <v>Total Turnover (reported)</v>
      </c>
      <c r="C7" s="1142" t="s">
        <v>604</v>
      </c>
      <c r="D7" s="1139">
        <f>IF('G&amp;V'!D8&lt;&gt;"",'G&amp;V'!D8,0)</f>
        <v>0</v>
      </c>
      <c r="E7" s="1139">
        <f>IF('G&amp;V'!E8&lt;&gt;"",'G&amp;V'!E8,0)</f>
        <v>38216485.956758939</v>
      </c>
      <c r="F7" s="1139">
        <f>IF('G&amp;V'!F8&lt;&gt;"",'G&amp;V'!F8,0)</f>
        <v>37396294.271356784</v>
      </c>
      <c r="G7" s="1139">
        <f>IF('G&amp;V'!G8&lt;&gt;"",'G&amp;V'!G8,0)</f>
        <v>34006908.524326496</v>
      </c>
      <c r="H7" s="1139">
        <f>IF('G&amp;V'!H8&lt;&gt;"",'G&amp;V'!H8,0)</f>
        <v>34687046.694813028</v>
      </c>
      <c r="I7" s="1139">
        <f>IF('G&amp;V'!I8&lt;&gt;"",'G&amp;V'!I8,0)</f>
        <v>0</v>
      </c>
      <c r="J7" s="1139">
        <f>IF('G&amp;V'!J8&lt;&gt;"",'G&amp;V'!J8,0)</f>
        <v>0</v>
      </c>
      <c r="K7" s="1139">
        <f>IF('G&amp;V'!K8&lt;&gt;"",'G&amp;V'!K8,0)</f>
        <v>0</v>
      </c>
      <c r="L7" s="1139">
        <f>IF('G&amp;V'!L8&lt;&gt;"",'G&amp;V'!L8,0)</f>
        <v>0</v>
      </c>
      <c r="M7" s="1139">
        <f>IF('G&amp;V'!M8&lt;&gt;"",'G&amp;V'!M8,0)</f>
        <v>0</v>
      </c>
      <c r="N7" s="1139">
        <f>IF('G&amp;V'!N8&lt;&gt;"",'G&amp;V'!N8,0)</f>
        <v>0</v>
      </c>
      <c r="O7" s="1139">
        <f>IF('G&amp;V'!O8&lt;&gt;"",'G&amp;V'!O8,0)</f>
        <v>0</v>
      </c>
      <c r="P7" s="1139">
        <f>IF('G&amp;V'!P8&lt;&gt;"",'G&amp;V'!P8,0)</f>
        <v>0</v>
      </c>
      <c r="Q7" s="1139">
        <f>IF('G&amp;V'!Q8&lt;&gt;"",'G&amp;V'!Q8,0)</f>
        <v>0</v>
      </c>
      <c r="U7" s="471" t="s">
        <v>605</v>
      </c>
      <c r="V7" s="472" t="s">
        <v>523</v>
      </c>
      <c r="W7" s="472"/>
      <c r="X7" s="512">
        <f ca="1">INDEX(Multiple!$L$12:$AI$18,MATCH(X$5,Multiple!$L$12:$L$18,0),MATCH($V7,Multiple!$L$12:$AI$12,0))</f>
        <v>0</v>
      </c>
      <c r="Y7" s="512" t="e">
        <f ca="1">INDEX(Multiple!$L$12:$AI$18,MATCH(Y$5,Multiple!$L$12:$L$18,0),MATCH($V7,Multiple!$L$12:$AI$12,0))</f>
        <v>#NUM!</v>
      </c>
      <c r="Z7" s="512" t="e">
        <f ca="1">INDEX(Multiple!$L$12:$AI$18,MATCH(Z$5,Multiple!$L$12:$L$18,0),MATCH($V7,Multiple!$L$12:$AI$12,0))</f>
        <v>#NUM!</v>
      </c>
      <c r="AA7" s="512" t="e">
        <f ca="1">INDEX(Multiple!$L$12:$AI$18,MATCH(AA$5,Multiple!$L$12:$L$18,0),MATCH($V7,Multiple!$L$12:$AI$12,0))</f>
        <v>#NUM!</v>
      </c>
      <c r="AB7" s="512">
        <f ca="1">INDEX(Multiple!$L$12:$AI$18,MATCH(AB$5,Multiple!$L$12:$L$18,0),MATCH($V7,Multiple!$L$12:$AI$12,0))</f>
        <v>0</v>
      </c>
      <c r="AC7" s="467"/>
      <c r="AD7" s="472" t="s">
        <v>606</v>
      </c>
      <c r="AE7" s="467"/>
      <c r="AF7" s="513">
        <f ca="1">X7*$H27</f>
        <v>0</v>
      </c>
      <c r="AG7" s="513" t="e">
        <f ca="1">Y7*$H27</f>
        <v>#NUM!</v>
      </c>
      <c r="AH7" s="513" t="e">
        <f t="shared" ref="AH7" ca="1" si="1">Z7*$H27</f>
        <v>#NUM!</v>
      </c>
      <c r="AI7" s="513" t="e">
        <f ca="1">AA7*$H27</f>
        <v>#NUM!</v>
      </c>
      <c r="AJ7" s="513">
        <f ca="1">AB7*$H27</f>
        <v>0</v>
      </c>
      <c r="AL7" s="516" t="e">
        <f>FDB!$E$28*1000</f>
        <v>#REF!</v>
      </c>
      <c r="AN7" s="472" t="s">
        <v>607</v>
      </c>
      <c r="AP7" s="514" t="e">
        <f ca="1">AF7+$AL7</f>
        <v>#REF!</v>
      </c>
      <c r="AQ7" s="514" t="e">
        <f ca="1">AG7+$AL7</f>
        <v>#NUM!</v>
      </c>
      <c r="AR7" s="514" t="e">
        <f ca="1">AH7+$AL7</f>
        <v>#NUM!</v>
      </c>
      <c r="AS7" s="514" t="e">
        <f ca="1">AI7+$AL7</f>
        <v>#NUM!</v>
      </c>
      <c r="AT7" s="515" t="e">
        <f ca="1">AJ7+$AL7</f>
        <v>#REF!</v>
      </c>
    </row>
    <row r="8" spans="1:46">
      <c r="B8" s="477" t="str">
        <f>'G&amp;V'!B14</f>
        <v>Cost of Material</v>
      </c>
      <c r="C8" s="1143" t="s">
        <v>604</v>
      </c>
      <c r="D8" s="1138">
        <f>'G&amp;V'!D14</f>
        <v>0</v>
      </c>
      <c r="E8" s="1138">
        <f>'G&amp;V'!E14</f>
        <v>0</v>
      </c>
      <c r="F8" s="1138">
        <f>'G&amp;V'!F14</f>
        <v>0</v>
      </c>
      <c r="G8" s="1138">
        <f>'G&amp;V'!G14</f>
        <v>0</v>
      </c>
      <c r="H8" s="1138">
        <f>'G&amp;V'!H14</f>
        <v>0</v>
      </c>
      <c r="I8" s="1138">
        <f>'G&amp;V'!I14</f>
        <v>0</v>
      </c>
      <c r="J8" s="1138">
        <f>'G&amp;V'!J14</f>
        <v>0</v>
      </c>
      <c r="K8" s="1138">
        <f>'G&amp;V'!K14</f>
        <v>0</v>
      </c>
      <c r="L8" s="1138">
        <f>'G&amp;V'!L14</f>
        <v>0</v>
      </c>
      <c r="M8" s="1138" t="str">
        <f>'G&amp;V'!M14</f>
        <v/>
      </c>
      <c r="N8" s="1138" t="str">
        <f>'G&amp;V'!N14</f>
        <v/>
      </c>
      <c r="O8" s="1138" t="str">
        <f>'G&amp;V'!O14</f>
        <v/>
      </c>
      <c r="P8" s="1138" t="str">
        <f>'G&amp;V'!P14</f>
        <v/>
      </c>
      <c r="Q8" s="1138" t="str">
        <f>'G&amp;V'!Q14</f>
        <v/>
      </c>
      <c r="U8" s="478"/>
      <c r="V8" s="472" t="s">
        <v>524</v>
      </c>
      <c r="W8" s="472"/>
      <c r="X8" s="512">
        <f ca="1">INDEX(Multiple!$L$12:$AI$18,MATCH(X$5,Multiple!$L$12:$L$18,0),MATCH($V8,Multiple!$L$12:$AI$12,0))</f>
        <v>0</v>
      </c>
      <c r="Y8" s="512" t="e">
        <f ca="1">INDEX(Multiple!$L$12:$AI$18,MATCH(Y$5,Multiple!$L$12:$L$18,0),MATCH($V8,Multiple!$L$12:$AI$12,0))</f>
        <v>#NUM!</v>
      </c>
      <c r="Z8" s="512" t="e">
        <f ca="1">INDEX(Multiple!$L$12:$AI$18,MATCH(Z$5,Multiple!$L$12:$L$18,0),MATCH($V8,Multiple!$L$12:$AI$12,0))</f>
        <v>#NUM!</v>
      </c>
      <c r="AA8" s="512" t="e">
        <f ca="1">INDEX(Multiple!$L$12:$AI$18,MATCH(AA$5,Multiple!$L$12:$L$18,0),MATCH($V8,Multiple!$L$12:$AI$12,0))</f>
        <v>#NUM!</v>
      </c>
      <c r="AB8" s="512">
        <f ca="1">INDEX(Multiple!$L$12:$AI$18,MATCH(AB$5,Multiple!$L$12:$L$18,0),MATCH($V8,Multiple!$L$12:$AI$12,0))</f>
        <v>0</v>
      </c>
      <c r="AC8" s="467"/>
      <c r="AD8" s="472" t="s">
        <v>608</v>
      </c>
      <c r="AE8" s="467"/>
      <c r="AF8" s="513">
        <f t="shared" ref="AF8:AG9" ca="1" si="2">X8*$H28</f>
        <v>0</v>
      </c>
      <c r="AG8" s="513" t="e">
        <f t="shared" ca="1" si="2"/>
        <v>#NUM!</v>
      </c>
      <c r="AH8" s="513" t="e">
        <f t="shared" ref="AH8:AH9" ca="1" si="3">Z8*$H28</f>
        <v>#NUM!</v>
      </c>
      <c r="AI8" s="513" t="e">
        <f t="shared" ref="AI8:AJ9" ca="1" si="4">AA8*$H28</f>
        <v>#NUM!</v>
      </c>
      <c r="AJ8" s="513">
        <f t="shared" ca="1" si="4"/>
        <v>0</v>
      </c>
      <c r="AL8" s="516" t="e">
        <f>FDB!$E$28*1000</f>
        <v>#REF!</v>
      </c>
      <c r="AN8" s="472" t="s">
        <v>609</v>
      </c>
      <c r="AP8" s="514" t="e">
        <f t="shared" ref="AP8:AQ9" ca="1" si="5">AF8+$AL8</f>
        <v>#REF!</v>
      </c>
      <c r="AQ8" s="514" t="e">
        <f t="shared" ca="1" si="5"/>
        <v>#NUM!</v>
      </c>
      <c r="AR8" s="514" t="e">
        <f t="shared" ref="AR8:AR9" ca="1" si="6">AH8+$AL8</f>
        <v>#NUM!</v>
      </c>
      <c r="AS8" s="514" t="e">
        <f t="shared" ref="AS8:AT9" ca="1" si="7">AI8+$AL8</f>
        <v>#NUM!</v>
      </c>
      <c r="AT8" s="515" t="e">
        <f t="shared" ca="1" si="7"/>
        <v>#REF!</v>
      </c>
    </row>
    <row r="9" spans="1:46">
      <c r="B9" s="479" t="str">
        <f>'G&amp;V'!B20</f>
        <v>Gross Profit (adjusted)</v>
      </c>
      <c r="C9" s="1145"/>
      <c r="D9" s="1140">
        <f>IF('G&amp;V'!D20&lt;&gt;"",'G&amp;V'!D20,0)</f>
        <v>0</v>
      </c>
      <c r="E9" s="1140">
        <f>IF('G&amp;V'!E20&lt;&gt;"",'G&amp;V'!E20,0)</f>
        <v>38216485.956758939</v>
      </c>
      <c r="F9" s="1140">
        <f>IF('G&amp;V'!F20&lt;&gt;"",'G&amp;V'!F20,0)</f>
        <v>37396294.271356784</v>
      </c>
      <c r="G9" s="1140">
        <f>IF('G&amp;V'!G20&lt;&gt;"",'G&amp;V'!G20,0)</f>
        <v>34006908.524326496</v>
      </c>
      <c r="H9" s="1140">
        <f>IF('G&amp;V'!H20&lt;&gt;"",'G&amp;V'!H20,0)</f>
        <v>34687046.694813028</v>
      </c>
      <c r="I9" s="1140">
        <f>IF('G&amp;V'!I20&lt;&gt;"",'G&amp;V'!I20,0)</f>
        <v>0</v>
      </c>
      <c r="J9" s="1140">
        <f>IF('G&amp;V'!J20&lt;&gt;"",'G&amp;V'!J20,0)</f>
        <v>0</v>
      </c>
      <c r="K9" s="1140">
        <f>IF('G&amp;V'!K20&lt;&gt;"",'G&amp;V'!K20,0)</f>
        <v>0</v>
      </c>
      <c r="L9" s="1140">
        <f>IF('G&amp;V'!L20&lt;&gt;"",'G&amp;V'!L20,0)</f>
        <v>0</v>
      </c>
      <c r="M9" s="1140">
        <f>IF('G&amp;V'!M20&lt;&gt;"",'G&amp;V'!M20,0)</f>
        <v>0</v>
      </c>
      <c r="N9" s="1140">
        <f>IF('G&amp;V'!N20&lt;&gt;"",'G&amp;V'!N20,0)</f>
        <v>0</v>
      </c>
      <c r="O9" s="1140">
        <f>IF('G&amp;V'!O20&lt;&gt;"",'G&amp;V'!O20,0)</f>
        <v>0</v>
      </c>
      <c r="P9" s="1140">
        <f>IF('G&amp;V'!P20&lt;&gt;"",'G&amp;V'!P20,0)</f>
        <v>0</v>
      </c>
      <c r="Q9" s="1140">
        <f>IF('G&amp;V'!Q20&lt;&gt;"",'G&amp;V'!Q20,0)</f>
        <v>0</v>
      </c>
      <c r="U9" s="478"/>
      <c r="V9" s="472" t="s">
        <v>525</v>
      </c>
      <c r="W9" s="472"/>
      <c r="X9" s="512">
        <f ca="1">INDEX(Multiple!$L$12:$AI$18,MATCH(X$5,Multiple!$L$12:$L$18,0),MATCH($V9,Multiple!$L$12:$AI$12,0))</f>
        <v>0</v>
      </c>
      <c r="Y9" s="512" t="e">
        <f ca="1">INDEX(Multiple!$L$12:$AI$18,MATCH(Y$5,Multiple!$L$12:$L$18,0),MATCH($V9,Multiple!$L$12:$AI$12,0))</f>
        <v>#NUM!</v>
      </c>
      <c r="Z9" s="512" t="e">
        <f ca="1">INDEX(Multiple!$L$12:$AI$18,MATCH(Z$5,Multiple!$L$12:$L$18,0),MATCH($V9,Multiple!$L$12:$AI$12,0))</f>
        <v>#NUM!</v>
      </c>
      <c r="AA9" s="512" t="e">
        <f ca="1">INDEX(Multiple!$L$12:$AI$18,MATCH(AA$5,Multiple!$L$12:$L$18,0),MATCH($V9,Multiple!$L$12:$AI$12,0))</f>
        <v>#NUM!</v>
      </c>
      <c r="AB9" s="512">
        <f ca="1">INDEX(Multiple!$L$12:$AI$18,MATCH(AB$5,Multiple!$L$12:$L$18,0),MATCH($V9,Multiple!$L$12:$AI$12,0))</f>
        <v>0</v>
      </c>
      <c r="AC9" s="467"/>
      <c r="AD9" s="472" t="s">
        <v>610</v>
      </c>
      <c r="AE9" s="467"/>
      <c r="AF9" s="513">
        <f t="shared" ca="1" si="2"/>
        <v>0</v>
      </c>
      <c r="AG9" s="513" t="e">
        <f t="shared" ca="1" si="2"/>
        <v>#NUM!</v>
      </c>
      <c r="AH9" s="513" t="e">
        <f t="shared" ca="1" si="3"/>
        <v>#NUM!</v>
      </c>
      <c r="AI9" s="513" t="e">
        <f t="shared" ca="1" si="4"/>
        <v>#NUM!</v>
      </c>
      <c r="AJ9" s="513">
        <f t="shared" ca="1" si="4"/>
        <v>0</v>
      </c>
      <c r="AL9" s="516" t="e">
        <f>FDB!$E$28*1000</f>
        <v>#REF!</v>
      </c>
      <c r="AN9" s="472" t="s">
        <v>611</v>
      </c>
      <c r="AP9" s="514" t="e">
        <f t="shared" ca="1" si="5"/>
        <v>#REF!</v>
      </c>
      <c r="AQ9" s="514" t="e">
        <f t="shared" ca="1" si="5"/>
        <v>#NUM!</v>
      </c>
      <c r="AR9" s="514" t="e">
        <f t="shared" ca="1" si="6"/>
        <v>#NUM!</v>
      </c>
      <c r="AS9" s="514" t="e">
        <f t="shared" ca="1" si="7"/>
        <v>#NUM!</v>
      </c>
      <c r="AT9" s="515" t="e">
        <f t="shared" ca="1" si="7"/>
        <v>#REF!</v>
      </c>
    </row>
    <row r="10" spans="1:46">
      <c r="B10" s="481"/>
      <c r="C10" s="1142"/>
      <c r="D10" s="1226"/>
      <c r="E10" s="1226"/>
      <c r="F10" s="1226"/>
      <c r="G10" s="1226"/>
      <c r="H10" s="1226"/>
      <c r="I10" s="1226"/>
      <c r="J10" s="1226"/>
      <c r="K10" s="1226"/>
      <c r="L10" s="1226"/>
      <c r="M10" s="1226"/>
      <c r="N10" s="1226"/>
      <c r="O10" s="1226"/>
      <c r="P10" s="1226"/>
      <c r="Q10" s="1226"/>
      <c r="U10" s="478"/>
      <c r="V10" s="472"/>
      <c r="W10" s="472"/>
      <c r="X10" s="512"/>
      <c r="Y10" s="473"/>
      <c r="Z10" s="473"/>
      <c r="AA10" s="473"/>
      <c r="AB10" s="473"/>
      <c r="AC10" s="467"/>
      <c r="AD10" s="472"/>
      <c r="AE10" s="467"/>
      <c r="AF10" s="484"/>
      <c r="AG10" s="484"/>
      <c r="AH10" s="484"/>
      <c r="AI10" s="484"/>
      <c r="AJ10" s="484"/>
      <c r="AL10" s="474"/>
      <c r="AN10" s="472"/>
      <c r="AT10" s="469"/>
    </row>
    <row r="11" spans="1:46">
      <c r="B11" s="477" t="str">
        <f>'G&amp;V'!B24</f>
        <v>Personnel Expenses</v>
      </c>
      <c r="C11" s="1142" t="s">
        <v>604</v>
      </c>
      <c r="D11" s="1138">
        <f>'G&amp;V'!D24</f>
        <v>0</v>
      </c>
      <c r="E11" s="1138">
        <f>'G&amp;V'!E24</f>
        <v>-3420668.4178621946</v>
      </c>
      <c r="F11" s="1138">
        <f>'G&amp;V'!F24</f>
        <v>-4168543.1155778901</v>
      </c>
      <c r="G11" s="1138">
        <f>'G&amp;V'!G24</f>
        <v>-4283540.6111781262</v>
      </c>
      <c r="H11" s="1138">
        <f>'G&amp;V'!H24</f>
        <v>-3780170.9475520109</v>
      </c>
      <c r="I11" s="1138">
        <f>'G&amp;V'!I24</f>
        <v>0</v>
      </c>
      <c r="J11" s="1138">
        <f>'G&amp;V'!J24</f>
        <v>0</v>
      </c>
      <c r="K11" s="1138">
        <f>'G&amp;V'!K24</f>
        <v>0</v>
      </c>
      <c r="L11" s="1138">
        <f>'G&amp;V'!L24</f>
        <v>0</v>
      </c>
      <c r="M11" s="1138" t="str">
        <f>'G&amp;V'!M24</f>
        <v/>
      </c>
      <c r="N11" s="1138" t="str">
        <f>'G&amp;V'!N24</f>
        <v/>
      </c>
      <c r="O11" s="1138" t="str">
        <f>'G&amp;V'!O24</f>
        <v/>
      </c>
      <c r="P11" s="1138" t="str">
        <f>'G&amp;V'!P24</f>
        <v/>
      </c>
      <c r="Q11" s="1138" t="str">
        <f>'G&amp;V'!Q24</f>
        <v/>
      </c>
      <c r="U11" s="485" t="s">
        <v>612</v>
      </c>
      <c r="V11" s="472" t="s">
        <v>523</v>
      </c>
      <c r="W11" s="472"/>
      <c r="X11" s="512">
        <f>INDEX(Multiple!$AK$12:$BD$18,MATCH(X$5,Multiple!$AK$12:$AK$18,0),MATCH($V11,Multiple!$AK$12:$BD$12,0))</f>
        <v>0.22984649231499016</v>
      </c>
      <c r="Y11" s="512">
        <f>INDEX(Multiple!$AK$12:$BD$18,MATCH(Y$5,Multiple!$AK$12:$AK$18,0),MATCH($V11,Multiple!$AK$12:$BD$12,0))</f>
        <v>0.38478038591052593</v>
      </c>
      <c r="Z11" s="512">
        <f>INDEX(Multiple!$AK$12:$BD$18,MATCH(Z$5,Multiple!$AK$12:$AK$18,0),MATCH($V11,Multiple!$AK$12:$BD$12,0))</f>
        <v>0.85261225517930994</v>
      </c>
      <c r="AA11" s="512">
        <f>INDEX(Multiple!$AK$12:$BD$18,MATCH(AA$5,Multiple!$AK$12:$AK$18,0),MATCH($V11,Multiple!$AK$12:$BD$12,0))</f>
        <v>0.94051031040583477</v>
      </c>
      <c r="AB11" s="512">
        <f>INDEX(Multiple!$AK$12:$BD$18,MATCH(AB$5,Multiple!$AK$12:$AK$18,0),MATCH($V11,Multiple!$AK$12:$BD$12,0))</f>
        <v>5.140874313864586</v>
      </c>
      <c r="AC11" s="467"/>
      <c r="AD11" s="472" t="s">
        <v>606</v>
      </c>
      <c r="AE11" s="467"/>
      <c r="AF11" s="517">
        <f>X11*$H27</f>
        <v>5611892.8387713078</v>
      </c>
      <c r="AG11" s="517">
        <f>Y11*$H27</f>
        <v>9394732.4165891223</v>
      </c>
      <c r="AH11" s="517">
        <f t="shared" ref="AH11" si="8">Z11*$H27</f>
        <v>20817235.716315392</v>
      </c>
      <c r="AI11" s="517">
        <f t="shared" ref="AI11:AJ13" si="9">AA11*$H27</f>
        <v>22963339.673349716</v>
      </c>
      <c r="AJ11" s="517">
        <f t="shared" si="9"/>
        <v>125518712.32153881</v>
      </c>
      <c r="AL11" s="516" t="e">
        <f>FDB!$E$28*1000</f>
        <v>#REF!</v>
      </c>
      <c r="AN11" s="472" t="s">
        <v>607</v>
      </c>
      <c r="AP11" s="514" t="e">
        <f>AF11+$AL11</f>
        <v>#REF!</v>
      </c>
      <c r="AQ11" s="514" t="e">
        <f>AG11+$AL11</f>
        <v>#REF!</v>
      </c>
      <c r="AR11" s="514" t="e">
        <f t="shared" ref="AR11:AR13" si="10">AH11+$AL11</f>
        <v>#REF!</v>
      </c>
      <c r="AS11" s="514" t="e">
        <f t="shared" ref="AS11:AT13" si="11">AI11+$AL11</f>
        <v>#REF!</v>
      </c>
      <c r="AT11" s="515" t="e">
        <f t="shared" si="11"/>
        <v>#REF!</v>
      </c>
    </row>
    <row r="12" spans="1:46">
      <c r="B12" s="477" t="str">
        <f>'G&amp;V'!B35</f>
        <v>Other Operating Expenses</v>
      </c>
      <c r="C12" s="1142" t="s">
        <v>604</v>
      </c>
      <c r="D12" s="1138">
        <f>'G&amp;V'!D35</f>
        <v>0</v>
      </c>
      <c r="E12" s="1138">
        <f>'G&amp;V'!E35</f>
        <v>-32748154.576682154</v>
      </c>
      <c r="F12" s="1138">
        <f>'G&amp;V'!F35</f>
        <v>-32035190.954773873</v>
      </c>
      <c r="G12" s="1138">
        <f>'G&amp;V'!G35</f>
        <v>-29772456.574185763</v>
      </c>
      <c r="H12" s="1138">
        <f>'G&amp;V'!H35</f>
        <v>-29935327.135027174</v>
      </c>
      <c r="I12" s="1138">
        <f>'G&amp;V'!I35</f>
        <v>0</v>
      </c>
      <c r="J12" s="1138">
        <f>'G&amp;V'!J35</f>
        <v>0</v>
      </c>
      <c r="K12" s="1138">
        <f>'G&amp;V'!K35</f>
        <v>0</v>
      </c>
      <c r="L12" s="1138">
        <f>'G&amp;V'!L35</f>
        <v>0</v>
      </c>
      <c r="M12" s="1138" t="str">
        <f>'G&amp;V'!M35</f>
        <v/>
      </c>
      <c r="N12" s="1138" t="str">
        <f>'G&amp;V'!N35</f>
        <v/>
      </c>
      <c r="O12" s="1138" t="str">
        <f>'G&amp;V'!O35</f>
        <v/>
      </c>
      <c r="P12" s="1138" t="str">
        <f>'G&amp;V'!P35</f>
        <v/>
      </c>
      <c r="Q12" s="1138" t="str">
        <f>'G&amp;V'!Q35</f>
        <v/>
      </c>
      <c r="U12" s="478"/>
      <c r="V12" s="472" t="s">
        <v>524</v>
      </c>
      <c r="W12" s="472"/>
      <c r="X12" s="512">
        <f>INDEX(Multiple!$AK$12:$BD$18,MATCH(X$5,Multiple!$AK$12:$AK$18,0),MATCH($V12,Multiple!$AK$12:$BD$12,0))</f>
        <v>1.8584007369006321</v>
      </c>
      <c r="Y12" s="512">
        <f>INDEX(Multiple!$AK$12:$BD$18,MATCH(Y$5,Multiple!$AK$12:$AK$18,0),MATCH($V12,Multiple!$AK$12:$BD$12,0))</f>
        <v>3.9978812658972944</v>
      </c>
      <c r="Z12" s="512">
        <f>INDEX(Multiple!$AK$12:$BD$18,MATCH(Z$5,Multiple!$AK$12:$AK$18,0),MATCH($V12,Multiple!$AK$12:$BD$12,0))</f>
        <v>4.8054157778527609</v>
      </c>
      <c r="AA12" s="512">
        <f>INDEX(Multiple!$AK$12:$BD$18,MATCH(AA$5,Multiple!$AK$12:$AK$18,0),MATCH($V12,Multiple!$AK$12:$BD$12,0))</f>
        <v>6.2186044625197834</v>
      </c>
      <c r="AB12" s="512">
        <f>INDEX(Multiple!$AK$12:$BD$18,MATCH(AB$5,Multiple!$AK$12:$AK$18,0),MATCH($V12,Multiple!$AK$12:$BD$12,0))</f>
        <v>76.472898118562526</v>
      </c>
      <c r="AC12" s="467"/>
      <c r="AD12" s="472" t="s">
        <v>608</v>
      </c>
      <c r="AE12" s="467"/>
      <c r="AF12" s="517">
        <f t="shared" ref="AF12:AG13" si="12">X12*$H28</f>
        <v>1251444.4461197092</v>
      </c>
      <c r="AG12" s="517">
        <f t="shared" si="12"/>
        <v>2692167.6294625341</v>
      </c>
      <c r="AH12" s="517">
        <f t="shared" ref="AH12:AH13" si="13">Z12*$H28</f>
        <v>3235960.2356374925</v>
      </c>
      <c r="AI12" s="517">
        <f t="shared" si="9"/>
        <v>4187599.5110799046</v>
      </c>
      <c r="AJ12" s="517">
        <f t="shared" si="9"/>
        <v>51496742.187457792</v>
      </c>
      <c r="AL12" s="516" t="e">
        <f>FDB!$E$28*1000</f>
        <v>#REF!</v>
      </c>
      <c r="AN12" s="472" t="s">
        <v>609</v>
      </c>
      <c r="AP12" s="514" t="e">
        <f t="shared" ref="AP12:AQ13" si="14">AF12+$AL12</f>
        <v>#REF!</v>
      </c>
      <c r="AQ12" s="514" t="e">
        <f t="shared" si="14"/>
        <v>#REF!</v>
      </c>
      <c r="AR12" s="514" t="e">
        <f t="shared" si="10"/>
        <v>#REF!</v>
      </c>
      <c r="AS12" s="514" t="e">
        <f t="shared" si="11"/>
        <v>#REF!</v>
      </c>
      <c r="AT12" s="515" t="e">
        <f t="shared" si="11"/>
        <v>#REF!</v>
      </c>
    </row>
    <row r="13" spans="1:46">
      <c r="B13" s="477"/>
      <c r="C13" s="1143"/>
      <c r="D13" s="1138"/>
      <c r="E13" s="1138"/>
      <c r="F13" s="1138"/>
      <c r="G13" s="1138"/>
      <c r="H13" s="1138"/>
      <c r="I13" s="1138"/>
      <c r="J13" s="1138"/>
      <c r="K13" s="1138"/>
      <c r="L13" s="1138"/>
      <c r="M13" s="1138"/>
      <c r="N13" s="1138"/>
      <c r="O13" s="1138"/>
      <c r="P13" s="1138"/>
      <c r="Q13" s="1138"/>
      <c r="U13" s="478"/>
      <c r="V13" s="472" t="s">
        <v>525</v>
      </c>
      <c r="W13" s="472"/>
      <c r="X13" s="512">
        <f>INDEX(Multiple!$AK$12:$BD$18,MATCH(X$5,Multiple!$AK$12:$AK$18,0),MATCH($V13,Multiple!$AK$12:$BD$12,0))</f>
        <v>-1.5722003567529352</v>
      </c>
      <c r="Y13" s="512">
        <f>INDEX(Multiple!$AK$12:$BD$18,MATCH(Y$5,Multiple!$AK$12:$AK$18,0),MATCH($V13,Multiple!$AK$12:$BD$12,0))</f>
        <v>4.7145929845174539</v>
      </c>
      <c r="Z13" s="512">
        <f>INDEX(Multiple!$AK$12:$BD$18,MATCH(Z$5,Multiple!$AK$12:$AK$18,0),MATCH($V13,Multiple!$AK$12:$BD$12,0))</f>
        <v>9.0807968906214267</v>
      </c>
      <c r="AA13" s="512">
        <f>INDEX(Multiple!$AK$12:$BD$18,MATCH(AA$5,Multiple!$AK$12:$AK$18,0),MATCH($V13,Multiple!$AK$12:$BD$12,0))</f>
        <v>15.251778307007154</v>
      </c>
      <c r="AB13" s="512">
        <f>INDEX(Multiple!$AK$12:$BD$18,MATCH(AB$5,Multiple!$AK$12:$AK$18,0),MATCH($V13,Multiple!$AK$12:$BD$12,0))</f>
        <v>76.472899739863834</v>
      </c>
      <c r="AC13" s="467"/>
      <c r="AD13" s="472" t="s">
        <v>610</v>
      </c>
      <c r="AE13" s="467"/>
      <c r="AF13" s="517">
        <f t="shared" si="12"/>
        <v>-1058717.5120944264</v>
      </c>
      <c r="AG13" s="517">
        <f t="shared" si="12"/>
        <v>3174800.2941653938</v>
      </c>
      <c r="AH13" s="517">
        <f t="shared" si="13"/>
        <v>6114995.8722368618</v>
      </c>
      <c r="AI13" s="517">
        <f t="shared" si="9"/>
        <v>10270526.090936286</v>
      </c>
      <c r="AJ13" s="517">
        <f t="shared" si="9"/>
        <v>51496743.279239811</v>
      </c>
      <c r="AL13" s="516" t="e">
        <f>FDB!$E$28*1000</f>
        <v>#REF!</v>
      </c>
      <c r="AN13" s="472" t="s">
        <v>611</v>
      </c>
      <c r="AP13" s="514" t="e">
        <f t="shared" si="14"/>
        <v>#REF!</v>
      </c>
      <c r="AQ13" s="514" t="e">
        <f t="shared" si="14"/>
        <v>#REF!</v>
      </c>
      <c r="AR13" s="514" t="e">
        <f t="shared" si="10"/>
        <v>#REF!</v>
      </c>
      <c r="AS13" s="514" t="e">
        <f t="shared" si="11"/>
        <v>#REF!</v>
      </c>
      <c r="AT13" s="515" t="e">
        <f t="shared" si="11"/>
        <v>#REF!</v>
      </c>
    </row>
    <row r="14" spans="1:46">
      <c r="B14" s="477"/>
      <c r="C14" s="1143"/>
      <c r="D14" s="1138"/>
      <c r="E14" s="1138"/>
      <c r="F14" s="1138"/>
      <c r="G14" s="1138"/>
      <c r="H14" s="1138"/>
      <c r="I14" s="1138"/>
      <c r="J14" s="1138"/>
      <c r="K14" s="1138"/>
      <c r="L14" s="1138"/>
      <c r="M14" s="1138"/>
      <c r="N14" s="1138"/>
      <c r="O14" s="1138"/>
      <c r="P14" s="1138"/>
      <c r="Q14" s="1138"/>
      <c r="U14" s="478"/>
      <c r="V14" s="472"/>
      <c r="W14" s="472"/>
      <c r="X14" s="472"/>
      <c r="Y14" s="473"/>
      <c r="Z14" s="473"/>
      <c r="AA14" s="473"/>
      <c r="AB14" s="473"/>
      <c r="AC14" s="467"/>
      <c r="AD14" s="472"/>
      <c r="AE14" s="467"/>
      <c r="AF14" s="467"/>
      <c r="AL14" s="474"/>
      <c r="AN14" s="472"/>
      <c r="AT14" s="469"/>
    </row>
    <row r="15" spans="1:46">
      <c r="B15" s="479" t="str">
        <f>'G&amp;V'!B40</f>
        <v>EBITDA (adjusted)</v>
      </c>
      <c r="C15" s="1145" t="s">
        <v>604</v>
      </c>
      <c r="D15" s="1140">
        <f>IF('G&amp;V'!D40&lt;&gt;"",'G&amp;V'!D40,0)</f>
        <v>0</v>
      </c>
      <c r="E15" s="1140">
        <f>IF('G&amp;V'!E40&lt;&gt;"",'G&amp;V'!E40,0)</f>
        <v>2496145.4839361529</v>
      </c>
      <c r="F15" s="1140">
        <f>IF('G&amp;V'!F40&lt;&gt;"",'G&amp;V'!F40,0)</f>
        <v>1744048.4422110496</v>
      </c>
      <c r="G15" s="1140">
        <f>IF('G&amp;V'!G40&lt;&gt;"",'G&amp;V'!G40,0)</f>
        <v>551871.53196622583</v>
      </c>
      <c r="H15" s="1140">
        <f>IF('G&amp;V'!H40&lt;&gt;"",'G&amp;V'!H40,0)</f>
        <v>971548.61223384365</v>
      </c>
      <c r="I15" s="1140">
        <f>IF('G&amp;V'!I40&lt;&gt;"",'G&amp;V'!I40,0)</f>
        <v>0</v>
      </c>
      <c r="J15" s="1140">
        <f>IF('G&amp;V'!J40&lt;&gt;"",'G&amp;V'!J40,0)</f>
        <v>0</v>
      </c>
      <c r="K15" s="1140">
        <f>IF('G&amp;V'!K40&lt;&gt;"",'G&amp;V'!K40,0)</f>
        <v>0</v>
      </c>
      <c r="L15" s="1140">
        <f>IF('G&amp;V'!L40&lt;&gt;"",'G&amp;V'!L40,0)</f>
        <v>0</v>
      </c>
      <c r="M15" s="1140">
        <f>IF('G&amp;V'!M40&lt;&gt;"",'G&amp;V'!M40,0)</f>
        <v>0</v>
      </c>
      <c r="N15" s="1140">
        <f>IF('G&amp;V'!N40&lt;&gt;"",'G&amp;V'!N40,0)</f>
        <v>0</v>
      </c>
      <c r="O15" s="1140">
        <f>IF('G&amp;V'!O40&lt;&gt;"",'G&amp;V'!O40,0)</f>
        <v>0</v>
      </c>
      <c r="P15" s="1140">
        <f>IF('G&amp;V'!P40&lt;&gt;"",'G&amp;V'!P40,0)</f>
        <v>0</v>
      </c>
      <c r="Q15" s="1140">
        <f>IF('G&amp;V'!Q40&lt;&gt;"",'G&amp;V'!Q40,0)</f>
        <v>0</v>
      </c>
      <c r="U15" s="1429"/>
      <c r="V15" s="1421"/>
      <c r="W15" s="1421"/>
      <c r="X15" s="1421" t="s">
        <v>142</v>
      </c>
      <c r="Y15" s="1421" t="s">
        <v>143</v>
      </c>
      <c r="Z15" s="1421" t="s">
        <v>144</v>
      </c>
      <c r="AA15" s="1421" t="s">
        <v>145</v>
      </c>
      <c r="AB15" s="1421" t="s">
        <v>146</v>
      </c>
      <c r="AC15" s="1421"/>
      <c r="AD15" s="1421"/>
      <c r="AE15" s="1421"/>
      <c r="AF15" s="1421" t="s">
        <v>142</v>
      </c>
      <c r="AG15" s="1421" t="s">
        <v>143</v>
      </c>
      <c r="AH15" s="1421" t="s">
        <v>144</v>
      </c>
      <c r="AI15" s="1421" t="s">
        <v>145</v>
      </c>
      <c r="AJ15" s="1421" t="s">
        <v>146</v>
      </c>
      <c r="AK15" s="1421"/>
      <c r="AL15" s="1430"/>
      <c r="AM15" s="1421"/>
      <c r="AN15" s="1421"/>
      <c r="AO15" s="1421"/>
      <c r="AP15" s="1421" t="s">
        <v>142</v>
      </c>
      <c r="AQ15" s="1421" t="s">
        <v>143</v>
      </c>
      <c r="AR15" s="1421" t="s">
        <v>144</v>
      </c>
      <c r="AS15" s="1421" t="s">
        <v>145</v>
      </c>
      <c r="AT15" s="1424" t="s">
        <v>146</v>
      </c>
    </row>
    <row r="16" spans="1:46">
      <c r="B16" s="481" t="str">
        <f>'G&amp;V'!B42</f>
        <v>EBITDA (adjusted) Margin</v>
      </c>
      <c r="C16" s="481"/>
      <c r="D16" s="1141" t="str">
        <f>'G&amp;V'!D42</f>
        <v>na</v>
      </c>
      <c r="E16" s="1141">
        <f>'G&amp;V'!E42</f>
        <v>6.5315934247865776E-2</v>
      </c>
      <c r="F16" s="1141">
        <f>'G&amp;V'!F42</f>
        <v>4.6636932246703421E-2</v>
      </c>
      <c r="G16" s="1141">
        <f>'G&amp;V'!G42</f>
        <v>1.6228218203705583E-2</v>
      </c>
      <c r="H16" s="1141">
        <f>'G&amp;V'!H42</f>
        <v>2.8008974669472955E-2</v>
      </c>
      <c r="I16" s="1141">
        <f>'G&amp;V'!I42</f>
        <v>0</v>
      </c>
      <c r="J16" s="1141">
        <f>'G&amp;V'!J42</f>
        <v>0</v>
      </c>
      <c r="K16" s="1141">
        <f>'G&amp;V'!K42</f>
        <v>0</v>
      </c>
      <c r="L16" s="1141">
        <f>'G&amp;V'!L42</f>
        <v>0</v>
      </c>
      <c r="M16" s="1141" t="str">
        <f>'G&amp;V'!M42</f>
        <v xml:space="preserve"> </v>
      </c>
      <c r="N16" s="1141" t="str">
        <f>'G&amp;V'!N42</f>
        <v xml:space="preserve"> </v>
      </c>
      <c r="O16" s="1141" t="str">
        <f>'G&amp;V'!O42</f>
        <v xml:space="preserve"> </v>
      </c>
      <c r="P16" s="1141" t="str">
        <f>'G&amp;V'!P42</f>
        <v xml:space="preserve"> </v>
      </c>
      <c r="Q16" s="1141" t="str">
        <f>'G&amp;V'!Q42</f>
        <v xml:space="preserve"> </v>
      </c>
      <c r="U16" s="478"/>
      <c r="V16" s="472"/>
      <c r="W16" s="472"/>
      <c r="X16" s="472"/>
      <c r="Y16" s="473"/>
      <c r="Z16" s="473"/>
      <c r="AA16" s="473"/>
      <c r="AB16" s="473"/>
      <c r="AC16" s="467"/>
      <c r="AD16" s="472"/>
      <c r="AE16" s="467"/>
      <c r="AF16" s="467"/>
      <c r="AL16" s="474"/>
      <c r="AN16" s="472"/>
      <c r="AT16" s="469"/>
    </row>
    <row r="17" spans="1:46">
      <c r="B17" s="481"/>
      <c r="C17" s="481"/>
      <c r="D17" s="1141"/>
      <c r="E17" s="1141"/>
      <c r="F17" s="1141"/>
      <c r="G17" s="1141"/>
      <c r="H17" s="1141"/>
      <c r="I17" s="1141"/>
      <c r="J17" s="1141"/>
      <c r="K17" s="1141"/>
      <c r="L17" s="1141"/>
      <c r="M17" s="1141"/>
      <c r="N17" s="1141"/>
      <c r="O17" s="1141"/>
      <c r="P17" s="1141"/>
      <c r="Q17" s="1141"/>
      <c r="U17" s="471" t="s">
        <v>498</v>
      </c>
      <c r="V17" s="472" t="s">
        <v>523</v>
      </c>
      <c r="W17" s="472"/>
      <c r="X17" s="1227">
        <f>AVERAGE(Multiple!E17:J17)</f>
        <v>0.51</v>
      </c>
      <c r="Y17" s="1227" t="s">
        <v>149</v>
      </c>
      <c r="Z17" s="1227">
        <f>AVERAGE(Multiple!E18:J18)</f>
        <v>0.84499999999999997</v>
      </c>
      <c r="AA17" s="1227" t="str">
        <f>IFERROR(_xlfn.QUARTILE.EXC(#REF!,3),"NA")</f>
        <v>NA</v>
      </c>
      <c r="AB17" s="1227">
        <f>AVERAGE(Multiple!E19:J19)</f>
        <v>0.82</v>
      </c>
      <c r="AC17" s="467"/>
      <c r="AD17" s="472" t="s">
        <v>606</v>
      </c>
      <c r="AE17" s="467"/>
      <c r="AF17" s="517">
        <f>X17*$H27</f>
        <v>12452073.203062357</v>
      </c>
      <c r="AG17" s="1227" t="s">
        <v>149</v>
      </c>
      <c r="AH17" s="517">
        <f t="shared" ref="AH17" si="15">Z17*$H27</f>
        <v>20631376.189387631</v>
      </c>
      <c r="AI17" s="1227" t="s">
        <v>149</v>
      </c>
      <c r="AJ17" s="517">
        <f>AB17*$H27</f>
        <v>20020980.444139473</v>
      </c>
      <c r="AL17" s="516" t="e">
        <f>FDB!$E$28*1000</f>
        <v>#REF!</v>
      </c>
      <c r="AN17" s="472" t="s">
        <v>607</v>
      </c>
      <c r="AP17" s="514" t="e">
        <f>AF17+$AL17</f>
        <v>#REF!</v>
      </c>
      <c r="AQ17" s="1227" t="s">
        <v>149</v>
      </c>
      <c r="AR17" s="514" t="e">
        <f t="shared" ref="AR17:AR19" si="16">AH17+$AL17</f>
        <v>#REF!</v>
      </c>
      <c r="AS17" s="1227" t="s">
        <v>149</v>
      </c>
      <c r="AT17" s="515" t="e">
        <f t="shared" ref="AT17:AT19" si="17">AJ17+$AL17</f>
        <v>#REF!</v>
      </c>
    </row>
    <row r="18" spans="1:46">
      <c r="B18" s="477" t="str">
        <f>'G&amp;V'!B44</f>
        <v>Depreciation and Amortization</v>
      </c>
      <c r="C18" s="1142" t="s">
        <v>604</v>
      </c>
      <c r="D18" s="1138">
        <f>'G&amp;V'!D44</f>
        <v>0</v>
      </c>
      <c r="E18" s="1138">
        <f>'G&amp;V'!E44</f>
        <v>0</v>
      </c>
      <c r="F18" s="1138">
        <f>'G&amp;V'!F44</f>
        <v>0</v>
      </c>
      <c r="G18" s="1138">
        <f>'G&amp;V'!G44</f>
        <v>0</v>
      </c>
      <c r="H18" s="1138">
        <f>'G&amp;V'!H44</f>
        <v>0</v>
      </c>
      <c r="I18" s="1138">
        <f>'G&amp;V'!I44</f>
        <v>0</v>
      </c>
      <c r="J18" s="1138">
        <f>'G&amp;V'!J44</f>
        <v>0</v>
      </c>
      <c r="K18" s="1138">
        <f>'G&amp;V'!K44</f>
        <v>0</v>
      </c>
      <c r="L18" s="1138">
        <f>'G&amp;V'!L44</f>
        <v>0</v>
      </c>
      <c r="M18" s="1138" t="str">
        <f>'G&amp;V'!M44</f>
        <v xml:space="preserve"> </v>
      </c>
      <c r="N18" s="1138" t="str">
        <f>'G&amp;V'!N44</f>
        <v xml:space="preserve"> </v>
      </c>
      <c r="O18" s="1138" t="str">
        <f>'G&amp;V'!O44</f>
        <v xml:space="preserve"> </v>
      </c>
      <c r="P18" s="1138" t="str">
        <f>'G&amp;V'!P44</f>
        <v xml:space="preserve"> </v>
      </c>
      <c r="Q18" s="1138" t="str">
        <f>'G&amp;V'!Q44</f>
        <v xml:space="preserve"> </v>
      </c>
      <c r="U18" s="486"/>
      <c r="V18" s="472" t="s">
        <v>524</v>
      </c>
      <c r="W18" s="472"/>
      <c r="X18" s="1227">
        <f>IFERROR(AVERAGE(Multiple!D21:J21),"NA")</f>
        <v>4.4000000000000004</v>
      </c>
      <c r="Y18" s="1227" t="s">
        <v>149</v>
      </c>
      <c r="Z18" s="1227">
        <f>AVERAGE(Multiple!E22:J22)</f>
        <v>6.5</v>
      </c>
      <c r="AA18" s="1227" t="str">
        <f>IFERROR(_xlfn.QUARTILE.EXC(#REF!,3),"NA")</f>
        <v>NA</v>
      </c>
      <c r="AB18" s="1227">
        <f>IFERROR(AVERAGE(Multiple!E23:J23),"NA")</f>
        <v>6</v>
      </c>
      <c r="AC18" s="467"/>
      <c r="AD18" s="472" t="s">
        <v>608</v>
      </c>
      <c r="AE18" s="467"/>
      <c r="AF18" s="517">
        <f t="shared" ref="AF18:AF19" si="18">X18*$H28</f>
        <v>2962953.8202347062</v>
      </c>
      <c r="AG18" s="1227" t="s">
        <v>149</v>
      </c>
      <c r="AH18" s="517">
        <f t="shared" ref="AH18:AH19" si="19">Z18*$H28</f>
        <v>4377090.87080127</v>
      </c>
      <c r="AI18" s="1227" t="s">
        <v>149</v>
      </c>
      <c r="AJ18" s="517">
        <f>AB18*$H28</f>
        <v>4040391.5730473259</v>
      </c>
      <c r="AL18" s="516" t="e">
        <f>FDB!$E$28*1000</f>
        <v>#REF!</v>
      </c>
      <c r="AN18" s="472" t="s">
        <v>609</v>
      </c>
      <c r="AP18" s="514" t="e">
        <f t="shared" ref="AP18:AP19" si="20">AF18+$AL18</f>
        <v>#REF!</v>
      </c>
      <c r="AQ18" s="1227" t="s">
        <v>149</v>
      </c>
      <c r="AR18" s="514" t="e">
        <f t="shared" si="16"/>
        <v>#REF!</v>
      </c>
      <c r="AS18" s="1227" t="s">
        <v>149</v>
      </c>
      <c r="AT18" s="515" t="e">
        <f t="shared" si="17"/>
        <v>#REF!</v>
      </c>
    </row>
    <row r="19" spans="1:46">
      <c r="B19" s="481"/>
      <c r="C19" s="481"/>
      <c r="D19" s="1141"/>
      <c r="E19" s="1141"/>
      <c r="F19" s="1141"/>
      <c r="G19" s="1141"/>
      <c r="H19" s="1141"/>
      <c r="I19" s="1141"/>
      <c r="J19" s="1141"/>
      <c r="K19" s="1141"/>
      <c r="L19" s="1141"/>
      <c r="M19" s="1141"/>
      <c r="N19" s="1141"/>
      <c r="O19" s="1141"/>
      <c r="P19" s="1141"/>
      <c r="Q19" s="1141"/>
      <c r="U19" s="486"/>
      <c r="V19" s="472" t="s">
        <v>525</v>
      </c>
      <c r="W19" s="472"/>
      <c r="X19" s="1227">
        <f>IFERROR(AVERAGE(Multiple!D25:J25),"")</f>
        <v>5.15</v>
      </c>
      <c r="Y19" s="1227" t="s">
        <v>149</v>
      </c>
      <c r="Z19" s="1227">
        <f>AVERAGE(Multiple!E26:J26)</f>
        <v>12.66</v>
      </c>
      <c r="AA19" s="1227" t="str">
        <f>IFERROR(_xlfn.QUARTILE.EXC(#REF!,3),"NA")</f>
        <v>NA</v>
      </c>
      <c r="AB19" s="1227">
        <f>IFERROR(AVERAGE(Multiple!D27:J27),"NA")</f>
        <v>7</v>
      </c>
      <c r="AC19" s="467"/>
      <c r="AD19" s="472" t="s">
        <v>610</v>
      </c>
      <c r="AE19" s="467"/>
      <c r="AF19" s="517">
        <f t="shared" si="18"/>
        <v>3468002.7668656218</v>
      </c>
      <c r="AG19" s="1227" t="s">
        <v>149</v>
      </c>
      <c r="AH19" s="517">
        <f t="shared" si="19"/>
        <v>8525226.2191298585</v>
      </c>
      <c r="AI19" s="1227" t="s">
        <v>149</v>
      </c>
      <c r="AJ19" s="517">
        <f>AB19*$H29</f>
        <v>4713790.1685552131</v>
      </c>
      <c r="AL19" s="516" t="e">
        <f>FDB!$E$28*1000</f>
        <v>#REF!</v>
      </c>
      <c r="AN19" s="472" t="s">
        <v>611</v>
      </c>
      <c r="AP19" s="514" t="e">
        <f t="shared" si="20"/>
        <v>#REF!</v>
      </c>
      <c r="AQ19" s="1227" t="s">
        <v>149</v>
      </c>
      <c r="AR19" s="514" t="e">
        <f t="shared" si="16"/>
        <v>#REF!</v>
      </c>
      <c r="AS19" s="1227" t="s">
        <v>149</v>
      </c>
      <c r="AT19" s="515" t="e">
        <f t="shared" si="17"/>
        <v>#REF!</v>
      </c>
    </row>
    <row r="20" spans="1:46">
      <c r="B20" s="479" t="str">
        <f>'G&amp;V'!B50</f>
        <v>EBIT (adjusted)</v>
      </c>
      <c r="C20" s="1144"/>
      <c r="D20" s="1140">
        <f>IF('G&amp;V'!D50&lt;&gt;"",'G&amp;V'!D50,0)</f>
        <v>0</v>
      </c>
      <c r="E20" s="1140">
        <f>IF('G&amp;V'!E50&lt;&gt;"",'G&amp;V'!E50,0)</f>
        <v>2496145.4839361529</v>
      </c>
      <c r="F20" s="1140">
        <f>IF('G&amp;V'!F50&lt;&gt;"",'G&amp;V'!F50,0)</f>
        <v>1744048.4422110496</v>
      </c>
      <c r="G20" s="1140">
        <f>IF('G&amp;V'!G50&lt;&gt;"",'G&amp;V'!G50,0)</f>
        <v>551871.53196622583</v>
      </c>
      <c r="H20" s="1140">
        <f>IF('G&amp;V'!H50&lt;&gt;"",'G&amp;V'!H50,0)</f>
        <v>971548.61223384365</v>
      </c>
      <c r="I20" s="1140">
        <f>IF('G&amp;V'!I50&lt;&gt;"",'G&amp;V'!I50,0)</f>
        <v>0</v>
      </c>
      <c r="J20" s="1140">
        <f>IF('G&amp;V'!J50&lt;&gt;"",'G&amp;V'!J50,0)</f>
        <v>0</v>
      </c>
      <c r="K20" s="1140">
        <f>IF('G&amp;V'!K50&lt;&gt;"",'G&amp;V'!K50,0)</f>
        <v>0</v>
      </c>
      <c r="L20" s="1140">
        <f>IF('G&amp;V'!L50&lt;&gt;"",'G&amp;V'!L50,0)</f>
        <v>0</v>
      </c>
      <c r="M20" s="1140">
        <f>IF('G&amp;V'!M50&lt;&gt;"",'G&amp;V'!M50,0)</f>
        <v>0</v>
      </c>
      <c r="N20" s="1140">
        <f>IF('G&amp;V'!N50&lt;&gt;"",'G&amp;V'!N50,0)</f>
        <v>0</v>
      </c>
      <c r="O20" s="1140">
        <f>IF('G&amp;V'!O50&lt;&gt;"",'G&amp;V'!O50,0)</f>
        <v>0</v>
      </c>
      <c r="P20" s="1140">
        <f>IF('G&amp;V'!P50&lt;&gt;"",'G&amp;V'!P50,0)</f>
        <v>0</v>
      </c>
      <c r="Q20" s="1140">
        <f>IF('G&amp;V'!Q50&lt;&gt;"",'G&amp;V'!Q50,0)</f>
        <v>0</v>
      </c>
      <c r="U20" s="486"/>
      <c r="V20" s="487"/>
      <c r="W20" s="467"/>
      <c r="X20" s="467"/>
      <c r="Y20" s="473"/>
      <c r="Z20" s="473"/>
      <c r="AA20" s="473"/>
      <c r="AB20" s="473"/>
      <c r="AC20" s="467"/>
      <c r="AD20" s="467"/>
      <c r="AE20" s="467"/>
      <c r="AF20" s="467"/>
      <c r="AL20" s="474"/>
      <c r="AT20" s="469"/>
    </row>
    <row r="21" spans="1:46">
      <c r="B21" s="481" t="str">
        <f>'G&amp;V'!B52</f>
        <v>EBIT (adjusted) Margin</v>
      </c>
      <c r="C21" s="481"/>
      <c r="D21" s="1141" t="str">
        <f>'G&amp;V'!D52</f>
        <v>na</v>
      </c>
      <c r="E21" s="1141">
        <f>'G&amp;V'!E52</f>
        <v>6.5315934247865776E-2</v>
      </c>
      <c r="F21" s="1141">
        <f>'G&amp;V'!F52</f>
        <v>4.6636932246703421E-2</v>
      </c>
      <c r="G21" s="1141">
        <f>'G&amp;V'!G52</f>
        <v>1.6228218203705583E-2</v>
      </c>
      <c r="H21" s="1141">
        <f>'G&amp;V'!H52</f>
        <v>2.8008974669472955E-2</v>
      </c>
      <c r="I21" s="1141">
        <f>'G&amp;V'!I52</f>
        <v>0</v>
      </c>
      <c r="J21" s="1141">
        <f>'G&amp;V'!J52</f>
        <v>0</v>
      </c>
      <c r="K21" s="1141">
        <f>'G&amp;V'!K52</f>
        <v>0</v>
      </c>
      <c r="L21" s="1141">
        <f>'G&amp;V'!L52</f>
        <v>0</v>
      </c>
      <c r="M21" s="1141" t="str">
        <f>'G&amp;V'!M52</f>
        <v xml:space="preserve"> </v>
      </c>
      <c r="N21" s="1141" t="str">
        <f>'G&amp;V'!N52</f>
        <v xml:space="preserve"> </v>
      </c>
      <c r="O21" s="1141" t="str">
        <f>'G&amp;V'!O52</f>
        <v xml:space="preserve"> </v>
      </c>
      <c r="P21" s="1141" t="str">
        <f>'G&amp;V'!P52</f>
        <v xml:space="preserve"> </v>
      </c>
      <c r="Q21" s="1141" t="str">
        <f>'G&amp;V'!Q52</f>
        <v xml:space="preserve"> </v>
      </c>
      <c r="U21" s="488"/>
      <c r="V21" s="489"/>
      <c r="W21" s="490"/>
      <c r="X21" s="490"/>
      <c r="Y21" s="490"/>
      <c r="Z21" s="490"/>
      <c r="AA21" s="490"/>
      <c r="AB21" s="490"/>
      <c r="AC21" s="473"/>
      <c r="AD21" s="473"/>
      <c r="AE21" s="473"/>
      <c r="AF21" s="473"/>
      <c r="AL21" s="474"/>
      <c r="AT21" s="469"/>
    </row>
    <row r="22" spans="1:46">
      <c r="B22" s="481"/>
      <c r="C22" s="482"/>
      <c r="D22" s="483"/>
      <c r="E22" s="483"/>
      <c r="F22" s="483"/>
      <c r="G22" s="483"/>
      <c r="H22" s="483"/>
      <c r="I22" s="483"/>
      <c r="J22" s="483"/>
      <c r="K22" s="483"/>
      <c r="L22" s="483"/>
      <c r="M22" s="481"/>
      <c r="U22" s="1429" t="s">
        <v>613</v>
      </c>
      <c r="V22" s="1421"/>
      <c r="W22" s="1421"/>
      <c r="X22" s="1421" t="s">
        <v>142</v>
      </c>
      <c r="Y22" s="1421" t="s">
        <v>143</v>
      </c>
      <c r="Z22" s="1421" t="s">
        <v>144</v>
      </c>
      <c r="AA22" s="1421" t="s">
        <v>145</v>
      </c>
      <c r="AB22" s="1421" t="s">
        <v>146</v>
      </c>
      <c r="AC22" s="1421"/>
      <c r="AD22" s="1421"/>
      <c r="AE22" s="1421"/>
      <c r="AF22" s="1421" t="s">
        <v>142</v>
      </c>
      <c r="AG22" s="1421" t="s">
        <v>143</v>
      </c>
      <c r="AH22" s="1421" t="s">
        <v>144</v>
      </c>
      <c r="AI22" s="1421" t="s">
        <v>145</v>
      </c>
      <c r="AJ22" s="1421" t="s">
        <v>146</v>
      </c>
      <c r="AK22" s="1421"/>
      <c r="AL22" s="1430"/>
      <c r="AM22" s="1421"/>
      <c r="AN22" s="1421"/>
      <c r="AO22" s="1421"/>
      <c r="AP22" s="1421" t="s">
        <v>142</v>
      </c>
      <c r="AQ22" s="1421" t="s">
        <v>143</v>
      </c>
      <c r="AR22" s="1421" t="s">
        <v>144</v>
      </c>
      <c r="AS22" s="1421" t="s">
        <v>145</v>
      </c>
      <c r="AT22" s="1424" t="s">
        <v>146</v>
      </c>
    </row>
    <row r="23" spans="1:46">
      <c r="B23" s="481"/>
      <c r="C23" s="482"/>
      <c r="D23" s="483"/>
      <c r="E23" s="483"/>
      <c r="F23" s="483"/>
      <c r="G23" s="483"/>
      <c r="H23" s="483"/>
      <c r="I23" s="483"/>
      <c r="J23" s="483"/>
      <c r="K23" s="483"/>
      <c r="L23" s="483"/>
      <c r="M23" s="481"/>
      <c r="U23" s="488"/>
      <c r="V23" s="489"/>
      <c r="W23" s="490"/>
      <c r="X23" s="490"/>
      <c r="Y23" s="490"/>
      <c r="Z23" s="490"/>
      <c r="AA23" s="490"/>
      <c r="AB23" s="490"/>
      <c r="AC23" s="490"/>
      <c r="AD23" s="490"/>
      <c r="AE23" s="490"/>
      <c r="AF23" s="490"/>
      <c r="AG23" s="450"/>
      <c r="AH23" s="450"/>
      <c r="AI23" s="450"/>
      <c r="AJ23" s="450"/>
      <c r="AK23" s="450"/>
      <c r="AL23" s="474"/>
      <c r="AM23" s="450"/>
      <c r="AT23" s="469"/>
    </row>
    <row r="24" spans="1:46">
      <c r="B24" s="481"/>
      <c r="C24" s="482"/>
      <c r="D24" s="483"/>
      <c r="E24" s="483"/>
      <c r="F24" s="483"/>
      <c r="G24" s="483"/>
      <c r="H24" s="483"/>
      <c r="I24" s="483"/>
      <c r="J24" s="483"/>
      <c r="K24" s="483"/>
      <c r="L24" s="483"/>
      <c r="M24" s="481"/>
      <c r="U24" s="485" t="s">
        <v>614</v>
      </c>
      <c r="V24" s="472" t="s">
        <v>523</v>
      </c>
      <c r="W24" s="472"/>
      <c r="X24" s="512">
        <f ca="1">AVERAGE(X17,X11,X7)</f>
        <v>0.24661549743833003</v>
      </c>
      <c r="Y24" s="512" t="e">
        <f ca="1">AVERAGE(Y17,Y11,Y7)</f>
        <v>#NUM!</v>
      </c>
      <c r="Z24" s="512" t="e">
        <f t="shared" ref="Z24:AA24" ca="1" si="21">AVERAGE(Z17,Z11,Z7)</f>
        <v>#NUM!</v>
      </c>
      <c r="AA24" s="512" t="e">
        <f t="shared" ca="1" si="21"/>
        <v>#NUM!</v>
      </c>
      <c r="AB24" s="512">
        <f t="shared" ref="AB24" ca="1" si="22">AVERAGE(AB17,AB11,AB7)</f>
        <v>1.9869581046215288</v>
      </c>
      <c r="AC24" s="467"/>
      <c r="AD24" s="472" t="s">
        <v>606</v>
      </c>
      <c r="AE24" s="467"/>
      <c r="AF24" s="517">
        <f ca="1">X24*$H27</f>
        <v>6021322.0139445541</v>
      </c>
      <c r="AG24" s="517" t="e">
        <f ca="1">Y24*$H27</f>
        <v>#NUM!</v>
      </c>
      <c r="AH24" s="517" t="e">
        <f ca="1">Z24*$H27</f>
        <v>#NUM!</v>
      </c>
      <c r="AI24" s="517" t="e">
        <f ca="1">AA24*$H27</f>
        <v>#NUM!</v>
      </c>
      <c r="AJ24" s="517">
        <f ca="1">AB24*$H27</f>
        <v>48513230.921892762</v>
      </c>
      <c r="AL24" s="516" t="e">
        <f>FDB!$E$28*1000</f>
        <v>#REF!</v>
      </c>
      <c r="AN24" s="472" t="s">
        <v>607</v>
      </c>
      <c r="AP24" s="514" t="e">
        <f ca="1">AF24+$AL24</f>
        <v>#REF!</v>
      </c>
      <c r="AQ24" s="514" t="e">
        <f ca="1">AG24+$AL24</f>
        <v>#NUM!</v>
      </c>
      <c r="AR24" s="514" t="e">
        <f t="shared" ref="AR24:AR26" ca="1" si="23">AH24+$AL24</f>
        <v>#NUM!</v>
      </c>
      <c r="AS24" s="514" t="e">
        <f t="shared" ref="AS24:AT26" ca="1" si="24">AI24+$AL24</f>
        <v>#NUM!</v>
      </c>
      <c r="AT24" s="515" t="e">
        <f t="shared" ca="1" si="24"/>
        <v>#REF!</v>
      </c>
    </row>
    <row r="25" spans="1:46">
      <c r="B25" s="446" t="s">
        <v>615</v>
      </c>
      <c r="D25" s="491">
        <v>0</v>
      </c>
      <c r="E25" s="491">
        <v>0</v>
      </c>
      <c r="F25" s="491">
        <v>0.1</v>
      </c>
      <c r="G25" s="491">
        <v>0.2</v>
      </c>
      <c r="H25" s="491">
        <v>0.4</v>
      </c>
      <c r="I25" s="492">
        <v>0.2</v>
      </c>
      <c r="J25" s="492">
        <v>0.1</v>
      </c>
      <c r="K25" s="492">
        <v>0</v>
      </c>
      <c r="L25" s="492">
        <v>0</v>
      </c>
      <c r="M25" s="492">
        <v>0</v>
      </c>
      <c r="N25" s="492">
        <v>0</v>
      </c>
      <c r="O25" s="492">
        <v>0</v>
      </c>
      <c r="P25" s="492">
        <v>0</v>
      </c>
      <c r="Q25" s="492">
        <v>0</v>
      </c>
      <c r="R25" s="457" t="s">
        <v>616</v>
      </c>
      <c r="S25" s="818">
        <f>SUM(E25:L25)</f>
        <v>1.0000000000000002</v>
      </c>
      <c r="U25" s="488"/>
      <c r="V25" s="472" t="s">
        <v>524</v>
      </c>
      <c r="W25" s="472"/>
      <c r="X25" s="512">
        <f t="shared" ref="X25" ca="1" si="25">AVERAGE(X18,X12,X8)</f>
        <v>2.0861335789668778</v>
      </c>
      <c r="Y25" s="512" t="e">
        <f t="shared" ref="Y25:AA26" ca="1" si="26">AVERAGE(Y18,Y12,Y8)</f>
        <v>#NUM!</v>
      </c>
      <c r="Z25" s="512" t="e">
        <f t="shared" ca="1" si="26"/>
        <v>#NUM!</v>
      </c>
      <c r="AA25" s="512" t="e">
        <f t="shared" ca="1" si="26"/>
        <v>#NUM!</v>
      </c>
      <c r="AB25" s="512">
        <f t="shared" ref="AB25" ca="1" si="27">AVERAGE(AB18,AB12,AB8)</f>
        <v>27.490966039520842</v>
      </c>
      <c r="AC25" s="467"/>
      <c r="AD25" s="472" t="s">
        <v>608</v>
      </c>
      <c r="AE25" s="467"/>
      <c r="AF25" s="517">
        <f t="shared" ref="AF25:AG26" ca="1" si="28">X25*$H28</f>
        <v>1404799.4221181385</v>
      </c>
      <c r="AG25" s="517" t="e">
        <f t="shared" ca="1" si="28"/>
        <v>#NUM!</v>
      </c>
      <c r="AH25" s="517" t="e">
        <f t="shared" ref="AH25:AH26" ca="1" si="29">Z25*$H28</f>
        <v>#NUM!</v>
      </c>
      <c r="AI25" s="517" t="e">
        <f t="shared" ref="AI25:AJ26" ca="1" si="30">AA25*$H28</f>
        <v>#NUM!</v>
      </c>
      <c r="AJ25" s="517">
        <f t="shared" ca="1" si="30"/>
        <v>18512377.92016837</v>
      </c>
      <c r="AL25" s="516" t="e">
        <f>FDB!$E$28*1000</f>
        <v>#REF!</v>
      </c>
      <c r="AN25" s="472" t="s">
        <v>609</v>
      </c>
      <c r="AP25" s="514" t="e">
        <f t="shared" ref="AP25:AQ26" ca="1" si="31">AF25+$AL25</f>
        <v>#REF!</v>
      </c>
      <c r="AQ25" s="514" t="e">
        <f t="shared" ca="1" si="31"/>
        <v>#NUM!</v>
      </c>
      <c r="AR25" s="514" t="e">
        <f t="shared" ca="1" si="23"/>
        <v>#NUM!</v>
      </c>
      <c r="AS25" s="514" t="e">
        <f t="shared" ca="1" si="24"/>
        <v>#NUM!</v>
      </c>
      <c r="AT25" s="515" t="e">
        <f t="shared" ca="1" si="24"/>
        <v>#REF!</v>
      </c>
    </row>
    <row r="26" spans="1:46" s="450" customFormat="1">
      <c r="A26" s="494"/>
      <c r="B26" s="495"/>
      <c r="C26" s="479"/>
      <c r="D26" s="496"/>
      <c r="E26" s="496"/>
      <c r="F26" s="496"/>
      <c r="G26" s="497"/>
      <c r="H26" s="497"/>
      <c r="J26" s="498"/>
      <c r="U26" s="499"/>
      <c r="V26" s="500" t="s">
        <v>525</v>
      </c>
      <c r="W26" s="500"/>
      <c r="X26" s="518">
        <f t="shared" ref="X26" ca="1" si="32">AVERAGE(X19,X13,X9)</f>
        <v>1.192599881082355</v>
      </c>
      <c r="Y26" s="518" t="e">
        <f t="shared" ca="1" si="26"/>
        <v>#NUM!</v>
      </c>
      <c r="Z26" s="518" t="e">
        <f t="shared" ca="1" si="26"/>
        <v>#NUM!</v>
      </c>
      <c r="AA26" s="518" t="e">
        <f t="shared" ca="1" si="26"/>
        <v>#NUM!</v>
      </c>
      <c r="AB26" s="518">
        <f t="shared" ref="AB26" ca="1" si="33">AVERAGE(AB19,AB13,AB9)</f>
        <v>27.824299913287945</v>
      </c>
      <c r="AC26" s="501"/>
      <c r="AD26" s="500" t="s">
        <v>610</v>
      </c>
      <c r="AE26" s="501"/>
      <c r="AF26" s="519">
        <f t="shared" ca="1" si="28"/>
        <v>803095.08492373175</v>
      </c>
      <c r="AG26" s="519" t="e">
        <f t="shared" ca="1" si="28"/>
        <v>#NUM!</v>
      </c>
      <c r="AH26" s="519" t="e">
        <f t="shared" ca="1" si="29"/>
        <v>#NUM!</v>
      </c>
      <c r="AI26" s="519" t="e">
        <f t="shared" ca="1" si="30"/>
        <v>#NUM!</v>
      </c>
      <c r="AJ26" s="519">
        <f t="shared" ca="1" si="30"/>
        <v>18736844.482598342</v>
      </c>
      <c r="AK26" s="448"/>
      <c r="AL26" s="523" t="e">
        <f>FDB!$E$28*1000</f>
        <v>#REF!</v>
      </c>
      <c r="AM26" s="448"/>
      <c r="AN26" s="500" t="s">
        <v>611</v>
      </c>
      <c r="AO26" s="502"/>
      <c r="AP26" s="520" t="e">
        <f t="shared" ca="1" si="31"/>
        <v>#REF!</v>
      </c>
      <c r="AQ26" s="520" t="e">
        <f t="shared" ca="1" si="31"/>
        <v>#NUM!</v>
      </c>
      <c r="AR26" s="520" t="e">
        <f t="shared" ca="1" si="23"/>
        <v>#NUM!</v>
      </c>
      <c r="AS26" s="520" t="e">
        <f t="shared" ca="1" si="24"/>
        <v>#NUM!</v>
      </c>
      <c r="AT26" s="521" t="e">
        <f t="shared" ca="1" si="24"/>
        <v>#REF!</v>
      </c>
    </row>
    <row r="27" spans="1:46">
      <c r="A27" s="494"/>
      <c r="B27" s="472" t="s">
        <v>617</v>
      </c>
      <c r="C27" s="470"/>
      <c r="D27" s="503"/>
      <c r="E27" s="503"/>
      <c r="F27" s="503"/>
      <c r="G27" s="473"/>
      <c r="H27" s="1146" cm="1">
        <f t="array" ref="H27">SUM(D7:Q7*D25:Q25)</f>
        <v>24415829.809926189</v>
      </c>
      <c r="J27" s="473"/>
      <c r="U27" s="460"/>
      <c r="V27" s="489"/>
      <c r="W27" s="490"/>
      <c r="X27" s="490"/>
      <c r="Y27" s="490"/>
      <c r="Z27" s="490"/>
      <c r="AA27" s="490"/>
      <c r="AB27" s="490"/>
      <c r="AL27" s="504"/>
    </row>
    <row r="28" spans="1:46">
      <c r="A28" s="494"/>
      <c r="B28" s="495" t="s">
        <v>618</v>
      </c>
      <c r="C28" s="479"/>
      <c r="D28" s="496"/>
      <c r="E28" s="496"/>
      <c r="F28" s="496"/>
      <c r="G28" s="497"/>
      <c r="H28" s="524" cm="1">
        <f t="array" ref="H28">SUM(D15:Q15*D25:Q25)</f>
        <v>673398.59550788766</v>
      </c>
      <c r="I28" s="450"/>
      <c r="J28" s="498"/>
      <c r="K28" s="450"/>
      <c r="L28" s="450"/>
      <c r="M28" s="450"/>
      <c r="N28" s="450"/>
      <c r="O28" s="450"/>
      <c r="P28" s="450"/>
      <c r="Q28" s="450"/>
      <c r="U28" s="460"/>
      <c r="V28" s="489"/>
      <c r="W28" s="490"/>
      <c r="X28" s="490"/>
      <c r="Y28" s="490"/>
      <c r="Z28" s="490"/>
      <c r="AA28" s="490"/>
      <c r="AB28" s="490"/>
      <c r="AL28" s="504"/>
    </row>
    <row r="29" spans="1:46">
      <c r="A29" s="494"/>
      <c r="B29" s="495" t="s">
        <v>619</v>
      </c>
      <c r="C29" s="479"/>
      <c r="D29" s="479"/>
      <c r="E29" s="496"/>
      <c r="F29" s="496"/>
      <c r="G29" s="497"/>
      <c r="H29" s="524" cm="1">
        <f t="array" ref="H29">SUM(D25:Q25*D20:Q20)</f>
        <v>673398.59550788766</v>
      </c>
      <c r="I29" s="450"/>
      <c r="J29" s="498"/>
      <c r="K29" s="450"/>
      <c r="L29" s="450"/>
      <c r="U29" s="460"/>
      <c r="V29" s="489"/>
      <c r="W29" s="490"/>
      <c r="X29" s="490"/>
      <c r="Y29" s="490"/>
      <c r="Z29" s="490"/>
      <c r="AA29" s="490"/>
      <c r="AB29" s="490"/>
      <c r="AL29" s="504"/>
    </row>
    <row r="30" spans="1:46">
      <c r="A30" s="494"/>
      <c r="B30" s="472"/>
      <c r="C30" s="470"/>
      <c r="D30" s="470"/>
      <c r="E30" s="503"/>
      <c r="F30" s="503"/>
      <c r="G30" s="505"/>
      <c r="H30" s="450"/>
      <c r="I30" s="450"/>
      <c r="J30" s="498"/>
      <c r="K30" s="450"/>
      <c r="L30" s="450"/>
      <c r="AL30" s="504"/>
    </row>
    <row r="31" spans="1:46">
      <c r="A31" s="494"/>
      <c r="AL31" s="504"/>
    </row>
    <row r="32" spans="1:46" ht="13.5" customHeight="1">
      <c r="A32" s="506"/>
      <c r="AL32" s="507"/>
    </row>
    <row r="33" spans="1:38" ht="13.5" customHeight="1">
      <c r="A33" s="506"/>
      <c r="AL33" s="507"/>
    </row>
    <row r="34" spans="1:38" ht="13.5" customHeight="1">
      <c r="A34" s="506"/>
      <c r="AL34" s="508"/>
    </row>
    <row r="35" spans="1:38" ht="13.5" customHeight="1">
      <c r="A35" s="506"/>
      <c r="AL35" s="508"/>
    </row>
    <row r="36" spans="1:38" ht="13.5" customHeight="1">
      <c r="A36" s="506"/>
      <c r="AL36" s="508"/>
    </row>
    <row r="37" spans="1:38" ht="13.5" customHeight="1">
      <c r="A37" s="506"/>
      <c r="AL37" s="508"/>
    </row>
    <row r="38" spans="1:38" ht="13.5" customHeight="1">
      <c r="A38" s="506"/>
      <c r="AL38" s="508"/>
    </row>
    <row r="39" spans="1:38" ht="13.5" customHeight="1">
      <c r="A39" s="506"/>
      <c r="AL39" s="508"/>
    </row>
    <row r="40" spans="1:38" ht="13.5" customHeight="1">
      <c r="A40" s="506"/>
      <c r="AL40" s="508"/>
    </row>
    <row r="41" spans="1:38" ht="13.5" customHeight="1">
      <c r="A41" s="506"/>
      <c r="AL41" s="508"/>
    </row>
    <row r="42" spans="1:38" ht="13.5" customHeight="1">
      <c r="A42" s="506"/>
    </row>
    <row r="43" spans="1:38" ht="13.5" customHeight="1">
      <c r="A43" s="506"/>
    </row>
    <row r="44" spans="1:38" ht="13.5" customHeight="1">
      <c r="A44" s="506"/>
    </row>
    <row r="45" spans="1:38" ht="13.5" customHeight="1">
      <c r="A45" s="506"/>
    </row>
    <row r="46" spans="1:38" ht="13.5" customHeight="1">
      <c r="A46" s="506"/>
    </row>
    <row r="47" spans="1:38" ht="13.5" customHeight="1">
      <c r="A47" s="506"/>
    </row>
    <row r="48" spans="1:38">
      <c r="A48" s="506"/>
    </row>
    <row r="50" spans="1:1" s="450" customFormat="1">
      <c r="A50" s="509"/>
    </row>
  </sheetData>
  <sheetProtection formatCells="0" formatColumns="0" formatRows="0" insertRows="0"/>
  <phoneticPr fontId="214" type="noConversion"/>
  <conditionalFormatting sqref="S25">
    <cfRule type="cellIs" dxfId="2" priority="1" operator="lessThanOrEqual">
      <formula>1</formula>
    </cfRule>
    <cfRule type="cellIs" dxfId="1" priority="2" operator="greaterThan">
      <formula>1</formula>
    </cfRule>
  </conditionalFormatting>
  <printOptions horizontalCentered="1"/>
  <pageMargins left="0.23622047244094491" right="0.23622047244094491" top="0.74803149606299213" bottom="0.74803149606299213" header="0.31496062992125984" footer="0.31496062992125984"/>
  <pageSetup paperSize="9" scale="64" orientation="portrait" cellComments="asDisplayed" r:id="rId1"/>
  <headerFooter alignWithMargins="0"/>
  <legacyDrawingHF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8">
    <tabColor rgb="FF0000FF"/>
    <pageSetUpPr fitToPage="1"/>
  </sheetPr>
  <dimension ref="A1:AK59"/>
  <sheetViews>
    <sheetView workbookViewId="0"/>
  </sheetViews>
  <sheetFormatPr defaultColWidth="11.42578125" defaultRowHeight="12.75"/>
  <cols>
    <col min="1" max="1" width="5.7109375" style="446" customWidth="1"/>
    <col min="2" max="2" width="44.42578125" style="438" bestFit="1" customWidth="1"/>
    <col min="3" max="3" width="8.140625" style="438" customWidth="1"/>
    <col min="4" max="4" width="11.42578125" style="438" customWidth="1"/>
    <col min="5" max="5" width="11.42578125" style="438" bestFit="1" customWidth="1"/>
    <col min="6" max="6" width="11" style="438" customWidth="1"/>
    <col min="7" max="7" width="11.42578125" style="438" bestFit="1" customWidth="1"/>
    <col min="8" max="8" width="11" style="438" customWidth="1"/>
    <col min="9" max="9" width="12.42578125" style="438" bestFit="1" customWidth="1"/>
    <col min="10" max="12" width="11" style="438" customWidth="1"/>
    <col min="13" max="17" width="1.42578125" style="438" customWidth="1"/>
    <col min="18" max="18" width="1.7109375" style="438" customWidth="1"/>
    <col min="19" max="19" width="14.42578125" style="438" bestFit="1" customWidth="1"/>
    <col min="20" max="20" width="11.42578125" style="438"/>
    <col min="21" max="21" width="25.42578125" style="438" bestFit="1" customWidth="1"/>
    <col min="22" max="22" width="14.42578125" style="438" bestFit="1" customWidth="1"/>
    <col min="23" max="23" width="11.42578125" style="438" bestFit="1" customWidth="1"/>
    <col min="24" max="24" width="25.140625" style="438" bestFit="1" customWidth="1"/>
    <col min="25" max="25" width="26.140625" style="438" bestFit="1" customWidth="1"/>
    <col min="26" max="26" width="4.42578125" style="438" customWidth="1"/>
    <col min="27" max="27" width="8.42578125" style="438" customWidth="1"/>
    <col min="28" max="28" width="11.42578125" style="438" customWidth="1"/>
    <col min="29" max="31" width="12.140625" style="438" bestFit="1" customWidth="1"/>
    <col min="32" max="32" width="14.42578125" style="438" bestFit="1" customWidth="1"/>
    <col min="33" max="33" width="15.140625" style="438" bestFit="1" customWidth="1"/>
    <col min="34" max="35" width="12.140625" style="438" bestFit="1" customWidth="1"/>
    <col min="36" max="37" width="12" style="438" bestFit="1" customWidth="1"/>
    <col min="38" max="16384" width="11.42578125" style="438"/>
  </cols>
  <sheetData>
    <row r="1" spans="1:37" ht="15" customHeight="1">
      <c r="U1" s="493"/>
    </row>
    <row r="2" spans="1:37" ht="18.75">
      <c r="B2" s="109" t="str">
        <f>Übersicht!C22</f>
        <v>Discounted Cashflow Verfahren</v>
      </c>
      <c r="U2" s="493"/>
    </row>
    <row r="3" spans="1:37">
      <c r="U3" s="554"/>
      <c r="V3" s="555"/>
      <c r="W3" s="555"/>
      <c r="X3" s="555"/>
    </row>
    <row r="4" spans="1:37">
      <c r="B4" s="1431" t="s">
        <v>620</v>
      </c>
      <c r="C4" s="1432">
        <v>0.59836065573770492</v>
      </c>
      <c r="D4" s="1433"/>
      <c r="E4" s="1434"/>
      <c r="F4" s="1434"/>
      <c r="G4" s="1434"/>
      <c r="H4" s="1435" t="str">
        <f ca="1">IF(YEAR(TODAY())&gt;H6,"",C4)</f>
        <v/>
      </c>
      <c r="I4" s="1436">
        <f ca="1">IF(H4="",C4,H4+1)</f>
        <v>0.59836065573770492</v>
      </c>
      <c r="J4" s="1436">
        <f ca="1">IF(J6=" ","",I4+1)</f>
        <v>1.598360655737705</v>
      </c>
      <c r="K4" s="1436">
        <f t="shared" ref="K4:Q4" ca="1" si="0">IF(K6=" ","",J4+1)</f>
        <v>2.598360655737705</v>
      </c>
      <c r="L4" s="1436">
        <f t="shared" ca="1" si="0"/>
        <v>3.598360655737705</v>
      </c>
      <c r="M4" s="1436" t="str">
        <f t="shared" ca="1" si="0"/>
        <v/>
      </c>
      <c r="N4" s="1436" t="str">
        <f t="shared" ca="1" si="0"/>
        <v/>
      </c>
      <c r="O4" s="1436" t="str">
        <f t="shared" ca="1" si="0"/>
        <v/>
      </c>
      <c r="P4" s="1436" t="str">
        <f t="shared" ca="1" si="0"/>
        <v/>
      </c>
      <c r="Q4" s="1436" t="str">
        <f t="shared" ca="1" si="0"/>
        <v/>
      </c>
      <c r="R4" s="556"/>
      <c r="T4" s="555"/>
      <c r="U4" s="555"/>
      <c r="V4" s="557"/>
      <c r="W4" s="557"/>
      <c r="X4" s="557"/>
      <c r="Y4" s="558"/>
      <c r="Z4" s="558"/>
      <c r="AA4" s="558"/>
    </row>
    <row r="5" spans="1:37">
      <c r="G5" s="457"/>
      <c r="H5" s="458"/>
      <c r="I5" s="459"/>
      <c r="J5" s="459"/>
      <c r="K5" s="459"/>
      <c r="L5" s="459"/>
      <c r="V5" s="559"/>
      <c r="W5" s="560"/>
      <c r="X5" s="560"/>
      <c r="Y5" s="560"/>
      <c r="Z5" s="560"/>
      <c r="AA5" s="560"/>
    </row>
    <row r="6" spans="1:37">
      <c r="B6" s="561" t="s">
        <v>621</v>
      </c>
      <c r="C6" s="638" t="str">
        <f>Eckdaten!C14</f>
        <v>EUR</v>
      </c>
      <c r="D6" s="141">
        <f>+E6-1</f>
        <v>2021</v>
      </c>
      <c r="E6" s="141">
        <f>+F6-1</f>
        <v>2022</v>
      </c>
      <c r="F6" s="141">
        <f>+G6-1</f>
        <v>2023</v>
      </c>
      <c r="G6" s="141">
        <f>+Eckdaten!C12</f>
        <v>2024</v>
      </c>
      <c r="H6" s="143">
        <f>+G6+1</f>
        <v>2025</v>
      </c>
      <c r="I6" s="1492">
        <f>IF(Eckdaten!$C$20+Eckdaten!$C$12&gt;H6,H6+1," ")</f>
        <v>2026</v>
      </c>
      <c r="J6" s="1492">
        <f>IF(Eckdaten!$C$20+Eckdaten!$C$12&gt;I6,I6+1," ")</f>
        <v>2027</v>
      </c>
      <c r="K6" s="1492">
        <f>IF(Eckdaten!$C$20+Eckdaten!$C$12&gt;J6,J6+1," ")</f>
        <v>2028</v>
      </c>
      <c r="L6" s="1492">
        <f>IF(Eckdaten!$C$20+Eckdaten!$C$12&gt;K6,K6+1," ")</f>
        <v>2029</v>
      </c>
      <c r="M6" s="1492" t="str">
        <f>IF(Eckdaten!$C$20+Eckdaten!$C$12&gt;L6,L6+1," ")</f>
        <v xml:space="preserve"> </v>
      </c>
      <c r="N6" s="1492" t="str">
        <f>IF(Eckdaten!$C$20+Eckdaten!$C$12&gt;M6,M6+1," ")</f>
        <v xml:space="preserve"> </v>
      </c>
      <c r="O6" s="1492" t="str">
        <f>IF(Eckdaten!$C$20+Eckdaten!$C$12&gt;N6,N6+1," ")</f>
        <v xml:space="preserve"> </v>
      </c>
      <c r="P6" s="1492" t="str">
        <f>IF(Eckdaten!$C$20+Eckdaten!$C$12&gt;O6,O6+1," ")</f>
        <v xml:space="preserve"> </v>
      </c>
      <c r="Q6" s="1492" t="str">
        <f>IF(Eckdaten!$C$20+Eckdaten!$C$12&gt;P6,P6+1," ")</f>
        <v xml:space="preserve"> </v>
      </c>
      <c r="S6" s="562" t="s">
        <v>622</v>
      </c>
      <c r="U6" s="1455" t="s">
        <v>623</v>
      </c>
      <c r="V6" s="1460"/>
      <c r="W6" s="1460"/>
      <c r="X6" s="1460"/>
      <c r="Y6" s="1460"/>
      <c r="Z6" s="558"/>
      <c r="AA6" s="1455" t="s">
        <v>624</v>
      </c>
      <c r="AB6" s="1455"/>
      <c r="AC6" s="1455"/>
      <c r="AD6" s="1455"/>
      <c r="AE6" s="1455"/>
      <c r="AF6" s="1455"/>
      <c r="AG6" s="1455"/>
      <c r="AH6" s="1455"/>
      <c r="AI6" s="1455"/>
      <c r="AJ6" s="1455"/>
      <c r="AK6" s="1455"/>
    </row>
    <row r="7" spans="1:37" s="463" customFormat="1">
      <c r="A7" s="563"/>
      <c r="B7" s="461"/>
      <c r="C7" s="462"/>
      <c r="D7" s="127" t="s">
        <v>173</v>
      </c>
      <c r="E7" s="127" t="s">
        <v>173</v>
      </c>
      <c r="F7" s="127" t="s">
        <v>173</v>
      </c>
      <c r="G7" s="127" t="s">
        <v>173</v>
      </c>
      <c r="H7" s="128" t="s">
        <v>174</v>
      </c>
      <c r="I7" s="1493" t="str">
        <f>IF(I6=" "," ","P")</f>
        <v>P</v>
      </c>
      <c r="J7" s="1493" t="str">
        <f t="shared" ref="J7:Q7" si="1">IF(J6=" "," ","P")</f>
        <v>P</v>
      </c>
      <c r="K7" s="1493" t="str">
        <f t="shared" si="1"/>
        <v>P</v>
      </c>
      <c r="L7" s="1493" t="str">
        <f t="shared" si="1"/>
        <v>P</v>
      </c>
      <c r="M7" s="1493" t="str">
        <f t="shared" si="1"/>
        <v xml:space="preserve"> </v>
      </c>
      <c r="N7" s="1493" t="str">
        <f t="shared" si="1"/>
        <v xml:space="preserve"> </v>
      </c>
      <c r="O7" s="1493" t="str">
        <f t="shared" si="1"/>
        <v xml:space="preserve"> </v>
      </c>
      <c r="P7" s="1493" t="str">
        <f t="shared" si="1"/>
        <v xml:space="preserve"> </v>
      </c>
      <c r="Q7" s="1493" t="str">
        <f t="shared" si="1"/>
        <v xml:space="preserve"> </v>
      </c>
      <c r="S7" s="564"/>
      <c r="U7" s="1461"/>
      <c r="V7" s="1462"/>
      <c r="W7" s="1462"/>
      <c r="X7" s="1462"/>
      <c r="Y7" s="1462"/>
      <c r="Z7" s="560"/>
      <c r="AA7" s="1456"/>
      <c r="AB7" s="1456"/>
      <c r="AC7" s="1455"/>
      <c r="AD7" s="1455"/>
      <c r="AE7" s="1455"/>
      <c r="AF7" s="1455"/>
      <c r="AG7" s="1455"/>
      <c r="AH7" s="1457" t="s">
        <v>625</v>
      </c>
      <c r="AI7" s="1458">
        <f>Eckdaten!C20</f>
        <v>5</v>
      </c>
      <c r="AJ7" s="1455"/>
      <c r="AK7" s="1455"/>
    </row>
    <row r="8" spans="1:37">
      <c r="B8" s="464"/>
      <c r="C8" s="464"/>
      <c r="D8" s="464"/>
      <c r="E8" s="465"/>
      <c r="F8" s="465"/>
      <c r="G8" s="465"/>
      <c r="H8" s="465"/>
      <c r="I8" s="465"/>
      <c r="J8" s="465"/>
      <c r="K8" s="465"/>
      <c r="L8" s="465"/>
      <c r="N8" s="464"/>
      <c r="U8" s="565"/>
      <c r="V8" s="565"/>
      <c r="W8" s="565"/>
      <c r="X8" s="565"/>
      <c r="Y8" s="565"/>
      <c r="Z8" s="566"/>
    </row>
    <row r="9" spans="1:37">
      <c r="B9" s="639" t="str">
        <f>IFERROR('G&amp;V'!B80, " ")</f>
        <v>Net Profit (loss) (adjusted)</v>
      </c>
      <c r="C9" s="568"/>
      <c r="D9" s="568"/>
      <c r="E9" s="569"/>
      <c r="F9" s="569"/>
      <c r="G9" s="569"/>
      <c r="H9" s="1167">
        <f>'G&amp;V'!H80</f>
        <v>1184413.4470919091</v>
      </c>
      <c r="I9" s="1167">
        <f>'G&amp;V'!I80</f>
        <v>0</v>
      </c>
      <c r="J9" s="1167">
        <f>'G&amp;V'!J80</f>
        <v>0</v>
      </c>
      <c r="K9" s="1167">
        <f>'G&amp;V'!K80</f>
        <v>0</v>
      </c>
      <c r="L9" s="1167">
        <f>'G&amp;V'!L80</f>
        <v>0</v>
      </c>
      <c r="M9" s="1167" t="str">
        <f>'G&amp;V'!M80</f>
        <v xml:space="preserve"> </v>
      </c>
      <c r="N9" s="1167" t="str">
        <f>'G&amp;V'!N80</f>
        <v xml:space="preserve"> </v>
      </c>
      <c r="O9" s="1167" t="str">
        <f>'G&amp;V'!O80</f>
        <v xml:space="preserve"> </v>
      </c>
      <c r="P9" s="1167" t="str">
        <f>'G&amp;V'!P80</f>
        <v xml:space="preserve"> </v>
      </c>
      <c r="Q9" s="1167" t="str">
        <f>'G&amp;V'!Q80</f>
        <v xml:space="preserve"> </v>
      </c>
      <c r="R9" s="1168"/>
      <c r="S9" s="1169" cm="1">
        <f t="array" ref="S9">LOOKUP(2,1/(I9:Q9&lt;&gt;" "),I9:Q9)*(1+$C$27)</f>
        <v>0</v>
      </c>
      <c r="U9" s="570" t="s">
        <v>626</v>
      </c>
      <c r="V9" s="571"/>
      <c r="W9" s="571"/>
      <c r="X9" s="570" t="s">
        <v>627</v>
      </c>
      <c r="Y9" s="565"/>
      <c r="Z9" s="566"/>
      <c r="AA9" s="1453" t="s">
        <v>628</v>
      </c>
      <c r="AB9" s="1454"/>
      <c r="AC9" s="1454"/>
      <c r="AD9" s="1454"/>
      <c r="AE9" s="1454"/>
      <c r="AF9" s="1454"/>
      <c r="AG9" s="1454"/>
      <c r="AH9" s="1454"/>
      <c r="AI9" s="1454"/>
      <c r="AJ9" s="1454"/>
      <c r="AK9" s="1454"/>
    </row>
    <row r="10" spans="1:37">
      <c r="B10" s="470"/>
      <c r="C10" s="572"/>
      <c r="D10" s="572"/>
      <c r="E10" s="573"/>
      <c r="F10" s="573"/>
      <c r="H10" s="1170"/>
      <c r="I10" s="1170"/>
      <c r="J10" s="1170"/>
      <c r="K10" s="1170"/>
      <c r="L10" s="1170"/>
      <c r="M10" s="1171"/>
      <c r="N10" s="1172"/>
      <c r="O10" s="1171"/>
      <c r="P10" s="1171"/>
      <c r="Q10" s="1171"/>
      <c r="R10" s="1168"/>
      <c r="S10" s="1168"/>
      <c r="U10" s="565"/>
      <c r="V10" s="565"/>
      <c r="W10" s="565"/>
      <c r="X10" s="565"/>
      <c r="Y10" s="565"/>
      <c r="Z10" s="566"/>
      <c r="AC10" s="1924" t="s">
        <v>629</v>
      </c>
      <c r="AD10" s="1924"/>
      <c r="AE10" s="1924"/>
      <c r="AF10" s="1924"/>
      <c r="AG10" s="1924"/>
      <c r="AH10" s="1924"/>
      <c r="AI10" s="1924"/>
      <c r="AJ10" s="1924"/>
      <c r="AK10" s="1924"/>
    </row>
    <row r="11" spans="1:37" ht="12.75" customHeight="1">
      <c r="A11" s="575"/>
      <c r="B11" s="640" t="str">
        <f>"+ "&amp;'G&amp;V'!B44</f>
        <v>+ Depreciation and Amortization</v>
      </c>
      <c r="C11" s="464"/>
      <c r="D11" s="464"/>
      <c r="E11" s="533"/>
      <c r="F11" s="533"/>
      <c r="H11" s="1173">
        <f>IFERROR(-'G&amp;V'!H44, " ")</f>
        <v>0</v>
      </c>
      <c r="I11" s="1173">
        <f>IFERROR(-'G&amp;V'!I44, " ")</f>
        <v>0</v>
      </c>
      <c r="J11" s="1173">
        <f>IFERROR(-'G&amp;V'!J44, " ")</f>
        <v>0</v>
      </c>
      <c r="K11" s="1173">
        <f>IFERROR(-'G&amp;V'!K44, " ")</f>
        <v>0</v>
      </c>
      <c r="L11" s="1173">
        <f>IFERROR(-'G&amp;V'!L44, " ")</f>
        <v>0</v>
      </c>
      <c r="M11" s="1173" t="str">
        <f>IFERROR(-'G&amp;V'!M44, " ")</f>
        <v xml:space="preserve"> </v>
      </c>
      <c r="N11" s="1173" t="str">
        <f>IFERROR(-'G&amp;V'!N44, " ")</f>
        <v xml:space="preserve"> </v>
      </c>
      <c r="O11" s="1173" t="str">
        <f>IFERROR(-'G&amp;V'!O44, " ")</f>
        <v xml:space="preserve"> </v>
      </c>
      <c r="P11" s="1173" t="str">
        <f>IFERROR(-'G&amp;V'!P44, " ")</f>
        <v xml:space="preserve"> </v>
      </c>
      <c r="Q11" s="1173" t="str">
        <f>IFERROR(-'G&amp;V'!Q44, " ")</f>
        <v xml:space="preserve"> </v>
      </c>
      <c r="R11" s="1168"/>
      <c r="S11" s="1174" cm="1">
        <f t="array" ref="S11">LOOKUP(2,1/(I11:Q11&lt;&gt;" "),I11:Q11)*(1+$C$27)</f>
        <v>0</v>
      </c>
      <c r="U11" s="1437" t="s">
        <v>630</v>
      </c>
      <c r="V11" s="1438">
        <f>Eckdaten!C21</f>
        <v>2.7E-2</v>
      </c>
      <c r="W11" s="565"/>
      <c r="X11" s="1437" t="s">
        <v>631</v>
      </c>
      <c r="Y11" s="1438" cm="1">
        <f t="array" ref="Y11">_xlfn.IFS(Y12="0",0,Y12 = "Zinstragende Verbindlichkeiten",-AVERAGE(Planung!H40:Q40), Y12="Gesamt Verbindl.",-AVERAGE(Planung!H41:Q41),Y12="Risk Free Rate",Eckdaten!C21)</f>
        <v>2.7E-2</v>
      </c>
      <c r="Z11" s="566"/>
      <c r="AA11" s="577"/>
      <c r="AB11" s="578" t="s">
        <v>603</v>
      </c>
      <c r="AC11" s="641">
        <f t="shared" ref="AC11:AE11" si="2">AD11-0.25%</f>
        <v>1.5000000000000005E-2</v>
      </c>
      <c r="AD11" s="641">
        <f t="shared" si="2"/>
        <v>1.7500000000000005E-2</v>
      </c>
      <c r="AE11" s="641">
        <f t="shared" si="2"/>
        <v>2.0000000000000004E-2</v>
      </c>
      <c r="AF11" s="641">
        <f>AG11-0.25%</f>
        <v>2.2500000000000003E-2</v>
      </c>
      <c r="AG11" s="642">
        <f>$C$27</f>
        <v>2.5000000000000001E-2</v>
      </c>
      <c r="AH11" s="641">
        <f>AG11+0.25%</f>
        <v>2.75E-2</v>
      </c>
      <c r="AI11" s="641">
        <f t="shared" ref="AI11:AK11" si="3">AH11+0.25%</f>
        <v>0.03</v>
      </c>
      <c r="AJ11" s="641">
        <f t="shared" si="3"/>
        <v>3.2500000000000001E-2</v>
      </c>
      <c r="AK11" s="641">
        <f t="shared" si="3"/>
        <v>3.5000000000000003E-2</v>
      </c>
    </row>
    <row r="12" spans="1:37" ht="12.75" customHeight="1">
      <c r="A12" s="575"/>
      <c r="B12" s="576"/>
      <c r="C12" s="464"/>
      <c r="D12" s="464"/>
      <c r="E12" s="533"/>
      <c r="F12" s="533"/>
      <c r="H12" s="1175"/>
      <c r="I12" s="1175"/>
      <c r="J12" s="1175"/>
      <c r="K12" s="1175"/>
      <c r="L12" s="1175"/>
      <c r="M12" s="1171"/>
      <c r="N12" s="1176"/>
      <c r="O12" s="1171"/>
      <c r="P12" s="1171"/>
      <c r="Q12" s="1171"/>
      <c r="R12" s="1168"/>
      <c r="S12" s="1168"/>
      <c r="U12" s="1439" t="s">
        <v>632</v>
      </c>
      <c r="V12" s="1440">
        <v>1.1000000000000001</v>
      </c>
      <c r="W12" s="565"/>
      <c r="X12" s="1447" t="s">
        <v>633</v>
      </c>
      <c r="Y12" s="579" t="s">
        <v>634</v>
      </c>
      <c r="Z12" s="566"/>
      <c r="AA12" s="1925" t="s">
        <v>635</v>
      </c>
      <c r="AB12" s="643">
        <f t="shared" ref="AB12:AB14" si="4">AB13-0.5%</f>
        <v>6.1069811561101563E-2</v>
      </c>
      <c r="AC12" s="1215" t="e" cm="1">
        <f t="array" aca="1" ref="AC12" ca="1">SUMPRODUCT($H$25:$Q$25,IF(ISNUMBER($H$4:$Q$4),(1+$AB12)^-$H$4:$Q$4,1))+($S$25/($AB12-AC$11))*MIN(IF(ISNUMBER($H$4:$Q$4),(1+$AB12)^-$H$4:$Q$4,1))+$E$46</f>
        <v>#VALUE!</v>
      </c>
      <c r="AD12" s="1215" t="e" cm="1">
        <f t="array" aca="1" ref="AD12" ca="1">SUMPRODUCT($H$25:$Q$25,IF(ISNUMBER($H$4:$Q$4),(1+$AB12)^-$H$4:$Q$4,1))+($S$25/($AB12-AD$11))*MIN(IF(ISNUMBER($H$4:$Q$4),(1+$AB12)^-$H$4:$Q$4,1))+$E$46</f>
        <v>#VALUE!</v>
      </c>
      <c r="AE12" s="1215" t="e" cm="1">
        <f t="array" aca="1" ref="AE12" ca="1">SUMPRODUCT($H$25:$Q$25,IF(ISNUMBER($H$4:$Q$4),(1+$AB12)^-$H$4:$Q$4,1))+($S$25/($AB12-AE$11))*MIN(IF(ISNUMBER($H$4:$Q$4),(1+$AB12)^-$H$4:$Q$4,1))+$E$46</f>
        <v>#VALUE!</v>
      </c>
      <c r="AF12" s="1215" t="e" cm="1">
        <f t="array" aca="1" ref="AF12" ca="1">SUMPRODUCT($H$25:$Q$25,IF(ISNUMBER($H$4:$Q$4),(1+$AB12)^-$H$4:$Q$4,1))+($S$25/($AB12-AF$11))*MIN(IF(ISNUMBER($H$4:$Q$4),(1+$AB12)^-$H$4:$Q$4,1))+$E$46</f>
        <v>#VALUE!</v>
      </c>
      <c r="AG12" s="1216" t="e" cm="1">
        <f t="array" aca="1" ref="AG12" ca="1">SUMPRODUCT($H$25:$Q$25,IF(ISNUMBER($H$4:$Q$4),(1+$AB12)^-$H$4:$Q$4,1))+($S$25/($AB12-AG$11))*MIN(IF(ISNUMBER($H$4:$Q$4),(1+$AB12)^-$H$4:$Q$4,1))+$E$46</f>
        <v>#VALUE!</v>
      </c>
      <c r="AH12" s="1215" t="e" cm="1">
        <f t="array" aca="1" ref="AH12" ca="1">SUMPRODUCT($H$25:$Q$25,IF(ISNUMBER($H$4:$Q$4),(1+$AB12)^-$H$4:$Q$4,1))+($S$25/($AB12-AH$11))*MIN(IF(ISNUMBER($H$4:$Q$4),(1+$AB12)^-$H$4:$Q$4,1))+$E$46</f>
        <v>#VALUE!</v>
      </c>
      <c r="AI12" s="1215" t="e" cm="1">
        <f t="array" aca="1" ref="AI12" ca="1">SUMPRODUCT($H$25:$Q$25,IF(ISNUMBER($H$4:$Q$4),(1+$AB12)^-$H$4:$Q$4,1))+($S$25/($AB12-AI$11))*MIN(IF(ISNUMBER($H$4:$Q$4),(1+$AB12)^-$H$4:$Q$4,1))+$E$46</f>
        <v>#VALUE!</v>
      </c>
      <c r="AJ12" s="1215" t="e" cm="1">
        <f t="array" aca="1" ref="AJ12" ca="1">SUMPRODUCT($H$25:$Q$25,IF(ISNUMBER($H$4:$Q$4),(1+$AB12)^-$H$4:$Q$4,1))+($S$25/($AB12-AJ$11))*MIN(IF(ISNUMBER($H$4:$Q$4),(1+$AB12)^-$H$4:$Q$4,1))+$E$46</f>
        <v>#VALUE!</v>
      </c>
      <c r="AK12" s="1215" t="e" cm="1">
        <f t="array" aca="1" ref="AK12" ca="1">SUMPRODUCT($H$25:$Q$25,IF(ISNUMBER($H$4:$Q$4),(1+$AB12)^-$H$4:$Q$4,1))+($S$25/($AB12-AK$11))*MIN(IF(ISNUMBER($H$4:$Q$4),(1+$AB12)^-$H$4:$Q$4,1))+$E$46</f>
        <v>#VALUE!</v>
      </c>
    </row>
    <row r="13" spans="1:37">
      <c r="A13" s="575"/>
      <c r="B13" s="656" t="str">
        <f>"-/+ Neg./Pos. "&amp;'G&amp;V'!B54&amp;" (excl. Tax Shield)"</f>
        <v>-/+ Neg./Pos. Financial Result (excl. Tax Shield)</v>
      </c>
      <c r="C13" s="580"/>
      <c r="D13" s="580"/>
      <c r="E13" s="581"/>
      <c r="F13" s="581"/>
      <c r="G13" s="452"/>
      <c r="H13" s="1177">
        <f>IFERROR(-H14*H15, " ")</f>
        <v>-504329.41852821864</v>
      </c>
      <c r="I13" s="1177">
        <f t="shared" ref="I13:Q13" si="5">IFERROR(-I14*I15, " ")</f>
        <v>0</v>
      </c>
      <c r="J13" s="1177">
        <f t="shared" si="5"/>
        <v>0</v>
      </c>
      <c r="K13" s="1177">
        <f t="shared" si="5"/>
        <v>0</v>
      </c>
      <c r="L13" s="1177">
        <f t="shared" si="5"/>
        <v>0</v>
      </c>
      <c r="M13" s="1177" t="str">
        <f t="shared" si="5"/>
        <v xml:space="preserve"> </v>
      </c>
      <c r="N13" s="1177" t="str">
        <f t="shared" si="5"/>
        <v xml:space="preserve"> </v>
      </c>
      <c r="O13" s="1177" t="str">
        <f t="shared" si="5"/>
        <v xml:space="preserve"> </v>
      </c>
      <c r="P13" s="1177" t="str">
        <f t="shared" si="5"/>
        <v xml:space="preserve"> </v>
      </c>
      <c r="Q13" s="1177" t="str">
        <f t="shared" si="5"/>
        <v xml:space="preserve"> </v>
      </c>
      <c r="R13" s="1178"/>
      <c r="S13" s="1177" cm="1">
        <f t="array" ref="S13">LOOKUP(2,1/(I13:Q13&lt;&gt;" "),I13:Q13)*(1+$C$27)</f>
        <v>0</v>
      </c>
      <c r="U13" s="1439" t="s">
        <v>636</v>
      </c>
      <c r="V13" s="1441">
        <v>0.25</v>
      </c>
      <c r="W13" s="565"/>
      <c r="X13" s="1437" t="s">
        <v>637</v>
      </c>
      <c r="Y13" s="1448">
        <f>Eckdaten!C24</f>
        <v>0.3</v>
      </c>
      <c r="Z13" s="566"/>
      <c r="AA13" s="1925"/>
      <c r="AB13" s="643">
        <f t="shared" si="4"/>
        <v>6.606981156110156E-2</v>
      </c>
      <c r="AC13" s="1215" t="e" cm="1">
        <f t="array" aca="1" ref="AC13" ca="1">SUMPRODUCT($H$25:$Q$25,IF(ISNUMBER($H$4:$Q$4),(1+$AB13)^-$H$4:$Q$4,1))+($S$25/($AB13-AC$11))*MIN(IF(ISNUMBER($H$4:$Q$4),(1+$AB13)^-$H$4:$Q$4,1))+$E$46</f>
        <v>#VALUE!</v>
      </c>
      <c r="AD13" s="1215" t="e" cm="1">
        <f t="array" aca="1" ref="AD13" ca="1">SUMPRODUCT($H$25:$Q$25,IF(ISNUMBER($H$4:$Q$4),(1+$AB13)^-$H$4:$Q$4,1))+($S$25/($AB13-AD$11))*MIN(IF(ISNUMBER($H$4:$Q$4),(1+$AB13)^-$H$4:$Q$4,1))+$E$46</f>
        <v>#VALUE!</v>
      </c>
      <c r="AE13" s="1215" t="e" cm="1">
        <f t="array" aca="1" ref="AE13" ca="1">SUMPRODUCT($H$25:$Q$25,IF(ISNUMBER($H$4:$Q$4),(1+$AB13)^-$H$4:$Q$4,1))+($S$25/($AB13-AE$11))*MIN(IF(ISNUMBER($H$4:$Q$4),(1+$AB13)^-$H$4:$Q$4,1))+$E$46</f>
        <v>#VALUE!</v>
      </c>
      <c r="AF13" s="1215" t="e" cm="1">
        <f t="array" aca="1" ref="AF13" ca="1">SUMPRODUCT($H$25:$Q$25,IF(ISNUMBER($H$4:$Q$4),(1+$AB13)^-$H$4:$Q$4,1))+($S$25/($AB13-AF$11))*MIN(IF(ISNUMBER($H$4:$Q$4),(1+$AB13)^-$H$4:$Q$4,1))+$E$46</f>
        <v>#VALUE!</v>
      </c>
      <c r="AG13" s="1216" t="e" cm="1">
        <f t="array" aca="1" ref="AG13" ca="1">SUMPRODUCT($H$25:$Q$25,IF(ISNUMBER($H$4:$Q$4),(1+$AB13)^-$H$4:$Q$4,1))+($S$25/($AB13-AG$11))*MIN(IF(ISNUMBER($H$4:$Q$4),(1+$AB13)^-$H$4:$Q$4,1))+$E$46</f>
        <v>#VALUE!</v>
      </c>
      <c r="AH13" s="1215" t="e" cm="1">
        <f t="array" aca="1" ref="AH13" ca="1">SUMPRODUCT($H$25:$Q$25,IF(ISNUMBER($H$4:$Q$4),(1+$AB13)^-$H$4:$Q$4,1))+($S$25/($AB13-AH$11))*MIN(IF(ISNUMBER($H$4:$Q$4),(1+$AB13)^-$H$4:$Q$4,1))+$E$46</f>
        <v>#VALUE!</v>
      </c>
      <c r="AI13" s="1215" t="e" cm="1">
        <f t="array" aca="1" ref="AI13" ca="1">SUMPRODUCT($H$25:$Q$25,IF(ISNUMBER($H$4:$Q$4),(1+$AB13)^-$H$4:$Q$4,1))+($S$25/($AB13-AI$11))*MIN(IF(ISNUMBER($H$4:$Q$4),(1+$AB13)^-$H$4:$Q$4,1))+$E$46</f>
        <v>#VALUE!</v>
      </c>
      <c r="AJ13" s="1215" t="e" cm="1">
        <f t="array" aca="1" ref="AJ13" ca="1">SUMPRODUCT($H$25:$Q$25,IF(ISNUMBER($H$4:$Q$4),(1+$AB13)^-$H$4:$Q$4,1))+($S$25/($AB13-AJ$11))*MIN(IF(ISNUMBER($H$4:$Q$4),(1+$AB13)^-$H$4:$Q$4,1))+$E$46</f>
        <v>#VALUE!</v>
      </c>
      <c r="AK13" s="1215" t="e" cm="1">
        <f t="array" aca="1" ref="AK13" ca="1">SUMPRODUCT($H$25:$Q$25,IF(ISNUMBER($H$4:$Q$4),(1+$AB13)^-$H$4:$Q$4,1))+($S$25/($AB13-AK$11))*MIN(IF(ISNUMBER($H$4:$Q$4),(1+$AB13)^-$H$4:$Q$4,1))+$E$46</f>
        <v>#VALUE!</v>
      </c>
    </row>
    <row r="14" spans="1:37">
      <c r="A14" s="575"/>
      <c r="B14" s="657" t="str">
        <f>'G&amp;V'!B54</f>
        <v>Financial Result</v>
      </c>
      <c r="C14" s="464"/>
      <c r="D14" s="464"/>
      <c r="E14" s="533"/>
      <c r="F14" s="533"/>
      <c r="H14" s="1173">
        <f>IFERROR('G&amp;V'!H54, " ")</f>
        <v>720470.59789745521</v>
      </c>
      <c r="I14" s="1173">
        <f>IFERROR('G&amp;V'!I54, " ")</f>
        <v>0</v>
      </c>
      <c r="J14" s="1173">
        <f>IFERROR('G&amp;V'!J54, " ")</f>
        <v>0</v>
      </c>
      <c r="K14" s="1173">
        <f>IFERROR('G&amp;V'!K54, " ")</f>
        <v>0</v>
      </c>
      <c r="L14" s="1173">
        <f>IFERROR('G&amp;V'!L54, " ")</f>
        <v>0</v>
      </c>
      <c r="M14" s="1173" t="str">
        <f>IFERROR('G&amp;V'!M54, " ")</f>
        <v/>
      </c>
      <c r="N14" s="1173" t="str">
        <f>IFERROR('G&amp;V'!N54, " ")</f>
        <v/>
      </c>
      <c r="O14" s="1173" t="str">
        <f>IFERROR('G&amp;V'!O54, " ")</f>
        <v/>
      </c>
      <c r="P14" s="1173" t="str">
        <f>IFERROR('G&amp;V'!P54, " ")</f>
        <v/>
      </c>
      <c r="Q14" s="1173" t="str">
        <f>IFERROR('G&amp;V'!Q54, " ")</f>
        <v/>
      </c>
      <c r="R14" s="1168"/>
      <c r="S14" s="1168"/>
      <c r="U14" s="1437" t="s">
        <v>638</v>
      </c>
      <c r="V14" s="1442">
        <f>V12+(V12*V13)</f>
        <v>1.375</v>
      </c>
      <c r="W14" s="565"/>
      <c r="X14" s="1437" t="s">
        <v>639</v>
      </c>
      <c r="Y14" s="1449">
        <f>(1-Y13)*Y11</f>
        <v>1.89E-2</v>
      </c>
      <c r="Z14" s="566"/>
      <c r="AA14" s="1925"/>
      <c r="AB14" s="643">
        <f t="shared" si="4"/>
        <v>7.1069811561101565E-2</v>
      </c>
      <c r="AC14" s="1215" t="e" cm="1">
        <f t="array" aca="1" ref="AC14" ca="1">SUMPRODUCT($H$25:$Q$25,IF(ISNUMBER($H$4:$Q$4),(1+$AB14)^-$H$4:$Q$4,1))+($S$25/($AB14-AC$11))*MIN(IF(ISNUMBER($H$4:$Q$4),(1+$AB14)^-$H$4:$Q$4,1))+$E$46</f>
        <v>#VALUE!</v>
      </c>
      <c r="AD14" s="1215" t="e" cm="1">
        <f t="array" aca="1" ref="AD14" ca="1">SUMPRODUCT($H$25:$Q$25,IF(ISNUMBER($H$4:$Q$4),(1+$AB14)^-$H$4:$Q$4,1))+($S$25/($AB14-AD$11))*MIN(IF(ISNUMBER($H$4:$Q$4),(1+$AB14)^-$H$4:$Q$4,1))+$E$46</f>
        <v>#VALUE!</v>
      </c>
      <c r="AE14" s="1217" t="e" cm="1">
        <f t="array" aca="1" ref="AE14" ca="1">SUMPRODUCT($H$25:$Q$25,IF(ISNUMBER($H$4:$Q$4),(1+$AB14)^-$H$4:$Q$4,1))+($S$25/($AB14-AE$11))*MIN(IF(ISNUMBER($H$4:$Q$4),(1+$AB14)^-$H$4:$Q$4,1))+$E$46</f>
        <v>#VALUE!</v>
      </c>
      <c r="AF14" s="1217" t="e" cm="1">
        <f t="array" aca="1" ref="AF14" ca="1">SUMPRODUCT($H$25:$Q$25,IF(ISNUMBER($H$4:$Q$4),(1+$AB14)^-$H$4:$Q$4,1))+($S$25/($AB14-AF$11))*MIN(IF(ISNUMBER($H$4:$Q$4),(1+$AB14)^-$H$4:$Q$4,1))+$E$46</f>
        <v>#VALUE!</v>
      </c>
      <c r="AG14" s="1218" t="e" cm="1">
        <f t="array" aca="1" ref="AG14" ca="1">SUMPRODUCT($H$25:$Q$25,IF(ISNUMBER($H$4:$Q$4),(1+$AB14)^-$H$4:$Q$4,1))+($S$25/($AB14-AG$11))*MIN(IF(ISNUMBER($H$4:$Q$4),(1+$AB14)^-$H$4:$Q$4,1))+$E$46</f>
        <v>#VALUE!</v>
      </c>
      <c r="AH14" s="1217" t="e" cm="1">
        <f t="array" aca="1" ref="AH14" ca="1">SUMPRODUCT($H$25:$Q$25,IF(ISNUMBER($H$4:$Q$4),(1+$AB14)^-$H$4:$Q$4,1))+($S$25/($AB14-AH$11))*MIN(IF(ISNUMBER($H$4:$Q$4),(1+$AB14)^-$H$4:$Q$4,1))+$E$46</f>
        <v>#VALUE!</v>
      </c>
      <c r="AI14" s="1217" t="e" cm="1">
        <f t="array" aca="1" ref="AI14" ca="1">SUMPRODUCT($H$25:$Q$25,IF(ISNUMBER($H$4:$Q$4),(1+$AB14)^-$H$4:$Q$4,1))+($S$25/($AB14-AI$11))*MIN(IF(ISNUMBER($H$4:$Q$4),(1+$AB14)^-$H$4:$Q$4,1))+$E$46</f>
        <v>#VALUE!</v>
      </c>
      <c r="AJ14" s="1215" t="e" cm="1">
        <f t="array" aca="1" ref="AJ14" ca="1">SUMPRODUCT($H$25:$Q$25,IF(ISNUMBER($H$4:$Q$4),(1+$AB14)^-$H$4:$Q$4,1))+($S$25/($AB14-AJ$11))*MIN(IF(ISNUMBER($H$4:$Q$4),(1+$AB14)^-$H$4:$Q$4,1))+$E$46</f>
        <v>#VALUE!</v>
      </c>
      <c r="AK14" s="1215" t="e" cm="1">
        <f t="array" aca="1" ref="AK14" ca="1">SUMPRODUCT($H$25:$Q$25,IF(ISNUMBER($H$4:$Q$4),(1+$AB14)^-$H$4:$Q$4,1))+($S$25/($AB14-AK$11))*MIN(IF(ISNUMBER($H$4:$Q$4),(1+$AB14)^-$H$4:$Q$4,1))+$E$46</f>
        <v>#VALUE!</v>
      </c>
    </row>
    <row r="15" spans="1:37">
      <c r="A15" s="575"/>
      <c r="B15" s="582" t="s">
        <v>640</v>
      </c>
      <c r="C15" s="464"/>
      <c r="D15" s="464"/>
      <c r="E15" s="533"/>
      <c r="F15" s="533"/>
      <c r="H15" s="655">
        <f>IF(H6= " ", " ",(1-Eckdaten!$C$24))</f>
        <v>0.7</v>
      </c>
      <c r="I15" s="655">
        <f>IF(I6= " ", " ",(1-Eckdaten!$C$24))</f>
        <v>0.7</v>
      </c>
      <c r="J15" s="655">
        <f>IF(J6= " ", " ",(1-Eckdaten!$C$24))</f>
        <v>0.7</v>
      </c>
      <c r="K15" s="655">
        <f>IF(K6= " ", " ",(1-Eckdaten!$C$24))</f>
        <v>0.7</v>
      </c>
      <c r="L15" s="655">
        <f>IF(L6= " ", " ",(1-Eckdaten!$C$24))</f>
        <v>0.7</v>
      </c>
      <c r="M15" s="655" t="str">
        <f>IF(M6= " ", " ",(1-Eckdaten!$C$24))</f>
        <v xml:space="preserve"> </v>
      </c>
      <c r="N15" s="655" t="str">
        <f>IF(N6= " ", " ",(1-Eckdaten!$C$24))</f>
        <v xml:space="preserve"> </v>
      </c>
      <c r="O15" s="655" t="str">
        <f>IF(O6= " ", " ",(1-Eckdaten!$C$24))</f>
        <v xml:space="preserve"> </v>
      </c>
      <c r="P15" s="655" t="str">
        <f>IF(P6= " ", " ",(1-Eckdaten!$C$24))</f>
        <v xml:space="preserve"> </v>
      </c>
      <c r="Q15" s="655" t="str">
        <f>IF(Q6= " ", " ",(1-Eckdaten!$C$24))</f>
        <v xml:space="preserve"> </v>
      </c>
      <c r="U15" s="1437" t="s">
        <v>95</v>
      </c>
      <c r="V15" s="1438">
        <f>Eckdaten!C22</f>
        <v>5.4473819439660703E-2</v>
      </c>
      <c r="W15" s="565"/>
      <c r="X15" s="1437"/>
      <c r="Y15" s="1445"/>
      <c r="Z15" s="566"/>
      <c r="AA15" s="1925"/>
      <c r="AB15" s="643">
        <f>AB16-0.5%</f>
        <v>7.6069811561101569E-2</v>
      </c>
      <c r="AC15" s="1215" t="e" cm="1">
        <f t="array" aca="1" ref="AC15" ca="1">SUMPRODUCT($H$25:$Q$25,IF(ISNUMBER($H$4:$Q$4),(1+$AB15)^-$H$4:$Q$4,1))+($S$25/($AB15-AC$11))*MIN(IF(ISNUMBER($H$4:$Q$4),(1+$AB15)^-$H$4:$Q$4,1))+$E$46</f>
        <v>#VALUE!</v>
      </c>
      <c r="AD15" s="1215" t="e" cm="1">
        <f t="array" aca="1" ref="AD15" ca="1">SUMPRODUCT($H$25:$Q$25,IF(ISNUMBER($H$4:$Q$4),(1+$AB15)^-$H$4:$Q$4,1))+($S$25/($AB15-AD$11))*MIN(IF(ISNUMBER($H$4:$Q$4),(1+$AB15)^-$H$4:$Q$4,1))+$E$46</f>
        <v>#VALUE!</v>
      </c>
      <c r="AE15" s="1217" t="e" cm="1">
        <f t="array" aca="1" ref="AE15" ca="1">SUMPRODUCT($H$25:$Q$25,IF(ISNUMBER($H$4:$Q$4),(1+$AB15)^-$H$4:$Q$4,1))+($S$25/($AB15-AE$11))*MIN(IF(ISNUMBER($H$4:$Q$4),(1+$AB15)^-$H$4:$Q$4,1))+$E$46</f>
        <v>#VALUE!</v>
      </c>
      <c r="AF15" s="1219" t="e" cm="1">
        <f t="array" aca="1" ref="AF15" ca="1">SUMPRODUCT($H$25:$Q$25,IF(ISNUMBER($H$4:$Q$4),(1+$AB15)^-$H$4:$Q$4,1))+($S$25/($AB15-AF$11))*MIN(IF(ISNUMBER($H$4:$Q$4),(1+$AB15)^-$H$4:$Q$4,1))+$E$46</f>
        <v>#VALUE!</v>
      </c>
      <c r="AG15" s="1220" t="e" cm="1">
        <f t="array" aca="1" ref="AG15" ca="1">SUMPRODUCT($H$25:$Q$25,IF(ISNUMBER($H$4:$Q$4),(1+$AB15)^-$H$4:$Q$4,1))+($S$25/($AB15-AG$11))*MIN(IF(ISNUMBER($H$4:$Q$4),(1+$AB15)^-$H$4:$Q$4,1))+$E$46</f>
        <v>#VALUE!</v>
      </c>
      <c r="AH15" s="1219" t="e" cm="1">
        <f t="array" aca="1" ref="AH15" ca="1">SUMPRODUCT($H$25:$Q$25,IF(ISNUMBER($H$4:$Q$4),(1+$AB15)^-$H$4:$Q$4,1))+($S$25/($AB15-AH$11))*MIN(IF(ISNUMBER($H$4:$Q$4),(1+$AB15)^-$H$4:$Q$4,1))+$E$46</f>
        <v>#VALUE!</v>
      </c>
      <c r="AI15" s="1217" t="e" cm="1">
        <f t="array" aca="1" ref="AI15" ca="1">SUMPRODUCT($H$25:$Q$25,IF(ISNUMBER($H$4:$Q$4),(1+$AB15)^-$H$4:$Q$4,1))+($S$25/($AB15-AI$11))*MIN(IF(ISNUMBER($H$4:$Q$4),(1+$AB15)^-$H$4:$Q$4,1))+$E$46</f>
        <v>#VALUE!</v>
      </c>
      <c r="AJ15" s="1215" t="e" cm="1">
        <f t="array" aca="1" ref="AJ15" ca="1">SUMPRODUCT($H$25:$Q$25,IF(ISNUMBER($H$4:$Q$4),(1+$AB15)^-$H$4:$Q$4,1))+($S$25/($AB15-AJ$11))*MIN(IF(ISNUMBER($H$4:$Q$4),(1+$AB15)^-$H$4:$Q$4,1))+$E$46</f>
        <v>#VALUE!</v>
      </c>
      <c r="AK15" s="1215" t="e" cm="1">
        <f t="array" aca="1" ref="AK15" ca="1">SUMPRODUCT($H$25:$Q$25,IF(ISNUMBER($H$4:$Q$4),(1+$AB15)^-$H$4:$Q$4,1))+($S$25/($AB15-AK$11))*MIN(IF(ISNUMBER($H$4:$Q$4),(1+$AB15)^-$H$4:$Q$4,1))+$E$46</f>
        <v>#VALUE!</v>
      </c>
    </row>
    <row r="16" spans="1:37">
      <c r="A16" s="575"/>
      <c r="B16" s="582"/>
      <c r="C16" s="464"/>
      <c r="D16" s="464"/>
      <c r="E16" s="533"/>
      <c r="F16" s="533"/>
      <c r="H16" s="583"/>
      <c r="I16" s="583"/>
      <c r="J16" s="583"/>
      <c r="K16" s="583"/>
      <c r="L16" s="583"/>
      <c r="M16" s="583"/>
      <c r="N16" s="583"/>
      <c r="O16" s="583"/>
      <c r="P16" s="583"/>
      <c r="Q16" s="583"/>
      <c r="U16" s="1443" t="s">
        <v>641</v>
      </c>
      <c r="V16" s="1444">
        <f>+V11+V14*(V15)</f>
        <v>0.10190150172953347</v>
      </c>
      <c r="W16" s="565"/>
      <c r="X16" s="1443" t="s">
        <v>642</v>
      </c>
      <c r="Y16" s="1444">
        <f>Y11*(1-Y13)</f>
        <v>1.89E-2</v>
      </c>
      <c r="Z16" s="566"/>
      <c r="AA16" s="1925"/>
      <c r="AB16" s="649">
        <f>$V$25</f>
        <v>8.1069811561101573E-2</v>
      </c>
      <c r="AC16" s="1221" t="e" cm="1">
        <f t="array" aca="1" ref="AC16" ca="1">SUMPRODUCT($H$25:$Q$25,IF(ISNUMBER($H$4:$Q$4),(1+$AB16)^-$H$4:$Q$4,1))+($S$25/($AB16-AC$11))*MIN(IF(ISNUMBER($H$4:$Q$4),(1+$AB16)^-$H$4:$Q$4,1))+$E$46</f>
        <v>#VALUE!</v>
      </c>
      <c r="AD16" s="1221" t="e" cm="1">
        <f t="array" aca="1" ref="AD16" ca="1">SUMPRODUCT($H$25:$Q$25,IF(ISNUMBER($H$4:$Q$4),(1+$AB16)^-$H$4:$Q$4,1))+($S$25/($AB16-AD$11))*MIN(IF(ISNUMBER($H$4:$Q$4),(1+$AB16)^-$H$4:$Q$4,1))+$E$46</f>
        <v>#VALUE!</v>
      </c>
      <c r="AE16" s="1222" t="e" cm="1">
        <f t="array" aca="1" ref="AE16" ca="1">SUMPRODUCT($H$25:$Q$25,IF(ISNUMBER($H$4:$Q$4),(1+$AB16)^-$H$4:$Q$4,1))+($S$25/($AB16-AE$11))*MIN(IF(ISNUMBER($H$4:$Q$4),(1+$AB16)^-$H$4:$Q$4,1))+$E$46</f>
        <v>#VALUE!</v>
      </c>
      <c r="AF16" s="1223" t="e" cm="1">
        <f t="array" aca="1" ref="AF16" ca="1">SUMPRODUCT($H$25:$Q$25,IF(ISNUMBER($H$4:$Q$4),(1+$AB16)^-$H$4:$Q$4,1))+($S$25/($AB16-AF$11))*MIN(IF(ISNUMBER($H$4:$Q$4),(1+$AB16)^-$H$4:$Q$4,1))+$E$46</f>
        <v>#VALUE!</v>
      </c>
      <c r="AG16" s="1224" t="e" cm="1">
        <f t="array" aca="1" ref="AG16" ca="1">SUMPRODUCT($H$25:$Q$25,IF(ISNUMBER($H$4:$Q$4),(1+$AB16)^-$H$4:$Q$4,1))+($S$25/($AB16-AG$11))*MIN(IF(ISNUMBER($H$4:$Q$4),(1+$AB16)^-$H$4:$Q$4,1))+$E$46</f>
        <v>#VALUE!</v>
      </c>
      <c r="AH16" s="1223" t="e" cm="1">
        <f t="array" aca="1" ref="AH16" ca="1">SUMPRODUCT($H$25:$Q$25,IF(ISNUMBER($H$4:$Q$4),(1+$AB16)^-$H$4:$Q$4,1))+($S$25/($AB16-AH$11))*MIN(IF(ISNUMBER($H$4:$Q$4),(1+$AB16)^-$H$4:$Q$4,1))+$E$46</f>
        <v>#VALUE!</v>
      </c>
      <c r="AI16" s="1222" t="e" cm="1">
        <f t="array" aca="1" ref="AI16" ca="1">SUMPRODUCT($H$25:$Q$25,IF(ISNUMBER($H$4:$Q$4),(1+$AB16)^-$H$4:$Q$4,1))+($S$25/($AB16-AI$11))*MIN(IF(ISNUMBER($H$4:$Q$4),(1+$AB16)^-$H$4:$Q$4,1))+$E$46</f>
        <v>#VALUE!</v>
      </c>
      <c r="AJ16" s="1221" t="e" cm="1">
        <f t="array" aca="1" ref="AJ16" ca="1">SUMPRODUCT($H$25:$Q$25,IF(ISNUMBER($H$4:$Q$4),(1+$AB16)^-$H$4:$Q$4,1))+($S$25/($AB16-AJ$11))*MIN(IF(ISNUMBER($H$4:$Q$4),(1+$AB16)^-$H$4:$Q$4,1))+$E$46</f>
        <v>#VALUE!</v>
      </c>
      <c r="AK16" s="1221" t="e" cm="1">
        <f t="array" aca="1" ref="AK16" ca="1">SUMPRODUCT($H$25:$Q$25,IF(ISNUMBER($H$4:$Q$4),(1+$AB16)^-$H$4:$Q$4,1))+($S$25/($AB16-AK$11))*MIN(IF(ISNUMBER($H$4:$Q$4),(1+$AB16)^-$H$4:$Q$4,1))+$E$46</f>
        <v>#VALUE!</v>
      </c>
    </row>
    <row r="17" spans="1:37">
      <c r="A17" s="575"/>
      <c r="B17" s="584" t="s">
        <v>643</v>
      </c>
      <c r="C17" s="464"/>
      <c r="D17" s="464"/>
      <c r="E17" s="533"/>
      <c r="F17" s="533"/>
      <c r="H17" s="1179">
        <f>IFERROR(CF!H9+CF!H10+CF!H11, " ")</f>
        <v>0</v>
      </c>
      <c r="I17" s="1179">
        <f>IFERROR(CF!I9+CF!I10+CF!I11, " ")</f>
        <v>0</v>
      </c>
      <c r="J17" s="1179">
        <f>IFERROR(CF!J9+CF!J10+CF!J11, " ")</f>
        <v>0</v>
      </c>
      <c r="K17" s="1179">
        <f>IFERROR(CF!K9+CF!K10+CF!K11, " ")</f>
        <v>0</v>
      </c>
      <c r="L17" s="1179">
        <f>IFERROR(CF!L9+CF!L10+CF!L11, " ")</f>
        <v>0</v>
      </c>
      <c r="M17" s="1179" t="str">
        <f>IFERROR(CF!M9+CF!M10+CF!M11, " ")</f>
        <v xml:space="preserve"> </v>
      </c>
      <c r="N17" s="1179" t="str">
        <f>IFERROR(CF!N9+CF!N10+CF!N11, " ")</f>
        <v xml:space="preserve"> </v>
      </c>
      <c r="O17" s="1179" t="str">
        <f>IFERROR(CF!O9+CF!O10+CF!O11, " ")</f>
        <v xml:space="preserve"> </v>
      </c>
      <c r="P17" s="1179" t="str">
        <f>IFERROR(CF!P9+CF!P10+CF!P11, " ")</f>
        <v xml:space="preserve"> </v>
      </c>
      <c r="Q17" s="1179" t="str">
        <f>IFERROR(CF!Q9+CF!Q10+CF!Q11, " ")</f>
        <v xml:space="preserve"> </v>
      </c>
      <c r="R17" s="1168"/>
      <c r="S17" s="1174" cm="1">
        <f t="array" ref="S17">LOOKUP(2,1/(I17:Q17&lt;&gt;" "),I17:Q17)*(1+$C$27)</f>
        <v>0</v>
      </c>
      <c r="U17" s="565"/>
      <c r="V17" s="565"/>
      <c r="W17" s="565"/>
      <c r="X17" s="565"/>
      <c r="Y17" s="585"/>
      <c r="Z17" s="566"/>
      <c r="AA17" s="1925"/>
      <c r="AB17" s="643">
        <f>AB16+0.5%</f>
        <v>8.6069811561101578E-2</v>
      </c>
      <c r="AC17" s="1215" t="e" cm="1">
        <f t="array" aca="1" ref="AC17" ca="1">SUMPRODUCT($H$25:$Q$25,IF(ISNUMBER($H$4:$Q$4),(1+$AB17)^-$H$4:$Q$4,1))+($S$25/($AB17-AC$11))*MIN(IF(ISNUMBER($H$4:$Q$4),(1+$AB17)^-$H$4:$Q$4,1))+$E$46</f>
        <v>#VALUE!</v>
      </c>
      <c r="AD17" s="1215" t="e" cm="1">
        <f t="array" aca="1" ref="AD17" ca="1">SUMPRODUCT($H$25:$Q$25,IF(ISNUMBER($H$4:$Q$4),(1+$AB17)^-$H$4:$Q$4,1))+($S$25/($AB17-AD$11))*MIN(IF(ISNUMBER($H$4:$Q$4),(1+$AB17)^-$H$4:$Q$4,1))+$E$46</f>
        <v>#VALUE!</v>
      </c>
      <c r="AE17" s="1217" t="e" cm="1">
        <f t="array" aca="1" ref="AE17" ca="1">SUMPRODUCT($H$25:$Q$25,IF(ISNUMBER($H$4:$Q$4),(1+$AB17)^-$H$4:$Q$4,1))+($S$25/($AB17-AE$11))*MIN(IF(ISNUMBER($H$4:$Q$4),(1+$AB17)^-$H$4:$Q$4,1))+$E$46</f>
        <v>#VALUE!</v>
      </c>
      <c r="AF17" s="1219" t="e" cm="1">
        <f t="array" aca="1" ref="AF17" ca="1">SUMPRODUCT($H$25:$Q$25,IF(ISNUMBER($H$4:$Q$4),(1+$AB17)^-$H$4:$Q$4,1))+($S$25/($AB17-AF$11))*MIN(IF(ISNUMBER($H$4:$Q$4),(1+$AB17)^-$H$4:$Q$4,1))+$E$46</f>
        <v>#VALUE!</v>
      </c>
      <c r="AG17" s="1220" t="e" cm="1">
        <f t="array" aca="1" ref="AG17" ca="1">SUMPRODUCT($H$25:$Q$25,IF(ISNUMBER($H$4:$Q$4),(1+$AB17)^-$H$4:$Q$4,1))+($S$25/($AB17-AG$11))*MIN(IF(ISNUMBER($H$4:$Q$4),(1+$AB17)^-$H$4:$Q$4,1))+$E$46</f>
        <v>#VALUE!</v>
      </c>
      <c r="AH17" s="1219" t="e" cm="1">
        <f t="array" aca="1" ref="AH17" ca="1">SUMPRODUCT($H$25:$Q$25,IF(ISNUMBER($H$4:$Q$4),(1+$AB17)^-$H$4:$Q$4,1))+($S$25/($AB17-AH$11))*MIN(IF(ISNUMBER($H$4:$Q$4),(1+$AB17)^-$H$4:$Q$4,1))+$E$46</f>
        <v>#VALUE!</v>
      </c>
      <c r="AI17" s="1217" t="e" cm="1">
        <f t="array" aca="1" ref="AI17" ca="1">SUMPRODUCT($H$25:$Q$25,IF(ISNUMBER($H$4:$Q$4),(1+$AB17)^-$H$4:$Q$4,1))+($S$25/($AB17-AI$11))*MIN(IF(ISNUMBER($H$4:$Q$4),(1+$AB17)^-$H$4:$Q$4,1))+$E$46</f>
        <v>#VALUE!</v>
      </c>
      <c r="AJ17" s="1215" t="e" cm="1">
        <f t="array" aca="1" ref="AJ17" ca="1">SUMPRODUCT($H$25:$Q$25,IF(ISNUMBER($H$4:$Q$4),(1+$AB17)^-$H$4:$Q$4,1))+($S$25/($AB17-AJ$11))*MIN(IF(ISNUMBER($H$4:$Q$4),(1+$AB17)^-$H$4:$Q$4,1))+$E$46</f>
        <v>#VALUE!</v>
      </c>
      <c r="AK17" s="1215" t="e" cm="1">
        <f t="array" aca="1" ref="AK17" ca="1">SUMPRODUCT($H$25:$Q$25,IF(ISNUMBER($H$4:$Q$4),(1+$AB17)^-$H$4:$Q$4,1))+($S$25/($AB17-AK$11))*MIN(IF(ISNUMBER($H$4:$Q$4),(1+$AB17)^-$H$4:$Q$4,1))+$E$46</f>
        <v>#VALUE!</v>
      </c>
    </row>
    <row r="18" spans="1:37">
      <c r="A18" s="575"/>
      <c r="B18" s="582"/>
      <c r="C18" s="464"/>
      <c r="D18" s="464"/>
      <c r="E18" s="533"/>
      <c r="F18" s="533"/>
      <c r="H18" s="1180"/>
      <c r="I18" s="1180"/>
      <c r="J18" s="1180"/>
      <c r="K18" s="1180"/>
      <c r="L18" s="1180"/>
      <c r="M18" s="1180"/>
      <c r="N18" s="1180"/>
      <c r="O18" s="1180"/>
      <c r="P18" s="1180"/>
      <c r="Q18" s="1180"/>
      <c r="R18" s="1168"/>
      <c r="S18" s="1181"/>
      <c r="U18" s="1437"/>
      <c r="V18" s="1445"/>
      <c r="W18" s="565"/>
      <c r="X18" s="1437" t="s">
        <v>644</v>
      </c>
      <c r="Y18" s="1450">
        <f>Planung!H35</f>
        <v>12186944.199819826</v>
      </c>
      <c r="Z18" s="566"/>
      <c r="AA18" s="1925"/>
      <c r="AB18" s="643">
        <f t="shared" ref="AB18:AB21" si="6">AB17+0.5%</f>
        <v>9.1069811561101582E-2</v>
      </c>
      <c r="AC18" s="1215" t="e" cm="1">
        <f t="array" aca="1" ref="AC18" ca="1">SUMPRODUCT($H$25:$Q$25,IF(ISNUMBER($H$4:$Q$4),(1+$AB18)^-$H$4:$Q$4,1))+($S$25/($AB18-AC$11))*MIN(IF(ISNUMBER($H$4:$Q$4),(1+$AB18)^-$H$4:$Q$4,1))+$E$46</f>
        <v>#VALUE!</v>
      </c>
      <c r="AD18" s="1215" t="e" cm="1">
        <f t="array" aca="1" ref="AD18" ca="1">SUMPRODUCT($H$25:$Q$25,IF(ISNUMBER($H$4:$Q$4),(1+$AB18)^-$H$4:$Q$4,1))+($S$25/($AB18-AD$11))*MIN(IF(ISNUMBER($H$4:$Q$4),(1+$AB18)^-$H$4:$Q$4,1))+$E$46</f>
        <v>#VALUE!</v>
      </c>
      <c r="AE18" s="1217" t="e" cm="1">
        <f t="array" aca="1" ref="AE18" ca="1">SUMPRODUCT($H$25:$Q$25,IF(ISNUMBER($H$4:$Q$4),(1+$AB18)^-$H$4:$Q$4,1))+($S$25/($AB18-AE$11))*MIN(IF(ISNUMBER($H$4:$Q$4),(1+$AB18)^-$H$4:$Q$4,1))+$E$46</f>
        <v>#VALUE!</v>
      </c>
      <c r="AF18" s="1217" t="e" cm="1">
        <f t="array" aca="1" ref="AF18" ca="1">SUMPRODUCT($H$25:$Q$25,IF(ISNUMBER($H$4:$Q$4),(1+$AB18)^-$H$4:$Q$4,1))+($S$25/($AB18-AF$11))*MIN(IF(ISNUMBER($H$4:$Q$4),(1+$AB18)^-$H$4:$Q$4,1))+$E$46</f>
        <v>#VALUE!</v>
      </c>
      <c r="AG18" s="1218" t="e" cm="1">
        <f t="array" aca="1" ref="AG18" ca="1">SUMPRODUCT($H$25:$Q$25,IF(ISNUMBER($H$4:$Q$4),(1+$AB18)^-$H$4:$Q$4,1))+($S$25/($AB18-AG$11))*MIN(IF(ISNUMBER($H$4:$Q$4),(1+$AB18)^-$H$4:$Q$4,1))+$E$46</f>
        <v>#VALUE!</v>
      </c>
      <c r="AH18" s="1217" t="e" cm="1">
        <f t="array" aca="1" ref="AH18" ca="1">SUMPRODUCT($H$25:$Q$25,IF(ISNUMBER($H$4:$Q$4),(1+$AB18)^-$H$4:$Q$4,1))+($S$25/($AB18-AH$11))*MIN(IF(ISNUMBER($H$4:$Q$4),(1+$AB18)^-$H$4:$Q$4,1))+$E$46</f>
        <v>#VALUE!</v>
      </c>
      <c r="AI18" s="1217" t="e" cm="1">
        <f t="array" aca="1" ref="AI18" ca="1">SUMPRODUCT($H$25:$Q$25,IF(ISNUMBER($H$4:$Q$4),(1+$AB18)^-$H$4:$Q$4,1))+($S$25/($AB18-AI$11))*MIN(IF(ISNUMBER($H$4:$Q$4),(1+$AB18)^-$H$4:$Q$4,1))+$E$46</f>
        <v>#VALUE!</v>
      </c>
      <c r="AJ18" s="1215" t="e" cm="1">
        <f t="array" aca="1" ref="AJ18" ca="1">SUMPRODUCT($H$25:$Q$25,IF(ISNUMBER($H$4:$Q$4),(1+$AB18)^-$H$4:$Q$4,1))+($S$25/($AB18-AJ$11))*MIN(IF(ISNUMBER($H$4:$Q$4),(1+$AB18)^-$H$4:$Q$4,1))+$E$46</f>
        <v>#VALUE!</v>
      </c>
      <c r="AK18" s="1215" t="e" cm="1">
        <f t="array" aca="1" ref="AK18" ca="1">SUMPRODUCT($H$25:$Q$25,IF(ISNUMBER($H$4:$Q$4),(1+$AB18)^-$H$4:$Q$4,1))+($S$25/($AB18-AK$11))*MIN(IF(ISNUMBER($H$4:$Q$4),(1+$AB18)^-$H$4:$Q$4,1))+$E$46</f>
        <v>#VALUE!</v>
      </c>
    </row>
    <row r="19" spans="1:37">
      <c r="A19" s="575"/>
      <c r="B19" s="584" t="s">
        <v>645</v>
      </c>
      <c r="C19" s="464"/>
      <c r="D19" s="464"/>
      <c r="E19" s="533"/>
      <c r="F19" s="533"/>
      <c r="H19" s="1182">
        <f>IFERROR(CF!H13+CF!H14+CF!H20+CF!H21, " ")</f>
        <v>27104.484914964705</v>
      </c>
      <c r="I19" s="1182">
        <f>IFERROR(CF!I13+CF!I14+CF!I20+CF!I21, " ")</f>
        <v>168064.39325150091</v>
      </c>
      <c r="J19" s="1182">
        <f>IFERROR(CF!J13+CF!J14+CF!J20+CF!J21, " ")</f>
        <v>0</v>
      </c>
      <c r="K19" s="1182">
        <f>IFERROR(CF!K13+CF!K14+CF!K20+CF!K21, " ")</f>
        <v>0</v>
      </c>
      <c r="L19" s="1182">
        <f>IFERROR(CF!L13+CF!L14+CF!L20+CF!L21, " ")</f>
        <v>0</v>
      </c>
      <c r="M19" s="1182" t="str">
        <f>IFERROR(CF!M13+CF!M14+CF!M20+CF!M21, " ")</f>
        <v xml:space="preserve"> </v>
      </c>
      <c r="N19" s="1182" t="str">
        <f>IFERROR(CF!N13+CF!N14+CF!N20+CF!N21, " ")</f>
        <v xml:space="preserve"> </v>
      </c>
      <c r="O19" s="1182" t="str">
        <f>IFERROR(CF!O13+CF!O14+CF!O20+CF!O21, " ")</f>
        <v xml:space="preserve"> </v>
      </c>
      <c r="P19" s="1182" t="str">
        <f>IFERROR(CF!P13+CF!P14+CF!P20+CF!P21, " ")</f>
        <v xml:space="preserve"> </v>
      </c>
      <c r="Q19" s="1182" t="str">
        <f>IFERROR(CF!Q13+CF!Q14+CF!Q20+CF!Q21, " ")</f>
        <v xml:space="preserve"> </v>
      </c>
      <c r="R19" s="1168"/>
      <c r="S19" s="1174" cm="1">
        <f t="array" ref="S19">LOOKUP(2,1/(I19:Q19&lt;&gt;" "),I19:Q19)*(1+$C$27)</f>
        <v>0</v>
      </c>
      <c r="U19" s="1437"/>
      <c r="V19" s="1445"/>
      <c r="W19" s="565"/>
      <c r="X19" s="1437" t="s">
        <v>646</v>
      </c>
      <c r="Y19" s="1451">
        <v>1.5</v>
      </c>
      <c r="Z19" s="566"/>
      <c r="AA19" s="1925"/>
      <c r="AB19" s="643">
        <f t="shared" si="6"/>
        <v>9.6069811561101587E-2</v>
      </c>
      <c r="AC19" s="1215" t="e" cm="1">
        <f t="array" aca="1" ref="AC19" ca="1">SUMPRODUCT($H$25:$Q$25,IF(ISNUMBER($H$4:$Q$4),(1+$AB19)^-$H$4:$Q$4,1))+($S$25/($AB19-AC$11))*MIN(IF(ISNUMBER($H$4:$Q$4),(1+$AB19)^-$H$4:$Q$4,1))+$E$46</f>
        <v>#VALUE!</v>
      </c>
      <c r="AD19" s="1215" t="e" cm="1">
        <f t="array" aca="1" ref="AD19" ca="1">SUMPRODUCT($H$25:$Q$25,IF(ISNUMBER($H$4:$Q$4),(1+$AB19)^-$H$4:$Q$4,1))+($S$25/($AB19-AD$11))*MIN(IF(ISNUMBER($H$4:$Q$4),(1+$AB19)^-$H$4:$Q$4,1))+$E$46</f>
        <v>#VALUE!</v>
      </c>
      <c r="AE19" s="1215" t="e" cm="1">
        <f t="array" aca="1" ref="AE19" ca="1">SUMPRODUCT($H$25:$Q$25,IF(ISNUMBER($H$4:$Q$4),(1+$AB19)^-$H$4:$Q$4,1))+($S$25/($AB19-AE$11))*MIN(IF(ISNUMBER($H$4:$Q$4),(1+$AB19)^-$H$4:$Q$4,1))+$E$46</f>
        <v>#VALUE!</v>
      </c>
      <c r="AF19" s="1215" t="e" cm="1">
        <f t="array" aca="1" ref="AF19" ca="1">SUMPRODUCT($H$25:$Q$25,IF(ISNUMBER($H$4:$Q$4),(1+$AB19)^-$H$4:$Q$4,1))+($S$25/($AB19-AF$11))*MIN(IF(ISNUMBER($H$4:$Q$4),(1+$AB19)^-$H$4:$Q$4,1))+$E$46</f>
        <v>#VALUE!</v>
      </c>
      <c r="AG19" s="1216" t="e" cm="1">
        <f t="array" aca="1" ref="AG19" ca="1">SUMPRODUCT($H$25:$Q$25,IF(ISNUMBER($H$4:$Q$4),(1+$AB19)^-$H$4:$Q$4,1))+($S$25/($AB19-AG$11))*MIN(IF(ISNUMBER($H$4:$Q$4),(1+$AB19)^-$H$4:$Q$4,1))+$E$46</f>
        <v>#VALUE!</v>
      </c>
      <c r="AH19" s="1215" t="e" cm="1">
        <f t="array" aca="1" ref="AH19" ca="1">SUMPRODUCT($H$25:$Q$25,IF(ISNUMBER($H$4:$Q$4),(1+$AB19)^-$H$4:$Q$4,1))+($S$25/($AB19-AH$11))*MIN(IF(ISNUMBER($H$4:$Q$4),(1+$AB19)^-$H$4:$Q$4,1))+$E$46</f>
        <v>#VALUE!</v>
      </c>
      <c r="AI19" s="1215" t="e" cm="1">
        <f t="array" aca="1" ref="AI19" ca="1">SUMPRODUCT($H$25:$Q$25,IF(ISNUMBER($H$4:$Q$4),(1+$AB19)^-$H$4:$Q$4,1))+($S$25/($AB19-AI$11))*MIN(IF(ISNUMBER($H$4:$Q$4),(1+$AB19)^-$H$4:$Q$4,1))+$E$46</f>
        <v>#VALUE!</v>
      </c>
      <c r="AJ19" s="1215" t="e" cm="1">
        <f t="array" aca="1" ref="AJ19" ca="1">SUMPRODUCT($H$25:$Q$25,IF(ISNUMBER($H$4:$Q$4),(1+$AB19)^-$H$4:$Q$4,1))+($S$25/($AB19-AJ$11))*MIN(IF(ISNUMBER($H$4:$Q$4),(1+$AB19)^-$H$4:$Q$4,1))+$E$46</f>
        <v>#VALUE!</v>
      </c>
      <c r="AK19" s="1215" t="e" cm="1">
        <f t="array" aca="1" ref="AK19" ca="1">SUMPRODUCT($H$25:$Q$25,IF(ISNUMBER($H$4:$Q$4),(1+$AB19)^-$H$4:$Q$4,1))+($S$25/($AB19-AK$11))*MIN(IF(ISNUMBER($H$4:$Q$4),(1+$AB19)^-$H$4:$Q$4,1))+$E$46</f>
        <v>#VALUE!</v>
      </c>
    </row>
    <row r="20" spans="1:37">
      <c r="B20" s="470"/>
      <c r="C20" s="572"/>
      <c r="D20" s="572"/>
      <c r="E20" s="573"/>
      <c r="F20" s="573"/>
      <c r="H20" s="1170"/>
      <c r="I20" s="1170"/>
      <c r="J20" s="1170"/>
      <c r="K20" s="1170"/>
      <c r="L20" s="1170"/>
      <c r="M20" s="1171"/>
      <c r="N20" s="1172"/>
      <c r="O20" s="1171"/>
      <c r="P20" s="1171"/>
      <c r="Q20" s="1171"/>
      <c r="R20" s="1168"/>
      <c r="S20" s="1183"/>
      <c r="U20" s="1437" t="s">
        <v>647</v>
      </c>
      <c r="V20" s="1446" t="e">
        <f ca="1">E48</f>
        <v>#VALUE!</v>
      </c>
      <c r="W20" s="565"/>
      <c r="X20" s="1437" t="s">
        <v>648</v>
      </c>
      <c r="Y20" s="1452">
        <f>Y18*Y19</f>
        <v>18280416.299729738</v>
      </c>
      <c r="Z20" s="566"/>
      <c r="AA20" s="1925"/>
      <c r="AB20" s="643">
        <f t="shared" si="6"/>
        <v>0.10106981156110159</v>
      </c>
      <c r="AC20" s="1215" t="e" cm="1">
        <f t="array" aca="1" ref="AC20" ca="1">SUMPRODUCT($H$25:$Q$25,IF(ISNUMBER($H$4:$Q$4),(1+$AB20)^-$H$4:$Q$4,1))+($S$25/($AB20-AC$11))*MIN(IF(ISNUMBER($H$4:$Q$4),(1+$AB20)^-$H$4:$Q$4,1))+$E$46</f>
        <v>#VALUE!</v>
      </c>
      <c r="AD20" s="1215" t="e" cm="1">
        <f t="array" aca="1" ref="AD20" ca="1">SUMPRODUCT($H$25:$Q$25,IF(ISNUMBER($H$4:$Q$4),(1+$AB20)^-$H$4:$Q$4,1))+($S$25/($AB20-AD$11))*MIN(IF(ISNUMBER($H$4:$Q$4),(1+$AB20)^-$H$4:$Q$4,1))+$E$46</f>
        <v>#VALUE!</v>
      </c>
      <c r="AE20" s="1215" t="e" cm="1">
        <f t="array" aca="1" ref="AE20" ca="1">SUMPRODUCT($H$25:$Q$25,IF(ISNUMBER($H$4:$Q$4),(1+$AB20)^-$H$4:$Q$4,1))+($S$25/($AB20-AE$11))*MIN(IF(ISNUMBER($H$4:$Q$4),(1+$AB20)^-$H$4:$Q$4,1))+$E$46</f>
        <v>#VALUE!</v>
      </c>
      <c r="AF20" s="1215" t="e" cm="1">
        <f t="array" aca="1" ref="AF20" ca="1">SUMPRODUCT($H$25:$Q$25,IF(ISNUMBER($H$4:$Q$4),(1+$AB20)^-$H$4:$Q$4,1))+($S$25/($AB20-AF$11))*MIN(IF(ISNUMBER($H$4:$Q$4),(1+$AB20)^-$H$4:$Q$4,1))+$E$46</f>
        <v>#VALUE!</v>
      </c>
      <c r="AG20" s="1216" t="e" cm="1">
        <f t="array" aca="1" ref="AG20" ca="1">SUMPRODUCT($H$25:$Q$25,IF(ISNUMBER($H$4:$Q$4),(1+$AB20)^-$H$4:$Q$4,1))+($S$25/($AB20-AG$11))*MIN(IF(ISNUMBER($H$4:$Q$4),(1+$AB20)^-$H$4:$Q$4,1))+$E$46</f>
        <v>#VALUE!</v>
      </c>
      <c r="AH20" s="1215" t="e" cm="1">
        <f t="array" aca="1" ref="AH20" ca="1">SUMPRODUCT($H$25:$Q$25,IF(ISNUMBER($H$4:$Q$4),(1+$AB20)^-$H$4:$Q$4,1))+($S$25/($AB20-AH$11))*MIN(IF(ISNUMBER($H$4:$Q$4),(1+$AB20)^-$H$4:$Q$4,1))+$E$46</f>
        <v>#VALUE!</v>
      </c>
      <c r="AI20" s="1215" t="e" cm="1">
        <f t="array" aca="1" ref="AI20" ca="1">SUMPRODUCT($H$25:$Q$25,IF(ISNUMBER($H$4:$Q$4),(1+$AB20)^-$H$4:$Q$4,1))+($S$25/($AB20-AI$11))*MIN(IF(ISNUMBER($H$4:$Q$4),(1+$AB20)^-$H$4:$Q$4,1))+$E$46</f>
        <v>#VALUE!</v>
      </c>
      <c r="AJ20" s="1215" t="e" cm="1">
        <f t="array" aca="1" ref="AJ20" ca="1">SUMPRODUCT($H$25:$Q$25,IF(ISNUMBER($H$4:$Q$4),(1+$AB20)^-$H$4:$Q$4,1))+($S$25/($AB20-AJ$11))*MIN(IF(ISNUMBER($H$4:$Q$4),(1+$AB20)^-$H$4:$Q$4,1))+$E$46</f>
        <v>#VALUE!</v>
      </c>
      <c r="AK20" s="1215" t="e" cm="1">
        <f t="array" aca="1" ref="AK20" ca="1">SUMPRODUCT($H$25:$Q$25,IF(ISNUMBER($H$4:$Q$4),(1+$AB20)^-$H$4:$Q$4,1))+($S$25/($AB20-AK$11))*MIN(IF(ISNUMBER($H$4:$Q$4),(1+$AB20)^-$H$4:$Q$4,1))+$E$46</f>
        <v>#VALUE!</v>
      </c>
    </row>
    <row r="21" spans="1:37">
      <c r="A21" s="575"/>
      <c r="B21" s="576" t="s">
        <v>649</v>
      </c>
      <c r="C21" s="464"/>
      <c r="D21" s="464"/>
      <c r="E21" s="533"/>
      <c r="F21" s="533"/>
      <c r="H21" s="1173" t="str">
        <f>IFERROR('WC&amp;ND'!H14," ")</f>
        <v xml:space="preserve"> </v>
      </c>
      <c r="I21" s="1173" t="str">
        <f>IFERROR('WC&amp;ND'!I14," ")</f>
        <v xml:space="preserve"> </v>
      </c>
      <c r="J21" s="1173">
        <f>IFERROR('WC&amp;ND'!J14," ")</f>
        <v>0</v>
      </c>
      <c r="K21" s="1173">
        <f>IFERROR('WC&amp;ND'!K14," ")</f>
        <v>0</v>
      </c>
      <c r="L21" s="1173">
        <f>IFERROR('WC&amp;ND'!L14," ")</f>
        <v>0</v>
      </c>
      <c r="M21" s="1173" t="str">
        <f>IFERROR('WC&amp;ND'!M14," ")</f>
        <v xml:space="preserve"> </v>
      </c>
      <c r="N21" s="1173" t="str">
        <f>IFERROR('WC&amp;ND'!N14," ")</f>
        <v xml:space="preserve"> </v>
      </c>
      <c r="O21" s="1173" t="str">
        <f>IFERROR('WC&amp;ND'!O14," ")</f>
        <v xml:space="preserve"> </v>
      </c>
      <c r="P21" s="1173" t="str">
        <f>IFERROR('WC&amp;ND'!P14," ")</f>
        <v xml:space="preserve"> </v>
      </c>
      <c r="Q21" s="1173" t="str">
        <f>IFERROR('WC&amp;ND'!Q14," ")</f>
        <v xml:space="preserve"> </v>
      </c>
      <c r="R21" s="1173"/>
      <c r="S21" s="1174" cm="1">
        <f t="array" ref="S21">LOOKUP(2,1/(I21:Q21&lt;&gt;" "),I21:Q21)*(1+$C$27)</f>
        <v>0</v>
      </c>
      <c r="U21" s="565"/>
      <c r="V21" s="1206"/>
      <c r="W21" s="565"/>
      <c r="X21" s="565"/>
      <c r="Y21" s="586"/>
      <c r="Z21" s="566"/>
      <c r="AA21" s="1925"/>
      <c r="AB21" s="643">
        <f t="shared" si="6"/>
        <v>0.1060698115611016</v>
      </c>
      <c r="AC21" s="1215" t="e" cm="1">
        <f t="array" aca="1" ref="AC21" ca="1">SUMPRODUCT($H$25:$Q$25,IF(ISNUMBER($H$4:$Q$4),(1+$AB21)^-$H$4:$Q$4,1))+($S$25/($AB21-AC$11))*MIN(IF(ISNUMBER($H$4:$Q$4),(1+$AB21)^-$H$4:$Q$4,1))+$E$46</f>
        <v>#VALUE!</v>
      </c>
      <c r="AD21" s="1215" t="e" cm="1">
        <f t="array" aca="1" ref="AD21" ca="1">SUMPRODUCT($H$25:$Q$25,IF(ISNUMBER($H$4:$Q$4),(1+$AB21)^-$H$4:$Q$4,1))+($S$25/($AB21-AD$11))*MIN(IF(ISNUMBER($H$4:$Q$4),(1+$AB21)^-$H$4:$Q$4,1))+$E$46</f>
        <v>#VALUE!</v>
      </c>
      <c r="AE21" s="1215" t="e" cm="1">
        <f t="array" aca="1" ref="AE21" ca="1">SUMPRODUCT($H$25:$Q$25,IF(ISNUMBER($H$4:$Q$4),(1+$AB21)^-$H$4:$Q$4,1))+($S$25/($AB21-AE$11))*MIN(IF(ISNUMBER($H$4:$Q$4),(1+$AB21)^-$H$4:$Q$4,1))+$E$46</f>
        <v>#VALUE!</v>
      </c>
      <c r="AF21" s="1215" t="e" cm="1">
        <f t="array" aca="1" ref="AF21" ca="1">SUMPRODUCT($H$25:$Q$25,IF(ISNUMBER($H$4:$Q$4),(1+$AB21)^-$H$4:$Q$4,1))+($S$25/($AB21-AF$11))*MIN(IF(ISNUMBER($H$4:$Q$4),(1+$AB21)^-$H$4:$Q$4,1))+$E$46</f>
        <v>#VALUE!</v>
      </c>
      <c r="AG21" s="1225" t="e" cm="1">
        <f t="array" aca="1" ref="AG21" ca="1">SUMPRODUCT($H$25:$Q$25,IF(ISNUMBER($H$4:$Q$4),(1+$AB21)^-$H$4:$Q$4,1))+($S$25/($AB21-AG$11))*MIN(IF(ISNUMBER($H$4:$Q$4),(1+$AB21)^-$H$4:$Q$4,1))+$E$46</f>
        <v>#VALUE!</v>
      </c>
      <c r="AH21" s="1215" t="e" cm="1">
        <f t="array" aca="1" ref="AH21" ca="1">SUMPRODUCT($H$25:$Q$25,IF(ISNUMBER($H$4:$Q$4),(1+$AB21)^-$H$4:$Q$4,1))+($S$25/($AB21-AH$11))*MIN(IF(ISNUMBER($H$4:$Q$4),(1+$AB21)^-$H$4:$Q$4,1))+$E$46</f>
        <v>#VALUE!</v>
      </c>
      <c r="AI21" s="1215" t="e" cm="1">
        <f t="array" aca="1" ref="AI21" ca="1">SUMPRODUCT($H$25:$Q$25,IF(ISNUMBER($H$4:$Q$4),(1+$AB21)^-$H$4:$Q$4,1))+($S$25/($AB21-AI$11))*MIN(IF(ISNUMBER($H$4:$Q$4),(1+$AB21)^-$H$4:$Q$4,1))+$E$46</f>
        <v>#VALUE!</v>
      </c>
      <c r="AJ21" s="1215" t="e" cm="1">
        <f t="array" aca="1" ref="AJ21" ca="1">SUMPRODUCT($H$25:$Q$25,IF(ISNUMBER($H$4:$Q$4),(1+$AB21)^-$H$4:$Q$4,1))+($S$25/($AB21-AJ$11))*MIN(IF(ISNUMBER($H$4:$Q$4),(1+$AB21)^-$H$4:$Q$4,1))+$E$46</f>
        <v>#VALUE!</v>
      </c>
      <c r="AK21" s="1215" t="e" cm="1">
        <f t="array" aca="1" ref="AK21" ca="1">SUMPRODUCT($H$25:$Q$25,IF(ISNUMBER($H$4:$Q$4),(1+$AB21)^-$H$4:$Q$4,1))+($S$25/($AB21-AK$11))*MIN(IF(ISNUMBER($H$4:$Q$4),(1+$AB21)^-$H$4:$Q$4,1))+$E$46</f>
        <v>#VALUE!</v>
      </c>
    </row>
    <row r="22" spans="1:37">
      <c r="B22" s="470"/>
      <c r="C22" s="572"/>
      <c r="D22" s="572"/>
      <c r="E22" s="573"/>
      <c r="F22" s="573"/>
      <c r="H22" s="1170"/>
      <c r="I22" s="1170"/>
      <c r="J22" s="1170"/>
      <c r="K22" s="1170"/>
      <c r="L22" s="1170"/>
      <c r="M22" s="1170"/>
      <c r="N22" s="1170"/>
      <c r="O22" s="1170"/>
      <c r="P22" s="1170"/>
      <c r="Q22" s="1170"/>
      <c r="R22" s="1168"/>
      <c r="S22" s="1181"/>
      <c r="U22" s="1453" t="s">
        <v>650</v>
      </c>
      <c r="V22" s="1527" t="e">
        <f ca="1">+V20+Y20</f>
        <v>#VALUE!</v>
      </c>
      <c r="W22" s="565"/>
      <c r="X22" s="565"/>
      <c r="Y22" s="565"/>
      <c r="Z22" s="566"/>
      <c r="AA22" s="587"/>
      <c r="AB22" s="588"/>
      <c r="AC22" s="588"/>
      <c r="AD22" s="588"/>
      <c r="AE22" s="588"/>
      <c r="AF22" s="588"/>
      <c r="AG22" s="588"/>
      <c r="AH22" s="588"/>
      <c r="AI22" s="588"/>
      <c r="AJ22" s="588"/>
      <c r="AK22" s="588"/>
    </row>
    <row r="23" spans="1:37">
      <c r="A23" s="575"/>
      <c r="B23" s="576" t="s">
        <v>651</v>
      </c>
      <c r="C23" s="464"/>
      <c r="D23" s="464"/>
      <c r="E23" s="533"/>
      <c r="F23" s="533"/>
      <c r="H23" s="1173">
        <f>-Planung!H103</f>
        <v>-1478875.6207965286</v>
      </c>
      <c r="I23" s="1173">
        <f>IFERROR(-Planung!I103,"")</f>
        <v>-1508453.1332124593</v>
      </c>
      <c r="J23" s="1173">
        <f>IFERROR(-Planung!J103,"")</f>
        <v>-1538622.195876708</v>
      </c>
      <c r="K23" s="1173">
        <f>IFERROR(-Planung!K103,"")</f>
        <v>-1569394.6397942423</v>
      </c>
      <c r="L23" s="1173">
        <f>IFERROR(-Planung!L103,"")</f>
        <v>-1600782.5325901273</v>
      </c>
      <c r="M23" s="1173" t="str">
        <f>IFERROR(-Planung!M103,"")</f>
        <v/>
      </c>
      <c r="N23" s="1173" t="str">
        <f>IFERROR(-Planung!N103,"")</f>
        <v/>
      </c>
      <c r="O23" s="1173" t="str">
        <f>IFERROR(-Planung!O103,"")</f>
        <v/>
      </c>
      <c r="P23" s="1173" t="str">
        <f>IFERROR(-Planung!P103,"")</f>
        <v/>
      </c>
      <c r="Q23" s="1173" t="str">
        <f>IFERROR(-Planung!Q103,"")</f>
        <v/>
      </c>
      <c r="R23" s="1168"/>
      <c r="S23" s="1174" cm="1">
        <f t="array" ref="S23">LOOKUP(2,1/(I23:Q23&lt;&gt;""),I23:Q23)*(1+$C$27)</f>
        <v>-1640802.0959048804</v>
      </c>
      <c r="U23" s="565"/>
      <c r="V23" s="589"/>
      <c r="W23" s="565"/>
      <c r="X23" s="565"/>
      <c r="Y23" s="565"/>
      <c r="Z23" s="566"/>
      <c r="AA23" s="1453" t="s">
        <v>652</v>
      </c>
      <c r="AB23" s="1454"/>
      <c r="AC23" s="1454"/>
      <c r="AD23" s="1454"/>
      <c r="AE23" s="1454"/>
      <c r="AF23" s="1454"/>
      <c r="AG23" s="1454"/>
      <c r="AH23" s="1454"/>
      <c r="AI23" s="1454"/>
      <c r="AJ23" s="1454"/>
      <c r="AK23" s="1454"/>
    </row>
    <row r="24" spans="1:37">
      <c r="B24" s="567"/>
      <c r="C24" s="568"/>
      <c r="D24" s="568"/>
      <c r="E24" s="569"/>
      <c r="F24" s="569"/>
      <c r="G24" s="569"/>
      <c r="H24" s="1184"/>
      <c r="I24" s="1184"/>
      <c r="J24" s="1184"/>
      <c r="K24" s="1184"/>
      <c r="L24" s="1184"/>
      <c r="M24" s="1184"/>
      <c r="N24" s="1184"/>
      <c r="O24" s="1184"/>
      <c r="P24" s="1184"/>
      <c r="Q24" s="1184"/>
      <c r="R24" s="1168"/>
      <c r="S24" s="1181"/>
      <c r="U24" s="565"/>
      <c r="V24" s="585"/>
      <c r="W24" s="565"/>
      <c r="X24" s="565"/>
      <c r="Y24" s="565"/>
      <c r="Z24" s="566"/>
      <c r="AC24" s="1924" t="s">
        <v>653</v>
      </c>
      <c r="AD24" s="1924"/>
      <c r="AE24" s="1924"/>
      <c r="AF24" s="1924"/>
      <c r="AG24" s="1924"/>
      <c r="AH24" s="1924"/>
      <c r="AI24" s="1924"/>
      <c r="AJ24" s="1924"/>
      <c r="AK24" s="1924"/>
    </row>
    <row r="25" spans="1:37" ht="13.5" thickBot="1">
      <c r="A25" s="575"/>
      <c r="B25" s="590" t="s">
        <v>654</v>
      </c>
      <c r="C25" s="590"/>
      <c r="D25" s="590"/>
      <c r="E25" s="591"/>
      <c r="F25" s="591"/>
      <c r="H25" s="1185" t="str">
        <f ca="1">IFERROR(IF(H4="","",H23+H21+H19+H17+H13+H11+H9), "")</f>
        <v/>
      </c>
      <c r="I25" s="1185" t="str">
        <f t="shared" ref="I25:Q25" si="7">IFERROR(I23+I21+I19+I17+I13+I11+I9, "")</f>
        <v/>
      </c>
      <c r="J25" s="1185">
        <f t="shared" si="7"/>
        <v>-1538622.195876708</v>
      </c>
      <c r="K25" s="1185">
        <f t="shared" si="7"/>
        <v>-1569394.6397942423</v>
      </c>
      <c r="L25" s="1185">
        <f t="shared" si="7"/>
        <v>-1600782.5325901273</v>
      </c>
      <c r="M25" s="1185" t="str">
        <f t="shared" si="7"/>
        <v/>
      </c>
      <c r="N25" s="1185" t="str">
        <f t="shared" si="7"/>
        <v/>
      </c>
      <c r="O25" s="1185" t="str">
        <f t="shared" si="7"/>
        <v/>
      </c>
      <c r="P25" s="1185" t="str">
        <f t="shared" si="7"/>
        <v/>
      </c>
      <c r="Q25" s="1185" t="str">
        <f t="shared" si="7"/>
        <v/>
      </c>
      <c r="R25" s="1185">
        <f t="shared" ref="R25" si="8">IFERROR(R23+R21+R19+R17+R13+R11+R9, 0)</f>
        <v>0</v>
      </c>
      <c r="S25" s="1186" cm="1">
        <f t="array" ref="S25">LOOKUP(2,1/(I25:Q25&lt;&gt;""),I25:Q25)*(1+$C$27)</f>
        <v>-1640802.0959048804</v>
      </c>
      <c r="U25" s="1246" t="s">
        <v>655</v>
      </c>
      <c r="V25" s="1247">
        <f>W25</f>
        <v>8.1069811561101573E-2</v>
      </c>
      <c r="W25" s="1249">
        <v>8.1069811561101573E-2</v>
      </c>
      <c r="X25" s="1250" t="e">
        <f ca="1">$V$16*$V$20/$V$22+($Y$16*$Y$18/$V$22)</f>
        <v>#VALUE!</v>
      </c>
      <c r="Y25" s="1202" t="e">
        <f ca="1">$V$16*$V$20/$V$22+($Y$16*$Y$18/$V$22)</f>
        <v>#VALUE!</v>
      </c>
      <c r="Z25" s="593"/>
      <c r="AA25" s="577"/>
      <c r="AB25" s="578" t="s">
        <v>603</v>
      </c>
      <c r="AC25" s="658">
        <f t="shared" ref="AC25:AE25" si="9">AD25-0.4</f>
        <v>3.2054157778527603</v>
      </c>
      <c r="AD25" s="658">
        <f t="shared" si="9"/>
        <v>3.6054157778527602</v>
      </c>
      <c r="AE25" s="658">
        <f t="shared" si="9"/>
        <v>4.0054157778527602</v>
      </c>
      <c r="AF25" s="658">
        <f>AG25-0.4</f>
        <v>4.4054157778527605</v>
      </c>
      <c r="AG25" s="659">
        <f>$C$34</f>
        <v>4.8054157778527609</v>
      </c>
      <c r="AH25" s="658">
        <f>AG25+0.4</f>
        <v>5.2054157778527612</v>
      </c>
      <c r="AI25" s="658">
        <f t="shared" ref="AI25:AK25" si="10">AH25+0.4</f>
        <v>5.6054157778527616</v>
      </c>
      <c r="AJ25" s="658">
        <f t="shared" si="10"/>
        <v>6.0054157778527619</v>
      </c>
      <c r="AK25" s="658">
        <f t="shared" si="10"/>
        <v>6.4054157778527623</v>
      </c>
    </row>
    <row r="26" spans="1:37" ht="12.75" customHeight="1" thickTop="1">
      <c r="A26" s="575"/>
      <c r="B26" s="590"/>
      <c r="C26" s="590"/>
      <c r="D26" s="590"/>
      <c r="E26" s="591"/>
      <c r="F26" s="591"/>
      <c r="H26" s="1187"/>
      <c r="I26" s="1187"/>
      <c r="J26" s="1187"/>
      <c r="K26" s="1187"/>
      <c r="L26" s="1187"/>
      <c r="M26" s="1187"/>
      <c r="N26" s="1187"/>
      <c r="O26" s="1187"/>
      <c r="P26" s="1187"/>
      <c r="Q26" s="1187"/>
      <c r="R26" s="1168"/>
      <c r="S26" s="1183"/>
      <c r="U26" s="592"/>
      <c r="V26" s="594"/>
      <c r="W26" s="592"/>
      <c r="X26" s="592"/>
      <c r="Y26" s="595"/>
      <c r="Z26" s="593"/>
      <c r="AA26" s="1925" t="s">
        <v>635</v>
      </c>
      <c r="AB26" s="643">
        <f t="shared" ref="AB26:AB28" si="11">AB27-0.5%</f>
        <v>6.1069811561101563E-2</v>
      </c>
      <c r="AC26" s="517" t="e" cm="1">
        <f t="array" aca="1" ref="AC26" ca="1">SUMPRODUCT($H$25:$Q$25,IF(ISNUMBER($H$4:$Q$4),(1+$AB26)^-$H$4:$Q$4,1))+(AC$25*$S$34)*MIN(IF(ISNUMBER($H$4:$Q$4),(1+$AB26)^-$H$4:$Q$4,1))+$E$46</f>
        <v>#VALUE!</v>
      </c>
      <c r="AD26" s="517" t="e" cm="1">
        <f t="array" aca="1" ref="AD26" ca="1">SUMPRODUCT($H$25:$Q$25,IF(ISNUMBER($H$4:$Q$4),(1+$AB26)^-$H$4:$Q$4,1))+(AD$25*$S$34)*MIN(IF(ISNUMBER($H$4:$Q$4),(1+$AB26)^-$H$4:$Q$4,1))+$E$46</f>
        <v>#VALUE!</v>
      </c>
      <c r="AE26" s="517" t="e" cm="1">
        <f t="array" aca="1" ref="AE26" ca="1">SUMPRODUCT($H$25:$Q$25,IF(ISNUMBER($H$4:$Q$4),(1+$AB26)^-$H$4:$Q$4,1))+(AE$25*$S$34)*MIN(IF(ISNUMBER($H$4:$Q$4),(1+$AB26)^-$H$4:$Q$4,1))+$E$46</f>
        <v>#VALUE!</v>
      </c>
      <c r="AF26" s="517" t="e" cm="1">
        <f t="array" aca="1" ref="AF26" ca="1">SUMPRODUCT($H$25:$Q$25,IF(ISNUMBER($H$4:$Q$4),(1+$AB26)^-$H$4:$Q$4,1))+(AF$25*$S$34)*MIN(IF(ISNUMBER($H$4:$Q$4),(1+$AB26)^-$H$4:$Q$4,1))+$E$46</f>
        <v>#VALUE!</v>
      </c>
      <c r="AG26" s="644" t="e" cm="1">
        <f t="array" aca="1" ref="AG26" ca="1">SUMPRODUCT($H$25:$Q$25,IF(ISNUMBER($H$4:$Q$4),(1+$AB26)^-$H$4:$Q$4,1))+(AG$25*$S$34)*MIN(IF(ISNUMBER($H$4:$Q$4),(1+$AB26)^-$H$4:$Q$4,1))+$E$46</f>
        <v>#VALUE!</v>
      </c>
      <c r="AH26" s="517" t="e" cm="1">
        <f t="array" aca="1" ref="AH26" ca="1">SUMPRODUCT($H$25:$Q$25,IF(ISNUMBER($H$4:$Q$4),(1+$AB26)^-$H$4:$Q$4,1))+(AH$25*$S$34)*MIN(IF(ISNUMBER($H$4:$Q$4),(1+$AB26)^-$H$4:$Q$4,1))+$E$46</f>
        <v>#VALUE!</v>
      </c>
      <c r="AI26" s="517" t="e" cm="1">
        <f t="array" aca="1" ref="AI26" ca="1">SUMPRODUCT($H$25:$Q$25,IF(ISNUMBER($H$4:$Q$4),(1+$AB26)^-$H$4:$Q$4,1))+(AI$25*$S$34)*MIN(IF(ISNUMBER($H$4:$Q$4),(1+$AB26)^-$H$4:$Q$4,1))+$E$46</f>
        <v>#VALUE!</v>
      </c>
      <c r="AJ26" s="517" t="e" cm="1">
        <f t="array" aca="1" ref="AJ26" ca="1">SUMPRODUCT($H$25:$Q$25,IF(ISNUMBER($H$4:$Q$4),(1+$AB26)^-$H$4:$Q$4,1))+(AJ$25*$S$34)*MIN(IF(ISNUMBER($H$4:$Q$4),(1+$AB26)^-$H$4:$Q$4,1))+$E$46</f>
        <v>#VALUE!</v>
      </c>
      <c r="AK26" s="517" t="e" cm="1">
        <f t="array" aca="1" ref="AK26" ca="1">SUMPRODUCT($H$25:$Q$25,IF(ISNUMBER($H$4:$Q$4),(1+$AB26)^-$H$4:$Q$4,1))+(AK$25*$S$34)*MIN(IF(ISNUMBER($H$4:$Q$4),(1+$AB26)^-$H$4:$Q$4,1))+$E$46</f>
        <v>#VALUE!</v>
      </c>
    </row>
    <row r="27" spans="1:37" ht="12.75" customHeight="1">
      <c r="A27" s="575"/>
      <c r="B27" s="596" t="s">
        <v>656</v>
      </c>
      <c r="C27" s="660">
        <f>Eckdaten!C23</f>
        <v>2.5000000000000001E-2</v>
      </c>
      <c r="D27" s="660"/>
      <c r="E27" s="597"/>
      <c r="F27" s="596"/>
      <c r="G27" s="448"/>
      <c r="H27" s="1188"/>
      <c r="I27" s="1188"/>
      <c r="J27" s="1188"/>
      <c r="K27" s="1189"/>
      <c r="L27" s="1188"/>
      <c r="M27" s="1188"/>
      <c r="N27" s="1188"/>
      <c r="O27" s="1188"/>
      <c r="P27" s="1188"/>
      <c r="Q27" s="1188"/>
      <c r="R27" s="1189"/>
      <c r="S27" s="1169">
        <f>S25/(V25-C27)</f>
        <v>-29263556.452598937</v>
      </c>
      <c r="U27" s="592"/>
      <c r="V27" s="594"/>
      <c r="W27" s="592"/>
      <c r="X27" s="592"/>
      <c r="Y27" s="595"/>
      <c r="Z27" s="593"/>
      <c r="AA27" s="1925"/>
      <c r="AB27" s="643">
        <f t="shared" si="11"/>
        <v>6.606981156110156E-2</v>
      </c>
      <c r="AC27" s="517" t="e" cm="1">
        <f t="array" aca="1" ref="AC27" ca="1">SUMPRODUCT($H$25:$Q$25,IF(ISNUMBER($H$4:$Q$4),(1+$AB27)^-$H$4:$Q$4,1))+(AC$25*$S$34)*MIN(IF(ISNUMBER($H$4:$Q$4),(1+$AB27)^-$H$4:$Q$4,1))+$E$46</f>
        <v>#VALUE!</v>
      </c>
      <c r="AD27" s="517" t="e" cm="1">
        <f t="array" aca="1" ref="AD27" ca="1">SUMPRODUCT($H$25:$Q$25,IF(ISNUMBER($H$4:$Q$4),(1+$AB27)^-$H$4:$Q$4,1))+(AD$25*$S$34)*MIN(IF(ISNUMBER($H$4:$Q$4),(1+$AB27)^-$H$4:$Q$4,1))+$E$46</f>
        <v>#VALUE!</v>
      </c>
      <c r="AE27" s="517" t="e" cm="1">
        <f t="array" aca="1" ref="AE27" ca="1">SUMPRODUCT($H$25:$Q$25,IF(ISNUMBER($H$4:$Q$4),(1+$AB27)^-$H$4:$Q$4,1))+(AE$25*$S$34)*MIN(IF(ISNUMBER($H$4:$Q$4),(1+$AB27)^-$H$4:$Q$4,1))+$E$46</f>
        <v>#VALUE!</v>
      </c>
      <c r="AF27" s="517" t="e" cm="1">
        <f t="array" aca="1" ref="AF27" ca="1">SUMPRODUCT($H$25:$Q$25,IF(ISNUMBER($H$4:$Q$4),(1+$AB27)^-$H$4:$Q$4,1))+(AF$25*$S$34)*MIN(IF(ISNUMBER($H$4:$Q$4),(1+$AB27)^-$H$4:$Q$4,1))+$E$46</f>
        <v>#VALUE!</v>
      </c>
      <c r="AG27" s="644" t="e" cm="1">
        <f t="array" aca="1" ref="AG27" ca="1">SUMPRODUCT($H$25:$Q$25,IF(ISNUMBER($H$4:$Q$4),(1+$AB27)^-$H$4:$Q$4,1))+(AG$25*$S$34)*MIN(IF(ISNUMBER($H$4:$Q$4),(1+$AB27)^-$H$4:$Q$4,1))+$E$46</f>
        <v>#VALUE!</v>
      </c>
      <c r="AH27" s="517" t="e" cm="1">
        <f t="array" aca="1" ref="AH27" ca="1">SUMPRODUCT($H$25:$Q$25,IF(ISNUMBER($H$4:$Q$4),(1+$AB27)^-$H$4:$Q$4,1))+(AH$25*$S$34)*MIN(IF(ISNUMBER($H$4:$Q$4),(1+$AB27)^-$H$4:$Q$4,1))+$E$46</f>
        <v>#VALUE!</v>
      </c>
      <c r="AI27" s="517" t="e" cm="1">
        <f t="array" aca="1" ref="AI27" ca="1">SUMPRODUCT($H$25:$Q$25,IF(ISNUMBER($H$4:$Q$4),(1+$AB27)^-$H$4:$Q$4,1))+(AI$25*$S$34)*MIN(IF(ISNUMBER($H$4:$Q$4),(1+$AB27)^-$H$4:$Q$4,1))+$E$46</f>
        <v>#VALUE!</v>
      </c>
      <c r="AJ27" s="517" t="e" cm="1">
        <f t="array" aca="1" ref="AJ27" ca="1">SUMPRODUCT($H$25:$Q$25,IF(ISNUMBER($H$4:$Q$4),(1+$AB27)^-$H$4:$Q$4,1))+(AJ$25*$S$34)*MIN(IF(ISNUMBER($H$4:$Q$4),(1+$AB27)^-$H$4:$Q$4,1))+$E$46</f>
        <v>#VALUE!</v>
      </c>
      <c r="AK27" s="517" t="e" cm="1">
        <f t="array" aca="1" ref="AK27" ca="1">SUMPRODUCT($H$25:$Q$25,IF(ISNUMBER($H$4:$Q$4),(1+$AB27)^-$H$4:$Q$4,1))+(AK$25*$S$34)*MIN(IF(ISNUMBER($H$4:$Q$4),(1+$AB27)^-$H$4:$Q$4,1))+$E$46</f>
        <v>#VALUE!</v>
      </c>
    </row>
    <row r="28" spans="1:37">
      <c r="A28" s="575"/>
      <c r="B28" s="598"/>
      <c r="C28" s="598"/>
      <c r="D28" s="598"/>
      <c r="E28" s="599"/>
      <c r="F28" s="599"/>
      <c r="G28" s="599"/>
      <c r="H28" s="1190"/>
      <c r="I28" s="1190"/>
      <c r="J28" s="1190"/>
      <c r="K28" s="1190"/>
      <c r="L28" s="1190"/>
      <c r="M28" s="1191"/>
      <c r="N28" s="1192"/>
      <c r="O28" s="1191"/>
      <c r="P28" s="1191"/>
      <c r="Q28" s="1191"/>
      <c r="R28" s="1191"/>
      <c r="S28" s="1193"/>
      <c r="U28" s="593"/>
      <c r="V28" s="600"/>
      <c r="W28" s="593"/>
      <c r="X28" s="593"/>
      <c r="Y28" s="601"/>
      <c r="Z28" s="593"/>
      <c r="AA28" s="1925"/>
      <c r="AB28" s="643">
        <f t="shared" si="11"/>
        <v>7.1069811561101565E-2</v>
      </c>
      <c r="AC28" s="517" t="e" cm="1">
        <f t="array" aca="1" ref="AC28" ca="1">SUMPRODUCT($H$25:$Q$25,IF(ISNUMBER($H$4:$Q$4),(1+$AB28)^-$H$4:$Q$4,1))+(AC$25*$S$34)*MIN(IF(ISNUMBER($H$4:$Q$4),(1+$AB28)^-$H$4:$Q$4,1))+$E$46</f>
        <v>#VALUE!</v>
      </c>
      <c r="AD28" s="517" t="e" cm="1">
        <f t="array" aca="1" ref="AD28" ca="1">SUMPRODUCT($H$25:$Q$25,IF(ISNUMBER($H$4:$Q$4),(1+$AB28)^-$H$4:$Q$4,1))+(AD$25*$S$34)*MIN(IF(ISNUMBER($H$4:$Q$4),(1+$AB28)^-$H$4:$Q$4,1))+$E$46</f>
        <v>#VALUE!</v>
      </c>
      <c r="AE28" s="645" t="e" cm="1">
        <f t="array" aca="1" ref="AE28" ca="1">SUMPRODUCT($H$25:$Q$25,IF(ISNUMBER($H$4:$Q$4),(1+$AB28)^-$H$4:$Q$4,1))+(AE$25*$S$34)*MIN(IF(ISNUMBER($H$4:$Q$4),(1+$AB28)^-$H$4:$Q$4,1))+$E$46</f>
        <v>#VALUE!</v>
      </c>
      <c r="AF28" s="645" t="e" cm="1">
        <f t="array" aca="1" ref="AF28" ca="1">SUMPRODUCT($H$25:$Q$25,IF(ISNUMBER($H$4:$Q$4),(1+$AB28)^-$H$4:$Q$4,1))+(AF$25*$S$34)*MIN(IF(ISNUMBER($H$4:$Q$4),(1+$AB28)^-$H$4:$Q$4,1))+$E$46</f>
        <v>#VALUE!</v>
      </c>
      <c r="AG28" s="646" t="e" cm="1">
        <f t="array" aca="1" ref="AG28" ca="1">SUMPRODUCT($H$25:$Q$25,IF(ISNUMBER($H$4:$Q$4),(1+$AB28)^-$H$4:$Q$4,1))+(AG$25*$S$34)*MIN(IF(ISNUMBER($H$4:$Q$4),(1+$AB28)^-$H$4:$Q$4,1))+$E$46</f>
        <v>#VALUE!</v>
      </c>
      <c r="AH28" s="645" t="e" cm="1">
        <f t="array" aca="1" ref="AH28" ca="1">SUMPRODUCT($H$25:$Q$25,IF(ISNUMBER($H$4:$Q$4),(1+$AB28)^-$H$4:$Q$4,1))+(AH$25*$S$34)*MIN(IF(ISNUMBER($H$4:$Q$4),(1+$AB28)^-$H$4:$Q$4,1))+$E$46</f>
        <v>#VALUE!</v>
      </c>
      <c r="AI28" s="645" t="e" cm="1">
        <f t="array" aca="1" ref="AI28" ca="1">SUMPRODUCT($H$25:$Q$25,IF(ISNUMBER($H$4:$Q$4),(1+$AB28)^-$H$4:$Q$4,1))+(AI$25*$S$34)*MIN(IF(ISNUMBER($H$4:$Q$4),(1+$AB28)^-$H$4:$Q$4,1))+$E$46</f>
        <v>#VALUE!</v>
      </c>
      <c r="AJ28" s="517" t="e" cm="1">
        <f t="array" aca="1" ref="AJ28" ca="1">SUMPRODUCT($H$25:$Q$25,IF(ISNUMBER($H$4:$Q$4),(1+$AB28)^-$H$4:$Q$4,1))+(AJ$25*$S$34)*MIN(IF(ISNUMBER($H$4:$Q$4),(1+$AB28)^-$H$4:$Q$4,1))+$E$46</f>
        <v>#VALUE!</v>
      </c>
      <c r="AK28" s="517" t="e" cm="1">
        <f t="array" aca="1" ref="AK28" ca="1">SUMPRODUCT($H$25:$Q$25,IF(ISNUMBER($H$4:$Q$4),(1+$AB28)^-$H$4:$Q$4,1))+(AK$25*$S$34)*MIN(IF(ISNUMBER($H$4:$Q$4),(1+$AB28)^-$H$4:$Q$4,1))+$E$46</f>
        <v>#VALUE!</v>
      </c>
    </row>
    <row r="29" spans="1:37">
      <c r="A29" s="575"/>
      <c r="B29" s="602" t="s">
        <v>657</v>
      </c>
      <c r="C29" s="602"/>
      <c r="D29" s="602"/>
      <c r="E29" s="603"/>
      <c r="F29" s="603"/>
      <c r="G29" s="603"/>
      <c r="H29" s="1194" t="str">
        <f ca="1">IF(H4="","",(1+$V$25)^-H4)</f>
        <v/>
      </c>
      <c r="I29" s="1203">
        <f t="shared" ref="I29:Q29" ca="1" si="12">IF(I6= " ", " ",(1+$V$25)^-I4)</f>
        <v>0.95442818065019208</v>
      </c>
      <c r="J29" s="1203">
        <f t="shared" ca="1" si="12"/>
        <v>0.88285527025490185</v>
      </c>
      <c r="K29" s="1203">
        <f t="shared" ca="1" si="12"/>
        <v>0.81664963799149004</v>
      </c>
      <c r="L29" s="1203">
        <f t="shared" ca="1" si="12"/>
        <v>0.75540878975449355</v>
      </c>
      <c r="M29" s="1203" t="str">
        <f t="shared" ca="1" si="12"/>
        <v xml:space="preserve"> </v>
      </c>
      <c r="N29" s="1203" t="str">
        <f t="shared" ca="1" si="12"/>
        <v xml:space="preserve"> </v>
      </c>
      <c r="O29" s="1203" t="str">
        <f t="shared" ca="1" si="12"/>
        <v xml:space="preserve"> </v>
      </c>
      <c r="P29" s="1203" t="str">
        <f t="shared" ca="1" si="12"/>
        <v xml:space="preserve"> </v>
      </c>
      <c r="Q29" s="1203" t="str">
        <f t="shared" ca="1" si="12"/>
        <v xml:space="preserve"> </v>
      </c>
      <c r="R29" s="1204"/>
      <c r="S29" s="1205" cm="1">
        <f t="array" aca="1" ref="S29" ca="1">LOOKUP(2,1/(I29:Q29&lt;&gt;" "),I29:Q29)</f>
        <v>0.75540878975449355</v>
      </c>
      <c r="V29" s="600"/>
      <c r="W29" s="566"/>
      <c r="X29" s="566"/>
      <c r="Y29" s="566"/>
      <c r="Z29" s="566"/>
      <c r="AA29" s="1925"/>
      <c r="AB29" s="643">
        <f>AB30-0.5%</f>
        <v>7.6069811561101569E-2</v>
      </c>
      <c r="AC29" s="517" t="e" cm="1">
        <f t="array" aca="1" ref="AC29" ca="1">SUMPRODUCT($H$25:$Q$25,IF(ISNUMBER($H$4:$Q$4),(1+$AB29)^-$H$4:$Q$4,1))+(AC$25*$S$34)*MIN(IF(ISNUMBER($H$4:$Q$4),(1+$AB29)^-$H$4:$Q$4,1))+$E$46</f>
        <v>#VALUE!</v>
      </c>
      <c r="AD29" s="517" t="e" cm="1">
        <f t="array" aca="1" ref="AD29" ca="1">SUMPRODUCT($H$25:$Q$25,IF(ISNUMBER($H$4:$Q$4),(1+$AB29)^-$H$4:$Q$4,1))+(AD$25*$S$34)*MIN(IF(ISNUMBER($H$4:$Q$4),(1+$AB29)^-$H$4:$Q$4,1))+$E$46</f>
        <v>#VALUE!</v>
      </c>
      <c r="AE29" s="645" t="e" cm="1">
        <f t="array" aca="1" ref="AE29" ca="1">SUMPRODUCT($H$25:$Q$25,IF(ISNUMBER($H$4:$Q$4),(1+$AB29)^-$H$4:$Q$4,1))+(AE$25*$S$34)*MIN(IF(ISNUMBER($H$4:$Q$4),(1+$AB29)^-$H$4:$Q$4,1))+$E$46</f>
        <v>#VALUE!</v>
      </c>
      <c r="AF29" s="647" t="e" cm="1">
        <f t="array" aca="1" ref="AF29" ca="1">SUMPRODUCT($H$25:$Q$25,IF(ISNUMBER($H$4:$Q$4),(1+$AB29)^-$H$4:$Q$4,1))+(AF$25*$S$34)*MIN(IF(ISNUMBER($H$4:$Q$4),(1+$AB29)^-$H$4:$Q$4,1))+$E$46</f>
        <v>#VALUE!</v>
      </c>
      <c r="AG29" s="648" t="e" cm="1">
        <f t="array" aca="1" ref="AG29" ca="1">SUMPRODUCT($H$25:$Q$25,IF(ISNUMBER($H$4:$Q$4),(1+$AB29)^-$H$4:$Q$4,1))+(AG$25*$S$34)*MIN(IF(ISNUMBER($H$4:$Q$4),(1+$AB29)^-$H$4:$Q$4,1))+$E$46</f>
        <v>#VALUE!</v>
      </c>
      <c r="AH29" s="647" t="e" cm="1">
        <f t="array" aca="1" ref="AH29" ca="1">SUMPRODUCT($H$25:$Q$25,IF(ISNUMBER($H$4:$Q$4),(1+$AB29)^-$H$4:$Q$4,1))+(AH$25*$S$34)*MIN(IF(ISNUMBER($H$4:$Q$4),(1+$AB29)^-$H$4:$Q$4,1))+$E$46</f>
        <v>#VALUE!</v>
      </c>
      <c r="AI29" s="645" t="e" cm="1">
        <f t="array" aca="1" ref="AI29" ca="1">SUMPRODUCT($H$25:$Q$25,IF(ISNUMBER($H$4:$Q$4),(1+$AB29)^-$H$4:$Q$4,1))+(AI$25*$S$34)*MIN(IF(ISNUMBER($H$4:$Q$4),(1+$AB29)^-$H$4:$Q$4,1))+$E$46</f>
        <v>#VALUE!</v>
      </c>
      <c r="AJ29" s="517" t="e" cm="1">
        <f t="array" aca="1" ref="AJ29" ca="1">SUMPRODUCT($H$25:$Q$25,IF(ISNUMBER($H$4:$Q$4),(1+$AB29)^-$H$4:$Q$4,1))+(AJ$25*$S$34)*MIN(IF(ISNUMBER($H$4:$Q$4),(1+$AB29)^-$H$4:$Q$4,1))+$E$46</f>
        <v>#VALUE!</v>
      </c>
      <c r="AK29" s="517" t="e" cm="1">
        <f t="array" aca="1" ref="AK29" ca="1">SUMPRODUCT($H$25:$Q$25,IF(ISNUMBER($H$4:$Q$4),(1+$AB29)^-$H$4:$Q$4,1))+(AK$25*$S$34)*MIN(IF(ISNUMBER($H$4:$Q$4),(1+$AB29)^-$H$4:$Q$4,1))+$E$46</f>
        <v>#VALUE!</v>
      </c>
    </row>
    <row r="30" spans="1:37">
      <c r="A30" s="604"/>
      <c r="B30" s="464"/>
      <c r="C30" s="605"/>
      <c r="D30" s="605"/>
      <c r="E30" s="533"/>
      <c r="F30" s="606"/>
      <c r="G30" s="606"/>
      <c r="H30" s="1195"/>
      <c r="I30" s="1195"/>
      <c r="J30" s="1195"/>
      <c r="K30" s="1195"/>
      <c r="L30" s="1195"/>
      <c r="M30" s="1168"/>
      <c r="N30" s="1168"/>
      <c r="O30" s="1196"/>
      <c r="P30" s="1168"/>
      <c r="Q30" s="1168"/>
      <c r="R30" s="1168"/>
      <c r="S30" s="1181"/>
      <c r="U30" s="566"/>
      <c r="V30" s="607"/>
      <c r="W30" s="566"/>
      <c r="X30" s="566"/>
      <c r="Y30" s="566"/>
      <c r="Z30" s="566"/>
      <c r="AA30" s="1925"/>
      <c r="AB30" s="649">
        <f>$V$25</f>
        <v>8.1069811561101573E-2</v>
      </c>
      <c r="AC30" s="650" t="e" cm="1">
        <f t="array" aca="1" ref="AC30" ca="1">SUMPRODUCT($H$25:$Q$25,IF(ISNUMBER($H$4:$Q$4),(1+$AB30)^-$H$4:$Q$4,1))+(AC$25*$S$34)*MIN(IF(ISNUMBER($H$4:$Q$4),(1+$AB30)^-$H$4:$Q$4,1))+$E$46</f>
        <v>#VALUE!</v>
      </c>
      <c r="AD30" s="650" t="e" cm="1">
        <f t="array" aca="1" ref="AD30" ca="1">SUMPRODUCT($H$25:$Q$25,IF(ISNUMBER($H$4:$Q$4),(1+$AB30)^-$H$4:$Q$4,1))+(AD$25*$S$34)*MIN(IF(ISNUMBER($H$4:$Q$4),(1+$AB30)^-$H$4:$Q$4,1))+$E$46</f>
        <v>#VALUE!</v>
      </c>
      <c r="AE30" s="651" t="e" cm="1">
        <f t="array" aca="1" ref="AE30" ca="1">SUMPRODUCT($H$25:$Q$25,IF(ISNUMBER($H$4:$Q$4),(1+$AB30)^-$H$4:$Q$4,1))+(AE$25*$S$34)*MIN(IF(ISNUMBER($H$4:$Q$4),(1+$AB30)^-$H$4:$Q$4,1))+$E$46</f>
        <v>#VALUE!</v>
      </c>
      <c r="AF30" s="652" t="e" cm="1">
        <f t="array" aca="1" ref="AF30" ca="1">SUMPRODUCT($H$25:$Q$25,IF(ISNUMBER($H$4:$Q$4),(1+$AB30)^-$H$4:$Q$4,1))+(AF$25*$S$34)*MIN(IF(ISNUMBER($H$4:$Q$4),(1+$AB30)^-$H$4:$Q$4,1))+$E$46</f>
        <v>#VALUE!</v>
      </c>
      <c r="AG30" s="653" t="e" cm="1">
        <f t="array" aca="1" ref="AG30" ca="1">SUMPRODUCT($H$25:$Q$25,IF(ISNUMBER($H$4:$Q$4),(1+$AB30)^-$H$4:$Q$4,1))+(AG$25*$S$34)*MIN(IF(ISNUMBER($H$4:$Q$4),(1+$AB30)^-$H$4:$Q$4,1))+$E$46</f>
        <v>#VALUE!</v>
      </c>
      <c r="AH30" s="652" t="e" cm="1">
        <f t="array" aca="1" ref="AH30" ca="1">SUMPRODUCT($H$25:$Q$25,IF(ISNUMBER($H$4:$Q$4),(1+$AB30)^-$H$4:$Q$4,1))+(AH$25*$S$34)*MIN(IF(ISNUMBER($H$4:$Q$4),(1+$AB30)^-$H$4:$Q$4,1))+$E$46</f>
        <v>#VALUE!</v>
      </c>
      <c r="AI30" s="651" t="e" cm="1">
        <f t="array" aca="1" ref="AI30" ca="1">SUMPRODUCT($H$25:$Q$25,IF(ISNUMBER($H$4:$Q$4),(1+$AB30)^-$H$4:$Q$4,1))+(AI$25*$S$34)*MIN(IF(ISNUMBER($H$4:$Q$4),(1+$AB30)^-$H$4:$Q$4,1))+$E$46</f>
        <v>#VALUE!</v>
      </c>
      <c r="AJ30" s="650" t="e" cm="1">
        <f t="array" aca="1" ref="AJ30" ca="1">SUMPRODUCT($H$25:$Q$25,IF(ISNUMBER($H$4:$Q$4),(1+$AB30)^-$H$4:$Q$4,1))+(AJ$25*$S$34)*MIN(IF(ISNUMBER($H$4:$Q$4),(1+$AB30)^-$H$4:$Q$4,1))+$E$46</f>
        <v>#VALUE!</v>
      </c>
      <c r="AK30" s="650" t="e" cm="1">
        <f t="array" aca="1" ref="AK30" ca="1">SUMPRODUCT($H$25:$Q$25,IF(ISNUMBER($H$4:$Q$4),(1+$AB30)^-$H$4:$Q$4,1))+(AK$25*$S$34)*MIN(IF(ISNUMBER($H$4:$Q$4),(1+$AB30)^-$H$4:$Q$4,1))+$E$46</f>
        <v>#VALUE!</v>
      </c>
    </row>
    <row r="31" spans="1:37">
      <c r="A31" s="575"/>
      <c r="B31" s="608" t="s">
        <v>658</v>
      </c>
      <c r="C31" s="608"/>
      <c r="D31" s="608"/>
      <c r="E31" s="609"/>
      <c r="F31" s="609"/>
      <c r="G31" s="609"/>
      <c r="H31" s="1197" t="str">
        <f ca="1">IF(H29="", "",H29*H25)</f>
        <v/>
      </c>
      <c r="I31" s="1197" t="e">
        <f t="shared" ref="I31:Q31" ca="1" si="13">IF(I6= " ", "",I29*I25)</f>
        <v>#VALUE!</v>
      </c>
      <c r="J31" s="1197">
        <f t="shared" ca="1" si="13"/>
        <v>-1358380.7145609215</v>
      </c>
      <c r="K31" s="1197">
        <f t="shared" ca="1" si="13"/>
        <v>-1281645.5644537529</v>
      </c>
      <c r="L31" s="1197">
        <f t="shared" ca="1" si="13"/>
        <v>-1209245.1956040412</v>
      </c>
      <c r="M31" s="1197" t="str">
        <f t="shared" ca="1" si="13"/>
        <v/>
      </c>
      <c r="N31" s="1197" t="str">
        <f t="shared" ca="1" si="13"/>
        <v/>
      </c>
      <c r="O31" s="1197" t="str">
        <f t="shared" ca="1" si="13"/>
        <v/>
      </c>
      <c r="P31" s="1197" t="str">
        <f t="shared" ca="1" si="13"/>
        <v/>
      </c>
      <c r="Q31" s="1197" t="str">
        <f t="shared" ca="1" si="13"/>
        <v/>
      </c>
      <c r="R31" s="1187"/>
      <c r="S31" s="1198">
        <f ca="1">IFERROR(S29*S27, 0)</f>
        <v>-22105947.763770062</v>
      </c>
      <c r="U31" s="566"/>
      <c r="V31" s="566"/>
      <c r="W31" s="566"/>
      <c r="X31" s="566"/>
      <c r="Y31" s="566"/>
      <c r="Z31" s="566"/>
      <c r="AA31" s="1925"/>
      <c r="AB31" s="643">
        <f>AB30+0.5%</f>
        <v>8.6069811561101578E-2</v>
      </c>
      <c r="AC31" s="517" t="e" cm="1">
        <f t="array" aca="1" ref="AC31" ca="1">SUMPRODUCT($H$25:$Q$25,IF(ISNUMBER($H$4:$Q$4),(1+$AB31)^-$H$4:$Q$4,1))+(AC$25*$S$34)*MIN(IF(ISNUMBER($H$4:$Q$4),(1+$AB31)^-$H$4:$Q$4,1))+$E$46</f>
        <v>#VALUE!</v>
      </c>
      <c r="AD31" s="517" t="e" cm="1">
        <f t="array" aca="1" ref="AD31" ca="1">SUMPRODUCT($H$25:$Q$25,IF(ISNUMBER($H$4:$Q$4),(1+$AB31)^-$H$4:$Q$4,1))+(AD$25*$S$34)*MIN(IF(ISNUMBER($H$4:$Q$4),(1+$AB31)^-$H$4:$Q$4,1))+$E$46</f>
        <v>#VALUE!</v>
      </c>
      <c r="AE31" s="645" t="e" cm="1">
        <f t="array" aca="1" ref="AE31" ca="1">SUMPRODUCT($H$25:$Q$25,IF(ISNUMBER($H$4:$Q$4),(1+$AB31)^-$H$4:$Q$4,1))+(AE$25*$S$34)*MIN(IF(ISNUMBER($H$4:$Q$4),(1+$AB31)^-$H$4:$Q$4,1))+$E$46</f>
        <v>#VALUE!</v>
      </c>
      <c r="AF31" s="647" t="e" cm="1">
        <f t="array" aca="1" ref="AF31" ca="1">SUMPRODUCT($H$25:$Q$25,IF(ISNUMBER($H$4:$Q$4),(1+$AB31)^-$H$4:$Q$4,1))+(AF$25*$S$34)*MIN(IF(ISNUMBER($H$4:$Q$4),(1+$AB31)^-$H$4:$Q$4,1))+$E$46</f>
        <v>#VALUE!</v>
      </c>
      <c r="AG31" s="648" t="e" cm="1">
        <f t="array" aca="1" ref="AG31" ca="1">SUMPRODUCT($H$25:$Q$25,IF(ISNUMBER($H$4:$Q$4),(1+$AB31)^-$H$4:$Q$4,1))+(AG$25*$S$34)*MIN(IF(ISNUMBER($H$4:$Q$4),(1+$AB31)^-$H$4:$Q$4,1))+$E$46</f>
        <v>#VALUE!</v>
      </c>
      <c r="AH31" s="647" t="e" cm="1">
        <f t="array" aca="1" ref="AH31" ca="1">SUMPRODUCT($H$25:$Q$25,IF(ISNUMBER($H$4:$Q$4),(1+$AB31)^-$H$4:$Q$4,1))+(AH$25*$S$34)*MIN(IF(ISNUMBER($H$4:$Q$4),(1+$AB31)^-$H$4:$Q$4,1))+$E$46</f>
        <v>#VALUE!</v>
      </c>
      <c r="AI31" s="645" t="e" cm="1">
        <f t="array" aca="1" ref="AI31" ca="1">SUMPRODUCT($H$25:$Q$25,IF(ISNUMBER($H$4:$Q$4),(1+$AB31)^-$H$4:$Q$4,1))+(AI$25*$S$34)*MIN(IF(ISNUMBER($H$4:$Q$4),(1+$AB31)^-$H$4:$Q$4,1))+$E$46</f>
        <v>#VALUE!</v>
      </c>
      <c r="AJ31" s="517" t="e" cm="1">
        <f t="array" aca="1" ref="AJ31" ca="1">SUMPRODUCT($H$25:$Q$25,IF(ISNUMBER($H$4:$Q$4),(1+$AB31)^-$H$4:$Q$4,1))+(AJ$25*$S$34)*MIN(IF(ISNUMBER($H$4:$Q$4),(1+$AB31)^-$H$4:$Q$4,1))+$E$46</f>
        <v>#VALUE!</v>
      </c>
      <c r="AK31" s="517" t="e" cm="1">
        <f t="array" aca="1" ref="AK31" ca="1">SUMPRODUCT($H$25:$Q$25,IF(ISNUMBER($H$4:$Q$4),(1+$AB31)^-$H$4:$Q$4,1))+(AK$25*$S$34)*MIN(IF(ISNUMBER($H$4:$Q$4),(1+$AB31)^-$H$4:$Q$4,1))+$E$46</f>
        <v>#VALUE!</v>
      </c>
    </row>
    <row r="32" spans="1:37">
      <c r="A32" s="610"/>
      <c r="B32" s="590"/>
      <c r="C32" s="1557" t="s">
        <v>659</v>
      </c>
      <c r="D32" s="611"/>
      <c r="E32" s="611"/>
      <c r="F32" s="611"/>
      <c r="G32" s="611"/>
      <c r="H32" s="611"/>
      <c r="I32" s="611"/>
      <c r="J32" s="611"/>
      <c r="K32" s="611"/>
      <c r="L32" s="611"/>
      <c r="N32" s="611"/>
      <c r="S32" s="484"/>
      <c r="AA32" s="1925"/>
      <c r="AB32" s="643">
        <f t="shared" ref="AB32:AB35" si="14">AB31+0.5%</f>
        <v>9.1069811561101582E-2</v>
      </c>
      <c r="AC32" s="517" t="e" cm="1">
        <f t="array" aca="1" ref="AC32" ca="1">SUMPRODUCT($H$25:$Q$25,IF(ISNUMBER($H$4:$Q$4),(1+$AB32)^-$H$4:$Q$4,1))+(AC$25*$S$34)*MIN(IF(ISNUMBER($H$4:$Q$4),(1+$AB32)^-$H$4:$Q$4,1))+$E$46</f>
        <v>#VALUE!</v>
      </c>
      <c r="AD32" s="517" t="e" cm="1">
        <f t="array" aca="1" ref="AD32" ca="1">SUMPRODUCT($H$25:$Q$25,IF(ISNUMBER($H$4:$Q$4),(1+$AB32)^-$H$4:$Q$4,1))+(AD$25*$S$34)*MIN(IF(ISNUMBER($H$4:$Q$4),(1+$AB32)^-$H$4:$Q$4,1))+$E$46</f>
        <v>#VALUE!</v>
      </c>
      <c r="AE32" s="645" t="e" cm="1">
        <f t="array" aca="1" ref="AE32" ca="1">SUMPRODUCT($H$25:$Q$25,IF(ISNUMBER($H$4:$Q$4),(1+$AB32)^-$H$4:$Q$4,1))+(AE$25*$S$34)*MIN(IF(ISNUMBER($H$4:$Q$4),(1+$AB32)^-$H$4:$Q$4,1))+$E$46</f>
        <v>#VALUE!</v>
      </c>
      <c r="AF32" s="645" t="e" cm="1">
        <f t="array" aca="1" ref="AF32" ca="1">SUMPRODUCT($H$25:$Q$25,IF(ISNUMBER($H$4:$Q$4),(1+$AB32)^-$H$4:$Q$4,1))+(AF$25*$S$34)*MIN(IF(ISNUMBER($H$4:$Q$4),(1+$AB32)^-$H$4:$Q$4,1))+$E$46</f>
        <v>#VALUE!</v>
      </c>
      <c r="AG32" s="646" t="e" cm="1">
        <f t="array" aca="1" ref="AG32" ca="1">SUMPRODUCT($H$25:$Q$25,IF(ISNUMBER($H$4:$Q$4),(1+$AB32)^-$H$4:$Q$4,1))+(AG$25*$S$34)*MIN(IF(ISNUMBER($H$4:$Q$4),(1+$AB32)^-$H$4:$Q$4,1))+$E$46</f>
        <v>#VALUE!</v>
      </c>
      <c r="AH32" s="645" t="e" cm="1">
        <f t="array" aca="1" ref="AH32" ca="1">SUMPRODUCT($H$25:$Q$25,IF(ISNUMBER($H$4:$Q$4),(1+$AB32)^-$H$4:$Q$4,1))+(AH$25*$S$34)*MIN(IF(ISNUMBER($H$4:$Q$4),(1+$AB32)^-$H$4:$Q$4,1))+$E$46</f>
        <v>#VALUE!</v>
      </c>
      <c r="AI32" s="645" t="e" cm="1">
        <f t="array" aca="1" ref="AI32" ca="1">SUMPRODUCT($H$25:$Q$25,IF(ISNUMBER($H$4:$Q$4),(1+$AB32)^-$H$4:$Q$4,1))+(AI$25*$S$34)*MIN(IF(ISNUMBER($H$4:$Q$4),(1+$AB32)^-$H$4:$Q$4,1))+$E$46</f>
        <v>#VALUE!</v>
      </c>
      <c r="AJ32" s="517" t="e" cm="1">
        <f t="array" aca="1" ref="AJ32" ca="1">SUMPRODUCT($H$25:$Q$25,IF(ISNUMBER($H$4:$Q$4),(1+$AB32)^-$H$4:$Q$4,1))+(AJ$25*$S$34)*MIN(IF(ISNUMBER($H$4:$Q$4),(1+$AB32)^-$H$4:$Q$4,1))+$E$46</f>
        <v>#VALUE!</v>
      </c>
      <c r="AK32" s="517" t="e" cm="1">
        <f t="array" aca="1" ref="AK32" ca="1">SUMPRODUCT($H$25:$Q$25,IF(ISNUMBER($H$4:$Q$4),(1+$AB32)^-$H$4:$Q$4,1))+(AK$25*$S$34)*MIN(IF(ISNUMBER($H$4:$Q$4),(1+$AB32)^-$H$4:$Q$4,1))+$E$46</f>
        <v>#VALUE!</v>
      </c>
    </row>
    <row r="33" spans="1:37">
      <c r="A33" s="610"/>
      <c r="B33" s="590" t="s">
        <v>660</v>
      </c>
      <c r="C33" s="611"/>
      <c r="D33" s="611"/>
      <c r="E33" s="611"/>
      <c r="F33" s="611"/>
      <c r="G33" s="611"/>
      <c r="H33" s="611"/>
      <c r="I33" s="611"/>
      <c r="J33" s="611"/>
      <c r="K33" s="611"/>
      <c r="L33" s="611"/>
      <c r="N33" s="611"/>
      <c r="S33" s="484"/>
      <c r="AA33" s="1925"/>
      <c r="AB33" s="643">
        <f t="shared" si="14"/>
        <v>9.6069811561101587E-2</v>
      </c>
      <c r="AC33" s="517" t="e" cm="1">
        <f t="array" aca="1" ref="AC33" ca="1">SUMPRODUCT($H$25:$Q$25,IF(ISNUMBER($H$4:$Q$4),(1+$AB33)^-$H$4:$Q$4,1))+(AC$25*$S$34)*MIN(IF(ISNUMBER($H$4:$Q$4),(1+$AB33)^-$H$4:$Q$4,1))+$E$46</f>
        <v>#VALUE!</v>
      </c>
      <c r="AD33" s="517" t="e" cm="1">
        <f t="array" aca="1" ref="AD33" ca="1">SUMPRODUCT($H$25:$Q$25,IF(ISNUMBER($H$4:$Q$4),(1+$AB33)^-$H$4:$Q$4,1))+(AD$25*$S$34)*MIN(IF(ISNUMBER($H$4:$Q$4),(1+$AB33)^-$H$4:$Q$4,1))+$E$46</f>
        <v>#VALUE!</v>
      </c>
      <c r="AE33" s="517" t="e" cm="1">
        <f t="array" aca="1" ref="AE33" ca="1">SUMPRODUCT($H$25:$Q$25,IF(ISNUMBER($H$4:$Q$4),(1+$AB33)^-$H$4:$Q$4,1))+(AE$25*$S$34)*MIN(IF(ISNUMBER($H$4:$Q$4),(1+$AB33)^-$H$4:$Q$4,1))+$E$46</f>
        <v>#VALUE!</v>
      </c>
      <c r="AF33" s="517" t="e" cm="1">
        <f t="array" aca="1" ref="AF33" ca="1">SUMPRODUCT($H$25:$Q$25,IF(ISNUMBER($H$4:$Q$4),(1+$AB33)^-$H$4:$Q$4,1))+(AF$25*$S$34)*MIN(IF(ISNUMBER($H$4:$Q$4),(1+$AB33)^-$H$4:$Q$4,1))+$E$46</f>
        <v>#VALUE!</v>
      </c>
      <c r="AG33" s="644" t="e" cm="1">
        <f t="array" aca="1" ref="AG33" ca="1">SUMPRODUCT($H$25:$Q$25,IF(ISNUMBER($H$4:$Q$4),(1+$AB33)^-$H$4:$Q$4,1))+(AG$25*$S$34)*MIN(IF(ISNUMBER($H$4:$Q$4),(1+$AB33)^-$H$4:$Q$4,1))+$E$46</f>
        <v>#VALUE!</v>
      </c>
      <c r="AH33" s="517" t="e" cm="1">
        <f t="array" aca="1" ref="AH33" ca="1">SUMPRODUCT($H$25:$Q$25,IF(ISNUMBER($H$4:$Q$4),(1+$AB33)^-$H$4:$Q$4,1))+(AH$25*$S$34)*MIN(IF(ISNUMBER($H$4:$Q$4),(1+$AB33)^-$H$4:$Q$4,1))+$E$46</f>
        <v>#VALUE!</v>
      </c>
      <c r="AI33" s="517" t="e" cm="1">
        <f t="array" aca="1" ref="AI33" ca="1">SUMPRODUCT($H$25:$Q$25,IF(ISNUMBER($H$4:$Q$4),(1+$AB33)^-$H$4:$Q$4,1))+(AI$25*$S$34)*MIN(IF(ISNUMBER($H$4:$Q$4),(1+$AB33)^-$H$4:$Q$4,1))+$E$46</f>
        <v>#VALUE!</v>
      </c>
      <c r="AJ33" s="517" t="e" cm="1">
        <f t="array" aca="1" ref="AJ33" ca="1">SUMPRODUCT($H$25:$Q$25,IF(ISNUMBER($H$4:$Q$4),(1+$AB33)^-$H$4:$Q$4,1))+(AJ$25*$S$34)*MIN(IF(ISNUMBER($H$4:$Q$4),(1+$AB33)^-$H$4:$Q$4,1))+$E$46</f>
        <v>#VALUE!</v>
      </c>
      <c r="AK33" s="517" t="e" cm="1">
        <f t="array" aca="1" ref="AK33" ca="1">SUMPRODUCT($H$25:$Q$25,IF(ISNUMBER($H$4:$Q$4),(1+$AB33)^-$H$4:$Q$4,1))+(AK$25*$S$34)*MIN(IF(ISNUMBER($H$4:$Q$4),(1+$AB33)^-$H$4:$Q$4,1))+$E$46</f>
        <v>#VALUE!</v>
      </c>
    </row>
    <row r="34" spans="1:37">
      <c r="A34" s="610"/>
      <c r="B34" s="612" t="s">
        <v>653</v>
      </c>
      <c r="C34" s="613">
        <f>MultBew.!Z12</f>
        <v>4.8054157778527609</v>
      </c>
      <c r="D34" s="613"/>
      <c r="E34" s="449" t="s">
        <v>661</v>
      </c>
      <c r="F34" s="614"/>
      <c r="G34" s="614"/>
      <c r="H34" s="615" t="s">
        <v>662</v>
      </c>
      <c r="I34" s="616"/>
      <c r="J34" s="616"/>
      <c r="K34" s="616"/>
      <c r="L34" s="616"/>
      <c r="M34" s="616"/>
      <c r="N34" s="616"/>
      <c r="O34" s="616"/>
      <c r="P34" s="616"/>
      <c r="Q34" s="616"/>
      <c r="R34" s="452"/>
      <c r="S34" s="1200" cm="1">
        <f t="array" ref="S34">LOOKUP(2,1/('G&amp;V'!E40:Q40&lt;&gt;""),'G&amp;V'!E40:Q40)</f>
        <v>971548.61223384365</v>
      </c>
      <c r="AA34" s="1925"/>
      <c r="AB34" s="643">
        <f t="shared" si="14"/>
        <v>0.10106981156110159</v>
      </c>
      <c r="AC34" s="517" t="e" cm="1">
        <f t="array" aca="1" ref="AC34" ca="1">SUMPRODUCT($H$25:$Q$25,IF(ISNUMBER($H$4:$Q$4),(1+$AB34)^-$H$4:$Q$4,1))+(AC$25*$S$34)*MIN(IF(ISNUMBER($H$4:$Q$4),(1+$AB34)^-$H$4:$Q$4,1))+$E$46</f>
        <v>#VALUE!</v>
      </c>
      <c r="AD34" s="517" t="e" cm="1">
        <f t="array" aca="1" ref="AD34" ca="1">SUMPRODUCT($H$25:$Q$25,IF(ISNUMBER($H$4:$Q$4),(1+$AB34)^-$H$4:$Q$4,1))+(AD$25*$S$34)*MIN(IF(ISNUMBER($H$4:$Q$4),(1+$AB34)^-$H$4:$Q$4,1))+$E$46</f>
        <v>#VALUE!</v>
      </c>
      <c r="AE34" s="517" t="e" cm="1">
        <f t="array" aca="1" ref="AE34" ca="1">SUMPRODUCT($H$25:$Q$25,IF(ISNUMBER($H$4:$Q$4),(1+$AB34)^-$H$4:$Q$4,1))+(AE$25*$S$34)*MIN(IF(ISNUMBER($H$4:$Q$4),(1+$AB34)^-$H$4:$Q$4,1))+$E$46</f>
        <v>#VALUE!</v>
      </c>
      <c r="AF34" s="517" t="e" cm="1">
        <f t="array" aca="1" ref="AF34" ca="1">SUMPRODUCT($H$25:$Q$25,IF(ISNUMBER($H$4:$Q$4),(1+$AB34)^-$H$4:$Q$4,1))+(AF$25*$S$34)*MIN(IF(ISNUMBER($H$4:$Q$4),(1+$AB34)^-$H$4:$Q$4,1))+$E$46</f>
        <v>#VALUE!</v>
      </c>
      <c r="AG34" s="644" t="e" cm="1">
        <f t="array" aca="1" ref="AG34" ca="1">SUMPRODUCT($H$25:$Q$25,IF(ISNUMBER($H$4:$Q$4),(1+$AB34)^-$H$4:$Q$4,1))+(AG$25*$S$34)*MIN(IF(ISNUMBER($H$4:$Q$4),(1+$AB34)^-$H$4:$Q$4,1))+$E$46</f>
        <v>#VALUE!</v>
      </c>
      <c r="AH34" s="517" t="e" cm="1">
        <f t="array" aca="1" ref="AH34" ca="1">SUMPRODUCT($H$25:$Q$25,IF(ISNUMBER($H$4:$Q$4),(1+$AB34)^-$H$4:$Q$4,1))+(AH$25*$S$34)*MIN(IF(ISNUMBER($H$4:$Q$4),(1+$AB34)^-$H$4:$Q$4,1))+$E$46</f>
        <v>#VALUE!</v>
      </c>
      <c r="AI34" s="517" t="e" cm="1">
        <f t="array" aca="1" ref="AI34" ca="1">SUMPRODUCT($H$25:$Q$25,IF(ISNUMBER($H$4:$Q$4),(1+$AB34)^-$H$4:$Q$4,1))+(AI$25*$S$34)*MIN(IF(ISNUMBER($H$4:$Q$4),(1+$AB34)^-$H$4:$Q$4,1))+$E$46</f>
        <v>#VALUE!</v>
      </c>
      <c r="AJ34" s="517" t="e" cm="1">
        <f t="array" aca="1" ref="AJ34" ca="1">SUMPRODUCT($H$25:$Q$25,IF(ISNUMBER($H$4:$Q$4),(1+$AB34)^-$H$4:$Q$4,1))+(AJ$25*$S$34)*MIN(IF(ISNUMBER($H$4:$Q$4),(1+$AB34)^-$H$4:$Q$4,1))+$E$46</f>
        <v>#VALUE!</v>
      </c>
      <c r="AK34" s="517" t="e" cm="1">
        <f t="array" aca="1" ref="AK34" ca="1">SUMPRODUCT($H$25:$Q$25,IF(ISNUMBER($H$4:$Q$4),(1+$AB34)^-$H$4:$Q$4,1))+(AK$25*$S$34)*MIN(IF(ISNUMBER($H$4:$Q$4),(1+$AB34)^-$H$4:$Q$4,1))+$E$46</f>
        <v>#VALUE!</v>
      </c>
    </row>
    <row r="35" spans="1:37">
      <c r="A35" s="610"/>
      <c r="B35" s="617" t="s">
        <v>663</v>
      </c>
      <c r="C35" s="618"/>
      <c r="D35" s="618"/>
      <c r="E35" s="619"/>
      <c r="F35" s="619"/>
      <c r="G35" s="619"/>
      <c r="H35" s="620"/>
      <c r="I35" s="620"/>
      <c r="J35" s="620"/>
      <c r="K35" s="620"/>
      <c r="L35" s="620"/>
      <c r="M35" s="620"/>
      <c r="N35" s="620"/>
      <c r="O35" s="620"/>
      <c r="P35" s="620"/>
      <c r="Q35" s="620"/>
      <c r="S35" s="1201">
        <f>S34*C34</f>
        <v>4668695.0301794661</v>
      </c>
      <c r="AA35" s="1925"/>
      <c r="AB35" s="643">
        <f t="shared" si="14"/>
        <v>0.1060698115611016</v>
      </c>
      <c r="AC35" s="517" t="e" cm="1">
        <f t="array" aca="1" ref="AC35" ca="1">SUMPRODUCT($H$25:$Q$25,IF(ISNUMBER($H$4:$Q$4),(1+$AB35)^-$H$4:$Q$4,1))+(AC$25*$S$34)*MIN(IF(ISNUMBER($H$4:$Q$4),(1+$AB35)^-$H$4:$Q$4,1))+$E$46</f>
        <v>#VALUE!</v>
      </c>
      <c r="AD35" s="517" t="e" cm="1">
        <f t="array" aca="1" ref="AD35" ca="1">SUMPRODUCT($H$25:$Q$25,IF(ISNUMBER($H$4:$Q$4),(1+$AB35)^-$H$4:$Q$4,1))+(AD$25*$S$34)*MIN(IF(ISNUMBER($H$4:$Q$4),(1+$AB35)^-$H$4:$Q$4,1))+$E$46</f>
        <v>#VALUE!</v>
      </c>
      <c r="AE35" s="517" t="e" cm="1">
        <f t="array" aca="1" ref="AE35" ca="1">SUMPRODUCT($H$25:$Q$25,IF(ISNUMBER($H$4:$Q$4),(1+$AB35)^-$H$4:$Q$4,1))+(AE$25*$S$34)*MIN(IF(ISNUMBER($H$4:$Q$4),(1+$AB35)^-$H$4:$Q$4,1))+$E$46</f>
        <v>#VALUE!</v>
      </c>
      <c r="AF35" s="517" t="e" cm="1">
        <f t="array" aca="1" ref="AF35" ca="1">SUMPRODUCT($H$25:$Q$25,IF(ISNUMBER($H$4:$Q$4),(1+$AB35)^-$H$4:$Q$4,1))+(AF$25*$S$34)*MIN(IF(ISNUMBER($H$4:$Q$4),(1+$AB35)^-$H$4:$Q$4,1))+$E$46</f>
        <v>#VALUE!</v>
      </c>
      <c r="AG35" s="654" t="e" cm="1">
        <f t="array" aca="1" ref="AG35" ca="1">SUMPRODUCT($H$25:$Q$25,IF(ISNUMBER($H$4:$Q$4),(1+$AB35)^-$H$4:$Q$4,1))+(AG$25*$S$34)*MIN(IF(ISNUMBER($H$4:$Q$4),(1+$AB35)^-$H$4:$Q$4,1))+$E$46</f>
        <v>#VALUE!</v>
      </c>
      <c r="AH35" s="517" t="e" cm="1">
        <f t="array" aca="1" ref="AH35" ca="1">SUMPRODUCT($H$25:$Q$25,IF(ISNUMBER($H$4:$Q$4),(1+$AB35)^-$H$4:$Q$4,1))+(AH$25*$S$34)*MIN(IF(ISNUMBER($H$4:$Q$4),(1+$AB35)^-$H$4:$Q$4,1))+$E$46</f>
        <v>#VALUE!</v>
      </c>
      <c r="AI35" s="517" t="e" cm="1">
        <f t="array" aca="1" ref="AI35" ca="1">SUMPRODUCT($H$25:$Q$25,IF(ISNUMBER($H$4:$Q$4),(1+$AB35)^-$H$4:$Q$4,1))+(AI$25*$S$34)*MIN(IF(ISNUMBER($H$4:$Q$4),(1+$AB35)^-$H$4:$Q$4,1))+$E$46</f>
        <v>#VALUE!</v>
      </c>
      <c r="AJ35" s="517" t="e" cm="1">
        <f t="array" aca="1" ref="AJ35" ca="1">SUMPRODUCT($H$25:$Q$25,IF(ISNUMBER($H$4:$Q$4),(1+$AB35)^-$H$4:$Q$4,1))+(AJ$25*$S$34)*MIN(IF(ISNUMBER($H$4:$Q$4),(1+$AB35)^-$H$4:$Q$4,1))+$E$46</f>
        <v>#VALUE!</v>
      </c>
      <c r="AK35" s="517" t="e" cm="1">
        <f t="array" aca="1" ref="AK35" ca="1">SUMPRODUCT($H$25:$Q$25,IF(ISNUMBER($H$4:$Q$4),(1+$AB35)^-$H$4:$Q$4,1))+(AK$25*$S$34)*MIN(IF(ISNUMBER($H$4:$Q$4),(1+$AB35)^-$H$4:$Q$4,1))+$E$46</f>
        <v>#VALUE!</v>
      </c>
    </row>
    <row r="36" spans="1:37">
      <c r="A36" s="610"/>
      <c r="B36" s="590" t="s">
        <v>664</v>
      </c>
      <c r="C36" s="611"/>
      <c r="D36" s="611"/>
      <c r="E36" s="611"/>
      <c r="F36" s="611"/>
      <c r="G36" s="611"/>
      <c r="H36" s="1199" t="str">
        <f t="shared" ref="H36:Q36" ca="1" si="15">H31</f>
        <v/>
      </c>
      <c r="I36" s="1199" t="e">
        <f t="shared" ca="1" si="15"/>
        <v>#VALUE!</v>
      </c>
      <c r="J36" s="1199">
        <f t="shared" ca="1" si="15"/>
        <v>-1358380.7145609215</v>
      </c>
      <c r="K36" s="1199">
        <f t="shared" ca="1" si="15"/>
        <v>-1281645.5644537529</v>
      </c>
      <c r="L36" s="1199">
        <f t="shared" ca="1" si="15"/>
        <v>-1209245.1956040412</v>
      </c>
      <c r="M36" s="1199" t="str">
        <f t="shared" ca="1" si="15"/>
        <v/>
      </c>
      <c r="N36" s="1199" t="str">
        <f t="shared" ca="1" si="15"/>
        <v/>
      </c>
      <c r="O36" s="1199" t="str">
        <f t="shared" ca="1" si="15"/>
        <v/>
      </c>
      <c r="P36" s="1199" t="str">
        <f t="shared" ca="1" si="15"/>
        <v/>
      </c>
      <c r="Q36" s="1199" t="str">
        <f t="shared" ca="1" si="15"/>
        <v/>
      </c>
      <c r="R36" s="1168"/>
      <c r="S36" s="1174">
        <f ca="1">S35*S29</f>
        <v>3526773.2624806892</v>
      </c>
    </row>
    <row r="37" spans="1:37">
      <c r="A37" s="621"/>
      <c r="B37" s="464"/>
      <c r="C37" s="622"/>
      <c r="D37" s="622"/>
      <c r="E37" s="611"/>
      <c r="F37" s="611"/>
      <c r="G37" s="611"/>
      <c r="H37" s="611"/>
      <c r="I37" s="611"/>
      <c r="J37" s="611"/>
      <c r="K37" s="611"/>
      <c r="L37" s="611"/>
      <c r="M37" s="611"/>
      <c r="N37" s="611"/>
      <c r="O37" s="611"/>
      <c r="P37" s="611"/>
      <c r="Q37" s="611"/>
      <c r="S37" s="1181"/>
      <c r="AA37" s="1453" t="s">
        <v>665</v>
      </c>
      <c r="AB37" s="1454"/>
      <c r="AC37" s="1454"/>
      <c r="AD37" s="1454"/>
      <c r="AE37" s="1454"/>
      <c r="AF37" s="1454"/>
      <c r="AG37" s="1454"/>
      <c r="AH37" s="1454"/>
      <c r="AI37" s="1454"/>
      <c r="AJ37" s="1454"/>
      <c r="AK37" s="1454"/>
    </row>
    <row r="38" spans="1:37">
      <c r="A38" s="623"/>
      <c r="B38" s="590" t="s">
        <v>666</v>
      </c>
      <c r="C38" s="611"/>
      <c r="D38" s="611"/>
      <c r="E38" s="611"/>
      <c r="F38" s="611"/>
      <c r="G38" s="611"/>
      <c r="H38" s="611"/>
      <c r="I38" s="611"/>
      <c r="J38" s="611"/>
      <c r="K38" s="611"/>
      <c r="L38" s="611"/>
      <c r="M38" s="611"/>
      <c r="N38" s="611"/>
      <c r="O38" s="611"/>
      <c r="P38" s="611"/>
      <c r="Q38" s="611"/>
      <c r="S38" s="1181"/>
      <c r="AC38" s="1924" t="s">
        <v>653</v>
      </c>
      <c r="AD38" s="1924"/>
      <c r="AE38" s="1924"/>
      <c r="AF38" s="1924"/>
      <c r="AG38" s="1924"/>
      <c r="AH38" s="1924"/>
      <c r="AI38" s="1924"/>
      <c r="AJ38" s="1924"/>
      <c r="AK38" s="1924"/>
    </row>
    <row r="39" spans="1:37">
      <c r="A39" s="623"/>
      <c r="B39" s="612" t="s">
        <v>667</v>
      </c>
      <c r="C39" s="613">
        <f>MultBew.!Z13</f>
        <v>9.0807968906214267</v>
      </c>
      <c r="D39" s="613"/>
      <c r="E39" s="449" t="s">
        <v>661</v>
      </c>
      <c r="F39" s="611"/>
      <c r="G39" s="611"/>
      <c r="H39" s="615" t="s">
        <v>668</v>
      </c>
      <c r="I39" s="616"/>
      <c r="J39" s="616"/>
      <c r="K39" s="616"/>
      <c r="L39" s="616"/>
      <c r="M39" s="616"/>
      <c r="N39" s="616"/>
      <c r="O39" s="616"/>
      <c r="P39" s="616"/>
      <c r="Q39" s="616"/>
      <c r="R39" s="452"/>
      <c r="S39" s="1200" cm="1">
        <f t="array" ref="S39">LOOKUP(2,1/('G&amp;V'!E50:Q50&lt;&gt;""),'G&amp;V'!E50:Q50)</f>
        <v>971548.61223384365</v>
      </c>
      <c r="AA39" s="577"/>
      <c r="AB39" s="578" t="s">
        <v>603</v>
      </c>
      <c r="AC39" s="658">
        <f t="shared" ref="AC39:AE39" si="16">AD39-0.4</f>
        <v>7.4807968906214253</v>
      </c>
      <c r="AD39" s="658">
        <f t="shared" si="16"/>
        <v>7.8807968906214256</v>
      </c>
      <c r="AE39" s="658">
        <f t="shared" si="16"/>
        <v>8.280796890621426</v>
      </c>
      <c r="AF39" s="658">
        <f>AG39-0.4</f>
        <v>8.6807968906214263</v>
      </c>
      <c r="AG39" s="659">
        <f>$C$39</f>
        <v>9.0807968906214267</v>
      </c>
      <c r="AH39" s="658">
        <f>AG39+0.4</f>
        <v>9.4807968906214271</v>
      </c>
      <c r="AI39" s="658">
        <f t="shared" ref="AI39:AK39" si="17">AH39+0.4</f>
        <v>9.8807968906214274</v>
      </c>
      <c r="AJ39" s="658">
        <f t="shared" si="17"/>
        <v>10.280796890621428</v>
      </c>
      <c r="AK39" s="658">
        <f t="shared" si="17"/>
        <v>10.680796890621428</v>
      </c>
    </row>
    <row r="40" spans="1:37">
      <c r="A40" s="623"/>
      <c r="B40" s="617" t="s">
        <v>669</v>
      </c>
      <c r="C40" s="624"/>
      <c r="D40" s="624"/>
      <c r="E40" s="624"/>
      <c r="F40" s="624"/>
      <c r="G40" s="624"/>
      <c r="H40" s="624"/>
      <c r="I40" s="624"/>
      <c r="J40" s="624"/>
      <c r="K40" s="624"/>
      <c r="L40" s="624"/>
      <c r="M40" s="448"/>
      <c r="N40" s="448"/>
      <c r="O40" s="625"/>
      <c r="P40" s="448"/>
      <c r="Q40" s="448"/>
      <c r="S40" s="1201">
        <f>S39*C39</f>
        <v>8822435.6170606501</v>
      </c>
      <c r="AA40" s="1925" t="s">
        <v>635</v>
      </c>
      <c r="AB40" s="643">
        <f t="shared" ref="AB40:AB42" si="18">AB41-0.5%</f>
        <v>6.1069811561101563E-2</v>
      </c>
      <c r="AC40" s="517" t="e" cm="1">
        <f t="array" aca="1" ref="AC40" ca="1">SUMPRODUCT($H$25:$Q$25,IF(ISNUMBER($H$4:$Q$4),(1+$AB40)^-$H$4:$Q$4,1))+(AC$39*$S$39)*MIN(IF(ISNUMBER($H$4:$Q$4),(1+$AB40)^-$H$4:$Q$4,1))+$E$46</f>
        <v>#VALUE!</v>
      </c>
      <c r="AD40" s="517" t="e" cm="1">
        <f t="array" aca="1" ref="AD40" ca="1">SUMPRODUCT($H$25:$Q$25,IF(ISNUMBER($H$4:$Q$4),(1+$AB40)^-$H$4:$Q$4,1))+(AD$39*$S$39)*MIN(IF(ISNUMBER($H$4:$Q$4),(1+$AB40)^-$H$4:$Q$4,1))+$E$46</f>
        <v>#VALUE!</v>
      </c>
      <c r="AE40" s="517" t="e" cm="1">
        <f t="array" aca="1" ref="AE40" ca="1">SUMPRODUCT($H$25:$Q$25,IF(ISNUMBER($H$4:$Q$4),(1+$AB40)^-$H$4:$Q$4,1))+(AE$39*$S$39)*MIN(IF(ISNUMBER($H$4:$Q$4),(1+$AB40)^-$H$4:$Q$4,1))+$E$46</f>
        <v>#VALUE!</v>
      </c>
      <c r="AF40" s="517" t="e" cm="1">
        <f t="array" aca="1" ref="AF40" ca="1">SUMPRODUCT($H$25:$Q$25,IF(ISNUMBER($H$4:$Q$4),(1+$AB40)^-$H$4:$Q$4,1))+(AF$39*$S$39)*MIN(IF(ISNUMBER($H$4:$Q$4),(1+$AB40)^-$H$4:$Q$4,1))+$E$46</f>
        <v>#VALUE!</v>
      </c>
      <c r="AG40" s="644" t="e" cm="1">
        <f t="array" aca="1" ref="AG40" ca="1">SUMPRODUCT($H$25:$Q$25,IF(ISNUMBER($H$4:$Q$4),(1+$AB40)^-$H$4:$Q$4,1))+(AG$39*$S$39)*MIN(IF(ISNUMBER($H$4:$Q$4),(1+$AB40)^-$H$4:$Q$4,1))+$E$46</f>
        <v>#VALUE!</v>
      </c>
      <c r="AH40" s="517" t="e" cm="1">
        <f t="array" aca="1" ref="AH40" ca="1">SUMPRODUCT($H$25:$Q$25,IF(ISNUMBER($H$4:$Q$4),(1+$AB40)^-$H$4:$Q$4,1))+(AH$39*$S$39)*MIN(IF(ISNUMBER($H$4:$Q$4),(1+$AB40)^-$H$4:$Q$4,1))+$E$46</f>
        <v>#VALUE!</v>
      </c>
      <c r="AI40" s="517" t="e" cm="1">
        <f t="array" aca="1" ref="AI40" ca="1">SUMPRODUCT($H$25:$Q$25,IF(ISNUMBER($H$4:$Q$4),(1+$AB40)^-$H$4:$Q$4,1))+(AI$39*$S$39)*MIN(IF(ISNUMBER($H$4:$Q$4),(1+$AB40)^-$H$4:$Q$4,1))+$E$46</f>
        <v>#VALUE!</v>
      </c>
      <c r="AJ40" s="517" t="e" cm="1">
        <f t="array" aca="1" ref="AJ40" ca="1">SUMPRODUCT($H$25:$Q$25,IF(ISNUMBER($H$4:$Q$4),(1+$AB40)^-$H$4:$Q$4,1))+(AJ$39*$S$39)*MIN(IF(ISNUMBER($H$4:$Q$4),(1+$AB40)^-$H$4:$Q$4,1))+$E$46</f>
        <v>#VALUE!</v>
      </c>
      <c r="AK40" s="517" t="e" cm="1">
        <f t="array" aca="1" ref="AK40" ca="1">SUMPRODUCT($H$25:$Q$25,IF(ISNUMBER($H$4:$Q$4),(1+$AB40)^-$H$4:$Q$4,1))+(AK$39*$S$39)*MIN(IF(ISNUMBER($H$4:$Q$4),(1+$AB40)^-$H$4:$Q$4,1))+$E$46</f>
        <v>#VALUE!</v>
      </c>
    </row>
    <row r="41" spans="1:37">
      <c r="A41" s="623"/>
      <c r="B41" s="472" t="s">
        <v>670</v>
      </c>
      <c r="C41" s="611"/>
      <c r="D41" s="611"/>
      <c r="E41" s="611"/>
      <c r="F41" s="611"/>
      <c r="G41" s="611"/>
      <c r="H41" s="1199" t="str">
        <f t="shared" ref="H41:Q41" ca="1" si="19">H31</f>
        <v/>
      </c>
      <c r="I41" s="1199" t="e">
        <f t="shared" ca="1" si="19"/>
        <v>#VALUE!</v>
      </c>
      <c r="J41" s="1199">
        <f t="shared" ca="1" si="19"/>
        <v>-1358380.7145609215</v>
      </c>
      <c r="K41" s="1199">
        <f t="shared" ca="1" si="19"/>
        <v>-1281645.5644537529</v>
      </c>
      <c r="L41" s="1199">
        <f t="shared" ca="1" si="19"/>
        <v>-1209245.1956040412</v>
      </c>
      <c r="M41" s="1199" t="str">
        <f t="shared" ca="1" si="19"/>
        <v/>
      </c>
      <c r="N41" s="1199" t="str">
        <f t="shared" ca="1" si="19"/>
        <v/>
      </c>
      <c r="O41" s="1199" t="str">
        <f t="shared" ca="1" si="19"/>
        <v/>
      </c>
      <c r="P41" s="1199" t="str">
        <f t="shared" ca="1" si="19"/>
        <v/>
      </c>
      <c r="Q41" s="1199" t="str">
        <f t="shared" ca="1" si="19"/>
        <v/>
      </c>
      <c r="R41" s="1168"/>
      <c r="S41" s="1174">
        <f ca="1">S40*S29</f>
        <v>6664545.412170724</v>
      </c>
      <c r="AA41" s="1925"/>
      <c r="AB41" s="643">
        <f t="shared" si="18"/>
        <v>6.606981156110156E-2</v>
      </c>
      <c r="AC41" s="517" t="e" cm="1">
        <f t="array" aca="1" ref="AC41" ca="1">SUMPRODUCT($H$25:$Q$25,IF(ISNUMBER($H$4:$Q$4),(1+$AB41)^-$H$4:$Q$4,1))+(AC$39*$S$39)*MIN(IF(ISNUMBER($H$4:$Q$4),(1+$AB41)^-$H$4:$Q$4,1))+$E$46</f>
        <v>#VALUE!</v>
      </c>
      <c r="AD41" s="517" t="e" cm="1">
        <f t="array" aca="1" ref="AD41" ca="1">SUMPRODUCT($H$25:$Q$25,IF(ISNUMBER($H$4:$Q$4),(1+$AB41)^-$H$4:$Q$4,1))+(AD$39*$S$39)*MIN(IF(ISNUMBER($H$4:$Q$4),(1+$AB41)^-$H$4:$Q$4,1))+$E$46</f>
        <v>#VALUE!</v>
      </c>
      <c r="AE41" s="517" t="e" cm="1">
        <f t="array" aca="1" ref="AE41" ca="1">SUMPRODUCT($H$25:$Q$25,IF(ISNUMBER($H$4:$Q$4),(1+$AB41)^-$H$4:$Q$4,1))+(AE$39*$S$39)*MIN(IF(ISNUMBER($H$4:$Q$4),(1+$AB41)^-$H$4:$Q$4,1))+$E$46</f>
        <v>#VALUE!</v>
      </c>
      <c r="AF41" s="517" t="e" cm="1">
        <f t="array" aca="1" ref="AF41" ca="1">SUMPRODUCT($H$25:$Q$25,IF(ISNUMBER($H$4:$Q$4),(1+$AB41)^-$H$4:$Q$4,1))+(AF$39*$S$39)*MIN(IF(ISNUMBER($H$4:$Q$4),(1+$AB41)^-$H$4:$Q$4,1))+$E$46</f>
        <v>#VALUE!</v>
      </c>
      <c r="AG41" s="644" t="e" cm="1">
        <f t="array" aca="1" ref="AG41" ca="1">SUMPRODUCT($H$25:$Q$25,IF(ISNUMBER($H$4:$Q$4),(1+$AB41)^-$H$4:$Q$4,1))+(AG$39*$S$39)*MIN(IF(ISNUMBER($H$4:$Q$4),(1+$AB41)^-$H$4:$Q$4,1))+$E$46</f>
        <v>#VALUE!</v>
      </c>
      <c r="AH41" s="517" t="e" cm="1">
        <f t="array" aca="1" ref="AH41" ca="1">SUMPRODUCT($H$25:$Q$25,IF(ISNUMBER($H$4:$Q$4),(1+$AB41)^-$H$4:$Q$4,1))+(AH$39*$S$39)*MIN(IF(ISNUMBER($H$4:$Q$4),(1+$AB41)^-$H$4:$Q$4,1))+$E$46</f>
        <v>#VALUE!</v>
      </c>
      <c r="AI41" s="517" t="e" cm="1">
        <f t="array" aca="1" ref="AI41" ca="1">SUMPRODUCT($H$25:$Q$25,IF(ISNUMBER($H$4:$Q$4),(1+$AB41)^-$H$4:$Q$4,1))+(AI$39*$S$39)*MIN(IF(ISNUMBER($H$4:$Q$4),(1+$AB41)^-$H$4:$Q$4,1))+$E$46</f>
        <v>#VALUE!</v>
      </c>
      <c r="AJ41" s="517" t="e" cm="1">
        <f t="array" aca="1" ref="AJ41" ca="1">SUMPRODUCT($H$25:$Q$25,IF(ISNUMBER($H$4:$Q$4),(1+$AB41)^-$H$4:$Q$4,1))+(AJ$39*$S$39)*MIN(IF(ISNUMBER($H$4:$Q$4),(1+$AB41)^-$H$4:$Q$4,1))+$E$46</f>
        <v>#VALUE!</v>
      </c>
      <c r="AK41" s="517" t="e" cm="1">
        <f t="array" aca="1" ref="AK41" ca="1">SUMPRODUCT($H$25:$Q$25,IF(ISNUMBER($H$4:$Q$4),(1+$AB41)^-$H$4:$Q$4,1))+(AK$39*$S$39)*MIN(IF(ISNUMBER($H$4:$Q$4),(1+$AB41)^-$H$4:$Q$4,1))+$E$46</f>
        <v>#VALUE!</v>
      </c>
    </row>
    <row r="42" spans="1:37" ht="12.75" customHeight="1">
      <c r="A42" s="623"/>
      <c r="B42" s="590"/>
      <c r="C42" s="611"/>
      <c r="D42" s="611"/>
      <c r="E42" s="611"/>
      <c r="F42" s="611"/>
      <c r="G42" s="611"/>
      <c r="H42" s="611"/>
      <c r="I42" s="611"/>
      <c r="J42" s="611"/>
      <c r="K42" s="611"/>
      <c r="L42" s="611"/>
      <c r="O42" s="626"/>
      <c r="AA42" s="1925"/>
      <c r="AB42" s="643">
        <f t="shared" si="18"/>
        <v>7.1069811561101565E-2</v>
      </c>
      <c r="AC42" s="517" t="e" cm="1">
        <f t="array" aca="1" ref="AC42" ca="1">SUMPRODUCT($H$25:$Q$25,IF(ISNUMBER($H$4:$Q$4),(1+$AB42)^-$H$4:$Q$4,1))+(AC$39*$S$39)*MIN(IF(ISNUMBER($H$4:$Q$4),(1+$AB42)^-$H$4:$Q$4,1))+$E$46</f>
        <v>#VALUE!</v>
      </c>
      <c r="AD42" s="517" t="e" cm="1">
        <f t="array" aca="1" ref="AD42" ca="1">SUMPRODUCT($H$25:$Q$25,IF(ISNUMBER($H$4:$Q$4),(1+$AB42)^-$H$4:$Q$4,1))+(AD$39*$S$39)*MIN(IF(ISNUMBER($H$4:$Q$4),(1+$AB42)^-$H$4:$Q$4,1))+$E$46</f>
        <v>#VALUE!</v>
      </c>
      <c r="AE42" s="645" t="e" cm="1">
        <f t="array" aca="1" ref="AE42" ca="1">SUMPRODUCT($H$25:$Q$25,IF(ISNUMBER($H$4:$Q$4),(1+$AB42)^-$H$4:$Q$4,1))+(AE$39*$S$39)*MIN(IF(ISNUMBER($H$4:$Q$4),(1+$AB42)^-$H$4:$Q$4,1))+$E$46</f>
        <v>#VALUE!</v>
      </c>
      <c r="AF42" s="645" t="e" cm="1">
        <f t="array" aca="1" ref="AF42" ca="1">SUMPRODUCT($H$25:$Q$25,IF(ISNUMBER($H$4:$Q$4),(1+$AB42)^-$H$4:$Q$4,1))+(AF$39*$S$39)*MIN(IF(ISNUMBER($H$4:$Q$4),(1+$AB42)^-$H$4:$Q$4,1))+$E$46</f>
        <v>#VALUE!</v>
      </c>
      <c r="AG42" s="646" t="e" cm="1">
        <f t="array" aca="1" ref="AG42" ca="1">SUMPRODUCT($H$25:$Q$25,IF(ISNUMBER($H$4:$Q$4),(1+$AB42)^-$H$4:$Q$4,1))+(AG$39*$S$39)*MIN(IF(ISNUMBER($H$4:$Q$4),(1+$AB42)^-$H$4:$Q$4,1))+$E$46</f>
        <v>#VALUE!</v>
      </c>
      <c r="AH42" s="645" t="e" cm="1">
        <f t="array" aca="1" ref="AH42" ca="1">SUMPRODUCT($H$25:$Q$25,IF(ISNUMBER($H$4:$Q$4),(1+$AB42)^-$H$4:$Q$4,1))+(AH$39*$S$39)*MIN(IF(ISNUMBER($H$4:$Q$4),(1+$AB42)^-$H$4:$Q$4,1))+$E$46</f>
        <v>#VALUE!</v>
      </c>
      <c r="AI42" s="645" t="e" cm="1">
        <f t="array" aca="1" ref="AI42" ca="1">SUMPRODUCT($H$25:$Q$25,IF(ISNUMBER($H$4:$Q$4),(1+$AB42)^-$H$4:$Q$4,1))+(AI$39*$S$39)*MIN(IF(ISNUMBER($H$4:$Q$4),(1+$AB42)^-$H$4:$Q$4,1))+$E$46</f>
        <v>#VALUE!</v>
      </c>
      <c r="AJ42" s="517" t="e" cm="1">
        <f t="array" aca="1" ref="AJ42" ca="1">SUMPRODUCT($H$25:$Q$25,IF(ISNUMBER($H$4:$Q$4),(1+$AB42)^-$H$4:$Q$4,1))+(AJ$39*$S$39)*MIN(IF(ISNUMBER($H$4:$Q$4),(1+$AB42)^-$H$4:$Q$4,1))+$E$46</f>
        <v>#VALUE!</v>
      </c>
      <c r="AK42" s="517" t="e" cm="1">
        <f t="array" aca="1" ref="AK42" ca="1">SUMPRODUCT($H$25:$Q$25,IF(ISNUMBER($H$4:$Q$4),(1+$AB42)^-$H$4:$Q$4,1))+(AK$39*$S$39)*MIN(IF(ISNUMBER($H$4:$Q$4),(1+$AB42)^-$H$4:$Q$4,1))+$E$46</f>
        <v>#VALUE!</v>
      </c>
    </row>
    <row r="43" spans="1:37">
      <c r="B43" s="1463" t="s">
        <v>671</v>
      </c>
      <c r="C43" s="1464"/>
      <c r="D43" s="1464"/>
      <c r="E43" s="1465" t="s">
        <v>622</v>
      </c>
      <c r="F43" s="1465"/>
      <c r="G43" s="1465" t="s">
        <v>381</v>
      </c>
      <c r="H43" s="1465"/>
      <c r="I43" s="1465" t="s">
        <v>380</v>
      </c>
      <c r="J43" s="611"/>
      <c r="K43" s="611"/>
      <c r="L43" s="611"/>
      <c r="M43" s="611"/>
      <c r="O43" s="626"/>
      <c r="AA43" s="1925"/>
      <c r="AB43" s="643">
        <f>AB44-0.5%</f>
        <v>7.6069811561101569E-2</v>
      </c>
      <c r="AC43" s="517" t="e" cm="1">
        <f t="array" aca="1" ref="AC43" ca="1">SUMPRODUCT($H$25:$Q$25,IF(ISNUMBER($H$4:$Q$4),(1+$AB43)^-$H$4:$Q$4,1))+(AC$39*$S$39)*MIN(IF(ISNUMBER($H$4:$Q$4),(1+$AB43)^-$H$4:$Q$4,1))+$E$46</f>
        <v>#VALUE!</v>
      </c>
      <c r="AD43" s="517" t="e" cm="1">
        <f t="array" aca="1" ref="AD43" ca="1">SUMPRODUCT($H$25:$Q$25,IF(ISNUMBER($H$4:$Q$4),(1+$AB43)^-$H$4:$Q$4,1))+(AD$39*$S$39)*MIN(IF(ISNUMBER($H$4:$Q$4),(1+$AB43)^-$H$4:$Q$4,1))+$E$46</f>
        <v>#VALUE!</v>
      </c>
      <c r="AE43" s="645" t="e" cm="1">
        <f t="array" aca="1" ref="AE43" ca="1">SUMPRODUCT($H$25:$Q$25,IF(ISNUMBER($H$4:$Q$4),(1+$AB43)^-$H$4:$Q$4,1))+(AE$39*$S$39)*MIN(IF(ISNUMBER($H$4:$Q$4),(1+$AB43)^-$H$4:$Q$4,1))+$E$46</f>
        <v>#VALUE!</v>
      </c>
      <c r="AF43" s="647" t="e" cm="1">
        <f t="array" aca="1" ref="AF43" ca="1">SUMPRODUCT($H$25:$Q$25,IF(ISNUMBER($H$4:$Q$4),(1+$AB43)^-$H$4:$Q$4,1))+(AF$39*$S$39)*MIN(IF(ISNUMBER($H$4:$Q$4),(1+$AB43)^-$H$4:$Q$4,1))+$E$46</f>
        <v>#VALUE!</v>
      </c>
      <c r="AG43" s="648" t="e" cm="1">
        <f t="array" aca="1" ref="AG43" ca="1">SUMPRODUCT($H$25:$Q$25,IF(ISNUMBER($H$4:$Q$4),(1+$AB43)^-$H$4:$Q$4,1))+(AG$39*$S$39)*MIN(IF(ISNUMBER($H$4:$Q$4),(1+$AB43)^-$H$4:$Q$4,1))+$E$46</f>
        <v>#VALUE!</v>
      </c>
      <c r="AH43" s="647" t="e" cm="1">
        <f t="array" aca="1" ref="AH43" ca="1">SUMPRODUCT($H$25:$Q$25,IF(ISNUMBER($H$4:$Q$4),(1+$AB43)^-$H$4:$Q$4,1))+(AH$39*$S$39)*MIN(IF(ISNUMBER($H$4:$Q$4),(1+$AB43)^-$H$4:$Q$4,1))+$E$46</f>
        <v>#VALUE!</v>
      </c>
      <c r="AI43" s="645" t="e" cm="1">
        <f t="array" aca="1" ref="AI43" ca="1">SUMPRODUCT($H$25:$Q$25,IF(ISNUMBER($H$4:$Q$4),(1+$AB43)^-$H$4:$Q$4,1))+(AI$39*$S$39)*MIN(IF(ISNUMBER($H$4:$Q$4),(1+$AB43)^-$H$4:$Q$4,1))+$E$46</f>
        <v>#VALUE!</v>
      </c>
      <c r="AJ43" s="517" t="e" cm="1">
        <f t="array" aca="1" ref="AJ43" ca="1">SUMPRODUCT($H$25:$Q$25,IF(ISNUMBER($H$4:$Q$4),(1+$AB43)^-$H$4:$Q$4,1))+(AJ$39*$S$39)*MIN(IF(ISNUMBER($H$4:$Q$4),(1+$AB43)^-$H$4:$Q$4,1))+$E$46</f>
        <v>#VALUE!</v>
      </c>
      <c r="AK43" s="517" t="e" cm="1">
        <f t="array" aca="1" ref="AK43" ca="1">SUMPRODUCT($H$25:$Q$25,IF(ISNUMBER($H$4:$Q$4),(1+$AB43)^-$H$4:$Q$4,1))+(AK$39*$S$39)*MIN(IF(ISNUMBER($H$4:$Q$4),(1+$AB43)^-$H$4:$Q$4,1))+$E$46</f>
        <v>#VALUE!</v>
      </c>
    </row>
    <row r="44" spans="1:37">
      <c r="B44" s="590" t="s">
        <v>601</v>
      </c>
      <c r="C44" s="627"/>
      <c r="D44" s="627"/>
      <c r="E44" s="661" t="e">
        <f ca="1">SUM($H$31:$S$31)</f>
        <v>#VALUE!</v>
      </c>
      <c r="F44" s="611"/>
      <c r="G44" s="661" t="e">
        <f ca="1">SUM($H$36:$S$36)</f>
        <v>#VALUE!</v>
      </c>
      <c r="H44" s="611"/>
      <c r="I44" s="661" t="e">
        <f ca="1">SUM($H$41:$S$41)</f>
        <v>#VALUE!</v>
      </c>
      <c r="J44" s="611"/>
      <c r="K44" s="611"/>
      <c r="L44" s="611"/>
      <c r="M44" s="611"/>
      <c r="O44" s="626"/>
      <c r="AA44" s="1925"/>
      <c r="AB44" s="649">
        <f>$V$25</f>
        <v>8.1069811561101573E-2</v>
      </c>
      <c r="AC44" s="650" t="e" cm="1">
        <f t="array" aca="1" ref="AC44" ca="1">SUMPRODUCT($H$25:$Q$25,IF(ISNUMBER($H$4:$Q$4),(1+$AB44)^-$H$4:$Q$4,1))+(AC$39*$S$39)*MIN(IF(ISNUMBER($H$4:$Q$4),(1+$AB44)^-$H$4:$Q$4,1))+$E$46</f>
        <v>#VALUE!</v>
      </c>
      <c r="AD44" s="650" t="e" cm="1">
        <f t="array" aca="1" ref="AD44" ca="1">SUMPRODUCT($H$25:$Q$25,IF(ISNUMBER($H$4:$Q$4),(1+$AB44)^-$H$4:$Q$4,1))+(AD$39*$S$39)*MIN(IF(ISNUMBER($H$4:$Q$4),(1+$AB44)^-$H$4:$Q$4,1))+$E$46</f>
        <v>#VALUE!</v>
      </c>
      <c r="AE44" s="651" t="e" cm="1">
        <f t="array" aca="1" ref="AE44" ca="1">SUMPRODUCT($H$25:$Q$25,IF(ISNUMBER($H$4:$Q$4),(1+$AB44)^-$H$4:$Q$4,1))+(AE$39*$S$39)*MIN(IF(ISNUMBER($H$4:$Q$4),(1+$AB44)^-$H$4:$Q$4,1))+$E$46</f>
        <v>#VALUE!</v>
      </c>
      <c r="AF44" s="652" t="e" cm="1">
        <f t="array" aca="1" ref="AF44" ca="1">SUMPRODUCT($H$25:$Q$25,IF(ISNUMBER($H$4:$Q$4),(1+$AB44)^-$H$4:$Q$4,1))+(AF$39*$S$39)*MIN(IF(ISNUMBER($H$4:$Q$4),(1+$AB44)^-$H$4:$Q$4,1))+$E$46</f>
        <v>#VALUE!</v>
      </c>
      <c r="AG44" s="653" t="e" cm="1">
        <f t="array" aca="1" ref="AG44" ca="1">SUMPRODUCT($H$25:$Q$25,IF(ISNUMBER($H$4:$Q$4),(1+$AB44)^-$H$4:$Q$4,1))+(AG$39*$S$39)*MIN(IF(ISNUMBER($H$4:$Q$4),(1+$AB44)^-$H$4:$Q$4,1))+$E$46</f>
        <v>#VALUE!</v>
      </c>
      <c r="AH44" s="652" t="e" cm="1">
        <f t="array" aca="1" ref="AH44" ca="1">SUMPRODUCT($H$25:$Q$25,IF(ISNUMBER($H$4:$Q$4),(1+$AB44)^-$H$4:$Q$4,1))+(AH$39*$S$39)*MIN(IF(ISNUMBER($H$4:$Q$4),(1+$AB44)^-$H$4:$Q$4,1))+$E$46</f>
        <v>#VALUE!</v>
      </c>
      <c r="AI44" s="651" t="e" cm="1">
        <f t="array" aca="1" ref="AI44" ca="1">SUMPRODUCT($H$25:$Q$25,IF(ISNUMBER($H$4:$Q$4),(1+$AB44)^-$H$4:$Q$4,1))+(AI$39*$S$39)*MIN(IF(ISNUMBER($H$4:$Q$4),(1+$AB44)^-$H$4:$Q$4,1))+$E$46</f>
        <v>#VALUE!</v>
      </c>
      <c r="AJ44" s="650" t="e" cm="1">
        <f t="array" aca="1" ref="AJ44" ca="1">SUMPRODUCT($H$25:$Q$25,IF(ISNUMBER($H$4:$Q$4),(1+$AB44)^-$H$4:$Q$4,1))+(AJ$39*$S$39)*MIN(IF(ISNUMBER($H$4:$Q$4),(1+$AB44)^-$H$4:$Q$4,1))+$E$46</f>
        <v>#VALUE!</v>
      </c>
      <c r="AK44" s="650" t="e" cm="1">
        <f t="array" aca="1" ref="AK44" ca="1">SUMPRODUCT($H$25:$Q$25,IF(ISNUMBER($H$4:$Q$4),(1+$AB44)^-$H$4:$Q$4,1))+(AK$39*$S$39)*MIN(IF(ISNUMBER($H$4:$Q$4),(1+$AB44)^-$H$4:$Q$4,1))+$E$46</f>
        <v>#VALUE!</v>
      </c>
    </row>
    <row r="45" spans="1:37">
      <c r="B45" s="628" t="s">
        <v>672</v>
      </c>
      <c r="C45" s="629"/>
      <c r="D45" s="629"/>
      <c r="E45" s="662" t="e">
        <f ca="1">S31/E44</f>
        <v>#VALUE!</v>
      </c>
      <c r="F45" s="630"/>
      <c r="G45" s="662" t="e">
        <f ca="1">S36/G44</f>
        <v>#VALUE!</v>
      </c>
      <c r="H45" s="630"/>
      <c r="I45" s="662" t="e">
        <f ca="1">S41/I44</f>
        <v>#VALUE!</v>
      </c>
      <c r="J45" s="611"/>
      <c r="K45" s="611"/>
      <c r="L45" s="611"/>
      <c r="M45" s="611"/>
      <c r="O45" s="626"/>
      <c r="AA45" s="1925"/>
      <c r="AB45" s="643">
        <f>AB44+0.5%</f>
        <v>8.6069811561101578E-2</v>
      </c>
      <c r="AC45" s="517" t="e" cm="1">
        <f t="array" aca="1" ref="AC45" ca="1">SUMPRODUCT($H$25:$Q$25,IF(ISNUMBER($H$4:$Q$4),(1+$AB45)^-$H$4:$Q$4,1))+(AC$39*$S$39)*MIN(IF(ISNUMBER($H$4:$Q$4),(1+$AB45)^-$H$4:$Q$4,1))+$E$46</f>
        <v>#VALUE!</v>
      </c>
      <c r="AD45" s="517" t="e" cm="1">
        <f t="array" aca="1" ref="AD45" ca="1">SUMPRODUCT($H$25:$Q$25,IF(ISNUMBER($H$4:$Q$4),(1+$AB45)^-$H$4:$Q$4,1))+(AD$39*$S$39)*MIN(IF(ISNUMBER($H$4:$Q$4),(1+$AB45)^-$H$4:$Q$4,1))+$E$46</f>
        <v>#VALUE!</v>
      </c>
      <c r="AE45" s="645" t="e" cm="1">
        <f t="array" aca="1" ref="AE45" ca="1">SUMPRODUCT($H$25:$Q$25,IF(ISNUMBER($H$4:$Q$4),(1+$AB45)^-$H$4:$Q$4,1))+(AE$39*$S$39)*MIN(IF(ISNUMBER($H$4:$Q$4),(1+$AB45)^-$H$4:$Q$4,1))+$E$46</f>
        <v>#VALUE!</v>
      </c>
      <c r="AF45" s="647" t="e" cm="1">
        <f t="array" aca="1" ref="AF45" ca="1">SUMPRODUCT($H$25:$Q$25,IF(ISNUMBER($H$4:$Q$4),(1+$AB45)^-$H$4:$Q$4,1))+(AF$39*$S$39)*MIN(IF(ISNUMBER($H$4:$Q$4),(1+$AB45)^-$H$4:$Q$4,1))+$E$46</f>
        <v>#VALUE!</v>
      </c>
      <c r="AG45" s="648" t="e" cm="1">
        <f t="array" aca="1" ref="AG45" ca="1">SUMPRODUCT($H$25:$Q$25,IF(ISNUMBER($H$4:$Q$4),(1+$AB45)^-$H$4:$Q$4,1))+(AG$39*$S$39)*MIN(IF(ISNUMBER($H$4:$Q$4),(1+$AB45)^-$H$4:$Q$4,1))+$E$46</f>
        <v>#VALUE!</v>
      </c>
      <c r="AH45" s="647" t="e" cm="1">
        <f t="array" aca="1" ref="AH45" ca="1">SUMPRODUCT($H$25:$Q$25,IF(ISNUMBER($H$4:$Q$4),(1+$AB45)^-$H$4:$Q$4,1))+(AH$39*$S$39)*MIN(IF(ISNUMBER($H$4:$Q$4),(1+$AB45)^-$H$4:$Q$4,1))+$E$46</f>
        <v>#VALUE!</v>
      </c>
      <c r="AI45" s="645" t="e" cm="1">
        <f t="array" aca="1" ref="AI45" ca="1">SUMPRODUCT($H$25:$Q$25,IF(ISNUMBER($H$4:$Q$4),(1+$AB45)^-$H$4:$Q$4,1))+(AI$39*$S$39)*MIN(IF(ISNUMBER($H$4:$Q$4),(1+$AB45)^-$H$4:$Q$4,1))+$E$46</f>
        <v>#VALUE!</v>
      </c>
      <c r="AJ45" s="517" t="e" cm="1">
        <f t="array" aca="1" ref="AJ45" ca="1">SUMPRODUCT($H$25:$Q$25,IF(ISNUMBER($H$4:$Q$4),(1+$AB45)^-$H$4:$Q$4,1))+(AJ$39*$S$39)*MIN(IF(ISNUMBER($H$4:$Q$4),(1+$AB45)^-$H$4:$Q$4,1))+$E$46</f>
        <v>#VALUE!</v>
      </c>
      <c r="AK45" s="517" t="e" cm="1">
        <f t="array" aca="1" ref="AK45" ca="1">SUMPRODUCT($H$25:$Q$25,IF(ISNUMBER($H$4:$Q$4),(1+$AB45)^-$H$4:$Q$4,1))+(AK$39*$S$39)*MIN(IF(ISNUMBER($H$4:$Q$4),(1+$AB45)^-$H$4:$Q$4,1))+$E$46</f>
        <v>#VALUE!</v>
      </c>
    </row>
    <row r="46" spans="1:37" s="1" customFormat="1">
      <c r="A46" s="100"/>
      <c r="B46" s="631" t="s">
        <v>673</v>
      </c>
      <c r="C46" s="631"/>
      <c r="D46" s="631"/>
      <c r="E46" s="663" t="e">
        <f>'WC&amp;ND'!$H$58</f>
        <v>#VALUE!</v>
      </c>
      <c r="F46" s="632"/>
      <c r="G46" s="663" t="e">
        <f>'WC&amp;ND'!$H$58</f>
        <v>#VALUE!</v>
      </c>
      <c r="H46" s="632"/>
      <c r="I46" s="663" t="e">
        <f>'WC&amp;ND'!$H$58</f>
        <v>#VALUE!</v>
      </c>
      <c r="J46" s="591"/>
      <c r="K46" s="591"/>
      <c r="L46" s="591"/>
      <c r="M46" s="591"/>
      <c r="O46" s="633"/>
      <c r="AA46" s="1925"/>
      <c r="AB46" s="643">
        <f t="shared" ref="AB46:AB49" si="20">AB45+0.5%</f>
        <v>9.1069811561101582E-2</v>
      </c>
      <c r="AC46" s="517" t="e" cm="1">
        <f t="array" aca="1" ref="AC46" ca="1">SUMPRODUCT($H$25:$Q$25,IF(ISNUMBER($H$4:$Q$4),(1+$AB46)^-$H$4:$Q$4,1))+(AC$39*$S$39)*MIN(IF(ISNUMBER($H$4:$Q$4),(1+$AB46)^-$H$4:$Q$4,1))+$E$46</f>
        <v>#VALUE!</v>
      </c>
      <c r="AD46" s="517" t="e" cm="1">
        <f t="array" aca="1" ref="AD46" ca="1">SUMPRODUCT($H$25:$Q$25,IF(ISNUMBER($H$4:$Q$4),(1+$AB46)^-$H$4:$Q$4,1))+(AD$39*$S$39)*MIN(IF(ISNUMBER($H$4:$Q$4),(1+$AB46)^-$H$4:$Q$4,1))+$E$46</f>
        <v>#VALUE!</v>
      </c>
      <c r="AE46" s="645" t="e" cm="1">
        <f t="array" aca="1" ref="AE46" ca="1">SUMPRODUCT($H$25:$Q$25,IF(ISNUMBER($H$4:$Q$4),(1+$AB46)^-$H$4:$Q$4,1))+(AE$39*$S$39)*MIN(IF(ISNUMBER($H$4:$Q$4),(1+$AB46)^-$H$4:$Q$4,1))+$E$46</f>
        <v>#VALUE!</v>
      </c>
      <c r="AF46" s="645" t="e" cm="1">
        <f t="array" aca="1" ref="AF46" ca="1">SUMPRODUCT($H$25:$Q$25,IF(ISNUMBER($H$4:$Q$4),(1+$AB46)^-$H$4:$Q$4,1))+(AF$39*$S$39)*MIN(IF(ISNUMBER($H$4:$Q$4),(1+$AB46)^-$H$4:$Q$4,1))+$E$46</f>
        <v>#VALUE!</v>
      </c>
      <c r="AG46" s="646" t="e" cm="1">
        <f t="array" aca="1" ref="AG46" ca="1">SUMPRODUCT($H$25:$Q$25,IF(ISNUMBER($H$4:$Q$4),(1+$AB46)^-$H$4:$Q$4,1))+(AG$39*$S$39)*MIN(IF(ISNUMBER($H$4:$Q$4),(1+$AB46)^-$H$4:$Q$4,1))+$E$46</f>
        <v>#VALUE!</v>
      </c>
      <c r="AH46" s="645" t="e" cm="1">
        <f t="array" aca="1" ref="AH46" ca="1">SUMPRODUCT($H$25:$Q$25,IF(ISNUMBER($H$4:$Q$4),(1+$AB46)^-$H$4:$Q$4,1))+(AH$39*$S$39)*MIN(IF(ISNUMBER($H$4:$Q$4),(1+$AB46)^-$H$4:$Q$4,1))+$E$46</f>
        <v>#VALUE!</v>
      </c>
      <c r="AI46" s="645" t="e" cm="1">
        <f t="array" aca="1" ref="AI46" ca="1">SUMPRODUCT($H$25:$Q$25,IF(ISNUMBER($H$4:$Q$4),(1+$AB46)^-$H$4:$Q$4,1))+(AI$39*$S$39)*MIN(IF(ISNUMBER($H$4:$Q$4),(1+$AB46)^-$H$4:$Q$4,1))+$E$46</f>
        <v>#VALUE!</v>
      </c>
      <c r="AJ46" s="517" t="e" cm="1">
        <f t="array" aca="1" ref="AJ46" ca="1">SUMPRODUCT($H$25:$Q$25,IF(ISNUMBER($H$4:$Q$4),(1+$AB46)^-$H$4:$Q$4,1))+(AJ$39*$S$39)*MIN(IF(ISNUMBER($H$4:$Q$4),(1+$AB46)^-$H$4:$Q$4,1))+$E$46</f>
        <v>#VALUE!</v>
      </c>
      <c r="AK46" s="517" t="e" cm="1">
        <f t="array" aca="1" ref="AK46" ca="1">SUMPRODUCT($H$25:$Q$25,IF(ISNUMBER($H$4:$Q$4),(1+$AB46)^-$H$4:$Q$4,1))+(AK$39*$S$39)*MIN(IF(ISNUMBER($H$4:$Q$4),(1+$AB46)^-$H$4:$Q$4,1))+$E$46</f>
        <v>#VALUE!</v>
      </c>
    </row>
    <row r="47" spans="1:37" ht="13.5" thickBot="1">
      <c r="G47" s="574"/>
      <c r="K47" s="634"/>
      <c r="L47" s="591"/>
      <c r="M47" s="591"/>
      <c r="O47" s="626"/>
      <c r="S47" s="556"/>
      <c r="AA47" s="1925"/>
      <c r="AB47" s="643">
        <f t="shared" si="20"/>
        <v>9.6069811561101587E-2</v>
      </c>
      <c r="AC47" s="517" t="e" cm="1">
        <f t="array" aca="1" ref="AC47" ca="1">SUMPRODUCT($H$25:$Q$25,IF(ISNUMBER($H$4:$Q$4),(1+$AB47)^-$H$4:$Q$4,1))+(AC$39*$S$39)*MIN(IF(ISNUMBER($H$4:$Q$4),(1+$AB47)^-$H$4:$Q$4,1))+$E$46</f>
        <v>#VALUE!</v>
      </c>
      <c r="AD47" s="517" t="e" cm="1">
        <f t="array" aca="1" ref="AD47" ca="1">SUMPRODUCT($H$25:$Q$25,IF(ISNUMBER($H$4:$Q$4),(1+$AB47)^-$H$4:$Q$4,1))+(AD$39*$S$39)*MIN(IF(ISNUMBER($H$4:$Q$4),(1+$AB47)^-$H$4:$Q$4,1))+$E$46</f>
        <v>#VALUE!</v>
      </c>
      <c r="AE47" s="517" t="e" cm="1">
        <f t="array" aca="1" ref="AE47" ca="1">SUMPRODUCT($H$25:$Q$25,IF(ISNUMBER($H$4:$Q$4),(1+$AB47)^-$H$4:$Q$4,1))+(AE$39*$S$39)*MIN(IF(ISNUMBER($H$4:$Q$4),(1+$AB47)^-$H$4:$Q$4,1))+$E$46</f>
        <v>#VALUE!</v>
      </c>
      <c r="AF47" s="517" t="e" cm="1">
        <f t="array" aca="1" ref="AF47" ca="1">SUMPRODUCT($H$25:$Q$25,IF(ISNUMBER($H$4:$Q$4),(1+$AB47)^-$H$4:$Q$4,1))+(AF$39*$S$39)*MIN(IF(ISNUMBER($H$4:$Q$4),(1+$AB47)^-$H$4:$Q$4,1))+$E$46</f>
        <v>#VALUE!</v>
      </c>
      <c r="AG47" s="644" t="e" cm="1">
        <f t="array" aca="1" ref="AG47" ca="1">SUMPRODUCT($H$25:$Q$25,IF(ISNUMBER($H$4:$Q$4),(1+$AB47)^-$H$4:$Q$4,1))+(AG$39*$S$39)*MIN(IF(ISNUMBER($H$4:$Q$4),(1+$AB47)^-$H$4:$Q$4,1))+$E$46</f>
        <v>#VALUE!</v>
      </c>
      <c r="AH47" s="517" t="e" cm="1">
        <f t="array" aca="1" ref="AH47" ca="1">SUMPRODUCT($H$25:$Q$25,IF(ISNUMBER($H$4:$Q$4),(1+$AB47)^-$H$4:$Q$4,1))+(AH$39*$S$39)*MIN(IF(ISNUMBER($H$4:$Q$4),(1+$AB47)^-$H$4:$Q$4,1))+$E$46</f>
        <v>#VALUE!</v>
      </c>
      <c r="AI47" s="517" t="e" cm="1">
        <f t="array" aca="1" ref="AI47" ca="1">SUMPRODUCT($H$25:$Q$25,IF(ISNUMBER($H$4:$Q$4),(1+$AB47)^-$H$4:$Q$4,1))+(AI$39*$S$39)*MIN(IF(ISNUMBER($H$4:$Q$4),(1+$AB47)^-$H$4:$Q$4,1))+$E$46</f>
        <v>#VALUE!</v>
      </c>
      <c r="AJ47" s="517" t="e" cm="1">
        <f t="array" aca="1" ref="AJ47" ca="1">SUMPRODUCT($H$25:$Q$25,IF(ISNUMBER($H$4:$Q$4),(1+$AB47)^-$H$4:$Q$4,1))+(AJ$39*$S$39)*MIN(IF(ISNUMBER($H$4:$Q$4),(1+$AB47)^-$H$4:$Q$4,1))+$E$46</f>
        <v>#VALUE!</v>
      </c>
      <c r="AK47" s="517" t="e" cm="1">
        <f t="array" aca="1" ref="AK47" ca="1">SUMPRODUCT($H$25:$Q$25,IF(ISNUMBER($H$4:$Q$4),(1+$AB47)^-$H$4:$Q$4,1))+(AK$39*$S$39)*MIN(IF(ISNUMBER($H$4:$Q$4),(1+$AB47)^-$H$4:$Q$4,1))+$E$46</f>
        <v>#VALUE!</v>
      </c>
    </row>
    <row r="48" spans="1:37" ht="13.5" thickBot="1">
      <c r="B48" s="590" t="s">
        <v>603</v>
      </c>
      <c r="E48" s="664" t="e">
        <f ca="1">E44+E46</f>
        <v>#VALUE!</v>
      </c>
      <c r="G48" s="664" t="e">
        <f ca="1">G44+G46</f>
        <v>#VALUE!</v>
      </c>
      <c r="H48" s="590"/>
      <c r="I48" s="664" t="e">
        <f ca="1">I44+I46</f>
        <v>#VALUE!</v>
      </c>
      <c r="K48" s="198"/>
      <c r="L48" s="635"/>
      <c r="M48" s="635"/>
      <c r="O48" s="636"/>
      <c r="S48" s="556"/>
      <c r="AA48" s="1925"/>
      <c r="AB48" s="643">
        <f t="shared" si="20"/>
        <v>0.10106981156110159</v>
      </c>
      <c r="AC48" s="517" t="e" cm="1">
        <f t="array" aca="1" ref="AC48" ca="1">SUMPRODUCT($H$25:$Q$25,IF(ISNUMBER($H$4:$Q$4),(1+$AB48)^-$H$4:$Q$4,1))+(AC$39*$S$39)*MIN(IF(ISNUMBER($H$4:$Q$4),(1+$AB48)^-$H$4:$Q$4,1))+$E$46</f>
        <v>#VALUE!</v>
      </c>
      <c r="AD48" s="517" t="e" cm="1">
        <f t="array" aca="1" ref="AD48" ca="1">SUMPRODUCT($H$25:$Q$25,IF(ISNUMBER($H$4:$Q$4),(1+$AB48)^-$H$4:$Q$4,1))+(AD$39*$S$39)*MIN(IF(ISNUMBER($H$4:$Q$4),(1+$AB48)^-$H$4:$Q$4,1))+$E$46</f>
        <v>#VALUE!</v>
      </c>
      <c r="AE48" s="517" t="e" cm="1">
        <f t="array" aca="1" ref="AE48" ca="1">SUMPRODUCT($H$25:$Q$25,IF(ISNUMBER($H$4:$Q$4),(1+$AB48)^-$H$4:$Q$4,1))+(AE$39*$S$39)*MIN(IF(ISNUMBER($H$4:$Q$4),(1+$AB48)^-$H$4:$Q$4,1))+$E$46</f>
        <v>#VALUE!</v>
      </c>
      <c r="AF48" s="517" t="e" cm="1">
        <f t="array" aca="1" ref="AF48" ca="1">SUMPRODUCT($H$25:$Q$25,IF(ISNUMBER($H$4:$Q$4),(1+$AB48)^-$H$4:$Q$4,1))+(AF$39*$S$39)*MIN(IF(ISNUMBER($H$4:$Q$4),(1+$AB48)^-$H$4:$Q$4,1))+$E$46</f>
        <v>#VALUE!</v>
      </c>
      <c r="AG48" s="644" t="e" cm="1">
        <f t="array" aca="1" ref="AG48" ca="1">SUMPRODUCT($H$25:$Q$25,IF(ISNUMBER($H$4:$Q$4),(1+$AB48)^-$H$4:$Q$4,1))+(AG$39*$S$39)*MIN(IF(ISNUMBER($H$4:$Q$4),(1+$AB48)^-$H$4:$Q$4,1))+$E$46</f>
        <v>#VALUE!</v>
      </c>
      <c r="AH48" s="517" t="e" cm="1">
        <f t="array" aca="1" ref="AH48" ca="1">SUMPRODUCT($H$25:$Q$25,IF(ISNUMBER($H$4:$Q$4),(1+$AB48)^-$H$4:$Q$4,1))+(AH$39*$S$39)*MIN(IF(ISNUMBER($H$4:$Q$4),(1+$AB48)^-$H$4:$Q$4,1))+$E$46</f>
        <v>#VALUE!</v>
      </c>
      <c r="AI48" s="517" t="e" cm="1">
        <f t="array" aca="1" ref="AI48" ca="1">SUMPRODUCT($H$25:$Q$25,IF(ISNUMBER($H$4:$Q$4),(1+$AB48)^-$H$4:$Q$4,1))+(AI$39*$S$39)*MIN(IF(ISNUMBER($H$4:$Q$4),(1+$AB48)^-$H$4:$Q$4,1))+$E$46</f>
        <v>#VALUE!</v>
      </c>
      <c r="AJ48" s="517" t="e" cm="1">
        <f t="array" aca="1" ref="AJ48" ca="1">SUMPRODUCT($H$25:$Q$25,IF(ISNUMBER($H$4:$Q$4),(1+$AB48)^-$H$4:$Q$4,1))+(AJ$39*$S$39)*MIN(IF(ISNUMBER($H$4:$Q$4),(1+$AB48)^-$H$4:$Q$4,1))+$E$46</f>
        <v>#VALUE!</v>
      </c>
      <c r="AK48" s="517" t="e" cm="1">
        <f t="array" aca="1" ref="AK48" ca="1">SUMPRODUCT($H$25:$Q$25,IF(ISNUMBER($H$4:$Q$4),(1+$AB48)^-$H$4:$Q$4,1))+(AK$39*$S$39)*MIN(IF(ISNUMBER($H$4:$Q$4),(1+$AB48)^-$H$4:$Q$4,1))+$E$46</f>
        <v>#VALUE!</v>
      </c>
    </row>
    <row r="49" spans="2:37">
      <c r="B49" s="590"/>
      <c r="E49" s="635"/>
      <c r="G49" s="590"/>
      <c r="H49" s="635"/>
      <c r="K49" s="635"/>
      <c r="L49" s="635"/>
      <c r="M49" s="635"/>
      <c r="O49" s="636"/>
      <c r="S49" s="556"/>
      <c r="AA49" s="1925"/>
      <c r="AB49" s="643">
        <f t="shared" si="20"/>
        <v>0.1060698115611016</v>
      </c>
      <c r="AC49" s="517" t="e" cm="1">
        <f t="array" aca="1" ref="AC49" ca="1">SUMPRODUCT($H$25:$Q$25,IF(ISNUMBER($H$4:$Q$4),(1+$AB49)^-$H$4:$Q$4,1))+(AC$39*$S$39)*MIN(IF(ISNUMBER($H$4:$Q$4),(1+$AB49)^-$H$4:$Q$4,1))+$E$46</f>
        <v>#VALUE!</v>
      </c>
      <c r="AD49" s="517" t="e" cm="1">
        <f t="array" aca="1" ref="AD49" ca="1">SUMPRODUCT($H$25:$Q$25,IF(ISNUMBER($H$4:$Q$4),(1+$AB49)^-$H$4:$Q$4,1))+(AD$39*$S$39)*MIN(IF(ISNUMBER($H$4:$Q$4),(1+$AB49)^-$H$4:$Q$4,1))+$E$46</f>
        <v>#VALUE!</v>
      </c>
      <c r="AE49" s="517" t="e" cm="1">
        <f t="array" aca="1" ref="AE49" ca="1">SUMPRODUCT($H$25:$Q$25,IF(ISNUMBER($H$4:$Q$4),(1+$AB49)^-$H$4:$Q$4,1))+(AE$39*$S$39)*MIN(IF(ISNUMBER($H$4:$Q$4),(1+$AB49)^-$H$4:$Q$4,1))+$E$46</f>
        <v>#VALUE!</v>
      </c>
      <c r="AF49" s="517" t="e" cm="1">
        <f t="array" aca="1" ref="AF49" ca="1">SUMPRODUCT($H$25:$Q$25,IF(ISNUMBER($H$4:$Q$4),(1+$AB49)^-$H$4:$Q$4,1))+(AF$39*$S$39)*MIN(IF(ISNUMBER($H$4:$Q$4),(1+$AB49)^-$H$4:$Q$4,1))+$E$46</f>
        <v>#VALUE!</v>
      </c>
      <c r="AG49" s="654" t="e" cm="1">
        <f t="array" aca="1" ref="AG49" ca="1">SUMPRODUCT($H$25:$Q$25,IF(ISNUMBER($H$4:$Q$4),(1+$AB49)^-$H$4:$Q$4,1))+(AG$39*$S$39)*MIN(IF(ISNUMBER($H$4:$Q$4),(1+$AB49)^-$H$4:$Q$4,1))+$E$46</f>
        <v>#VALUE!</v>
      </c>
      <c r="AH49" s="517" t="e" cm="1">
        <f t="array" aca="1" ref="AH49" ca="1">SUMPRODUCT($H$25:$Q$25,IF(ISNUMBER($H$4:$Q$4),(1+$AB49)^-$H$4:$Q$4,1))+(AH$39*$S$39)*MIN(IF(ISNUMBER($H$4:$Q$4),(1+$AB49)^-$H$4:$Q$4,1))+$E$46</f>
        <v>#VALUE!</v>
      </c>
      <c r="AI49" s="517" t="e" cm="1">
        <f t="array" aca="1" ref="AI49" ca="1">SUMPRODUCT($H$25:$Q$25,IF(ISNUMBER($H$4:$Q$4),(1+$AB49)^-$H$4:$Q$4,1))+(AI$39*$S$39)*MIN(IF(ISNUMBER($H$4:$Q$4),(1+$AB49)^-$H$4:$Q$4,1))+$E$46</f>
        <v>#VALUE!</v>
      </c>
      <c r="AJ49" s="517" t="e" cm="1">
        <f t="array" aca="1" ref="AJ49" ca="1">SUMPRODUCT($H$25:$Q$25,IF(ISNUMBER($H$4:$Q$4),(1+$AB49)^-$H$4:$Q$4,1))+(AJ$39*$S$39)*MIN(IF(ISNUMBER($H$4:$Q$4),(1+$AB49)^-$H$4:$Q$4,1))+$E$46</f>
        <v>#VALUE!</v>
      </c>
      <c r="AK49" s="517" t="e" cm="1">
        <f t="array" aca="1" ref="AK49" ca="1">SUMPRODUCT($H$25:$Q$25,IF(ISNUMBER($H$4:$Q$4),(1+$AB49)^-$H$4:$Q$4,1))+(AK$39*$S$39)*MIN(IF(ISNUMBER($H$4:$Q$4),(1+$AB49)^-$H$4:$Q$4,1))+$E$46</f>
        <v>#VALUE!</v>
      </c>
    </row>
    <row r="51" spans="2:37" ht="18" customHeight="1">
      <c r="B51" s="637"/>
    </row>
    <row r="52" spans="2:37" ht="12.75" customHeight="1">
      <c r="B52" s="637"/>
    </row>
    <row r="53" spans="2:37">
      <c r="H53" s="1168"/>
    </row>
    <row r="54" spans="2:37">
      <c r="B54" s="637"/>
    </row>
    <row r="59" spans="2:37" ht="12.75" customHeight="1"/>
  </sheetData>
  <sheetProtection formatCells="0" formatColumns="0" formatRows="0" insertRows="0"/>
  <mergeCells count="6">
    <mergeCell ref="AC38:AK38"/>
    <mergeCell ref="AA40:AA49"/>
    <mergeCell ref="AC24:AK24"/>
    <mergeCell ref="AA26:AA35"/>
    <mergeCell ref="AC10:AK10"/>
    <mergeCell ref="AA12:AA21"/>
  </mergeCells>
  <phoneticPr fontId="214" type="noConversion"/>
  <conditionalFormatting sqref="C32:L33 N32:N33 E34:Q35 C36:Q36 E37:Q37 C38:Q38 E39:Q39 C40:L40 O40 C41:Q41 C42:L42 O42:O45 E43:M45">
    <cfRule type="cellIs" dxfId="0" priority="10" operator="equal">
      <formula>0</formula>
    </cfRule>
  </conditionalFormatting>
  <dataValidations count="1">
    <dataValidation type="list" allowBlank="1" showInputMessage="1" showErrorMessage="1" sqref="Y12" xr:uid="{90D9B916-B3B1-4B01-82A8-B568F50E7F53}">
      <formula1>"Zinstragende Verbindlichkeiten, Gesamt Verbindl.,Risk Free Rate,0"</formula1>
    </dataValidation>
  </dataValidations>
  <printOptions horizontalCentered="1"/>
  <pageMargins left="0.23622047244094491" right="0.23622047244094491" top="0.74803149606299213" bottom="0.74803149606299213" header="0.31496062992125984" footer="0.31496062992125984"/>
  <pageSetup paperSize="9" scale="58" orientation="portrait" cellComments="asDisplayed" r:id="rId1"/>
  <headerFooter alignWithMargins="0"/>
  <ignoredErrors>
    <ignoredError sqref="AB20 S21 AB21" evalError="1"/>
    <ignoredError sqref="V20" evalError="1" unlockedFormula="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148" r:id="rId5" name="Button 4">
              <controlPr defaultSize="0" print="0" autoFill="0" autoPict="0" macro="[0]!Tabelle8.DoDCF_Click">
                <anchor moveWithCells="1" sizeWithCells="1">
                  <from>
                    <xdr:col>20</xdr:col>
                    <xdr:colOff>0</xdr:colOff>
                    <xdr:row>26</xdr:row>
                    <xdr:rowOff>76200</xdr:rowOff>
                  </from>
                  <to>
                    <xdr:col>22</xdr:col>
                    <xdr:colOff>19050</xdr:colOff>
                    <xdr:row>28</xdr:row>
                    <xdr:rowOff>114300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9">
    <tabColor rgb="FF0000FF"/>
    <pageSetUpPr fitToPage="1"/>
  </sheetPr>
  <dimension ref="A1:U43"/>
  <sheetViews>
    <sheetView workbookViewId="0"/>
  </sheetViews>
  <sheetFormatPr defaultColWidth="11.42578125" defaultRowHeight="12.75"/>
  <cols>
    <col min="1" max="1" width="5.7109375" style="525" customWidth="1"/>
    <col min="2" max="2" width="37.7109375" style="525" bestFit="1" customWidth="1"/>
    <col min="3" max="3" width="8.7109375" style="525" customWidth="1"/>
    <col min="4" max="4" width="11.42578125" style="525" customWidth="1"/>
    <col min="5" max="12" width="11.42578125" style="526" customWidth="1"/>
    <col min="13" max="17" width="2.140625" style="526" customWidth="1"/>
    <col min="18" max="18" width="5.42578125" style="526" customWidth="1"/>
    <col min="19" max="20" width="11" style="526" customWidth="1"/>
    <col min="21" max="16384" width="11.42578125" style="525"/>
  </cols>
  <sheetData>
    <row r="1" spans="2:19" ht="15" customHeight="1"/>
    <row r="2" spans="2:19" ht="18.75">
      <c r="B2" s="109" t="str">
        <f>Übersicht!C23</f>
        <v>Ertragswertverfahren (vereinf.)</v>
      </c>
    </row>
    <row r="4" spans="2:19">
      <c r="B4" s="1466" t="s">
        <v>620</v>
      </c>
      <c r="C4" s="1467">
        <v>0.59836065573770492</v>
      </c>
      <c r="D4" s="1433"/>
      <c r="E4" s="1434"/>
      <c r="F4" s="1434"/>
      <c r="G4" s="1434"/>
      <c r="H4" s="1435">
        <f ca="1">IF(YEAR(TODAY())&gt;H6,0,C4)</f>
        <v>0</v>
      </c>
      <c r="I4" s="1436">
        <f ca="1">IF(H4=0,C4,H4+1)</f>
        <v>0.59836065573770492</v>
      </c>
      <c r="J4" s="1436">
        <f t="shared" ref="J4:Q4" ca="1" si="0">IF(J6=" "," ",I4+1)</f>
        <v>1.598360655737705</v>
      </c>
      <c r="K4" s="1436">
        <f t="shared" ca="1" si="0"/>
        <v>2.598360655737705</v>
      </c>
      <c r="L4" s="1436">
        <f t="shared" ca="1" si="0"/>
        <v>3.598360655737705</v>
      </c>
      <c r="M4" s="1436" t="str">
        <f t="shared" ca="1" si="0"/>
        <v xml:space="preserve"> </v>
      </c>
      <c r="N4" s="1436" t="str">
        <f t="shared" ca="1" si="0"/>
        <v xml:space="preserve"> </v>
      </c>
      <c r="O4" s="1436" t="str">
        <f t="shared" ca="1" si="0"/>
        <v xml:space="preserve"> </v>
      </c>
      <c r="P4" s="1436" t="str">
        <f t="shared" ca="1" si="0"/>
        <v xml:space="preserve"> </v>
      </c>
      <c r="Q4" s="1436" t="str">
        <f t="shared" ca="1" si="0"/>
        <v xml:space="preserve"> </v>
      </c>
    </row>
    <row r="6" spans="2:19" s="528" customFormat="1">
      <c r="B6" s="527" t="s">
        <v>674</v>
      </c>
      <c r="C6" s="545" t="str">
        <f>Eckdaten!C14</f>
        <v>EUR</v>
      </c>
      <c r="D6" s="141">
        <f>+E6-1</f>
        <v>2021</v>
      </c>
      <c r="E6" s="141">
        <f>+F6-1</f>
        <v>2022</v>
      </c>
      <c r="F6" s="141">
        <f>+G6-1</f>
        <v>2023</v>
      </c>
      <c r="G6" s="141">
        <f>+Eckdaten!C12</f>
        <v>2024</v>
      </c>
      <c r="H6" s="143">
        <f>+G6+1</f>
        <v>2025</v>
      </c>
      <c r="I6" s="1492">
        <f>IF(Eckdaten!$C$20+Eckdaten!$C$12&gt;H6,H6+1," ")</f>
        <v>2026</v>
      </c>
      <c r="J6" s="1492">
        <f>IF(Eckdaten!$C$20+Eckdaten!$C$12&gt;I6,I6+1," ")</f>
        <v>2027</v>
      </c>
      <c r="K6" s="1492">
        <f>IF(Eckdaten!$C$20+Eckdaten!$C$12&gt;J6,J6+1," ")</f>
        <v>2028</v>
      </c>
      <c r="L6" s="1492">
        <f>IF(Eckdaten!$C$20+Eckdaten!$C$12&gt;K6,K6+1," ")</f>
        <v>2029</v>
      </c>
      <c r="M6" s="1492" t="str">
        <f>IF(Eckdaten!$C$20+Eckdaten!$C$12&gt;L6,L6+1," ")</f>
        <v xml:space="preserve"> </v>
      </c>
      <c r="N6" s="1492" t="str">
        <f>IF(Eckdaten!$C$20+Eckdaten!$C$12&gt;M6,M6+1," ")</f>
        <v xml:space="preserve"> </v>
      </c>
      <c r="O6" s="1492" t="str">
        <f>IF(Eckdaten!$C$20+Eckdaten!$C$12&gt;N6,N6+1," ")</f>
        <v xml:space="preserve"> </v>
      </c>
      <c r="P6" s="1492" t="str">
        <f>IF(Eckdaten!$C$20+Eckdaten!$C$12&gt;O6,O6+1," ")</f>
        <v xml:space="preserve"> </v>
      </c>
      <c r="Q6" s="1492" t="str">
        <f>IF(Eckdaten!$C$20+Eckdaten!$C$12&gt;P6,P6+1," ")</f>
        <v xml:space="preserve"> </v>
      </c>
      <c r="R6" s="1534"/>
      <c r="S6" s="1528" t="s">
        <v>622</v>
      </c>
    </row>
    <row r="7" spans="2:19">
      <c r="B7" s="529"/>
      <c r="C7" s="530"/>
      <c r="D7" s="127" t="s">
        <v>173</v>
      </c>
      <c r="E7" s="127" t="s">
        <v>173</v>
      </c>
      <c r="F7" s="127" t="s">
        <v>173</v>
      </c>
      <c r="G7" s="127" t="s">
        <v>173</v>
      </c>
      <c r="H7" s="128" t="s">
        <v>174</v>
      </c>
      <c r="I7" s="1493" t="str">
        <f>IF(I6=" "," ","P")</f>
        <v>P</v>
      </c>
      <c r="J7" s="1493" t="str">
        <f t="shared" ref="J7:Q7" si="1">IF(J6=" "," ","P")</f>
        <v>P</v>
      </c>
      <c r="K7" s="1493" t="str">
        <f t="shared" si="1"/>
        <v>P</v>
      </c>
      <c r="L7" s="1493" t="str">
        <f t="shared" si="1"/>
        <v>P</v>
      </c>
      <c r="M7" s="1493" t="str">
        <f t="shared" si="1"/>
        <v xml:space="preserve"> </v>
      </c>
      <c r="N7" s="1493" t="str">
        <f t="shared" si="1"/>
        <v xml:space="preserve"> </v>
      </c>
      <c r="O7" s="1493" t="str">
        <f t="shared" si="1"/>
        <v xml:space="preserve"> </v>
      </c>
      <c r="P7" s="1493" t="str">
        <f t="shared" si="1"/>
        <v xml:space="preserve"> </v>
      </c>
      <c r="Q7" s="1493" t="str">
        <f t="shared" si="1"/>
        <v xml:space="preserve"> </v>
      </c>
      <c r="R7" s="1535"/>
      <c r="S7" s="1529"/>
    </row>
    <row r="8" spans="2:19">
      <c r="H8" s="531"/>
      <c r="I8" s="531"/>
    </row>
    <row r="9" spans="2:19" s="528" customFormat="1">
      <c r="B9" s="528" t="s">
        <v>675</v>
      </c>
      <c r="C9" s="538" t="s">
        <v>604</v>
      </c>
      <c r="D9" s="546">
        <f>+'G&amp;V'!D8</f>
        <v>0</v>
      </c>
      <c r="E9" s="546">
        <f>+'G&amp;V'!E8</f>
        <v>38216485.956758939</v>
      </c>
      <c r="F9" s="546">
        <f>+'G&amp;V'!F8</f>
        <v>37396294.271356784</v>
      </c>
      <c r="G9" s="546">
        <f>+'G&amp;V'!G8</f>
        <v>34006908.524326496</v>
      </c>
      <c r="H9" s="547">
        <f>+'G&amp;V'!H8</f>
        <v>34687046.694813028</v>
      </c>
      <c r="I9" s="547">
        <f>IF(I6=" ",0,'G&amp;V'!I8)</f>
        <v>0</v>
      </c>
      <c r="J9" s="546">
        <f>IF(J6=" ",0,'G&amp;V'!J8)</f>
        <v>0</v>
      </c>
      <c r="K9" s="546">
        <f>IF(K6=" ",0,'G&amp;V'!K8)</f>
        <v>0</v>
      </c>
      <c r="L9" s="546">
        <f>IF(L6=" ",0,'G&amp;V'!L8)</f>
        <v>0</v>
      </c>
      <c r="M9" s="546">
        <f>IF(M6=" ",0,'G&amp;V'!M8)</f>
        <v>0</v>
      </c>
      <c r="N9" s="546">
        <f>IF(N6=" ",0,'G&amp;V'!N8)</f>
        <v>0</v>
      </c>
      <c r="O9" s="546">
        <f>IF(O6=" ",0,'G&amp;V'!O8)</f>
        <v>0</v>
      </c>
      <c r="P9" s="546">
        <f>IF(P6=" ",0,'G&amp;V'!P8)</f>
        <v>0</v>
      </c>
      <c r="Q9" s="546">
        <f>IF(Q6=" ",0,'G&amp;V'!Q8)</f>
        <v>0</v>
      </c>
      <c r="R9" s="532"/>
      <c r="S9" s="546" t="e" cm="1">
        <f t="array" ref="S9">LOOKUP(2,1/(I9:Q9&lt;&gt;0),I9:Q9)</f>
        <v>#N/A</v>
      </c>
    </row>
    <row r="10" spans="2:19">
      <c r="C10" s="538"/>
      <c r="D10" s="533"/>
      <c r="E10" s="533"/>
      <c r="F10" s="533"/>
      <c r="H10" s="534"/>
      <c r="I10" s="534"/>
      <c r="J10" s="533"/>
      <c r="K10" s="533"/>
      <c r="L10" s="533"/>
      <c r="M10" s="533"/>
      <c r="N10" s="533"/>
      <c r="O10" s="533"/>
      <c r="P10" s="533"/>
      <c r="Q10" s="533"/>
      <c r="R10" s="533"/>
      <c r="S10" s="533"/>
    </row>
    <row r="11" spans="2:19">
      <c r="B11" s="528" t="s">
        <v>381</v>
      </c>
      <c r="C11" s="538" t="s">
        <v>604</v>
      </c>
      <c r="D11" s="546">
        <f>+'G&amp;V'!D40</f>
        <v>0</v>
      </c>
      <c r="E11" s="546">
        <f>+'G&amp;V'!E40</f>
        <v>2496145.4839361529</v>
      </c>
      <c r="F11" s="546">
        <f>+'G&amp;V'!F40</f>
        <v>1744048.4422110496</v>
      </c>
      <c r="G11" s="546">
        <f>+'G&amp;V'!G40</f>
        <v>551871.53196622583</v>
      </c>
      <c r="H11" s="547">
        <f>+'G&amp;V'!H40</f>
        <v>971548.61223384365</v>
      </c>
      <c r="I11" s="547">
        <f>IF(I6=" ",0,'G&amp;V'!I40)</f>
        <v>0</v>
      </c>
      <c r="J11" s="546">
        <f>IF(J6=" ",0,'G&amp;V'!J40)</f>
        <v>0</v>
      </c>
      <c r="K11" s="546">
        <f>IF(K6=" ",0,'G&amp;V'!K40)</f>
        <v>0</v>
      </c>
      <c r="L11" s="546">
        <f>IF(L6=" ",0,'G&amp;V'!L40)</f>
        <v>0</v>
      </c>
      <c r="M11" s="546">
        <f>IF(M6=" ",0,'G&amp;V'!M40)</f>
        <v>0</v>
      </c>
      <c r="N11" s="546">
        <f>IF(N6=" ",0,'G&amp;V'!N40)</f>
        <v>0</v>
      </c>
      <c r="O11" s="546">
        <f>IF(O6=" ",0,'G&amp;V'!O40)</f>
        <v>0</v>
      </c>
      <c r="P11" s="546">
        <f>IF(P6=" ",0,'G&amp;V'!P40)</f>
        <v>0</v>
      </c>
      <c r="Q11" s="546">
        <f>IF(Q6=" ",0,'G&amp;V'!Q40)</f>
        <v>0</v>
      </c>
      <c r="R11" s="532"/>
      <c r="S11" s="546" t="e" cm="1">
        <f t="array" ref="S11">LOOKUP(2,1/(I11:Q11&lt;&gt;0),I11:Q11)</f>
        <v>#N/A</v>
      </c>
    </row>
    <row r="12" spans="2:19">
      <c r="B12" s="535" t="s">
        <v>676</v>
      </c>
      <c r="C12" s="538" t="s">
        <v>604</v>
      </c>
      <c r="D12" s="548" t="e">
        <f>+D11/D9</f>
        <v>#DIV/0!</v>
      </c>
      <c r="E12" s="548">
        <f>+E11/E9</f>
        <v>6.5315934247865776E-2</v>
      </c>
      <c r="F12" s="548">
        <f>+F11/F9</f>
        <v>4.6636932246703421E-2</v>
      </c>
      <c r="G12" s="548">
        <f>+G11/G9</f>
        <v>1.6228218203705583E-2</v>
      </c>
      <c r="H12" s="549">
        <f t="shared" ref="H12:S12" si="2">+H11/H9</f>
        <v>2.8008974669472955E-2</v>
      </c>
      <c r="I12" s="549" t="str">
        <f>IFERROR(+I11/I9," ")</f>
        <v xml:space="preserve"> </v>
      </c>
      <c r="J12" s="548" t="str">
        <f t="shared" ref="J12:Q12" si="3">IFERROR(+J11/J9," ")</f>
        <v xml:space="preserve"> </v>
      </c>
      <c r="K12" s="548" t="str">
        <f t="shared" si="3"/>
        <v xml:space="preserve"> </v>
      </c>
      <c r="L12" s="548" t="str">
        <f t="shared" si="3"/>
        <v xml:space="preserve"> </v>
      </c>
      <c r="M12" s="548" t="str">
        <f t="shared" si="3"/>
        <v xml:space="preserve"> </v>
      </c>
      <c r="N12" s="548" t="str">
        <f t="shared" si="3"/>
        <v xml:space="preserve"> </v>
      </c>
      <c r="O12" s="548" t="str">
        <f t="shared" si="3"/>
        <v xml:space="preserve"> </v>
      </c>
      <c r="P12" s="548" t="str">
        <f t="shared" si="3"/>
        <v xml:space="preserve"> </v>
      </c>
      <c r="Q12" s="548" t="str">
        <f t="shared" si="3"/>
        <v xml:space="preserve"> </v>
      </c>
      <c r="R12" s="536"/>
      <c r="S12" s="548" t="e">
        <f t="shared" si="2"/>
        <v>#N/A</v>
      </c>
    </row>
    <row r="13" spans="2:19">
      <c r="C13" s="538"/>
      <c r="D13" s="533"/>
      <c r="E13" s="533"/>
      <c r="H13" s="534"/>
      <c r="I13" s="534"/>
      <c r="J13" s="533"/>
      <c r="K13" s="533"/>
      <c r="L13" s="533"/>
      <c r="M13" s="533"/>
      <c r="N13" s="533"/>
      <c r="O13" s="533"/>
      <c r="P13" s="533"/>
      <c r="Q13" s="533"/>
      <c r="R13" s="533"/>
      <c r="S13" s="533"/>
    </row>
    <row r="14" spans="2:19" s="528" customFormat="1">
      <c r="B14" s="528" t="s">
        <v>380</v>
      </c>
      <c r="C14" s="538" t="s">
        <v>604</v>
      </c>
      <c r="D14" s="546">
        <f>+'G&amp;V'!D50</f>
        <v>0</v>
      </c>
      <c r="E14" s="546">
        <f>+'G&amp;V'!E50</f>
        <v>2496145.4839361529</v>
      </c>
      <c r="F14" s="546">
        <f>+'G&amp;V'!F50</f>
        <v>1744048.4422110496</v>
      </c>
      <c r="G14" s="546">
        <f>+'G&amp;V'!G50</f>
        <v>551871.53196622583</v>
      </c>
      <c r="H14" s="547">
        <f>+'G&amp;V'!H50</f>
        <v>971548.61223384365</v>
      </c>
      <c r="I14" s="547">
        <f>IF(I6=" ",0,'G&amp;V'!I50)</f>
        <v>0</v>
      </c>
      <c r="J14" s="546">
        <f>IF(J6=" ",0,'G&amp;V'!J50)</f>
        <v>0</v>
      </c>
      <c r="K14" s="546">
        <f>IF(K6=" ",0,'G&amp;V'!K50)</f>
        <v>0</v>
      </c>
      <c r="L14" s="546">
        <f>IF(L6=" ",0,'G&amp;V'!L50)</f>
        <v>0</v>
      </c>
      <c r="M14" s="546">
        <f>IF(M6=" ",0,'G&amp;V'!M50)</f>
        <v>0</v>
      </c>
      <c r="N14" s="546">
        <f>IF(N6=" ",0,'G&amp;V'!N50)</f>
        <v>0</v>
      </c>
      <c r="O14" s="546">
        <f>IF(O6=" ",0,'G&amp;V'!O50)</f>
        <v>0</v>
      </c>
      <c r="P14" s="546">
        <f>IF(P6=" ",0,'G&amp;V'!P50)</f>
        <v>0</v>
      </c>
      <c r="Q14" s="546">
        <f>IF(Q6=" ",0,'G&amp;V'!Q50)</f>
        <v>0</v>
      </c>
      <c r="R14" s="532"/>
      <c r="S14" s="546" t="e" cm="1">
        <f t="array" ref="S14">LOOKUP(2,1/(I14:Q14&lt;&gt;0),I14:Q14)</f>
        <v>#N/A</v>
      </c>
    </row>
    <row r="15" spans="2:19">
      <c r="B15" s="535" t="s">
        <v>677</v>
      </c>
      <c r="C15" s="538" t="s">
        <v>604</v>
      </c>
      <c r="D15" s="548" t="e">
        <f>+D14/D9</f>
        <v>#DIV/0!</v>
      </c>
      <c r="E15" s="548">
        <f>+E14/E9</f>
        <v>6.5315934247865776E-2</v>
      </c>
      <c r="F15" s="548">
        <f>+F14/F9</f>
        <v>4.6636932246703421E-2</v>
      </c>
      <c r="G15" s="548">
        <f>+G14/G9</f>
        <v>1.6228218203705583E-2</v>
      </c>
      <c r="H15" s="549">
        <f t="shared" ref="H15:S15" si="4">+H14/H9</f>
        <v>2.8008974669472955E-2</v>
      </c>
      <c r="I15" s="549" t="str">
        <f>IFERROR(+I14/I9, " ")</f>
        <v xml:space="preserve"> </v>
      </c>
      <c r="J15" s="548" t="str">
        <f t="shared" ref="J15:Q15" si="5">IFERROR(+J14/J9, " ")</f>
        <v xml:space="preserve"> </v>
      </c>
      <c r="K15" s="548" t="str">
        <f t="shared" si="5"/>
        <v xml:space="preserve"> </v>
      </c>
      <c r="L15" s="548" t="str">
        <f t="shared" si="5"/>
        <v xml:space="preserve"> </v>
      </c>
      <c r="M15" s="548" t="str">
        <f t="shared" si="5"/>
        <v xml:space="preserve"> </v>
      </c>
      <c r="N15" s="548" t="str">
        <f t="shared" si="5"/>
        <v xml:space="preserve"> </v>
      </c>
      <c r="O15" s="548" t="str">
        <f t="shared" si="5"/>
        <v xml:space="preserve"> </v>
      </c>
      <c r="P15" s="548" t="str">
        <f t="shared" si="5"/>
        <v xml:space="preserve"> </v>
      </c>
      <c r="Q15" s="548" t="str">
        <f t="shared" si="5"/>
        <v xml:space="preserve"> </v>
      </c>
      <c r="R15" s="536"/>
      <c r="S15" s="548" t="e">
        <f t="shared" si="4"/>
        <v>#N/A</v>
      </c>
    </row>
    <row r="16" spans="2:19">
      <c r="C16" s="538"/>
      <c r="H16" s="531"/>
      <c r="I16" s="531"/>
    </row>
    <row r="17" spans="2:21" s="538" customFormat="1">
      <c r="B17" s="525" t="s">
        <v>678</v>
      </c>
      <c r="C17" s="538" t="s">
        <v>604</v>
      </c>
      <c r="D17" s="525"/>
      <c r="E17" s="533"/>
      <c r="F17" s="533"/>
      <c r="G17" s="533"/>
      <c r="H17" s="550">
        <f>+'G&amp;V'!H54</f>
        <v>720470.59789745521</v>
      </c>
      <c r="I17" s="550">
        <f>IF(I6=" ",0,'G&amp;V'!I54)</f>
        <v>0</v>
      </c>
      <c r="J17" s="551">
        <f>IF(J6=" ",0,'G&amp;V'!J54)</f>
        <v>0</v>
      </c>
      <c r="K17" s="551">
        <f>IF(K6=" ",0,'G&amp;V'!K54)</f>
        <v>0</v>
      </c>
      <c r="L17" s="551">
        <f>IF(L6=" ",0,'G&amp;V'!L54)</f>
        <v>0</v>
      </c>
      <c r="M17" s="551">
        <f>IF(M6=" ",0,'G&amp;V'!M54)</f>
        <v>0</v>
      </c>
      <c r="N17" s="551">
        <f>IF(N6=" ",0,'G&amp;V'!N54)</f>
        <v>0</v>
      </c>
      <c r="O17" s="551">
        <f>IF(O6=" ",0,'G&amp;V'!O54)</f>
        <v>0</v>
      </c>
      <c r="P17" s="551">
        <f>IF(P6=" ",0,'G&amp;V'!P54)</f>
        <v>0</v>
      </c>
      <c r="Q17" s="551">
        <f>IF(Q6=" ",0,'G&amp;V'!Q54)</f>
        <v>0</v>
      </c>
      <c r="R17" s="537"/>
      <c r="S17" s="546" t="e" cm="1">
        <f t="array" ref="S17">LOOKUP(2,1/(I17:Q17&lt;&gt;0),I17:Q17)</f>
        <v>#N/A</v>
      </c>
    </row>
    <row r="18" spans="2:21">
      <c r="C18" s="538"/>
      <c r="E18" s="533"/>
      <c r="F18" s="533"/>
      <c r="H18" s="534"/>
      <c r="I18" s="534"/>
      <c r="J18" s="533"/>
      <c r="K18" s="533"/>
      <c r="L18" s="533"/>
      <c r="M18" s="533"/>
      <c r="N18" s="533"/>
      <c r="O18" s="533"/>
      <c r="P18" s="533"/>
      <c r="Q18" s="533"/>
      <c r="R18" s="533"/>
      <c r="S18" s="533"/>
    </row>
    <row r="19" spans="2:21" s="528" customFormat="1">
      <c r="B19" s="528" t="s">
        <v>679</v>
      </c>
      <c r="C19" s="538" t="s">
        <v>604</v>
      </c>
      <c r="E19" s="532"/>
      <c r="F19" s="532"/>
      <c r="G19" s="532"/>
      <c r="H19" s="547">
        <f>+H14+H17</f>
        <v>1692019.2101312988</v>
      </c>
      <c r="I19" s="547">
        <f>+I14+I17</f>
        <v>0</v>
      </c>
      <c r="J19" s="546">
        <f t="shared" ref="J19:Q19" si="6">+J14+J17</f>
        <v>0</v>
      </c>
      <c r="K19" s="546">
        <f t="shared" si="6"/>
        <v>0</v>
      </c>
      <c r="L19" s="546">
        <f t="shared" si="6"/>
        <v>0</v>
      </c>
      <c r="M19" s="546">
        <f t="shared" si="6"/>
        <v>0</v>
      </c>
      <c r="N19" s="546">
        <f t="shared" si="6"/>
        <v>0</v>
      </c>
      <c r="O19" s="546">
        <f t="shared" si="6"/>
        <v>0</v>
      </c>
      <c r="P19" s="546">
        <f t="shared" si="6"/>
        <v>0</v>
      </c>
      <c r="Q19" s="546">
        <f t="shared" si="6"/>
        <v>0</v>
      </c>
      <c r="R19" s="532"/>
      <c r="S19" s="546" t="e" cm="1">
        <f t="array" ref="S19">LOOKUP(2,1/(I19:Q19&lt;&gt;0),I19:Q19)</f>
        <v>#N/A</v>
      </c>
    </row>
    <row r="20" spans="2:21">
      <c r="E20" s="533"/>
      <c r="F20" s="533"/>
      <c r="H20" s="534"/>
      <c r="I20" s="534"/>
      <c r="J20" s="533"/>
      <c r="K20" s="533"/>
      <c r="L20" s="533"/>
      <c r="M20" s="533"/>
      <c r="N20" s="533"/>
      <c r="O20" s="533"/>
      <c r="P20" s="533"/>
      <c r="Q20" s="533"/>
      <c r="R20" s="533"/>
      <c r="S20" s="533"/>
    </row>
    <row r="21" spans="2:21">
      <c r="B21" s="525" t="s">
        <v>680</v>
      </c>
      <c r="C21" s="552">
        <f>Eckdaten!C24</f>
        <v>0.3</v>
      </c>
      <c r="D21" s="552"/>
      <c r="E21" s="533"/>
      <c r="F21" s="533"/>
      <c r="G21" s="539"/>
      <c r="H21" s="551">
        <f>-H19*$C$21</f>
        <v>-507605.76303938963</v>
      </c>
      <c r="I21" s="550">
        <f>-I19*$C$21</f>
        <v>0</v>
      </c>
      <c r="J21" s="551">
        <f t="shared" ref="J21:Q21" si="7">-J19*$C$21</f>
        <v>0</v>
      </c>
      <c r="K21" s="551">
        <f t="shared" si="7"/>
        <v>0</v>
      </c>
      <c r="L21" s="551">
        <f t="shared" si="7"/>
        <v>0</v>
      </c>
      <c r="M21" s="551">
        <f t="shared" si="7"/>
        <v>0</v>
      </c>
      <c r="N21" s="551">
        <f t="shared" si="7"/>
        <v>0</v>
      </c>
      <c r="O21" s="551">
        <f t="shared" si="7"/>
        <v>0</v>
      </c>
      <c r="P21" s="551">
        <f t="shared" si="7"/>
        <v>0</v>
      </c>
      <c r="Q21" s="551">
        <f t="shared" si="7"/>
        <v>0</v>
      </c>
      <c r="R21" s="533"/>
      <c r="S21" s="546" t="e" cm="1">
        <f t="array" ref="S21">LOOKUP(2,1/(I21:Q21&lt;&gt;0),I21:Q21)</f>
        <v>#N/A</v>
      </c>
    </row>
    <row r="22" spans="2:21">
      <c r="E22" s="533"/>
      <c r="F22" s="533"/>
      <c r="H22" s="534"/>
      <c r="I22" s="534"/>
      <c r="J22" s="533"/>
      <c r="K22" s="533"/>
      <c r="L22" s="533"/>
      <c r="M22" s="533"/>
      <c r="N22" s="533"/>
      <c r="O22" s="533"/>
      <c r="P22" s="533"/>
      <c r="Q22" s="533"/>
      <c r="R22" s="533"/>
      <c r="S22" s="533"/>
    </row>
    <row r="23" spans="2:21" s="528" customFormat="1">
      <c r="B23" s="540" t="s">
        <v>681</v>
      </c>
      <c r="C23" s="540"/>
      <c r="D23" s="540"/>
      <c r="E23" s="480"/>
      <c r="F23" s="480"/>
      <c r="G23" s="480"/>
      <c r="H23" s="553">
        <f>+H19+H21</f>
        <v>1184413.4470919091</v>
      </c>
      <c r="I23" s="553">
        <f>+I19+I21</f>
        <v>0</v>
      </c>
      <c r="J23" s="511">
        <f t="shared" ref="J23:Q23" si="8">+J19+J21</f>
        <v>0</v>
      </c>
      <c r="K23" s="511">
        <f t="shared" si="8"/>
        <v>0</v>
      </c>
      <c r="L23" s="511">
        <f t="shared" si="8"/>
        <v>0</v>
      </c>
      <c r="M23" s="511">
        <f t="shared" si="8"/>
        <v>0</v>
      </c>
      <c r="N23" s="511">
        <f t="shared" si="8"/>
        <v>0</v>
      </c>
      <c r="O23" s="511">
        <f t="shared" si="8"/>
        <v>0</v>
      </c>
      <c r="P23" s="511">
        <f t="shared" si="8"/>
        <v>0</v>
      </c>
      <c r="Q23" s="511">
        <f t="shared" si="8"/>
        <v>0</v>
      </c>
      <c r="R23" s="532"/>
      <c r="S23" s="511" t="e" cm="1">
        <f t="array" ref="S23">LOOKUP(2,1/(I23:Q23&lt;&gt;0),I23:Q23)</f>
        <v>#N/A</v>
      </c>
    </row>
    <row r="24" spans="2:21">
      <c r="B24" s="528"/>
      <c r="C24" s="528"/>
      <c r="D24" s="528"/>
      <c r="E24" s="541"/>
      <c r="F24" s="541"/>
      <c r="G24" s="542"/>
      <c r="H24" s="541"/>
      <c r="I24" s="541"/>
      <c r="J24" s="541"/>
      <c r="K24" s="541"/>
      <c r="L24" s="541"/>
      <c r="M24" s="541"/>
      <c r="N24" s="541"/>
      <c r="O24" s="541"/>
      <c r="P24" s="541"/>
      <c r="Q24" s="541"/>
      <c r="R24" s="541"/>
      <c r="S24" s="541"/>
    </row>
    <row r="25" spans="2:21">
      <c r="B25" s="596" t="s">
        <v>656</v>
      </c>
      <c r="C25" s="660">
        <f>Eckdaten!C23</f>
        <v>2.5000000000000001E-2</v>
      </c>
      <c r="D25" s="1563"/>
    </row>
    <row r="27" spans="2:21">
      <c r="B27" s="1530" t="s">
        <v>682</v>
      </c>
      <c r="C27" s="1531"/>
      <c r="D27" s="1532"/>
      <c r="E27" s="1459" t="s">
        <v>674</v>
      </c>
      <c r="F27" s="1532"/>
      <c r="G27" s="1532" t="s">
        <v>683</v>
      </c>
      <c r="H27" s="1926" t="s">
        <v>684</v>
      </c>
      <c r="I27" s="1926"/>
      <c r="J27" s="1926"/>
      <c r="K27" s="1926"/>
      <c r="L27" s="1926"/>
      <c r="M27" s="1926"/>
      <c r="N27" s="1926"/>
      <c r="O27" s="1926"/>
      <c r="P27" s="1926"/>
      <c r="Q27" s="1926"/>
      <c r="R27" s="1532"/>
      <c r="S27" s="1533" t="s">
        <v>685</v>
      </c>
      <c r="U27" s="558"/>
    </row>
    <row r="28" spans="2:21">
      <c r="B28" s="1556" t="s">
        <v>686</v>
      </c>
      <c r="C28" s="1233" t="s">
        <v>687</v>
      </c>
      <c r="D28" s="1555" t="s">
        <v>688</v>
      </c>
      <c r="F28" s="1229"/>
      <c r="G28" s="1229"/>
      <c r="H28" s="1229"/>
      <c r="I28" s="1229"/>
      <c r="S28" s="1230"/>
    </row>
    <row r="29" spans="2:21" ht="3" customHeight="1" thickBot="1">
      <c r="B29" s="1231"/>
      <c r="C29" s="528"/>
      <c r="D29" s="528"/>
      <c r="F29" s="1229"/>
      <c r="G29" s="1229"/>
      <c r="H29" s="1229"/>
      <c r="I29" s="1229"/>
      <c r="S29" s="1230"/>
    </row>
    <row r="30" spans="2:21">
      <c r="B30" s="1558" t="s">
        <v>689</v>
      </c>
      <c r="C30" s="1232">
        <f>$C$32*(1+B30)</f>
        <v>0.12228180207544015</v>
      </c>
      <c r="D30" s="528"/>
      <c r="E30" s="1243">
        <f ca="1">SUM(H30:S30)</f>
        <v>0</v>
      </c>
      <c r="F30" s="1233"/>
      <c r="G30" s="1243" t="e">
        <f ca="1">E30-FDB!$E$28*1000</f>
        <v>#REF!</v>
      </c>
      <c r="H30" s="1178">
        <f ca="1">IFERROR(H$23*IF(H$4&gt;0,(1+$C30)^-H$4,),"")</f>
        <v>0</v>
      </c>
      <c r="I30" s="1178">
        <f t="shared" ref="I30:Q34" ca="1" si="9">IFERROR(I$23*IF(I$4&gt;0,(1+$C30)^-I$4,),"")</f>
        <v>0</v>
      </c>
      <c r="J30" s="1178">
        <f t="shared" ca="1" si="9"/>
        <v>0</v>
      </c>
      <c r="K30" s="1178">
        <f t="shared" ca="1" si="9"/>
        <v>0</v>
      </c>
      <c r="L30" s="1178">
        <f t="shared" ca="1" si="9"/>
        <v>0</v>
      </c>
      <c r="M30" s="1178" t="str">
        <f t="shared" ca="1" si="9"/>
        <v/>
      </c>
      <c r="N30" s="1178" t="str">
        <f t="shared" ca="1" si="9"/>
        <v/>
      </c>
      <c r="O30" s="1178" t="str">
        <f t="shared" ca="1" si="9"/>
        <v/>
      </c>
      <c r="P30" s="1178" t="str">
        <f t="shared" ca="1" si="9"/>
        <v/>
      </c>
      <c r="Q30" s="1178" t="str">
        <f t="shared" ca="1" si="9"/>
        <v/>
      </c>
      <c r="S30" s="1234" t="str">
        <f ca="1">IFERROR($S$23/(C30-$C$25)*(1+C30)^-MAX($H$4:$Q$4),"")</f>
        <v/>
      </c>
    </row>
    <row r="31" spans="2:21">
      <c r="B31" s="1558" t="s">
        <v>690</v>
      </c>
      <c r="C31" s="1232">
        <f>$C$32*(1+B31)</f>
        <v>0.11209165190248682</v>
      </c>
      <c r="D31" s="528"/>
      <c r="E31" s="1241">
        <f ca="1">SUM(H31:S31)</f>
        <v>0</v>
      </c>
      <c r="F31" s="1233"/>
      <c r="G31" s="1241" t="e">
        <f ca="1">E31-FDB!$E$28*1000</f>
        <v>#REF!</v>
      </c>
      <c r="H31" s="1178">
        <f t="shared" ref="H31:H34" ca="1" si="10">IFERROR(H$23*IF(H$4&gt;0,(1+$C31)^-H$4,),"")</f>
        <v>0</v>
      </c>
      <c r="I31" s="1178">
        <f t="shared" ca="1" si="9"/>
        <v>0</v>
      </c>
      <c r="J31" s="1178">
        <f t="shared" ca="1" si="9"/>
        <v>0</v>
      </c>
      <c r="K31" s="1178">
        <f t="shared" ca="1" si="9"/>
        <v>0</v>
      </c>
      <c r="L31" s="1178">
        <f t="shared" ca="1" si="9"/>
        <v>0</v>
      </c>
      <c r="M31" s="1178" t="str">
        <f t="shared" ca="1" si="9"/>
        <v/>
      </c>
      <c r="N31" s="1178" t="str">
        <f t="shared" ca="1" si="9"/>
        <v/>
      </c>
      <c r="O31" s="1178" t="str">
        <f t="shared" ca="1" si="9"/>
        <v/>
      </c>
      <c r="P31" s="1178" t="str">
        <f t="shared" ca="1" si="9"/>
        <v/>
      </c>
      <c r="Q31" s="1178" t="str">
        <f t="shared" ca="1" si="9"/>
        <v/>
      </c>
      <c r="S31" s="1234" t="str">
        <f t="shared" ref="S31:S34" ca="1" si="11">IFERROR($S$23/(C31-$C$25)*(1+C31)^-MAX($H$4:$Q$4),"")</f>
        <v/>
      </c>
    </row>
    <row r="32" spans="2:21">
      <c r="B32" s="1558">
        <v>0</v>
      </c>
      <c r="C32" s="1232">
        <f>DCF!$V$16</f>
        <v>0.10190150172953347</v>
      </c>
      <c r="D32" s="528"/>
      <c r="E32" s="1241">
        <f ca="1">SUM(H32:S32)</f>
        <v>0</v>
      </c>
      <c r="F32" s="1233"/>
      <c r="G32" s="1241" t="e">
        <f ca="1">E32-FDB!$E$28*1000</f>
        <v>#REF!</v>
      </c>
      <c r="H32" s="1178">
        <f t="shared" ca="1" si="10"/>
        <v>0</v>
      </c>
      <c r="I32" s="1178">
        <f t="shared" ca="1" si="9"/>
        <v>0</v>
      </c>
      <c r="J32" s="1178">
        <f t="shared" ca="1" si="9"/>
        <v>0</v>
      </c>
      <c r="K32" s="1178">
        <f t="shared" ca="1" si="9"/>
        <v>0</v>
      </c>
      <c r="L32" s="1178">
        <f t="shared" ca="1" si="9"/>
        <v>0</v>
      </c>
      <c r="M32" s="1178" t="str">
        <f t="shared" ca="1" si="9"/>
        <v/>
      </c>
      <c r="N32" s="1178" t="str">
        <f t="shared" ca="1" si="9"/>
        <v/>
      </c>
      <c r="O32" s="1178" t="str">
        <f t="shared" ca="1" si="9"/>
        <v/>
      </c>
      <c r="P32" s="1178" t="str">
        <f t="shared" ca="1" si="9"/>
        <v/>
      </c>
      <c r="Q32" s="1178" t="str">
        <f t="shared" ca="1" si="9"/>
        <v/>
      </c>
      <c r="S32" s="1234" t="str">
        <f t="shared" ca="1" si="11"/>
        <v/>
      </c>
    </row>
    <row r="33" spans="1:19">
      <c r="B33" s="1558" t="s">
        <v>691</v>
      </c>
      <c r="C33" s="1232">
        <f>$C$32*(1+B33)</f>
        <v>9.1711351556580126E-2</v>
      </c>
      <c r="D33" s="528"/>
      <c r="E33" s="1241">
        <f ca="1">SUM(H33:S33)</f>
        <v>0</v>
      </c>
      <c r="F33" s="1233"/>
      <c r="G33" s="1241" t="e">
        <f ca="1">E33-FDB!$E$28*1000</f>
        <v>#REF!</v>
      </c>
      <c r="H33" s="1178">
        <f t="shared" ca="1" si="10"/>
        <v>0</v>
      </c>
      <c r="I33" s="1178">
        <f t="shared" ca="1" si="9"/>
        <v>0</v>
      </c>
      <c r="J33" s="1178">
        <f t="shared" ca="1" si="9"/>
        <v>0</v>
      </c>
      <c r="K33" s="1178">
        <f t="shared" ca="1" si="9"/>
        <v>0</v>
      </c>
      <c r="L33" s="1178">
        <f t="shared" ca="1" si="9"/>
        <v>0</v>
      </c>
      <c r="M33" s="1178" t="str">
        <f t="shared" ca="1" si="9"/>
        <v/>
      </c>
      <c r="N33" s="1178" t="str">
        <f t="shared" ca="1" si="9"/>
        <v/>
      </c>
      <c r="O33" s="1178" t="str">
        <f t="shared" ca="1" si="9"/>
        <v/>
      </c>
      <c r="P33" s="1178" t="str">
        <f t="shared" ca="1" si="9"/>
        <v/>
      </c>
      <c r="Q33" s="1178" t="str">
        <f t="shared" ca="1" si="9"/>
        <v/>
      </c>
      <c r="S33" s="1234" t="str">
        <f t="shared" ca="1" si="11"/>
        <v/>
      </c>
    </row>
    <row r="34" spans="1:19" ht="13.5" thickBot="1">
      <c r="B34" s="1559" t="s">
        <v>692</v>
      </c>
      <c r="C34" s="1235">
        <f>$C$32*(1+B34)</f>
        <v>8.1521201383626785E-2</v>
      </c>
      <c r="D34" s="1236"/>
      <c r="E34" s="1242">
        <f ca="1">SUM(H34:S34)</f>
        <v>0</v>
      </c>
      <c r="F34" s="1237"/>
      <c r="G34" s="1242" t="e">
        <f ca="1">E34-FDB!$E$28*1000</f>
        <v>#REF!</v>
      </c>
      <c r="H34" s="1238">
        <f t="shared" ca="1" si="10"/>
        <v>0</v>
      </c>
      <c r="I34" s="1238">
        <f t="shared" ca="1" si="9"/>
        <v>0</v>
      </c>
      <c r="J34" s="1238">
        <f t="shared" ca="1" si="9"/>
        <v>0</v>
      </c>
      <c r="K34" s="1238">
        <f t="shared" ca="1" si="9"/>
        <v>0</v>
      </c>
      <c r="L34" s="1238">
        <f t="shared" ca="1" si="9"/>
        <v>0</v>
      </c>
      <c r="M34" s="1238" t="str">
        <f t="shared" ca="1" si="9"/>
        <v/>
      </c>
      <c r="N34" s="1238" t="str">
        <f t="shared" ca="1" si="9"/>
        <v/>
      </c>
      <c r="O34" s="1238" t="str">
        <f t="shared" ca="1" si="9"/>
        <v/>
      </c>
      <c r="P34" s="1238" t="str">
        <f t="shared" ca="1" si="9"/>
        <v/>
      </c>
      <c r="Q34" s="1238" t="str">
        <f t="shared" ca="1" si="9"/>
        <v/>
      </c>
      <c r="R34" s="1239"/>
      <c r="S34" s="1240" t="str">
        <f t="shared" ca="1" si="11"/>
        <v/>
      </c>
    </row>
    <row r="35" spans="1:19">
      <c r="A35" s="526"/>
      <c r="B35" s="1228"/>
      <c r="C35" s="543"/>
      <c r="D35" s="543"/>
      <c r="E35" s="544"/>
      <c r="F35" s="544"/>
    </row>
    <row r="43" spans="1:19">
      <c r="I43" s="1562"/>
    </row>
  </sheetData>
  <sheetProtection formatCells="0" formatColumns="0" formatRows="0" insertRows="0"/>
  <mergeCells count="1">
    <mergeCell ref="H27:Q27"/>
  </mergeCells>
  <phoneticPr fontId="6" type="noConversion"/>
  <printOptions horizontalCentered="1"/>
  <pageMargins left="0.23622047244094491" right="0.23622047244094491" top="0.74803149606299213" bottom="0.74803149606299213" header="0.31496062992125984" footer="0.31496062992125984"/>
  <pageSetup paperSize="9" scale="64" orientation="portrait" cellComments="asDisplayed"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Tabelle9.Update_Today_Click">
                <anchor moveWithCells="1" sizeWithCells="1">
                  <from>
                    <xdr:col>17</xdr:col>
                    <xdr:colOff>57150</xdr:colOff>
                    <xdr:row>2</xdr:row>
                    <xdr:rowOff>133350</xdr:rowOff>
                  </from>
                  <to>
                    <xdr:col>19</xdr:col>
                    <xdr:colOff>419100</xdr:colOff>
                    <xdr:row>4</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B70A8-5B65-4B2B-8F2E-43E801C0D79A}">
  <sheetPr codeName="Sheet10">
    <tabColor rgb="FF0000FF"/>
  </sheetPr>
  <dimension ref="B1:V230"/>
  <sheetViews>
    <sheetView workbookViewId="0"/>
  </sheetViews>
  <sheetFormatPr defaultColWidth="9.140625" defaultRowHeight="12.75"/>
  <cols>
    <col min="1" max="1" width="5.7109375" style="438" customWidth="1"/>
    <col min="2" max="2" width="38.42578125" style="438" bestFit="1" customWidth="1"/>
    <col min="3" max="3" width="21.7109375" style="438" bestFit="1" customWidth="1"/>
    <col min="4" max="11" width="13.42578125" style="438" customWidth="1"/>
    <col min="12" max="12" width="11.42578125" style="438" bestFit="1" customWidth="1"/>
    <col min="13" max="13" width="11.42578125" style="438" customWidth="1"/>
    <col min="14" max="14" width="2.42578125" style="438" customWidth="1"/>
    <col min="15" max="17" width="3.140625" style="438" customWidth="1"/>
    <col min="18" max="18" width="12" style="438" bestFit="1" customWidth="1"/>
    <col min="19" max="16384" width="9.140625" style="438"/>
  </cols>
  <sheetData>
    <row r="1" spans="2:17" ht="15" customHeight="1"/>
    <row r="2" spans="2:17" ht="18.75">
      <c r="B2" s="109" t="str">
        <f>Übersicht!C24</f>
        <v>Leveraged Buyout Bewertung</v>
      </c>
    </row>
    <row r="4" spans="2:17">
      <c r="B4" s="1468" t="s">
        <v>693</v>
      </c>
      <c r="C4" s="1469"/>
      <c r="D4" s="1469"/>
      <c r="E4" s="1469"/>
      <c r="F4" s="1469"/>
      <c r="G4" s="1469"/>
      <c r="H4" s="1469"/>
      <c r="I4" s="1469"/>
      <c r="J4" s="1469"/>
      <c r="K4" s="1469"/>
      <c r="L4" s="1469"/>
      <c r="M4" s="1469"/>
      <c r="N4" s="1469"/>
      <c r="O4" s="1469"/>
      <c r="P4" s="1469"/>
      <c r="Q4" s="1469"/>
    </row>
    <row r="6" spans="2:17">
      <c r="B6" s="450" t="s">
        <v>694</v>
      </c>
      <c r="C6" s="666" t="s">
        <v>695</v>
      </c>
    </row>
    <row r="7" spans="2:17">
      <c r="B7" s="667" t="s">
        <v>696</v>
      </c>
      <c r="C7" s="710" t="e">
        <f ca="1">INDEX(HS!F5:G17,MATCH(C6,HS!F5:F17,0),2)</f>
        <v>#NUM!</v>
      </c>
    </row>
    <row r="8" spans="2:17">
      <c r="B8" s="667" t="s">
        <v>697</v>
      </c>
      <c r="C8" s="710" t="e">
        <f ca="1">C7-'WC&amp;ND'!H58</f>
        <v>#NUM!</v>
      </c>
    </row>
    <row r="9" spans="2:17">
      <c r="B9" s="711" t="str">
        <f xml:space="preserve"> "EBITDA Purchase (EV) Multiple (FC "&amp;'G&amp;V'!H4&amp;")"</f>
        <v>EBITDA Purchase (EV) Multiple (FC 2025)</v>
      </c>
      <c r="C9" s="712" t="e">
        <f ca="1">C7/'G&amp;V'!H40</f>
        <v>#NUM!</v>
      </c>
    </row>
    <row r="11" spans="2:17">
      <c r="B11" s="450" t="s">
        <v>698</v>
      </c>
      <c r="C11" s="710">
        <f>Eckdaten!C20</f>
        <v>5</v>
      </c>
    </row>
    <row r="12" spans="2:17">
      <c r="B12" s="450"/>
      <c r="C12" s="668"/>
    </row>
    <row r="13" spans="2:17">
      <c r="B13" s="450" t="s">
        <v>699</v>
      </c>
      <c r="C13" s="712" t="e">
        <f ca="1">MultBew.!Z25</f>
        <v>#NUM!</v>
      </c>
      <c r="E13" s="449" t="s">
        <v>661</v>
      </c>
    </row>
    <row r="15" spans="2:17">
      <c r="B15" s="450" t="s">
        <v>700</v>
      </c>
    </row>
    <row r="16" spans="2:17">
      <c r="B16" s="669" t="s">
        <v>701</v>
      </c>
      <c r="C16" s="670">
        <v>0.7</v>
      </c>
    </row>
    <row r="17" spans="2:22">
      <c r="B17" s="669" t="s">
        <v>702</v>
      </c>
      <c r="C17" s="522">
        <f>1-C16</f>
        <v>0.30000000000000004</v>
      </c>
    </row>
    <row r="18" spans="2:22">
      <c r="B18" s="438" t="s">
        <v>703</v>
      </c>
      <c r="C18" s="713" t="e">
        <f ca="1">C16*C8</f>
        <v>#NUM!</v>
      </c>
    </row>
    <row r="19" spans="2:22">
      <c r="B19" s="450" t="s">
        <v>704</v>
      </c>
      <c r="C19" s="713" t="e">
        <f ca="1">C17*C8</f>
        <v>#NUM!</v>
      </c>
    </row>
    <row r="20" spans="2:22">
      <c r="B20" s="671" t="s">
        <v>705</v>
      </c>
      <c r="C20" s="672">
        <v>1E-3</v>
      </c>
    </row>
    <row r="21" spans="2:22">
      <c r="B21" s="671" t="s">
        <v>706</v>
      </c>
      <c r="C21" s="672">
        <v>1.5E-3</v>
      </c>
    </row>
    <row r="22" spans="2:22">
      <c r="B22" s="438" t="s">
        <v>707</v>
      </c>
      <c r="C22" s="672">
        <v>0</v>
      </c>
    </row>
    <row r="24" spans="2:22">
      <c r="B24" s="1468" t="s">
        <v>708</v>
      </c>
      <c r="C24" s="1468"/>
      <c r="D24" s="1468"/>
      <c r="E24" s="1468"/>
      <c r="F24" s="1468"/>
      <c r="G24" s="1468"/>
      <c r="H24" s="1468"/>
      <c r="I24" s="1468"/>
      <c r="J24" s="1468"/>
      <c r="K24" s="1468"/>
      <c r="L24" s="1468"/>
      <c r="M24" s="1468"/>
      <c r="N24" s="1468"/>
      <c r="O24" s="1468"/>
      <c r="P24" s="1468"/>
      <c r="Q24" s="1468"/>
      <c r="R24" s="673"/>
      <c r="S24" s="673"/>
      <c r="T24" s="673"/>
      <c r="U24" s="673"/>
      <c r="V24" s="673"/>
    </row>
    <row r="26" spans="2:22">
      <c r="B26" s="674" t="s">
        <v>709</v>
      </c>
      <c r="C26" s="674" t="s">
        <v>535</v>
      </c>
      <c r="D26" s="674" t="s">
        <v>710</v>
      </c>
      <c r="E26" s="674" t="s">
        <v>711</v>
      </c>
      <c r="F26" s="674" t="s">
        <v>712</v>
      </c>
      <c r="G26" s="674" t="s">
        <v>713</v>
      </c>
      <c r="H26" s="674"/>
      <c r="I26" s="674" t="s">
        <v>714</v>
      </c>
      <c r="J26" s="674"/>
      <c r="K26" s="674" t="s">
        <v>715</v>
      </c>
      <c r="L26" s="674"/>
      <c r="M26" s="674" t="s">
        <v>716</v>
      </c>
      <c r="N26" s="674"/>
      <c r="O26" s="674"/>
      <c r="P26" s="674"/>
      <c r="Q26" s="674"/>
    </row>
    <row r="27" spans="2:22">
      <c r="B27" s="675" t="s">
        <v>717</v>
      </c>
      <c r="C27" s="675" t="s">
        <v>718</v>
      </c>
      <c r="D27" s="676">
        <v>0.45</v>
      </c>
      <c r="E27" s="514" t="e">
        <f ca="1">D27*$C$18</f>
        <v>#NUM!</v>
      </c>
      <c r="F27" s="456">
        <v>10</v>
      </c>
      <c r="G27" s="456">
        <v>0</v>
      </c>
      <c r="H27" s="456"/>
      <c r="I27" s="670">
        <v>0.04</v>
      </c>
      <c r="K27" s="670">
        <v>0.05</v>
      </c>
      <c r="L27" s="456"/>
      <c r="M27" s="456" t="s">
        <v>719</v>
      </c>
    </row>
    <row r="28" spans="2:22">
      <c r="B28" s="675" t="s">
        <v>720</v>
      </c>
      <c r="C28" s="675" t="s">
        <v>721</v>
      </c>
      <c r="D28" s="676">
        <v>0.3</v>
      </c>
      <c r="E28" s="514" t="e">
        <f ca="1">D28*$C$18</f>
        <v>#NUM!</v>
      </c>
      <c r="F28" s="456">
        <v>8</v>
      </c>
      <c r="G28" s="456">
        <v>0</v>
      </c>
      <c r="H28" s="456"/>
      <c r="I28" s="670">
        <v>0.05</v>
      </c>
      <c r="K28" s="670">
        <v>0.03</v>
      </c>
      <c r="L28" s="456"/>
      <c r="M28" s="456" t="s">
        <v>719</v>
      </c>
    </row>
    <row r="29" spans="2:22">
      <c r="B29" s="675" t="s">
        <v>720</v>
      </c>
      <c r="C29" s="675" t="s">
        <v>722</v>
      </c>
      <c r="D29" s="676">
        <v>0.2</v>
      </c>
      <c r="E29" s="514" t="e">
        <f ca="1">D29*$C$18</f>
        <v>#NUM!</v>
      </c>
      <c r="F29" s="456">
        <v>6</v>
      </c>
      <c r="G29" s="456">
        <v>6</v>
      </c>
      <c r="H29" s="456"/>
      <c r="I29" s="670">
        <v>7.0000000000000007E-2</v>
      </c>
      <c r="K29" s="670">
        <v>0</v>
      </c>
      <c r="L29" s="456"/>
      <c r="M29" s="456" t="s">
        <v>719</v>
      </c>
    </row>
    <row r="30" spans="2:22">
      <c r="B30" s="675" t="s">
        <v>723</v>
      </c>
      <c r="C30" s="675" t="s">
        <v>724</v>
      </c>
      <c r="D30" s="676">
        <v>0.05</v>
      </c>
      <c r="E30" s="514" t="e">
        <f ca="1">D30*$C$18</f>
        <v>#NUM!</v>
      </c>
      <c r="F30" s="456">
        <v>5</v>
      </c>
      <c r="G30" s="456">
        <v>5</v>
      </c>
      <c r="H30" s="456"/>
      <c r="I30" s="670">
        <v>0.1</v>
      </c>
      <c r="K30" s="670">
        <v>0</v>
      </c>
      <c r="L30" s="456"/>
      <c r="M30" s="456" t="s">
        <v>719</v>
      </c>
    </row>
    <row r="31" spans="2:22">
      <c r="B31" s="674"/>
      <c r="C31" s="677"/>
      <c r="D31" s="714">
        <f>SUM(D27:D30)</f>
        <v>1</v>
      </c>
      <c r="E31" s="715" t="e">
        <f ca="1">SUM(E27:E30)</f>
        <v>#NUM!</v>
      </c>
      <c r="F31" s="674"/>
      <c r="G31" s="674"/>
      <c r="H31" s="674"/>
      <c r="I31" s="674"/>
      <c r="J31" s="674"/>
      <c r="K31" s="674"/>
      <c r="L31" s="674"/>
      <c r="M31" s="674"/>
      <c r="N31" s="674"/>
      <c r="O31" s="674"/>
      <c r="P31" s="674"/>
      <c r="Q31" s="674"/>
    </row>
    <row r="33" spans="2:22">
      <c r="B33" s="1468" t="s">
        <v>725</v>
      </c>
      <c r="C33" s="1468"/>
      <c r="D33" s="1468"/>
      <c r="E33" s="1468"/>
      <c r="F33" s="1468"/>
      <c r="G33" s="1468"/>
      <c r="H33" s="1468"/>
      <c r="I33" s="1468"/>
      <c r="J33" s="1468"/>
      <c r="K33" s="1468"/>
      <c r="L33" s="1468"/>
      <c r="M33" s="1468"/>
      <c r="N33" s="1468"/>
      <c r="O33" s="1468"/>
      <c r="P33" s="1468"/>
      <c r="Q33" s="1468"/>
      <c r="R33" s="673"/>
      <c r="S33" s="673"/>
      <c r="T33" s="673"/>
      <c r="U33" s="673"/>
      <c r="V33" s="673"/>
    </row>
    <row r="34" spans="2:22">
      <c r="B34" s="1927" t="s">
        <v>726</v>
      </c>
      <c r="C34" s="1927"/>
      <c r="E34" s="1927" t="s">
        <v>727</v>
      </c>
      <c r="F34" s="1927"/>
      <c r="G34" s="1927"/>
    </row>
    <row r="35" spans="2:22">
      <c r="B35" s="678" t="s">
        <v>603</v>
      </c>
      <c r="C35" s="514" t="e">
        <f ca="1">C8</f>
        <v>#NUM!</v>
      </c>
      <c r="E35" s="678" t="s">
        <v>728</v>
      </c>
      <c r="G35" s="517" t="e">
        <f ca="1">E31</f>
        <v>#NUM!</v>
      </c>
    </row>
    <row r="36" spans="2:22">
      <c r="B36" s="678" t="s">
        <v>729</v>
      </c>
      <c r="C36" s="716" t="e">
        <f ca="1">C35*C20</f>
        <v>#NUM!</v>
      </c>
      <c r="E36" s="678" t="s">
        <v>730</v>
      </c>
      <c r="G36" s="517" t="e">
        <f ca="1">C39</f>
        <v>#NUM!</v>
      </c>
    </row>
    <row r="37" spans="2:22">
      <c r="B37" s="678" t="s">
        <v>731</v>
      </c>
      <c r="C37" s="716" t="e">
        <f ca="1">C21*C18</f>
        <v>#NUM!</v>
      </c>
      <c r="G37" s="484"/>
    </row>
    <row r="38" spans="2:22">
      <c r="B38" s="678" t="s">
        <v>732</v>
      </c>
      <c r="C38" s="716" t="e">
        <f ca="1">C22*C35</f>
        <v>#NUM!</v>
      </c>
    </row>
    <row r="39" spans="2:22">
      <c r="B39" s="450" t="s">
        <v>730</v>
      </c>
      <c r="C39" s="717" t="e">
        <f ca="1">SUM(C35:C38)</f>
        <v>#NUM!</v>
      </c>
      <c r="E39" s="680" t="s">
        <v>733</v>
      </c>
      <c r="F39" s="681"/>
      <c r="G39" s="718" t="e">
        <f ca="1">G36-G35</f>
        <v>#NUM!</v>
      </c>
    </row>
    <row r="41" spans="2:22">
      <c r="B41" s="1468" t="s">
        <v>734</v>
      </c>
      <c r="C41" s="1468"/>
      <c r="D41" s="1468"/>
      <c r="E41" s="1468"/>
      <c r="F41" s="1468"/>
      <c r="G41" s="1468"/>
      <c r="H41" s="1468"/>
      <c r="I41" s="1468"/>
      <c r="J41" s="1468"/>
      <c r="K41" s="1468"/>
      <c r="L41" s="1468"/>
      <c r="M41" s="1468"/>
      <c r="N41" s="1468"/>
      <c r="O41" s="1468"/>
      <c r="P41" s="1468"/>
      <c r="Q41" s="1468"/>
      <c r="R41" s="673"/>
      <c r="S41" s="673"/>
      <c r="T41" s="673"/>
      <c r="U41" s="673"/>
      <c r="V41" s="673"/>
    </row>
    <row r="42" spans="2:22">
      <c r="B42" s="438" t="s">
        <v>735</v>
      </c>
    </row>
    <row r="43" spans="2:22">
      <c r="B43" s="719" t="str">
        <f>"Initial Cash Balance "&amp;Akt.!H4&amp;":"</f>
        <v>Initial Cash Balance 2025:</v>
      </c>
      <c r="C43" s="720" t="str">
        <f>Akt.!H41</f>
        <v/>
      </c>
    </row>
    <row r="44" spans="2:22">
      <c r="B44" s="678" t="s">
        <v>736</v>
      </c>
      <c r="C44" s="1207" t="s">
        <v>737</v>
      </c>
    </row>
    <row r="46" spans="2:22">
      <c r="B46" s="682"/>
      <c r="C46" s="721" t="str">
        <f>Eckdaten!C14</f>
        <v>EUR</v>
      </c>
      <c r="D46" s="722">
        <f>+E46-1</f>
        <v>2022</v>
      </c>
      <c r="E46" s="722">
        <f>+F46-1</f>
        <v>2023</v>
      </c>
      <c r="F46" s="722">
        <f>+Eckdaten!C12</f>
        <v>2024</v>
      </c>
      <c r="G46" s="723">
        <f>+F46+1</f>
        <v>2025</v>
      </c>
      <c r="H46" s="1492">
        <f>IF(Eckdaten!$C$20+Eckdaten!$C$12&gt;G46,G46+1," ")</f>
        <v>2026</v>
      </c>
      <c r="I46" s="1492">
        <f>IF(Eckdaten!$C$20+Eckdaten!$C$12&gt;H46,H46+1," ")</f>
        <v>2027</v>
      </c>
      <c r="J46" s="1492">
        <f>IF(Eckdaten!$C$20+Eckdaten!$C$12&gt;I46,I46+1," ")</f>
        <v>2028</v>
      </c>
      <c r="K46" s="1492">
        <f>IF(Eckdaten!$C$20+Eckdaten!$C$12&gt;J46,J46+1," ")</f>
        <v>2029</v>
      </c>
      <c r="L46" s="1492" t="str">
        <f>IF(Eckdaten!$C$20+Eckdaten!$C$12&gt;K46,K46+1," ")</f>
        <v xml:space="preserve"> </v>
      </c>
      <c r="M46" s="1492" t="str">
        <f>IF(Eckdaten!$C$20+Eckdaten!$C$12&gt;L46,L46+1," ")</f>
        <v xml:space="preserve"> </v>
      </c>
      <c r="N46" s="1492" t="str">
        <f>IF(Eckdaten!$C$20+Eckdaten!$C$12&gt;M46,M46+1," ")</f>
        <v xml:space="preserve"> </v>
      </c>
      <c r="O46" s="1492" t="str">
        <f>IF(Eckdaten!$C$20+Eckdaten!$C$12&gt;N46,N46+1," ")</f>
        <v xml:space="preserve"> </v>
      </c>
      <c r="P46" s="1492" t="str">
        <f>IF(Eckdaten!$C$20+Eckdaten!$C$12&gt;O46,O46+1," ")</f>
        <v xml:space="preserve"> </v>
      </c>
      <c r="Q46" s="1492" t="str">
        <f>IF(Eckdaten!$C$20+Eckdaten!$C$12&gt;P46,P46+1," ")</f>
        <v xml:space="preserve"> </v>
      </c>
      <c r="R46" s="508"/>
      <c r="S46" s="508"/>
      <c r="T46" s="508"/>
      <c r="U46" s="508"/>
      <c r="V46" s="508"/>
    </row>
    <row r="47" spans="2:22">
      <c r="B47" s="1928"/>
      <c r="C47" s="1929"/>
      <c r="D47" s="683" t="s">
        <v>173</v>
      </c>
      <c r="E47" s="683" t="s">
        <v>173</v>
      </c>
      <c r="F47" s="683" t="s">
        <v>173</v>
      </c>
      <c r="G47" s="684" t="s">
        <v>174</v>
      </c>
      <c r="H47" s="1493" t="str">
        <f>IF(H46=" "," ","P")</f>
        <v>P</v>
      </c>
      <c r="I47" s="1493" t="str">
        <f t="shared" ref="I47:Q47" si="0">IF(I46=" "," ","P")</f>
        <v>P</v>
      </c>
      <c r="J47" s="1493" t="str">
        <f t="shared" si="0"/>
        <v>P</v>
      </c>
      <c r="K47" s="1493" t="str">
        <f t="shared" si="0"/>
        <v>P</v>
      </c>
      <c r="L47" s="1493" t="str">
        <f t="shared" si="0"/>
        <v xml:space="preserve"> </v>
      </c>
      <c r="M47" s="1493" t="str">
        <f t="shared" si="0"/>
        <v xml:space="preserve"> </v>
      </c>
      <c r="N47" s="1493" t="str">
        <f t="shared" si="0"/>
        <v xml:space="preserve"> </v>
      </c>
      <c r="O47" s="1493" t="str">
        <f t="shared" si="0"/>
        <v xml:space="preserve"> </v>
      </c>
      <c r="P47" s="1493" t="str">
        <f t="shared" si="0"/>
        <v xml:space="preserve"> </v>
      </c>
      <c r="Q47" s="1493" t="str">
        <f t="shared" si="0"/>
        <v xml:space="preserve"> </v>
      </c>
      <c r="R47" s="508"/>
      <c r="S47" s="508"/>
      <c r="T47" s="508"/>
      <c r="U47" s="508"/>
      <c r="V47" s="508"/>
    </row>
    <row r="48" spans="2:22">
      <c r="B48" s="685"/>
      <c r="C48" s="685"/>
      <c r="D48" s="686"/>
      <c r="E48" s="686"/>
      <c r="F48" s="686"/>
      <c r="G48" s="686"/>
      <c r="H48" s="686"/>
      <c r="I48" s="686"/>
      <c r="J48" s="686"/>
      <c r="K48" s="686"/>
      <c r="L48" s="686"/>
      <c r="M48" s="686"/>
      <c r="N48" s="686"/>
      <c r="O48" s="686"/>
      <c r="P48" s="686"/>
      <c r="Q48" s="686"/>
      <c r="R48" s="508"/>
      <c r="S48" s="508"/>
      <c r="T48" s="508"/>
      <c r="U48" s="508"/>
      <c r="V48" s="508"/>
    </row>
    <row r="49" spans="2:22" ht="13.5" thickBot="1">
      <c r="B49" s="724" t="str">
        <f>Lang.!B6</f>
        <v>Income Statement/ P&amp;L (Total cost)</v>
      </c>
      <c r="C49" s="687"/>
      <c r="D49" s="688"/>
      <c r="E49" s="688"/>
      <c r="F49" s="688"/>
      <c r="G49" s="688"/>
      <c r="H49" s="688"/>
      <c r="I49" s="688"/>
      <c r="J49" s="688"/>
      <c r="K49" s="688"/>
      <c r="L49" s="688"/>
      <c r="M49" s="688"/>
      <c r="N49" s="688"/>
      <c r="O49" s="688"/>
      <c r="P49" s="688"/>
      <c r="Q49" s="688"/>
      <c r="R49" s="508"/>
      <c r="S49" s="508"/>
      <c r="T49" s="508"/>
      <c r="U49" s="508"/>
      <c r="V49" s="508"/>
    </row>
    <row r="50" spans="2:22" ht="3.75" customHeight="1"/>
    <row r="51" spans="2:22">
      <c r="B51" s="736" t="str">
        <f>'G&amp;V'!B8</f>
        <v>Total Turnover (reported)</v>
      </c>
      <c r="C51" s="689"/>
      <c r="D51" s="725">
        <f>IFERROR('G&amp;V'!E8,"-")</f>
        <v>38216485.956758939</v>
      </c>
      <c r="E51" s="725">
        <f>IFERROR('G&amp;V'!F8,"-")</f>
        <v>37396294.271356784</v>
      </c>
      <c r="F51" s="725">
        <f>IFERROR('G&amp;V'!G8,"-")</f>
        <v>34006908.524326496</v>
      </c>
      <c r="G51" s="725">
        <f>IFERROR('G&amp;V'!H8,"-")</f>
        <v>34687046.694813028</v>
      </c>
      <c r="H51" s="725">
        <f>IFERROR('G&amp;V'!I8,"-")</f>
        <v>0</v>
      </c>
      <c r="I51" s="725">
        <f>IFERROR('G&amp;V'!J8,"-")</f>
        <v>0</v>
      </c>
      <c r="J51" s="725">
        <f>IFERROR('G&amp;V'!K8,"-")</f>
        <v>0</v>
      </c>
      <c r="K51" s="725">
        <f>IFERROR('G&amp;V'!L8,"-")</f>
        <v>0</v>
      </c>
      <c r="L51" s="725">
        <f>IFERROR('G&amp;V'!M8,"-")</f>
        <v>0</v>
      </c>
      <c r="M51" s="725">
        <f>IFERROR('G&amp;V'!N8,"-")</f>
        <v>0</v>
      </c>
      <c r="N51" s="725">
        <f>IFERROR('G&amp;V'!O8,"-")</f>
        <v>0</v>
      </c>
      <c r="O51" s="725">
        <f>IFERROR('G&amp;V'!P8,"-")</f>
        <v>0</v>
      </c>
      <c r="P51" s="725">
        <f>IFERROR('G&amp;V'!Q8,"-")</f>
        <v>0</v>
      </c>
      <c r="Q51" s="725" t="str">
        <f>IFERROR('G&amp;V'!#REF!,"-")</f>
        <v>-</v>
      </c>
    </row>
    <row r="52" spans="2:22">
      <c r="B52" s="719" t="str">
        <f>'G&amp;V'!B14</f>
        <v>Cost of Material</v>
      </c>
      <c r="C52" s="678"/>
      <c r="D52" s="726">
        <f>IFERROR('G&amp;V'!E14,"-")</f>
        <v>0</v>
      </c>
      <c r="E52" s="726">
        <f>IFERROR('G&amp;V'!F14,"-")</f>
        <v>0</v>
      </c>
      <c r="F52" s="726">
        <f>IFERROR('G&amp;V'!G14,"-")</f>
        <v>0</v>
      </c>
      <c r="G52" s="726">
        <f>IFERROR('G&amp;V'!H14,"-")</f>
        <v>0</v>
      </c>
      <c r="H52" s="726">
        <f>IFERROR('G&amp;V'!I14,"-")</f>
        <v>0</v>
      </c>
      <c r="I52" s="726">
        <f>IFERROR('G&amp;V'!J14,"-")</f>
        <v>0</v>
      </c>
      <c r="J52" s="726">
        <f>IFERROR('G&amp;V'!K14,"-")</f>
        <v>0</v>
      </c>
      <c r="K52" s="726">
        <f>IFERROR('G&amp;V'!L14,"-")</f>
        <v>0</v>
      </c>
      <c r="L52" s="726" t="str">
        <f>IFERROR('G&amp;V'!M14,"-")</f>
        <v/>
      </c>
      <c r="M52" s="726" t="str">
        <f>IFERROR('G&amp;V'!N14,"-")</f>
        <v/>
      </c>
      <c r="N52" s="726" t="str">
        <f>IFERROR('G&amp;V'!O14,"-")</f>
        <v/>
      </c>
      <c r="O52" s="726" t="str">
        <f>IFERROR('G&amp;V'!P14,"-")</f>
        <v/>
      </c>
      <c r="P52" s="726" t="str">
        <f>IFERROR('G&amp;V'!Q14,"-")</f>
        <v/>
      </c>
      <c r="Q52" s="726" t="str">
        <f>IFERROR('G&amp;V'!#REF!,"-")</f>
        <v>-</v>
      </c>
    </row>
    <row r="53" spans="2:22">
      <c r="B53" s="719" t="str">
        <f>'G&amp;V'!B24</f>
        <v>Personnel Expenses</v>
      </c>
      <c r="C53" s="678"/>
      <c r="D53" s="726">
        <f>IFERROR('G&amp;V'!E24, "-")</f>
        <v>-3420668.4178621946</v>
      </c>
      <c r="E53" s="726">
        <f>IFERROR('G&amp;V'!F24, "-")</f>
        <v>-4168543.1155778901</v>
      </c>
      <c r="F53" s="726">
        <f>IFERROR('G&amp;V'!G24, "-")</f>
        <v>-4283540.6111781262</v>
      </c>
      <c r="G53" s="726">
        <f>IFERROR('G&amp;V'!H24, "-")</f>
        <v>-3780170.9475520109</v>
      </c>
      <c r="H53" s="726">
        <f>IFERROR('G&amp;V'!I24, "-")</f>
        <v>0</v>
      </c>
      <c r="I53" s="726">
        <f>IFERROR('G&amp;V'!J24, "-")</f>
        <v>0</v>
      </c>
      <c r="J53" s="726">
        <f>IFERROR('G&amp;V'!K24, "-")</f>
        <v>0</v>
      </c>
      <c r="K53" s="726">
        <f>IFERROR('G&amp;V'!L24, "-")</f>
        <v>0</v>
      </c>
      <c r="L53" s="726" t="str">
        <f>IFERROR('G&amp;V'!M24, "-")</f>
        <v/>
      </c>
      <c r="M53" s="726" t="str">
        <f>IFERROR('G&amp;V'!N24, "-")</f>
        <v/>
      </c>
      <c r="N53" s="726" t="str">
        <f>IFERROR('G&amp;V'!O24, "-")</f>
        <v/>
      </c>
      <c r="O53" s="726" t="str">
        <f>IFERROR('G&amp;V'!P24, "-")</f>
        <v/>
      </c>
      <c r="P53" s="726" t="str">
        <f>IFERROR('G&amp;V'!Q24, "-")</f>
        <v/>
      </c>
      <c r="Q53" s="726" t="str">
        <f>IFERROR('G&amp;V'!#REF!, "-")</f>
        <v>-</v>
      </c>
    </row>
    <row r="54" spans="2:22">
      <c r="B54" s="719" t="str">
        <f>'G&amp;V'!B35</f>
        <v>Other Operating Expenses</v>
      </c>
      <c r="C54" s="678"/>
      <c r="D54" s="726">
        <f>IFERROR('G&amp;V'!E35, "-")</f>
        <v>-32748154.576682154</v>
      </c>
      <c r="E54" s="726">
        <f>IFERROR('G&amp;V'!F35, "-")</f>
        <v>-32035190.954773873</v>
      </c>
      <c r="F54" s="726">
        <f>IFERROR('G&amp;V'!G35, "-")</f>
        <v>-29772456.574185763</v>
      </c>
      <c r="G54" s="726">
        <f>IFERROR('G&amp;V'!H35, "-")</f>
        <v>-29935327.135027174</v>
      </c>
      <c r="H54" s="726">
        <f>IFERROR('G&amp;V'!I35, "-")</f>
        <v>0</v>
      </c>
      <c r="I54" s="726">
        <f>IFERROR('G&amp;V'!J35, "-")</f>
        <v>0</v>
      </c>
      <c r="J54" s="726">
        <f>IFERROR('G&amp;V'!K35, "-")</f>
        <v>0</v>
      </c>
      <c r="K54" s="726">
        <f>IFERROR('G&amp;V'!L35, "-")</f>
        <v>0</v>
      </c>
      <c r="L54" s="726" t="str">
        <f>IFERROR('G&amp;V'!M35, "-")</f>
        <v/>
      </c>
      <c r="M54" s="726" t="str">
        <f>IFERROR('G&amp;V'!N35, "-")</f>
        <v/>
      </c>
      <c r="N54" s="726" t="str">
        <f>IFERROR('G&amp;V'!O35, "-")</f>
        <v/>
      </c>
      <c r="O54" s="726" t="str">
        <f>IFERROR('G&amp;V'!P35, "-")</f>
        <v/>
      </c>
      <c r="P54" s="726" t="str">
        <f>IFERROR('G&amp;V'!Q35, "-")</f>
        <v/>
      </c>
      <c r="Q54" s="726" t="str">
        <f>IFERROR('G&amp;V'!#REF!, "-")</f>
        <v>-</v>
      </c>
    </row>
    <row r="55" spans="2:22">
      <c r="B55" s="737" t="str">
        <f>'G&amp;V'!B40</f>
        <v>EBITDA (adjusted)</v>
      </c>
      <c r="C55" s="450"/>
      <c r="D55" s="727">
        <f t="shared" ref="D55:Q55" si="1">SUM(D51:D54)</f>
        <v>2047662.9622145928</v>
      </c>
      <c r="E55" s="727">
        <f t="shared" si="1"/>
        <v>1192560.2010050192</v>
      </c>
      <c r="F55" s="727">
        <f t="shared" si="1"/>
        <v>-49088.661037392914</v>
      </c>
      <c r="G55" s="727">
        <f t="shared" si="1"/>
        <v>971548.61223384365</v>
      </c>
      <c r="H55" s="727">
        <f t="shared" si="1"/>
        <v>0</v>
      </c>
      <c r="I55" s="727">
        <f t="shared" si="1"/>
        <v>0</v>
      </c>
      <c r="J55" s="727">
        <f t="shared" si="1"/>
        <v>0</v>
      </c>
      <c r="K55" s="727">
        <f t="shared" si="1"/>
        <v>0</v>
      </c>
      <c r="L55" s="727">
        <f t="shared" si="1"/>
        <v>0</v>
      </c>
      <c r="M55" s="727">
        <f t="shared" si="1"/>
        <v>0</v>
      </c>
      <c r="N55" s="727">
        <f t="shared" si="1"/>
        <v>0</v>
      </c>
      <c r="O55" s="727">
        <f t="shared" si="1"/>
        <v>0</v>
      </c>
      <c r="P55" s="727">
        <f t="shared" si="1"/>
        <v>0</v>
      </c>
      <c r="Q55" s="727">
        <f t="shared" si="1"/>
        <v>0</v>
      </c>
    </row>
    <row r="56" spans="2:22">
      <c r="B56" s="719" t="str">
        <f>'G&amp;V'!B44</f>
        <v>Depreciation and Amortization</v>
      </c>
      <c r="C56" s="678"/>
      <c r="D56" s="726">
        <f>IFERROR('G&amp;V'!E44, "-")</f>
        <v>0</v>
      </c>
      <c r="E56" s="726">
        <f>IFERROR('G&amp;V'!F44, "-")</f>
        <v>0</v>
      </c>
      <c r="F56" s="726">
        <f>IFERROR('G&amp;V'!G44, "-")</f>
        <v>0</v>
      </c>
      <c r="G56" s="726">
        <f>IFERROR('G&amp;V'!H44, "-")</f>
        <v>0</v>
      </c>
      <c r="H56" s="726">
        <f>IFERROR('G&amp;V'!I44, "-")</f>
        <v>0</v>
      </c>
      <c r="I56" s="726">
        <f>IFERROR('G&amp;V'!J44, "-")</f>
        <v>0</v>
      </c>
      <c r="J56" s="726">
        <f>IFERROR('G&amp;V'!K44, "-")</f>
        <v>0</v>
      </c>
      <c r="K56" s="726">
        <f>IFERROR('G&amp;V'!L44, "-")</f>
        <v>0</v>
      </c>
      <c r="L56" s="726" t="str">
        <f>IFERROR('G&amp;V'!M44, "-")</f>
        <v xml:space="preserve"> </v>
      </c>
      <c r="M56" s="726" t="str">
        <f>IFERROR('G&amp;V'!N44, "-")</f>
        <v xml:space="preserve"> </v>
      </c>
      <c r="N56" s="726" t="str">
        <f>IFERROR('G&amp;V'!O44, "-")</f>
        <v xml:space="preserve"> </v>
      </c>
      <c r="O56" s="726" t="str">
        <f>IFERROR('G&amp;V'!P44, "-")</f>
        <v xml:space="preserve"> </v>
      </c>
      <c r="P56" s="726" t="str">
        <f>IFERROR('G&amp;V'!Q44, "-")</f>
        <v xml:space="preserve"> </v>
      </c>
      <c r="Q56" s="726" t="str">
        <f>IFERROR('G&amp;V'!#REF!, "-")</f>
        <v>-</v>
      </c>
    </row>
    <row r="57" spans="2:22">
      <c r="B57" s="737" t="str">
        <f>'G&amp;V'!B50</f>
        <v>EBIT (adjusted)</v>
      </c>
      <c r="C57" s="450"/>
      <c r="D57" s="727">
        <f>SUM(D55:D56)</f>
        <v>2047662.9622145928</v>
      </c>
      <c r="E57" s="727">
        <f t="shared" ref="E57:Q57" si="2">SUM(E55:E56)</f>
        <v>1192560.2010050192</v>
      </c>
      <c r="F57" s="727">
        <f t="shared" si="2"/>
        <v>-49088.661037392914</v>
      </c>
      <c r="G57" s="727">
        <f t="shared" si="2"/>
        <v>971548.61223384365</v>
      </c>
      <c r="H57" s="727">
        <f t="shared" si="2"/>
        <v>0</v>
      </c>
      <c r="I57" s="727">
        <f t="shared" si="2"/>
        <v>0</v>
      </c>
      <c r="J57" s="727">
        <f t="shared" si="2"/>
        <v>0</v>
      </c>
      <c r="K57" s="727">
        <f t="shared" si="2"/>
        <v>0</v>
      </c>
      <c r="L57" s="727">
        <f t="shared" si="2"/>
        <v>0</v>
      </c>
      <c r="M57" s="727">
        <f t="shared" si="2"/>
        <v>0</v>
      </c>
      <c r="N57" s="727">
        <f t="shared" si="2"/>
        <v>0</v>
      </c>
      <c r="O57" s="727">
        <f t="shared" si="2"/>
        <v>0</v>
      </c>
      <c r="P57" s="727">
        <f t="shared" si="2"/>
        <v>0</v>
      </c>
      <c r="Q57" s="727">
        <f t="shared" si="2"/>
        <v>0</v>
      </c>
    </row>
    <row r="58" spans="2:22">
      <c r="B58" s="719" t="str">
        <f>'G&amp;V'!B54</f>
        <v>Financial Result</v>
      </c>
      <c r="C58" s="678"/>
      <c r="D58" s="726">
        <f>IFERROR('G&amp;V'!E54, "-")</f>
        <v>-156640.53344109911</v>
      </c>
      <c r="E58" s="726">
        <f>IFERROR('G&amp;V'!F54, "-")</f>
        <v>-182249.24623115594</v>
      </c>
      <c r="F58" s="726">
        <f>IFERROR('G&amp;V'!G54, "-")</f>
        <v>-60009.851226377126</v>
      </c>
      <c r="G58" s="726">
        <f>IFERROR('G&amp;V'!H54, "-")</f>
        <v>720470.59789745521</v>
      </c>
      <c r="H58" s="728" t="e">
        <f ca="1">H59+H60</f>
        <v>#VALUE!</v>
      </c>
      <c r="I58" s="729" t="e">
        <f t="shared" ref="I58:Q58" ca="1" si="3">I59+I60</f>
        <v>#VALUE!</v>
      </c>
      <c r="J58" s="729" t="e">
        <f t="shared" ca="1" si="3"/>
        <v>#VALUE!</v>
      </c>
      <c r="K58" s="729" t="e">
        <f t="shared" ca="1" si="3"/>
        <v>#VALUE!</v>
      </c>
      <c r="L58" s="729" t="e">
        <f t="shared" ca="1" si="3"/>
        <v>#VALUE!</v>
      </c>
      <c r="M58" s="729" t="e">
        <f t="shared" ca="1" si="3"/>
        <v>#VALUE!</v>
      </c>
      <c r="N58" s="729" t="e">
        <f t="shared" ca="1" si="3"/>
        <v>#VALUE!</v>
      </c>
      <c r="O58" s="729" t="e">
        <f t="shared" ca="1" si="3"/>
        <v>#VALUE!</v>
      </c>
      <c r="P58" s="729" t="e">
        <f t="shared" ca="1" si="3"/>
        <v>#VALUE!</v>
      </c>
      <c r="Q58" s="730" t="e">
        <f t="shared" ca="1" si="3"/>
        <v>#VALUE!</v>
      </c>
    </row>
    <row r="59" spans="2:22">
      <c r="B59" s="738" t="str">
        <f>'G&amp;V'!B56</f>
        <v>Other Interest and similar Income</v>
      </c>
      <c r="C59" s="691"/>
      <c r="D59" s="731">
        <f>IFERROR('G&amp;V'!E56, "-")</f>
        <v>579822.59042230761</v>
      </c>
      <c r="E59" s="731">
        <f>IFERROR('G&amp;V'!F56, "-")</f>
        <v>774900.50251256279</v>
      </c>
      <c r="F59" s="731">
        <f>IFERROR('G&amp;V'!G56, "-")</f>
        <v>411227.78447929228</v>
      </c>
      <c r="G59" s="731">
        <f>IFERROR('G&amp;V'!H56, "-")</f>
        <v>1412471.5311677039</v>
      </c>
      <c r="H59" s="732" t="e">
        <f ca="1">H115+H116</f>
        <v>#VALUE!</v>
      </c>
      <c r="I59" s="727" t="e">
        <f t="shared" ref="I59:Q59" ca="1" si="4">I115+I116</f>
        <v>#VALUE!</v>
      </c>
      <c r="J59" s="727" t="e">
        <f t="shared" ca="1" si="4"/>
        <v>#VALUE!</v>
      </c>
      <c r="K59" s="727" t="e">
        <f t="shared" ca="1" si="4"/>
        <v>#VALUE!</v>
      </c>
      <c r="L59" s="727" t="e">
        <f t="shared" ca="1" si="4"/>
        <v>#VALUE!</v>
      </c>
      <c r="M59" s="727" t="e">
        <f t="shared" ca="1" si="4"/>
        <v>#VALUE!</v>
      </c>
      <c r="N59" s="727" t="e">
        <f t="shared" ca="1" si="4"/>
        <v>#VALUE!</v>
      </c>
      <c r="O59" s="727" t="e">
        <f t="shared" ca="1" si="4"/>
        <v>#VALUE!</v>
      </c>
      <c r="P59" s="727" t="e">
        <f t="shared" ca="1" si="4"/>
        <v>#VALUE!</v>
      </c>
      <c r="Q59" s="733" t="e">
        <f t="shared" ca="1" si="4"/>
        <v>#VALUE!</v>
      </c>
    </row>
    <row r="60" spans="2:22">
      <c r="B60" s="738" t="str">
        <f>'G&amp;V'!B57</f>
        <v>Interest and similar Expenses</v>
      </c>
      <c r="C60" s="691"/>
      <c r="D60" s="731">
        <f>'G&amp;V'!E57</f>
        <v>-736463.12386340671</v>
      </c>
      <c r="E60" s="731">
        <f>'G&amp;V'!F57</f>
        <v>-957149.74874371872</v>
      </c>
      <c r="F60" s="731">
        <f>'G&amp;V'!G57</f>
        <v>-471237.63570566941</v>
      </c>
      <c r="G60" s="731">
        <f>'G&amp;V'!H57</f>
        <v>-692000.9332702487</v>
      </c>
      <c r="H60" s="734" t="e">
        <f ca="1">H114</f>
        <v>#NUM!</v>
      </c>
      <c r="I60" s="523" t="e">
        <f t="shared" ref="I60:Q60" ca="1" si="5">I114</f>
        <v>#DIV/0!</v>
      </c>
      <c r="J60" s="523" t="e">
        <f t="shared" ca="1" si="5"/>
        <v>#DIV/0!</v>
      </c>
      <c r="K60" s="523" t="e">
        <f t="shared" ca="1" si="5"/>
        <v>#DIV/0!</v>
      </c>
      <c r="L60" s="523" t="str">
        <f t="shared" ca="1" si="5"/>
        <v xml:space="preserve"> </v>
      </c>
      <c r="M60" s="523" t="str">
        <f t="shared" ca="1" si="5"/>
        <v xml:space="preserve"> </v>
      </c>
      <c r="N60" s="523" t="str">
        <f t="shared" ca="1" si="5"/>
        <v xml:space="preserve"> </v>
      </c>
      <c r="O60" s="523" t="str">
        <f t="shared" ca="1" si="5"/>
        <v xml:space="preserve"> </v>
      </c>
      <c r="P60" s="523" t="str">
        <f t="shared" ca="1" si="5"/>
        <v xml:space="preserve"> </v>
      </c>
      <c r="Q60" s="735" t="str">
        <f t="shared" ca="1" si="5"/>
        <v xml:space="preserve"> </v>
      </c>
    </row>
    <row r="61" spans="2:22">
      <c r="B61" s="719" t="str">
        <f>'G&amp;V'!B65</f>
        <v>Extraordinary Items</v>
      </c>
      <c r="C61" s="678"/>
      <c r="D61" s="726">
        <f>IFERROR('G&amp;V'!E65, "-")</f>
        <v>0</v>
      </c>
      <c r="E61" s="726">
        <f>IFERROR('G&amp;V'!F65, "-")</f>
        <v>0</v>
      </c>
      <c r="F61" s="726">
        <f>IFERROR('G&amp;V'!G65, "-")</f>
        <v>0</v>
      </c>
      <c r="G61" s="726">
        <f>IFERROR('G&amp;V'!H65, "-")</f>
        <v>0</v>
      </c>
      <c r="H61" s="726">
        <f>IFERROR('G&amp;V'!I65, "-")</f>
        <v>0</v>
      </c>
      <c r="I61" s="726">
        <f>IFERROR('G&amp;V'!J65, "-")</f>
        <v>0</v>
      </c>
      <c r="J61" s="726">
        <f>IFERROR('G&amp;V'!K65, "-")</f>
        <v>0</v>
      </c>
      <c r="K61" s="726">
        <f>IFERROR('G&amp;V'!L65, "-")</f>
        <v>0</v>
      </c>
      <c r="L61" s="726" t="str">
        <f>IFERROR('G&amp;V'!M65, "-")</f>
        <v/>
      </c>
      <c r="M61" s="726" t="str">
        <f>IFERROR('G&amp;V'!N65, "-")</f>
        <v/>
      </c>
      <c r="N61" s="726" t="str">
        <f>IFERROR('G&amp;V'!O65, "-")</f>
        <v/>
      </c>
      <c r="O61" s="726" t="str">
        <f>IFERROR('G&amp;V'!P65, "-")</f>
        <v/>
      </c>
      <c r="P61" s="726" t="str">
        <f>IFERROR('G&amp;V'!Q65, "-")</f>
        <v/>
      </c>
      <c r="Q61" s="726" t="str">
        <f>IFERROR('G&amp;V'!#REF!, "-")</f>
        <v>-</v>
      </c>
    </row>
    <row r="62" spans="2:22">
      <c r="B62" s="737" t="str">
        <f>'G&amp;V'!B70</f>
        <v>EBT (adjusted)</v>
      </c>
      <c r="C62" s="450"/>
      <c r="D62" s="727">
        <f>D57+D58+D61</f>
        <v>1891022.4287734937</v>
      </c>
      <c r="E62" s="727">
        <f t="shared" ref="E62:Q62" si="6">E57+E58+E61</f>
        <v>1010310.9547738633</v>
      </c>
      <c r="F62" s="727">
        <f t="shared" si="6"/>
        <v>-109098.51226377004</v>
      </c>
      <c r="G62" s="727">
        <f t="shared" si="6"/>
        <v>1692019.2101312988</v>
      </c>
      <c r="H62" s="727" t="e">
        <f t="shared" ca="1" si="6"/>
        <v>#VALUE!</v>
      </c>
      <c r="I62" s="727" t="e">
        <f t="shared" ca="1" si="6"/>
        <v>#VALUE!</v>
      </c>
      <c r="J62" s="727" t="e">
        <f t="shared" ca="1" si="6"/>
        <v>#VALUE!</v>
      </c>
      <c r="K62" s="727" t="e">
        <f t="shared" ca="1" si="6"/>
        <v>#VALUE!</v>
      </c>
      <c r="L62" s="727" t="e">
        <f t="shared" ca="1" si="6"/>
        <v>#VALUE!</v>
      </c>
      <c r="M62" s="727" t="e">
        <f t="shared" ca="1" si="6"/>
        <v>#VALUE!</v>
      </c>
      <c r="N62" s="727" t="e">
        <f t="shared" ca="1" si="6"/>
        <v>#VALUE!</v>
      </c>
      <c r="O62" s="727" t="e">
        <f t="shared" ca="1" si="6"/>
        <v>#VALUE!</v>
      </c>
      <c r="P62" s="727" t="e">
        <f t="shared" ca="1" si="6"/>
        <v>#VALUE!</v>
      </c>
      <c r="Q62" s="727" t="e">
        <f t="shared" ca="1" si="6"/>
        <v>#VALUE!</v>
      </c>
    </row>
    <row r="63" spans="2:22">
      <c r="B63" s="719" t="str">
        <f>'G&amp;V'!B74</f>
        <v>Taxes on income and earnings + other taxes</v>
      </c>
      <c r="C63" s="678"/>
      <c r="D63" s="726">
        <f>'G&amp;V'!E76</f>
        <v>-364367.75106082001</v>
      </c>
      <c r="E63" s="726">
        <f>'G&amp;V'!F76</f>
        <v>-270599.79899497487</v>
      </c>
      <c r="F63" s="726">
        <f>'G&amp;V'!G76</f>
        <v>-132156.41334941695</v>
      </c>
      <c r="G63" s="726">
        <f>G62*-Eckdaten!$C$24</f>
        <v>-507605.76303938963</v>
      </c>
      <c r="H63" s="726" t="e">
        <f ca="1">H62*-Eckdaten!$C$24</f>
        <v>#VALUE!</v>
      </c>
      <c r="I63" s="726" t="e">
        <f ca="1">I62*-Eckdaten!$C$24</f>
        <v>#VALUE!</v>
      </c>
      <c r="J63" s="726" t="e">
        <f ca="1">J62*-Eckdaten!$C$24</f>
        <v>#VALUE!</v>
      </c>
      <c r="K63" s="726" t="e">
        <f ca="1">K62*-Eckdaten!$C$24</f>
        <v>#VALUE!</v>
      </c>
      <c r="L63" s="726" t="e">
        <f ca="1">L62*-Eckdaten!$C$24</f>
        <v>#VALUE!</v>
      </c>
      <c r="M63" s="726" t="e">
        <f ca="1">M62*-Eckdaten!$C$24</f>
        <v>#VALUE!</v>
      </c>
      <c r="N63" s="726" t="e">
        <f ca="1">N62*-Eckdaten!$C$24</f>
        <v>#VALUE!</v>
      </c>
      <c r="O63" s="726" t="e">
        <f ca="1">O62*-Eckdaten!$C$24</f>
        <v>#VALUE!</v>
      </c>
      <c r="P63" s="726" t="e">
        <f ca="1">P62*-Eckdaten!$C$24</f>
        <v>#VALUE!</v>
      </c>
      <c r="Q63" s="726" t="e">
        <f ca="1">Q62*-Eckdaten!$C$24</f>
        <v>#VALUE!</v>
      </c>
    </row>
    <row r="64" spans="2:22">
      <c r="B64" s="737" t="str">
        <f>'G&amp;V'!B80</f>
        <v>Net Profit (loss) (adjusted)</v>
      </c>
      <c r="C64" s="450"/>
      <c r="D64" s="727">
        <f>SUM(D62:D63)</f>
        <v>1526654.6777126738</v>
      </c>
      <c r="E64" s="727">
        <f t="shared" ref="E64:Q64" si="7">SUM(E62:E63)</f>
        <v>739711.15577888838</v>
      </c>
      <c r="F64" s="727">
        <f t="shared" si="7"/>
        <v>-241254.92561318699</v>
      </c>
      <c r="G64" s="727">
        <f t="shared" si="7"/>
        <v>1184413.4470919091</v>
      </c>
      <c r="H64" s="727" t="e">
        <f t="shared" ca="1" si="7"/>
        <v>#VALUE!</v>
      </c>
      <c r="I64" s="727" t="e">
        <f t="shared" ca="1" si="7"/>
        <v>#VALUE!</v>
      </c>
      <c r="J64" s="727" t="e">
        <f t="shared" ca="1" si="7"/>
        <v>#VALUE!</v>
      </c>
      <c r="K64" s="727" t="e">
        <f t="shared" ca="1" si="7"/>
        <v>#VALUE!</v>
      </c>
      <c r="L64" s="727" t="e">
        <f t="shared" ca="1" si="7"/>
        <v>#VALUE!</v>
      </c>
      <c r="M64" s="727" t="e">
        <f t="shared" ca="1" si="7"/>
        <v>#VALUE!</v>
      </c>
      <c r="N64" s="727" t="e">
        <f t="shared" ca="1" si="7"/>
        <v>#VALUE!</v>
      </c>
      <c r="O64" s="727" t="e">
        <f t="shared" ca="1" si="7"/>
        <v>#VALUE!</v>
      </c>
      <c r="P64" s="727" t="e">
        <f t="shared" ca="1" si="7"/>
        <v>#VALUE!</v>
      </c>
      <c r="Q64" s="727" t="e">
        <f t="shared" ca="1" si="7"/>
        <v>#VALUE!</v>
      </c>
    </row>
    <row r="66" spans="2:22" ht="13.5" thickBot="1">
      <c r="B66" s="739" t="str">
        <f>Lang.!D153</f>
        <v>Cashflow Rechnung</v>
      </c>
      <c r="C66" s="454"/>
      <c r="D66" s="454"/>
      <c r="E66" s="454"/>
      <c r="F66" s="454"/>
      <c r="G66" s="454"/>
      <c r="H66" s="454"/>
      <c r="I66" s="454"/>
      <c r="J66" s="454"/>
      <c r="K66" s="454"/>
      <c r="L66" s="454"/>
      <c r="M66" s="454"/>
      <c r="N66" s="454"/>
      <c r="O66" s="454"/>
      <c r="P66" s="454"/>
      <c r="Q66" s="454"/>
    </row>
    <row r="67" spans="2:22" ht="3.75" customHeight="1">
      <c r="B67" s="673"/>
      <c r="C67" s="673"/>
      <c r="D67" s="673"/>
      <c r="E67" s="673"/>
      <c r="F67" s="673"/>
      <c r="G67" s="673"/>
      <c r="H67" s="673"/>
      <c r="I67" s="673"/>
      <c r="J67" s="673"/>
      <c r="K67" s="673"/>
      <c r="L67" s="673"/>
      <c r="M67" s="673"/>
      <c r="N67" s="673"/>
      <c r="O67" s="673"/>
      <c r="P67" s="673"/>
      <c r="Q67" s="673"/>
      <c r="R67" s="673"/>
      <c r="S67" s="673"/>
      <c r="T67" s="673"/>
      <c r="U67" s="673"/>
      <c r="V67" s="673"/>
    </row>
    <row r="68" spans="2:22">
      <c r="B68" s="719" t="str">
        <f>CF!B22</f>
        <v>Cash Flow I from operating activities</v>
      </c>
      <c r="G68" s="690"/>
      <c r="H68" s="726" t="e">
        <f>CF!I22</f>
        <v>#VALUE!</v>
      </c>
      <c r="I68" s="726">
        <f>CF!J22</f>
        <v>0</v>
      </c>
      <c r="J68" s="726">
        <f>CF!K22</f>
        <v>0</v>
      </c>
      <c r="K68" s="726">
        <f>CF!L22</f>
        <v>0</v>
      </c>
      <c r="L68" s="726" t="e">
        <f>CF!M22</f>
        <v>#VALUE!</v>
      </c>
      <c r="M68" s="726" t="e">
        <f>CF!N22</f>
        <v>#VALUE!</v>
      </c>
      <c r="N68" s="726">
        <f>CF!O22</f>
        <v>0</v>
      </c>
      <c r="O68" s="726">
        <f>CF!P22</f>
        <v>0</v>
      </c>
      <c r="P68" s="726">
        <f>CF!Q22</f>
        <v>0</v>
      </c>
      <c r="Q68" s="726" t="e">
        <f>CF!#REF!</f>
        <v>#REF!</v>
      </c>
    </row>
    <row r="69" spans="2:22" ht="3.75" customHeight="1">
      <c r="B69" s="678"/>
      <c r="G69" s="690"/>
      <c r="H69" s="690"/>
      <c r="I69" s="690"/>
      <c r="J69" s="690"/>
      <c r="K69" s="690"/>
      <c r="L69" s="690"/>
      <c r="M69" s="690"/>
      <c r="N69" s="690"/>
      <c r="O69" s="690"/>
      <c r="P69" s="690"/>
      <c r="Q69" s="690"/>
    </row>
    <row r="70" spans="2:22">
      <c r="B70" s="719" t="str">
        <f>CF!B27</f>
        <v>Cash Flow II from investing activities</v>
      </c>
      <c r="G70" s="690"/>
      <c r="H70" s="726">
        <f>CF!I27</f>
        <v>6688639.3924089121</v>
      </c>
      <c r="I70" s="726">
        <f>CF!J27</f>
        <v>0</v>
      </c>
      <c r="J70" s="726">
        <f>CF!K27</f>
        <v>0</v>
      </c>
      <c r="K70" s="726">
        <f>CF!L27</f>
        <v>0</v>
      </c>
      <c r="L70" s="726" t="e">
        <f>CF!M27</f>
        <v>#VALUE!</v>
      </c>
      <c r="M70" s="726" t="e">
        <f>CF!N27</f>
        <v>#VALUE!</v>
      </c>
      <c r="N70" s="726">
        <f>CF!O27</f>
        <v>0</v>
      </c>
      <c r="O70" s="726">
        <f>CF!P27</f>
        <v>0</v>
      </c>
      <c r="P70" s="726">
        <f>CF!Q27</f>
        <v>0</v>
      </c>
      <c r="Q70" s="726" t="e">
        <f>CF!#REF!</f>
        <v>#REF!</v>
      </c>
    </row>
    <row r="71" spans="2:22" ht="3.75" customHeight="1">
      <c r="B71" s="678"/>
      <c r="G71" s="690"/>
      <c r="H71" s="690"/>
      <c r="I71" s="690"/>
      <c r="J71" s="690"/>
      <c r="K71" s="690"/>
      <c r="L71" s="690"/>
      <c r="M71" s="690"/>
      <c r="N71" s="690"/>
      <c r="O71" s="690"/>
      <c r="P71" s="690"/>
      <c r="Q71" s="690"/>
    </row>
    <row r="72" spans="2:22">
      <c r="B72" s="719" t="str">
        <f>CF!B39</f>
        <v>Cash Flow III from financing activities</v>
      </c>
      <c r="G72" s="690"/>
      <c r="H72" s="726">
        <f>CF!I39</f>
        <v>-13291593.001749456</v>
      </c>
      <c r="I72" s="726">
        <f>CF!J39</f>
        <v>0</v>
      </c>
      <c r="J72" s="726">
        <f>CF!K39</f>
        <v>0</v>
      </c>
      <c r="K72" s="726">
        <f>CF!L39</f>
        <v>0</v>
      </c>
      <c r="L72" s="726" t="e">
        <f>CF!M39</f>
        <v>#VALUE!</v>
      </c>
      <c r="M72" s="726" t="e">
        <f>CF!N39</f>
        <v>#VALUE!</v>
      </c>
      <c r="N72" s="726">
        <f>CF!O39</f>
        <v>0</v>
      </c>
      <c r="O72" s="726">
        <f>CF!P39</f>
        <v>0</v>
      </c>
      <c r="P72" s="726">
        <f>CF!Q39</f>
        <v>0</v>
      </c>
      <c r="Q72" s="726" t="e">
        <f>CF!#REF!</f>
        <v>#REF!</v>
      </c>
    </row>
    <row r="73" spans="2:22" ht="3.75" customHeight="1">
      <c r="B73" s="450"/>
      <c r="C73" s="450"/>
      <c r="D73" s="450"/>
      <c r="E73" s="450"/>
      <c r="F73" s="450"/>
      <c r="G73" s="692"/>
      <c r="H73" s="692"/>
      <c r="I73" s="692"/>
      <c r="J73" s="692"/>
      <c r="K73" s="692"/>
      <c r="L73" s="692"/>
      <c r="M73" s="692"/>
      <c r="N73" s="692"/>
      <c r="O73" s="692"/>
      <c r="P73" s="692"/>
      <c r="Q73" s="692"/>
    </row>
    <row r="74" spans="2:22">
      <c r="B74" s="693" t="s">
        <v>738</v>
      </c>
      <c r="C74" s="694"/>
      <c r="D74" s="694"/>
      <c r="E74" s="694"/>
      <c r="F74" s="694"/>
      <c r="G74" s="695"/>
      <c r="H74" s="740" t="str">
        <f t="shared" ref="H74:Q74" si="8">IFERROR(SUM(H68:H72), "-")</f>
        <v>-</v>
      </c>
      <c r="I74" s="740">
        <f t="shared" si="8"/>
        <v>0</v>
      </c>
      <c r="J74" s="740">
        <f t="shared" si="8"/>
        <v>0</v>
      </c>
      <c r="K74" s="740">
        <f t="shared" si="8"/>
        <v>0</v>
      </c>
      <c r="L74" s="740" t="str">
        <f t="shared" si="8"/>
        <v>-</v>
      </c>
      <c r="M74" s="740" t="str">
        <f t="shared" si="8"/>
        <v>-</v>
      </c>
      <c r="N74" s="740">
        <f t="shared" si="8"/>
        <v>0</v>
      </c>
      <c r="O74" s="740">
        <f t="shared" si="8"/>
        <v>0</v>
      </c>
      <c r="P74" s="740">
        <f t="shared" si="8"/>
        <v>0</v>
      </c>
      <c r="Q74" s="740" t="str">
        <f t="shared" si="8"/>
        <v>-</v>
      </c>
    </row>
    <row r="75" spans="2:22">
      <c r="B75" s="450"/>
      <c r="C75" s="450"/>
      <c r="D75" s="450"/>
      <c r="E75" s="450"/>
      <c r="F75" s="450"/>
      <c r="G75" s="692"/>
      <c r="H75" s="692"/>
      <c r="I75" s="692"/>
      <c r="J75" s="692"/>
      <c r="K75" s="692"/>
      <c r="L75" s="692"/>
      <c r="M75" s="692"/>
      <c r="N75" s="692"/>
      <c r="O75" s="692"/>
      <c r="P75" s="692"/>
      <c r="Q75" s="692"/>
    </row>
    <row r="76" spans="2:22">
      <c r="B76" s="450" t="s">
        <v>739</v>
      </c>
      <c r="F76" s="453"/>
      <c r="G76" s="679"/>
      <c r="H76" s="717" t="str">
        <f>C43</f>
        <v/>
      </c>
      <c r="I76" s="717" t="str">
        <f t="shared" ref="I76:Q76" ca="1" si="9">IF(I46=" ", " ",H84)</f>
        <v>-</v>
      </c>
      <c r="J76" s="717" t="str">
        <f t="shared" ca="1" si="9"/>
        <v>-</v>
      </c>
      <c r="K76" s="717" t="str">
        <f t="shared" ca="1" si="9"/>
        <v>-</v>
      </c>
      <c r="L76" s="717" t="str">
        <f t="shared" ca="1" si="9"/>
        <v xml:space="preserve"> </v>
      </c>
      <c r="M76" s="717" t="str">
        <f t="shared" ca="1" si="9"/>
        <v xml:space="preserve"> </v>
      </c>
      <c r="N76" s="717" t="str">
        <f t="shared" ca="1" si="9"/>
        <v xml:space="preserve"> </v>
      </c>
      <c r="O76" s="717" t="str">
        <f t="shared" ca="1" si="9"/>
        <v xml:space="preserve"> </v>
      </c>
      <c r="P76" s="717" t="str">
        <f t="shared" ca="1" si="9"/>
        <v xml:space="preserve"> </v>
      </c>
      <c r="Q76" s="717" t="str">
        <f t="shared" ca="1" si="9"/>
        <v xml:space="preserve"> </v>
      </c>
    </row>
    <row r="77" spans="2:22">
      <c r="B77" s="669" t="s">
        <v>740</v>
      </c>
      <c r="F77" s="475"/>
      <c r="G77" s="696"/>
      <c r="H77" s="741" t="str">
        <f t="shared" ref="H77:Q77" si="10">H74</f>
        <v>-</v>
      </c>
      <c r="I77" s="741">
        <f t="shared" si="10"/>
        <v>0</v>
      </c>
      <c r="J77" s="741">
        <f t="shared" si="10"/>
        <v>0</v>
      </c>
      <c r="K77" s="741">
        <f t="shared" si="10"/>
        <v>0</v>
      </c>
      <c r="L77" s="741" t="str">
        <f t="shared" si="10"/>
        <v>-</v>
      </c>
      <c r="M77" s="741" t="str">
        <f t="shared" si="10"/>
        <v>-</v>
      </c>
      <c r="N77" s="741">
        <f t="shared" si="10"/>
        <v>0</v>
      </c>
      <c r="O77" s="741">
        <f t="shared" si="10"/>
        <v>0</v>
      </c>
      <c r="P77" s="741">
        <f t="shared" si="10"/>
        <v>0</v>
      </c>
      <c r="Q77" s="741" t="str">
        <f t="shared" si="10"/>
        <v>-</v>
      </c>
    </row>
    <row r="78" spans="2:22">
      <c r="B78" s="719" t="str">
        <f xml:space="preserve"> "- "&amp;B44</f>
        <v>- Minimum Cash Balance:</v>
      </c>
      <c r="G78" s="696"/>
      <c r="H78" s="741" t="e">
        <f t="shared" ref="H78:Q78" si="11">IF(H46=" ", " ",-$C$44)</f>
        <v>#VALUE!</v>
      </c>
      <c r="I78" s="741" t="e">
        <f t="shared" si="11"/>
        <v>#VALUE!</v>
      </c>
      <c r="J78" s="741" t="e">
        <f t="shared" si="11"/>
        <v>#VALUE!</v>
      </c>
      <c r="K78" s="741" t="e">
        <f t="shared" si="11"/>
        <v>#VALUE!</v>
      </c>
      <c r="L78" s="741" t="str">
        <f t="shared" si="11"/>
        <v xml:space="preserve"> </v>
      </c>
      <c r="M78" s="741" t="str">
        <f t="shared" si="11"/>
        <v xml:space="preserve"> </v>
      </c>
      <c r="N78" s="741" t="str">
        <f t="shared" si="11"/>
        <v xml:space="preserve"> </v>
      </c>
      <c r="O78" s="741" t="str">
        <f t="shared" si="11"/>
        <v xml:space="preserve"> </v>
      </c>
      <c r="P78" s="741" t="str">
        <f t="shared" si="11"/>
        <v xml:space="preserve"> </v>
      </c>
      <c r="Q78" s="741" t="str">
        <f t="shared" si="11"/>
        <v xml:space="preserve"> </v>
      </c>
    </row>
    <row r="79" spans="2:22">
      <c r="B79" s="697" t="s">
        <v>741</v>
      </c>
      <c r="C79" s="694"/>
      <c r="D79" s="694"/>
      <c r="E79" s="694"/>
      <c r="F79" s="694"/>
      <c r="G79" s="698"/>
      <c r="H79" s="742" t="str">
        <f t="shared" ref="H79:Q79" si="12">IFERROR(H76+H77+H78, "-")</f>
        <v>-</v>
      </c>
      <c r="I79" s="742" t="str">
        <f t="shared" ca="1" si="12"/>
        <v>-</v>
      </c>
      <c r="J79" s="742" t="str">
        <f t="shared" ca="1" si="12"/>
        <v>-</v>
      </c>
      <c r="K79" s="742" t="str">
        <f t="shared" ca="1" si="12"/>
        <v>-</v>
      </c>
      <c r="L79" s="742" t="str">
        <f t="shared" ca="1" si="12"/>
        <v>-</v>
      </c>
      <c r="M79" s="742" t="str">
        <f t="shared" ca="1" si="12"/>
        <v>-</v>
      </c>
      <c r="N79" s="742" t="str">
        <f t="shared" ca="1" si="12"/>
        <v>-</v>
      </c>
      <c r="O79" s="742" t="str">
        <f t="shared" ca="1" si="12"/>
        <v>-</v>
      </c>
      <c r="P79" s="742" t="str">
        <f t="shared" ca="1" si="12"/>
        <v>-</v>
      </c>
      <c r="Q79" s="742" t="str">
        <f t="shared" ca="1" si="12"/>
        <v>-</v>
      </c>
    </row>
    <row r="80" spans="2:22">
      <c r="B80" s="699" t="s">
        <v>742</v>
      </c>
      <c r="C80" s="450"/>
      <c r="D80" s="450"/>
      <c r="E80" s="450"/>
      <c r="F80" s="450"/>
      <c r="G80" s="450"/>
      <c r="H80" s="743" t="e">
        <f t="shared" ref="H80:Q80" ca="1" si="13">H92+H93+H98+H99+H104+H105+H110</f>
        <v>#NUM!</v>
      </c>
      <c r="I80" s="743" t="e">
        <f t="shared" ca="1" si="13"/>
        <v>#NUM!</v>
      </c>
      <c r="J80" s="743" t="e">
        <f t="shared" ca="1" si="13"/>
        <v>#NUM!</v>
      </c>
      <c r="K80" s="743" t="e">
        <f t="shared" ca="1" si="13"/>
        <v>#NUM!</v>
      </c>
      <c r="L80" s="743" t="e">
        <f t="shared" ca="1" si="13"/>
        <v>#NUM!</v>
      </c>
      <c r="M80" s="743" t="e">
        <f t="shared" ca="1" si="13"/>
        <v>#NUM!</v>
      </c>
      <c r="N80" s="743" t="e">
        <f t="shared" ca="1" si="13"/>
        <v>#NUM!</v>
      </c>
      <c r="O80" s="743" t="e">
        <f t="shared" ca="1" si="13"/>
        <v>#NUM!</v>
      </c>
      <c r="P80" s="743" t="e">
        <f t="shared" ca="1" si="13"/>
        <v>#NUM!</v>
      </c>
      <c r="Q80" s="743" t="e">
        <f t="shared" ca="1" si="13"/>
        <v>#NUM!</v>
      </c>
      <c r="R80" s="555"/>
    </row>
    <row r="81" spans="2:19">
      <c r="B81" s="450"/>
    </row>
    <row r="82" spans="2:19">
      <c r="B82" s="719" t="str">
        <f>B76</f>
        <v>Cash Balance (BOY)</v>
      </c>
      <c r="G82" s="475"/>
      <c r="H82" s="514" t="str">
        <f t="shared" ref="H82:Q82" si="14">H76</f>
        <v/>
      </c>
      <c r="I82" s="514" t="str">
        <f t="shared" ca="1" si="14"/>
        <v>-</v>
      </c>
      <c r="J82" s="514" t="str">
        <f t="shared" ca="1" si="14"/>
        <v>-</v>
      </c>
      <c r="K82" s="514" t="str">
        <f t="shared" ca="1" si="14"/>
        <v>-</v>
      </c>
      <c r="L82" s="514" t="str">
        <f t="shared" ca="1" si="14"/>
        <v xml:space="preserve"> </v>
      </c>
      <c r="M82" s="514" t="str">
        <f t="shared" ca="1" si="14"/>
        <v xml:space="preserve"> </v>
      </c>
      <c r="N82" s="514" t="str">
        <f t="shared" ca="1" si="14"/>
        <v xml:space="preserve"> </v>
      </c>
      <c r="O82" s="514" t="str">
        <f t="shared" ca="1" si="14"/>
        <v xml:space="preserve"> </v>
      </c>
      <c r="P82" s="514" t="str">
        <f t="shared" ca="1" si="14"/>
        <v xml:space="preserve"> </v>
      </c>
      <c r="Q82" s="514" t="str">
        <f t="shared" ca="1" si="14"/>
        <v xml:space="preserve"> </v>
      </c>
    </row>
    <row r="83" spans="2:19">
      <c r="B83" s="678" t="s">
        <v>743</v>
      </c>
      <c r="G83" s="475"/>
      <c r="H83" s="514" t="e">
        <f ca="1">H74+H80</f>
        <v>#VALUE!</v>
      </c>
      <c r="I83" s="514" t="e">
        <f t="shared" ref="I83:Q83" ca="1" si="15">I74+I80</f>
        <v>#NUM!</v>
      </c>
      <c r="J83" s="514" t="e">
        <f t="shared" ca="1" si="15"/>
        <v>#NUM!</v>
      </c>
      <c r="K83" s="514" t="e">
        <f t="shared" ca="1" si="15"/>
        <v>#NUM!</v>
      </c>
      <c r="L83" s="514" t="e">
        <f t="shared" ca="1" si="15"/>
        <v>#VALUE!</v>
      </c>
      <c r="M83" s="514" t="e">
        <f t="shared" ca="1" si="15"/>
        <v>#VALUE!</v>
      </c>
      <c r="N83" s="514" t="e">
        <f t="shared" ca="1" si="15"/>
        <v>#NUM!</v>
      </c>
      <c r="O83" s="514" t="e">
        <f t="shared" ca="1" si="15"/>
        <v>#NUM!</v>
      </c>
      <c r="P83" s="514" t="e">
        <f t="shared" ca="1" si="15"/>
        <v>#NUM!</v>
      </c>
      <c r="Q83" s="514" t="e">
        <f t="shared" ca="1" si="15"/>
        <v>#VALUE!</v>
      </c>
    </row>
    <row r="84" spans="2:19">
      <c r="B84" s="694" t="s">
        <v>744</v>
      </c>
      <c r="C84" s="451"/>
      <c r="D84" s="451"/>
      <c r="E84" s="451"/>
      <c r="F84" s="451"/>
      <c r="G84" s="700"/>
      <c r="H84" s="744" t="str">
        <f t="shared" ref="H84:Q84" ca="1" si="16">IFERROR(H82+H83, "-")</f>
        <v>-</v>
      </c>
      <c r="I84" s="744" t="str">
        <f t="shared" ca="1" si="16"/>
        <v>-</v>
      </c>
      <c r="J84" s="744" t="str">
        <f t="shared" ca="1" si="16"/>
        <v>-</v>
      </c>
      <c r="K84" s="744" t="str">
        <f t="shared" ca="1" si="16"/>
        <v>-</v>
      </c>
      <c r="L84" s="744" t="str">
        <f t="shared" ca="1" si="16"/>
        <v>-</v>
      </c>
      <c r="M84" s="744" t="str">
        <f t="shared" ca="1" si="16"/>
        <v>-</v>
      </c>
      <c r="N84" s="744" t="str">
        <f t="shared" ca="1" si="16"/>
        <v>-</v>
      </c>
      <c r="O84" s="744" t="str">
        <f t="shared" ca="1" si="16"/>
        <v>-</v>
      </c>
      <c r="P84" s="744" t="str">
        <f t="shared" ca="1" si="16"/>
        <v>-</v>
      </c>
      <c r="Q84" s="744" t="str">
        <f t="shared" ca="1" si="16"/>
        <v>-</v>
      </c>
      <c r="S84" s="679"/>
    </row>
    <row r="85" spans="2:19">
      <c r="B85" s="450"/>
    </row>
    <row r="86" spans="2:19">
      <c r="B86" s="665" t="s">
        <v>745</v>
      </c>
      <c r="C86" s="665"/>
      <c r="D86" s="665"/>
      <c r="E86" s="665"/>
      <c r="F86" s="665"/>
      <c r="G86" s="665"/>
      <c r="H86" s="665"/>
      <c r="I86" s="665"/>
      <c r="J86" s="665"/>
      <c r="K86" s="665"/>
      <c r="L86" s="665"/>
      <c r="M86" s="665"/>
      <c r="N86" s="665"/>
      <c r="O86" s="665"/>
      <c r="P86" s="665"/>
      <c r="Q86" s="665"/>
    </row>
    <row r="87" spans="2:19">
      <c r="B87" s="450"/>
    </row>
    <row r="88" spans="2:19">
      <c r="B88" s="682"/>
      <c r="C88" s="721" t="str">
        <f>Eckdaten!C14</f>
        <v>EUR</v>
      </c>
      <c r="D88" s="722">
        <f>+E88-1</f>
        <v>2022</v>
      </c>
      <c r="E88" s="722">
        <f>+F88-1</f>
        <v>2023</v>
      </c>
      <c r="F88" s="722">
        <f>+Eckdaten!C12</f>
        <v>2024</v>
      </c>
      <c r="G88" s="723">
        <f>+F88+1</f>
        <v>2025</v>
      </c>
      <c r="H88" s="1492">
        <f>IF(Eckdaten!$C$20+Eckdaten!$C$12&gt;G88,G88+1," ")</f>
        <v>2026</v>
      </c>
      <c r="I88" s="1492">
        <f>IF(Eckdaten!$C$20+Eckdaten!$C$12&gt;H88,H88+1," ")</f>
        <v>2027</v>
      </c>
      <c r="J88" s="1492">
        <f>IF(Eckdaten!$C$20+Eckdaten!$C$12&gt;I88,I88+1," ")</f>
        <v>2028</v>
      </c>
      <c r="K88" s="1492">
        <f>IF(Eckdaten!$C$20+Eckdaten!$C$12&gt;J88,J88+1," ")</f>
        <v>2029</v>
      </c>
      <c r="L88" s="1492" t="str">
        <f>IF(Eckdaten!$C$20+Eckdaten!$C$12&gt;K88,K88+1," ")</f>
        <v xml:space="preserve"> </v>
      </c>
      <c r="M88" s="1492" t="str">
        <f>IF(Eckdaten!$C$20+Eckdaten!$C$12&gt;L88,L88+1," ")</f>
        <v xml:space="preserve"> </v>
      </c>
      <c r="N88" s="1492" t="str">
        <f>IF(Eckdaten!$C$20+Eckdaten!$C$12&gt;M88,M88+1," ")</f>
        <v xml:space="preserve"> </v>
      </c>
      <c r="O88" s="1492" t="str">
        <f>IF(Eckdaten!$C$20+Eckdaten!$C$12&gt;N88,N88+1," ")</f>
        <v xml:space="preserve"> </v>
      </c>
      <c r="P88" s="1492" t="str">
        <f>IF(Eckdaten!$C$20+Eckdaten!$C$12&gt;O88,O88+1," ")</f>
        <v xml:space="preserve"> </v>
      </c>
      <c r="Q88" s="1492" t="str">
        <f>IF(Eckdaten!$C$20+Eckdaten!$C$12&gt;P88,P88+1," ")</f>
        <v xml:space="preserve"> </v>
      </c>
    </row>
    <row r="89" spans="2:19">
      <c r="B89" s="1928"/>
      <c r="C89" s="1929"/>
      <c r="D89" s="683" t="s">
        <v>173</v>
      </c>
      <c r="E89" s="683" t="s">
        <v>173</v>
      </c>
      <c r="F89" s="683" t="s">
        <v>173</v>
      </c>
      <c r="G89" s="684" t="s">
        <v>174</v>
      </c>
      <c r="H89" s="1493" t="str">
        <f>IF(H88=" "," ","P")</f>
        <v>P</v>
      </c>
      <c r="I89" s="1493" t="str">
        <f t="shared" ref="I89:Q89" si="17">IF(I88=" "," ","P")</f>
        <v>P</v>
      </c>
      <c r="J89" s="1493" t="str">
        <f t="shared" si="17"/>
        <v>P</v>
      </c>
      <c r="K89" s="1493" t="str">
        <f t="shared" si="17"/>
        <v>P</v>
      </c>
      <c r="L89" s="1493" t="str">
        <f t="shared" si="17"/>
        <v xml:space="preserve"> </v>
      </c>
      <c r="M89" s="1493" t="str">
        <f t="shared" si="17"/>
        <v xml:space="preserve"> </v>
      </c>
      <c r="N89" s="1493" t="str">
        <f t="shared" si="17"/>
        <v xml:space="preserve"> </v>
      </c>
      <c r="O89" s="1493" t="str">
        <f t="shared" si="17"/>
        <v xml:space="preserve"> </v>
      </c>
      <c r="P89" s="1493" t="str">
        <f t="shared" si="17"/>
        <v xml:space="preserve"> </v>
      </c>
      <c r="Q89" s="1493" t="str">
        <f t="shared" si="17"/>
        <v xml:space="preserve"> </v>
      </c>
    </row>
    <row r="90" spans="2:19">
      <c r="B90" s="701"/>
    </row>
    <row r="91" spans="2:19">
      <c r="B91" s="737" t="str">
        <f>B27&amp;" "&amp;C27</f>
        <v>I Senior Secured Debt/Bank loan</v>
      </c>
      <c r="C91" s="438" t="s">
        <v>746</v>
      </c>
      <c r="H91" s="717" t="e">
        <f ca="1">E27</f>
        <v>#NUM!</v>
      </c>
      <c r="I91" s="514" t="str">
        <f ca="1">H94</f>
        <v>-</v>
      </c>
      <c r="J91" s="514" t="str">
        <f t="shared" ref="J91:Q91" ca="1" si="18">I94</f>
        <v>-</v>
      </c>
      <c r="K91" s="514" t="str">
        <f t="shared" ca="1" si="18"/>
        <v>-</v>
      </c>
      <c r="L91" s="514" t="str">
        <f t="shared" ca="1" si="18"/>
        <v>-</v>
      </c>
      <c r="M91" s="514" t="str">
        <f t="shared" ca="1" si="18"/>
        <v>-</v>
      </c>
      <c r="N91" s="514" t="str">
        <f t="shared" ca="1" si="18"/>
        <v>-</v>
      </c>
      <c r="O91" s="514" t="str">
        <f t="shared" ca="1" si="18"/>
        <v>-</v>
      </c>
      <c r="P91" s="514" t="str">
        <f t="shared" ca="1" si="18"/>
        <v>-</v>
      </c>
      <c r="Q91" s="514" t="str">
        <f t="shared" ca="1" si="18"/>
        <v>-</v>
      </c>
    </row>
    <row r="92" spans="2:19">
      <c r="B92" s="450"/>
      <c r="C92" s="678" t="s">
        <v>747</v>
      </c>
      <c r="H92" s="514" t="e">
        <f ca="1">-MIN(H91,$E$27*$K$27)</f>
        <v>#NUM!</v>
      </c>
      <c r="I92" s="514" t="e">
        <f ca="1">-MIN(I91,$E$27*$K$27)</f>
        <v>#NUM!</v>
      </c>
      <c r="J92" s="514" t="e">
        <f t="shared" ref="J92:Q92" ca="1" si="19">-MIN(J91,$E$27*$K$27)</f>
        <v>#NUM!</v>
      </c>
      <c r="K92" s="514" t="e">
        <f t="shared" ca="1" si="19"/>
        <v>#NUM!</v>
      </c>
      <c r="L92" s="514" t="e">
        <f t="shared" ca="1" si="19"/>
        <v>#NUM!</v>
      </c>
      <c r="M92" s="514" t="e">
        <f t="shared" ca="1" si="19"/>
        <v>#NUM!</v>
      </c>
      <c r="N92" s="514" t="e">
        <f t="shared" ca="1" si="19"/>
        <v>#NUM!</v>
      </c>
      <c r="O92" s="514" t="e">
        <f t="shared" ca="1" si="19"/>
        <v>#NUM!</v>
      </c>
      <c r="P92" s="514" t="e">
        <f t="shared" ca="1" si="19"/>
        <v>#NUM!</v>
      </c>
      <c r="Q92" s="514" t="e">
        <f t="shared" ca="1" si="19"/>
        <v>#NUM!</v>
      </c>
      <c r="S92" s="475"/>
    </row>
    <row r="93" spans="2:19">
      <c r="B93" s="450"/>
      <c r="C93" s="678" t="s">
        <v>748</v>
      </c>
      <c r="H93" s="514">
        <f t="shared" ref="H93:Q93" ca="1" si="20">IFERROR(-IF($M$27="Y",IF(H79+H92+H98+H104+H110&gt;0,H79+H92+H98+H104+H110,0),0), "-")</f>
        <v>0</v>
      </c>
      <c r="I93" s="514">
        <f t="shared" ca="1" si="20"/>
        <v>0</v>
      </c>
      <c r="J93" s="514">
        <f t="shared" ca="1" si="20"/>
        <v>0</v>
      </c>
      <c r="K93" s="514">
        <f t="shared" ca="1" si="20"/>
        <v>0</v>
      </c>
      <c r="L93" s="514">
        <f t="shared" ca="1" si="20"/>
        <v>0</v>
      </c>
      <c r="M93" s="514">
        <f t="shared" ca="1" si="20"/>
        <v>0</v>
      </c>
      <c r="N93" s="514">
        <f t="shared" ca="1" si="20"/>
        <v>0</v>
      </c>
      <c r="O93" s="514">
        <f t="shared" ca="1" si="20"/>
        <v>0</v>
      </c>
      <c r="P93" s="514">
        <f t="shared" ca="1" si="20"/>
        <v>0</v>
      </c>
      <c r="Q93" s="514">
        <f t="shared" ca="1" si="20"/>
        <v>0</v>
      </c>
      <c r="S93" s="475"/>
    </row>
    <row r="94" spans="2:19">
      <c r="B94" s="450"/>
      <c r="C94" s="438" t="s">
        <v>749</v>
      </c>
      <c r="H94" s="514" t="str">
        <f ca="1">IFERROR(SUM(H91:H93),"-")</f>
        <v>-</v>
      </c>
      <c r="I94" s="514" t="str">
        <f ca="1">IFERROR(SUM(I91:I93),"-")</f>
        <v>-</v>
      </c>
      <c r="J94" s="514" t="str">
        <f t="shared" ref="J94:Q94" ca="1" si="21">IFERROR(SUM(J91:J93),"-")</f>
        <v>-</v>
      </c>
      <c r="K94" s="514" t="str">
        <f t="shared" ca="1" si="21"/>
        <v>-</v>
      </c>
      <c r="L94" s="514" t="str">
        <f t="shared" ca="1" si="21"/>
        <v>-</v>
      </c>
      <c r="M94" s="514" t="str">
        <f t="shared" ca="1" si="21"/>
        <v>-</v>
      </c>
      <c r="N94" s="514" t="str">
        <f t="shared" ca="1" si="21"/>
        <v>-</v>
      </c>
      <c r="O94" s="514" t="str">
        <f t="shared" ca="1" si="21"/>
        <v>-</v>
      </c>
      <c r="P94" s="514" t="str">
        <f t="shared" ca="1" si="21"/>
        <v>-</v>
      </c>
      <c r="Q94" s="514" t="str">
        <f t="shared" ca="1" si="21"/>
        <v>-</v>
      </c>
    </row>
    <row r="95" spans="2:19">
      <c r="B95" s="450"/>
      <c r="C95" s="451" t="s">
        <v>750</v>
      </c>
      <c r="D95" s="451"/>
      <c r="E95" s="451"/>
      <c r="F95" s="451"/>
      <c r="G95" s="451"/>
      <c r="H95" s="745" t="e">
        <f t="shared" ref="H95:Q95" ca="1" si="22">-AVERAGE(H91,H94)*$I27</f>
        <v>#NUM!</v>
      </c>
      <c r="I95" s="745" t="e">
        <f t="shared" ca="1" si="22"/>
        <v>#DIV/0!</v>
      </c>
      <c r="J95" s="745" t="e">
        <f t="shared" ca="1" si="22"/>
        <v>#DIV/0!</v>
      </c>
      <c r="K95" s="745" t="e">
        <f t="shared" ca="1" si="22"/>
        <v>#DIV/0!</v>
      </c>
      <c r="L95" s="745" t="e">
        <f t="shared" ca="1" si="22"/>
        <v>#DIV/0!</v>
      </c>
      <c r="M95" s="745" t="e">
        <f t="shared" ca="1" si="22"/>
        <v>#DIV/0!</v>
      </c>
      <c r="N95" s="745" t="e">
        <f t="shared" ca="1" si="22"/>
        <v>#DIV/0!</v>
      </c>
      <c r="O95" s="745" t="e">
        <f t="shared" ca="1" si="22"/>
        <v>#DIV/0!</v>
      </c>
      <c r="P95" s="745" t="e">
        <f t="shared" ca="1" si="22"/>
        <v>#DIV/0!</v>
      </c>
      <c r="Q95" s="745" t="e">
        <f t="shared" ca="1" si="22"/>
        <v>#DIV/0!</v>
      </c>
    </row>
    <row r="97" spans="2:18">
      <c r="B97" s="737" t="str">
        <f>B28&amp;" "&amp;C28</f>
        <v>II Senior Unsecured I</v>
      </c>
      <c r="C97" s="438" t="s">
        <v>746</v>
      </c>
      <c r="H97" s="717" t="e">
        <f ca="1">$E$28</f>
        <v>#NUM!</v>
      </c>
      <c r="I97" s="514" t="str">
        <f ca="1">H100</f>
        <v>-</v>
      </c>
      <c r="J97" s="514" t="str">
        <f t="shared" ref="J97:Q97" ca="1" si="23">I100</f>
        <v>-</v>
      </c>
      <c r="K97" s="514" t="str">
        <f t="shared" ca="1" si="23"/>
        <v>-</v>
      </c>
      <c r="L97" s="514" t="str">
        <f t="shared" ca="1" si="23"/>
        <v>-</v>
      </c>
      <c r="M97" s="514" t="str">
        <f t="shared" ca="1" si="23"/>
        <v>-</v>
      </c>
      <c r="N97" s="514" t="str">
        <f t="shared" ca="1" si="23"/>
        <v>-</v>
      </c>
      <c r="O97" s="514" t="str">
        <f t="shared" ca="1" si="23"/>
        <v>-</v>
      </c>
      <c r="P97" s="514" t="str">
        <f t="shared" ca="1" si="23"/>
        <v>-</v>
      </c>
      <c r="Q97" s="514" t="str">
        <f t="shared" ca="1" si="23"/>
        <v>-</v>
      </c>
    </row>
    <row r="98" spans="2:18">
      <c r="B98" s="450"/>
      <c r="C98" s="678" t="s">
        <v>747</v>
      </c>
      <c r="H98" s="514" t="e">
        <f ca="1">-MIN(H97,$E$28*$K$28)</f>
        <v>#NUM!</v>
      </c>
      <c r="I98" s="514" t="e">
        <f ca="1">-MIN(I97,$E$28*$K$28)</f>
        <v>#NUM!</v>
      </c>
      <c r="J98" s="514" t="e">
        <f t="shared" ref="J98:Q98" ca="1" si="24">-MIN(J97,$E$28*$K$28)</f>
        <v>#NUM!</v>
      </c>
      <c r="K98" s="514" t="e">
        <f t="shared" ca="1" si="24"/>
        <v>#NUM!</v>
      </c>
      <c r="L98" s="514" t="e">
        <f t="shared" ca="1" si="24"/>
        <v>#NUM!</v>
      </c>
      <c r="M98" s="514" t="e">
        <f t="shared" ca="1" si="24"/>
        <v>#NUM!</v>
      </c>
      <c r="N98" s="514" t="e">
        <f t="shared" ca="1" si="24"/>
        <v>#NUM!</v>
      </c>
      <c r="O98" s="514" t="e">
        <f t="shared" ca="1" si="24"/>
        <v>#NUM!</v>
      </c>
      <c r="P98" s="514" t="e">
        <f t="shared" ca="1" si="24"/>
        <v>#NUM!</v>
      </c>
      <c r="Q98" s="514" t="e">
        <f t="shared" ca="1" si="24"/>
        <v>#NUM!</v>
      </c>
    </row>
    <row r="99" spans="2:18">
      <c r="B99" s="450"/>
      <c r="C99" s="678" t="s">
        <v>748</v>
      </c>
      <c r="H99" s="514">
        <f ca="1">IFERROR(-IF($M$28="Y",IF(H79+H92+H93+H98+H104+H110&gt;0,H79+H92+H93+H98+H104+H110,0),0), "-")</f>
        <v>0</v>
      </c>
      <c r="I99" s="514">
        <f t="shared" ref="I99:Q99" ca="1" si="25">IFERROR(-IF($M$28="Y",IF(I79+I92+I93+I98+I104+I110&gt;0,I79+I92+I93+I98+I104+I110,0),0), "-")</f>
        <v>0</v>
      </c>
      <c r="J99" s="514">
        <f t="shared" ca="1" si="25"/>
        <v>0</v>
      </c>
      <c r="K99" s="514">
        <f t="shared" ca="1" si="25"/>
        <v>0</v>
      </c>
      <c r="L99" s="514">
        <f t="shared" ca="1" si="25"/>
        <v>0</v>
      </c>
      <c r="M99" s="514">
        <f t="shared" ca="1" si="25"/>
        <v>0</v>
      </c>
      <c r="N99" s="514">
        <f t="shared" ca="1" si="25"/>
        <v>0</v>
      </c>
      <c r="O99" s="514">
        <f t="shared" ca="1" si="25"/>
        <v>0</v>
      </c>
      <c r="P99" s="514">
        <f t="shared" ca="1" si="25"/>
        <v>0</v>
      </c>
      <c r="Q99" s="514">
        <f t="shared" ca="1" si="25"/>
        <v>0</v>
      </c>
    </row>
    <row r="100" spans="2:18">
      <c r="B100" s="450"/>
      <c r="C100" s="448" t="s">
        <v>749</v>
      </c>
      <c r="D100" s="448"/>
      <c r="E100" s="448"/>
      <c r="F100" s="448"/>
      <c r="G100" s="448"/>
      <c r="H100" s="520" t="str">
        <f ca="1">IFERROR(SUM(H97:H99),"-")</f>
        <v>-</v>
      </c>
      <c r="I100" s="520" t="str">
        <f ca="1">IFERROR(SUM(I97:I99),"-")</f>
        <v>-</v>
      </c>
      <c r="J100" s="520" t="str">
        <f t="shared" ref="J100:Q100" ca="1" si="26">IFERROR(SUM(J97:J99),"-")</f>
        <v>-</v>
      </c>
      <c r="K100" s="520" t="str">
        <f t="shared" ca="1" si="26"/>
        <v>-</v>
      </c>
      <c r="L100" s="520" t="str">
        <f t="shared" ca="1" si="26"/>
        <v>-</v>
      </c>
      <c r="M100" s="520" t="str">
        <f t="shared" ca="1" si="26"/>
        <v>-</v>
      </c>
      <c r="N100" s="520" t="str">
        <f t="shared" ca="1" si="26"/>
        <v>-</v>
      </c>
      <c r="O100" s="520" t="str">
        <f t="shared" ca="1" si="26"/>
        <v>-</v>
      </c>
      <c r="P100" s="520" t="str">
        <f t="shared" ca="1" si="26"/>
        <v>-</v>
      </c>
      <c r="Q100" s="520" t="str">
        <f t="shared" ca="1" si="26"/>
        <v>-</v>
      </c>
    </row>
    <row r="101" spans="2:18">
      <c r="B101" s="450"/>
      <c r="C101" s="451" t="s">
        <v>750</v>
      </c>
      <c r="H101" s="514" t="e">
        <f t="shared" ref="H101:Q101" ca="1" si="27">-AVERAGE(H100,H97)*$I28</f>
        <v>#NUM!</v>
      </c>
      <c r="I101" s="514" t="e">
        <f t="shared" ca="1" si="27"/>
        <v>#DIV/0!</v>
      </c>
      <c r="J101" s="514" t="e">
        <f t="shared" ca="1" si="27"/>
        <v>#DIV/0!</v>
      </c>
      <c r="K101" s="514" t="e">
        <f t="shared" ca="1" si="27"/>
        <v>#DIV/0!</v>
      </c>
      <c r="L101" s="514" t="e">
        <f t="shared" ca="1" si="27"/>
        <v>#DIV/0!</v>
      </c>
      <c r="M101" s="514" t="e">
        <f t="shared" ca="1" si="27"/>
        <v>#DIV/0!</v>
      </c>
      <c r="N101" s="514" t="e">
        <f t="shared" ca="1" si="27"/>
        <v>#DIV/0!</v>
      </c>
      <c r="O101" s="514" t="e">
        <f t="shared" ca="1" si="27"/>
        <v>#DIV/0!</v>
      </c>
      <c r="P101" s="514" t="e">
        <f t="shared" ca="1" si="27"/>
        <v>#DIV/0!</v>
      </c>
      <c r="Q101" s="514" t="e">
        <f t="shared" ca="1" si="27"/>
        <v>#DIV/0!</v>
      </c>
    </row>
    <row r="102" spans="2:18">
      <c r="B102" s="450"/>
    </row>
    <row r="103" spans="2:18">
      <c r="B103" s="737" t="str">
        <f>B29&amp;" "&amp;C29</f>
        <v>II High-Yield Bond</v>
      </c>
      <c r="C103" s="438" t="s">
        <v>746</v>
      </c>
      <c r="H103" s="717" t="e">
        <f ca="1">$E$29</f>
        <v>#NUM!</v>
      </c>
      <c r="I103" s="514" t="str">
        <f ca="1">H106</f>
        <v>-</v>
      </c>
      <c r="J103" s="514">
        <f t="shared" ref="J103:Q103" ca="1" si="28">I106</f>
        <v>0</v>
      </c>
      <c r="K103" s="514">
        <f t="shared" ca="1" si="28"/>
        <v>0</v>
      </c>
      <c r="L103" s="514">
        <f t="shared" ca="1" si="28"/>
        <v>0</v>
      </c>
      <c r="M103" s="514" t="str">
        <f t="shared" ca="1" si="28"/>
        <v>-</v>
      </c>
      <c r="N103" s="514" t="str">
        <f t="shared" ca="1" si="28"/>
        <v>-</v>
      </c>
      <c r="O103" s="514" t="str">
        <f t="shared" ca="1" si="28"/>
        <v>-</v>
      </c>
      <c r="P103" s="514" t="str">
        <f t="shared" ca="1" si="28"/>
        <v>-</v>
      </c>
      <c r="Q103" s="514" t="str">
        <f t="shared" ca="1" si="28"/>
        <v>-</v>
      </c>
    </row>
    <row r="104" spans="2:18">
      <c r="B104" s="450"/>
      <c r="C104" s="678" t="s">
        <v>747</v>
      </c>
      <c r="H104" s="514">
        <f t="shared" ref="H104:Q104" ca="1" si="29">IF(H88-$H$88=$F$29,-$E$29,0)</f>
        <v>0</v>
      </c>
      <c r="I104" s="514">
        <f t="shared" ca="1" si="29"/>
        <v>0</v>
      </c>
      <c r="J104" s="514">
        <f t="shared" ca="1" si="29"/>
        <v>0</v>
      </c>
      <c r="K104" s="514">
        <f t="shared" ca="1" si="29"/>
        <v>0</v>
      </c>
      <c r="L104" s="514" t="e">
        <f t="shared" ca="1" si="29"/>
        <v>#VALUE!</v>
      </c>
      <c r="M104" s="514" t="e">
        <f t="shared" ca="1" si="29"/>
        <v>#VALUE!</v>
      </c>
      <c r="N104" s="514" t="e">
        <f t="shared" ca="1" si="29"/>
        <v>#VALUE!</v>
      </c>
      <c r="O104" s="514" t="e">
        <f t="shared" ca="1" si="29"/>
        <v>#VALUE!</v>
      </c>
      <c r="P104" s="514" t="e">
        <f t="shared" ca="1" si="29"/>
        <v>#VALUE!</v>
      </c>
      <c r="Q104" s="514" t="e">
        <f t="shared" ca="1" si="29"/>
        <v>#VALUE!</v>
      </c>
    </row>
    <row r="105" spans="2:18">
      <c r="B105" s="450"/>
      <c r="C105" s="678" t="s">
        <v>748</v>
      </c>
      <c r="H105" s="514">
        <f ca="1">IFERROR(-IF($M$29="Y",-MIN(H97+H98,H79+H93+H92+H98+H104),0), "-")</f>
        <v>0</v>
      </c>
      <c r="I105" s="514">
        <f t="shared" ref="I105:Q105" ca="1" si="30">IFERROR(-IF($M$29="Y",-MIN(I97+I98,I79+I93+I92+I98+I104),0), "-")</f>
        <v>0</v>
      </c>
      <c r="J105" s="514">
        <f t="shared" ca="1" si="30"/>
        <v>0</v>
      </c>
      <c r="K105" s="514">
        <f t="shared" ca="1" si="30"/>
        <v>0</v>
      </c>
      <c r="L105" s="514">
        <f t="shared" ca="1" si="30"/>
        <v>0</v>
      </c>
      <c r="M105" s="514">
        <f t="shared" ca="1" si="30"/>
        <v>0</v>
      </c>
      <c r="N105" s="514">
        <f t="shared" ca="1" si="30"/>
        <v>0</v>
      </c>
      <c r="O105" s="514">
        <f t="shared" ca="1" si="30"/>
        <v>0</v>
      </c>
      <c r="P105" s="514">
        <f t="shared" ca="1" si="30"/>
        <v>0</v>
      </c>
      <c r="Q105" s="514">
        <f t="shared" ca="1" si="30"/>
        <v>0</v>
      </c>
    </row>
    <row r="106" spans="2:18">
      <c r="B106" s="450"/>
      <c r="C106" s="438" t="s">
        <v>749</v>
      </c>
      <c r="H106" s="520" t="str">
        <f t="shared" ref="H106:Q106" ca="1" si="31">IFERROR(SUM(H103:H105),"-")</f>
        <v>-</v>
      </c>
      <c r="I106" s="520">
        <f t="shared" ca="1" si="31"/>
        <v>0</v>
      </c>
      <c r="J106" s="520">
        <f t="shared" ca="1" si="31"/>
        <v>0</v>
      </c>
      <c r="K106" s="520">
        <f t="shared" ca="1" si="31"/>
        <v>0</v>
      </c>
      <c r="L106" s="520" t="str">
        <f t="shared" ca="1" si="31"/>
        <v>-</v>
      </c>
      <c r="M106" s="520" t="str">
        <f t="shared" ca="1" si="31"/>
        <v>-</v>
      </c>
      <c r="N106" s="520" t="str">
        <f t="shared" ca="1" si="31"/>
        <v>-</v>
      </c>
      <c r="O106" s="520" t="str">
        <f t="shared" ca="1" si="31"/>
        <v>-</v>
      </c>
      <c r="P106" s="520" t="str">
        <f t="shared" ca="1" si="31"/>
        <v>-</v>
      </c>
      <c r="Q106" s="520" t="str">
        <f t="shared" ca="1" si="31"/>
        <v>-</v>
      </c>
    </row>
    <row r="107" spans="2:18">
      <c r="B107" s="450"/>
      <c r="C107" s="451" t="s">
        <v>750</v>
      </c>
      <c r="D107" s="451"/>
      <c r="E107" s="451"/>
      <c r="F107" s="451"/>
      <c r="G107" s="451"/>
      <c r="H107" s="745" t="e">
        <f ca="1">-AVERAGE(H103,H106)*$I$29</f>
        <v>#NUM!</v>
      </c>
      <c r="I107" s="745">
        <f t="shared" ref="I107:Q107" ca="1" si="32">-AVERAGE(I103,I106)*$I$29</f>
        <v>0</v>
      </c>
      <c r="J107" s="745">
        <f t="shared" ca="1" si="32"/>
        <v>0</v>
      </c>
      <c r="K107" s="745">
        <f t="shared" ca="1" si="32"/>
        <v>0</v>
      </c>
      <c r="L107" s="745">
        <f t="shared" ca="1" si="32"/>
        <v>0</v>
      </c>
      <c r="M107" s="745" t="e">
        <f t="shared" ca="1" si="32"/>
        <v>#DIV/0!</v>
      </c>
      <c r="N107" s="745" t="e">
        <f t="shared" ca="1" si="32"/>
        <v>#DIV/0!</v>
      </c>
      <c r="O107" s="745" t="e">
        <f t="shared" ca="1" si="32"/>
        <v>#DIV/0!</v>
      </c>
      <c r="P107" s="745" t="e">
        <f t="shared" ca="1" si="32"/>
        <v>#DIV/0!</v>
      </c>
      <c r="Q107" s="745" t="e">
        <f t="shared" ca="1" si="32"/>
        <v>#DIV/0!</v>
      </c>
    </row>
    <row r="108" spans="2:18">
      <c r="B108" s="450"/>
    </row>
    <row r="109" spans="2:18">
      <c r="B109" s="737" t="str">
        <f>B30&amp;" "&amp;C30</f>
        <v>IV Mezzanine Debt</v>
      </c>
      <c r="C109" s="438" t="s">
        <v>746</v>
      </c>
      <c r="D109" s="475"/>
      <c r="E109" s="475"/>
      <c r="F109" s="475"/>
      <c r="G109" s="475"/>
      <c r="H109" s="717" t="e">
        <f ca="1">E30</f>
        <v>#NUM!</v>
      </c>
      <c r="I109" s="514" t="str">
        <f ca="1">H111</f>
        <v>-</v>
      </c>
      <c r="J109" s="514">
        <f t="shared" ref="J109:Q109" ca="1" si="33">I111</f>
        <v>0</v>
      </c>
      <c r="K109" s="514">
        <f t="shared" ca="1" si="33"/>
        <v>0</v>
      </c>
      <c r="L109" s="514">
        <f t="shared" ca="1" si="33"/>
        <v>0</v>
      </c>
      <c r="M109" s="514" t="str">
        <f t="shared" ca="1" si="33"/>
        <v>-</v>
      </c>
      <c r="N109" s="514" t="str">
        <f t="shared" ca="1" si="33"/>
        <v>-</v>
      </c>
      <c r="O109" s="514" t="str">
        <f t="shared" ca="1" si="33"/>
        <v>-</v>
      </c>
      <c r="P109" s="514" t="str">
        <f t="shared" ca="1" si="33"/>
        <v>-</v>
      </c>
      <c r="Q109" s="514" t="str">
        <f t="shared" ca="1" si="33"/>
        <v>-</v>
      </c>
      <c r="R109" s="475"/>
    </row>
    <row r="110" spans="2:18">
      <c r="B110" s="450"/>
      <c r="C110" s="678" t="s">
        <v>747</v>
      </c>
      <c r="D110" s="475"/>
      <c r="E110" s="475"/>
      <c r="F110" s="475"/>
      <c r="G110" s="475"/>
      <c r="H110" s="514">
        <f t="shared" ref="H110:Q110" ca="1" si="34">IF(H88-$H$88=$F$30,-$E$30,0)</f>
        <v>0</v>
      </c>
      <c r="I110" s="514">
        <f t="shared" ca="1" si="34"/>
        <v>0</v>
      </c>
      <c r="J110" s="514">
        <f t="shared" ca="1" si="34"/>
        <v>0</v>
      </c>
      <c r="K110" s="514">
        <f t="shared" ca="1" si="34"/>
        <v>0</v>
      </c>
      <c r="L110" s="514" t="e">
        <f t="shared" ca="1" si="34"/>
        <v>#VALUE!</v>
      </c>
      <c r="M110" s="514" t="e">
        <f t="shared" ca="1" si="34"/>
        <v>#VALUE!</v>
      </c>
      <c r="N110" s="514" t="e">
        <f t="shared" ca="1" si="34"/>
        <v>#VALUE!</v>
      </c>
      <c r="O110" s="514" t="e">
        <f t="shared" ca="1" si="34"/>
        <v>#VALUE!</v>
      </c>
      <c r="P110" s="514" t="e">
        <f t="shared" ca="1" si="34"/>
        <v>#VALUE!</v>
      </c>
      <c r="Q110" s="514" t="e">
        <f t="shared" ca="1" si="34"/>
        <v>#VALUE!</v>
      </c>
      <c r="R110" s="475"/>
    </row>
    <row r="111" spans="2:18">
      <c r="B111" s="450"/>
      <c r="C111" s="438" t="s">
        <v>749</v>
      </c>
      <c r="D111" s="475"/>
      <c r="E111" s="475"/>
      <c r="F111" s="475"/>
      <c r="G111" s="475"/>
      <c r="H111" s="520" t="str">
        <f ca="1">IFERROR(SUM(H109:H110),"-")</f>
        <v>-</v>
      </c>
      <c r="I111" s="520">
        <f ca="1">IFERROR(SUM(I109:I110),"-")</f>
        <v>0</v>
      </c>
      <c r="J111" s="520">
        <f t="shared" ref="J111:Q111" ca="1" si="35">IFERROR(SUM(J109:J110),"-")</f>
        <v>0</v>
      </c>
      <c r="K111" s="520">
        <f t="shared" ca="1" si="35"/>
        <v>0</v>
      </c>
      <c r="L111" s="520" t="str">
        <f t="shared" ca="1" si="35"/>
        <v>-</v>
      </c>
      <c r="M111" s="520" t="str">
        <f t="shared" ca="1" si="35"/>
        <v>-</v>
      </c>
      <c r="N111" s="520" t="str">
        <f t="shared" ca="1" si="35"/>
        <v>-</v>
      </c>
      <c r="O111" s="520" t="str">
        <f t="shared" ca="1" si="35"/>
        <v>-</v>
      </c>
      <c r="P111" s="520" t="str">
        <f t="shared" ca="1" si="35"/>
        <v>-</v>
      </c>
      <c r="Q111" s="520" t="str">
        <f t="shared" ca="1" si="35"/>
        <v>-</v>
      </c>
      <c r="R111" s="475"/>
    </row>
    <row r="112" spans="2:18">
      <c r="B112" s="450"/>
      <c r="C112" s="451" t="s">
        <v>750</v>
      </c>
      <c r="D112" s="702"/>
      <c r="E112" s="702"/>
      <c r="F112" s="702"/>
      <c r="G112" s="702"/>
      <c r="H112" s="745" t="e">
        <f ca="1">-AVERAGE(H109,H111)*$I$30</f>
        <v>#NUM!</v>
      </c>
      <c r="I112" s="745">
        <f ca="1">-AVERAGE(I109,I111)*$I$30</f>
        <v>0</v>
      </c>
      <c r="J112" s="745">
        <f t="shared" ref="J112:Q112" ca="1" si="36">-AVERAGE(J109,J111)*$I$30</f>
        <v>0</v>
      </c>
      <c r="K112" s="745">
        <f t="shared" ca="1" si="36"/>
        <v>0</v>
      </c>
      <c r="L112" s="745">
        <f t="shared" ca="1" si="36"/>
        <v>0</v>
      </c>
      <c r="M112" s="745" t="e">
        <f t="shared" ca="1" si="36"/>
        <v>#DIV/0!</v>
      </c>
      <c r="N112" s="745" t="e">
        <f t="shared" ca="1" si="36"/>
        <v>#DIV/0!</v>
      </c>
      <c r="O112" s="745" t="e">
        <f t="shared" ca="1" si="36"/>
        <v>#DIV/0!</v>
      </c>
      <c r="P112" s="745" t="e">
        <f t="shared" ca="1" si="36"/>
        <v>#DIV/0!</v>
      </c>
      <c r="Q112" s="745" t="e">
        <f t="shared" ca="1" si="36"/>
        <v>#DIV/0!</v>
      </c>
      <c r="R112" s="475"/>
    </row>
    <row r="113" spans="2:20">
      <c r="B113" s="450"/>
      <c r="D113" s="475"/>
      <c r="E113" s="475"/>
      <c r="F113" s="475"/>
      <c r="G113" s="475"/>
      <c r="H113" s="475"/>
      <c r="I113" s="475"/>
      <c r="J113" s="475"/>
      <c r="K113" s="475"/>
      <c r="L113" s="475"/>
      <c r="M113" s="475"/>
      <c r="N113" s="475"/>
      <c r="O113" s="475"/>
      <c r="P113" s="475"/>
      <c r="Q113" s="475"/>
      <c r="R113" s="475"/>
    </row>
    <row r="114" spans="2:20">
      <c r="B114" s="703" t="s">
        <v>751</v>
      </c>
      <c r="C114" s="451"/>
      <c r="D114" s="451"/>
      <c r="E114" s="451"/>
      <c r="F114" s="451"/>
      <c r="G114" s="451"/>
      <c r="H114" s="745" t="e">
        <f t="shared" ref="H114:Q114" ca="1" si="37">IF(H89=" ", " ",H112+H107+H101+H95)</f>
        <v>#NUM!</v>
      </c>
      <c r="I114" s="745" t="e">
        <f t="shared" ca="1" si="37"/>
        <v>#DIV/0!</v>
      </c>
      <c r="J114" s="745" t="e">
        <f t="shared" ca="1" si="37"/>
        <v>#DIV/0!</v>
      </c>
      <c r="K114" s="745" t="e">
        <f t="shared" ca="1" si="37"/>
        <v>#DIV/0!</v>
      </c>
      <c r="L114" s="745" t="str">
        <f t="shared" ca="1" si="37"/>
        <v xml:space="preserve"> </v>
      </c>
      <c r="M114" s="745" t="str">
        <f t="shared" ca="1" si="37"/>
        <v xml:space="preserve"> </v>
      </c>
      <c r="N114" s="745" t="str">
        <f t="shared" ca="1" si="37"/>
        <v xml:space="preserve"> </v>
      </c>
      <c r="O114" s="745" t="str">
        <f t="shared" ca="1" si="37"/>
        <v xml:space="preserve"> </v>
      </c>
      <c r="P114" s="745" t="str">
        <f t="shared" ca="1" si="37"/>
        <v xml:space="preserve"> </v>
      </c>
      <c r="Q114" s="746" t="str">
        <f t="shared" ca="1" si="37"/>
        <v xml:space="preserve"> </v>
      </c>
    </row>
    <row r="115" spans="2:20">
      <c r="B115" s="704" t="s">
        <v>752</v>
      </c>
      <c r="H115" s="514" t="e">
        <f ca="1">$H$84*Eckdaten!$C$21</f>
        <v>#VALUE!</v>
      </c>
      <c r="I115" s="514" t="e">
        <f ca="1">$H$84*Eckdaten!$C$21</f>
        <v>#VALUE!</v>
      </c>
      <c r="J115" s="514" t="e">
        <f ca="1">$H$84*Eckdaten!$C$21</f>
        <v>#VALUE!</v>
      </c>
      <c r="K115" s="514" t="e">
        <f ca="1">$H$84*Eckdaten!$C$21</f>
        <v>#VALUE!</v>
      </c>
      <c r="L115" s="514" t="e">
        <f ca="1">$H$84*Eckdaten!$C$21</f>
        <v>#VALUE!</v>
      </c>
      <c r="M115" s="514" t="e">
        <f ca="1">$H$84*Eckdaten!$C$21</f>
        <v>#VALUE!</v>
      </c>
      <c r="N115" s="514" t="e">
        <f ca="1">$H$84*Eckdaten!$C$21</f>
        <v>#VALUE!</v>
      </c>
      <c r="O115" s="514" t="e">
        <f ca="1">$H$84*Eckdaten!$C$21</f>
        <v>#VALUE!</v>
      </c>
      <c r="P115" s="514" t="e">
        <f ca="1">$H$84*Eckdaten!$C$21</f>
        <v>#VALUE!</v>
      </c>
      <c r="Q115" s="515" t="e">
        <f ca="1">$H$84*Eckdaten!$C$21</f>
        <v>#VALUE!</v>
      </c>
    </row>
    <row r="116" spans="2:20">
      <c r="B116" s="705" t="s">
        <v>753</v>
      </c>
      <c r="C116" s="448"/>
      <c r="D116" s="448"/>
      <c r="E116" s="448"/>
      <c r="F116" s="448"/>
      <c r="G116" s="448"/>
      <c r="H116" s="520">
        <f>IF(Planung!I51="na",Planung!I50*Planung!I7,Planung!I48)</f>
        <v>0</v>
      </c>
      <c r="I116" s="520">
        <f>IF(Planung!J51="na",Planung!J50*Planung!J7,Planung!J48)</f>
        <v>0</v>
      </c>
      <c r="J116" s="520">
        <f>IF(Planung!K51="na",Planung!K50*Planung!K7,Planung!K48)</f>
        <v>0</v>
      </c>
      <c r="K116" s="520">
        <f>IF(Planung!L51="na",Planung!L50*Planung!L7,Planung!L48)</f>
        <v>0</v>
      </c>
      <c r="L116" s="520" t="str">
        <f>IF(Planung!M51="na",Planung!M50*Planung!M7,Planung!M48)</f>
        <v/>
      </c>
      <c r="M116" s="520" t="str">
        <f>IF(Planung!N51="na",Planung!N50*Planung!N7,Planung!N48)</f>
        <v/>
      </c>
      <c r="N116" s="520" t="str">
        <f>IF(Planung!O51="na",Planung!O50*Planung!O7,Planung!O48)</f>
        <v/>
      </c>
      <c r="O116" s="520" t="str">
        <f>IF(Planung!P51="na",Planung!P50*Planung!P7,Planung!P48)</f>
        <v/>
      </c>
      <c r="P116" s="520" t="str">
        <f>IF(Planung!Q51="na",Planung!Q50*Planung!Q7,Planung!Q48)</f>
        <v/>
      </c>
      <c r="Q116" s="521" t="e">
        <f>IF(Planung!#REF!="na",Planung!#REF!*Planung!#REF!,Planung!#REF!)</f>
        <v>#REF!</v>
      </c>
    </row>
    <row r="117" spans="2:20">
      <c r="B117" s="450"/>
      <c r="H117" s="475"/>
      <c r="I117" s="475"/>
      <c r="J117" s="475"/>
      <c r="K117" s="475"/>
      <c r="L117" s="475"/>
      <c r="M117" s="475"/>
      <c r="N117" s="475"/>
      <c r="O117" s="475"/>
      <c r="P117" s="475"/>
      <c r="Q117" s="475"/>
    </row>
    <row r="118" spans="2:20">
      <c r="B118" s="450" t="s">
        <v>754</v>
      </c>
      <c r="H118" s="514" t="e">
        <f t="shared" ref="H118:Q118" ca="1" si="38">H111+H106+H100+H94</f>
        <v>#VALUE!</v>
      </c>
      <c r="I118" s="514" t="e">
        <f t="shared" ca="1" si="38"/>
        <v>#VALUE!</v>
      </c>
      <c r="J118" s="514" t="e">
        <f t="shared" ca="1" si="38"/>
        <v>#VALUE!</v>
      </c>
      <c r="K118" s="514" t="e">
        <f t="shared" ca="1" si="38"/>
        <v>#VALUE!</v>
      </c>
      <c r="L118" s="514" t="e">
        <f t="shared" ca="1" si="38"/>
        <v>#VALUE!</v>
      </c>
      <c r="M118" s="514" t="e">
        <f t="shared" ca="1" si="38"/>
        <v>#VALUE!</v>
      </c>
      <c r="N118" s="514" t="e">
        <f t="shared" ca="1" si="38"/>
        <v>#VALUE!</v>
      </c>
      <c r="O118" s="514" t="e">
        <f t="shared" ca="1" si="38"/>
        <v>#VALUE!</v>
      </c>
      <c r="P118" s="514" t="e">
        <f t="shared" ca="1" si="38"/>
        <v>#VALUE!</v>
      </c>
      <c r="Q118" s="514" t="e">
        <f t="shared" ca="1" si="38"/>
        <v>#VALUE!</v>
      </c>
      <c r="R118" s="438" t="s">
        <v>273</v>
      </c>
    </row>
    <row r="119" spans="2:20">
      <c r="B119" s="450"/>
    </row>
    <row r="120" spans="2:20">
      <c r="B120" s="665" t="s">
        <v>755</v>
      </c>
      <c r="C120" s="665"/>
      <c r="D120" s="665"/>
      <c r="E120" s="665"/>
      <c r="F120" s="665"/>
      <c r="G120" s="665"/>
      <c r="H120" s="665"/>
      <c r="I120" s="665"/>
      <c r="J120" s="665"/>
      <c r="K120" s="665"/>
      <c r="L120" s="665"/>
      <c r="M120" s="665"/>
      <c r="N120" s="665"/>
      <c r="O120" s="665"/>
      <c r="P120" s="665"/>
      <c r="Q120" s="665"/>
    </row>
    <row r="121" spans="2:20">
      <c r="B121" s="450"/>
    </row>
    <row r="122" spans="2:20">
      <c r="B122" s="682"/>
      <c r="C122" s="721" t="str">
        <f>Eckdaten!C14</f>
        <v>EUR</v>
      </c>
      <c r="D122" s="722">
        <f>+E122-1</f>
        <v>2022</v>
      </c>
      <c r="E122" s="722">
        <f>+F122-1</f>
        <v>2023</v>
      </c>
      <c r="F122" s="722">
        <f>+Eckdaten!C12</f>
        <v>2024</v>
      </c>
      <c r="G122" s="723">
        <f>+F122+1</f>
        <v>2025</v>
      </c>
      <c r="H122" s="1492">
        <f>IF(Eckdaten!$C$20+Eckdaten!$C$12&gt;G122,G122+1," ")</f>
        <v>2026</v>
      </c>
      <c r="I122" s="1492">
        <f>IF(Eckdaten!$C$20+Eckdaten!$C$12&gt;H122,H122+1," ")</f>
        <v>2027</v>
      </c>
      <c r="J122" s="1492">
        <f>IF(Eckdaten!$C$20+Eckdaten!$C$12&gt;I122,I122+1," ")</f>
        <v>2028</v>
      </c>
      <c r="K122" s="1492">
        <f>IF(Eckdaten!$C$20+Eckdaten!$C$12&gt;J122,J122+1," ")</f>
        <v>2029</v>
      </c>
      <c r="L122" s="1492" t="str">
        <f>IF(Eckdaten!$C$20+Eckdaten!$C$12&gt;K122,K122+1," ")</f>
        <v xml:space="preserve"> </v>
      </c>
      <c r="M122" s="1492" t="str">
        <f>IF(Eckdaten!$C$20+Eckdaten!$C$12&gt;L122,L122+1," ")</f>
        <v xml:space="preserve"> </v>
      </c>
      <c r="N122" s="1492" t="str">
        <f>IF(Eckdaten!$C$20+Eckdaten!$C$12&gt;M122,M122+1," ")</f>
        <v xml:space="preserve"> </v>
      </c>
      <c r="O122" s="1492" t="str">
        <f>IF(Eckdaten!$C$20+Eckdaten!$C$12&gt;N122,N122+1," ")</f>
        <v xml:space="preserve"> </v>
      </c>
      <c r="P122" s="1492" t="str">
        <f>IF(Eckdaten!$C$20+Eckdaten!$C$12&gt;O122,O122+1," ")</f>
        <v xml:space="preserve"> </v>
      </c>
      <c r="Q122" s="1492" t="str">
        <f>IF(Eckdaten!$C$20+Eckdaten!$C$12&gt;P122,P122+1," ")</f>
        <v xml:space="preserve"> </v>
      </c>
      <c r="R122" s="1492" t="str" cm="1">
        <f t="array" ref="R122">"Exit in "&amp;LOOKUP(2,1/(H122:Q122&lt;&gt;" "),H122:Q122)</f>
        <v>Exit in 2029</v>
      </c>
    </row>
    <row r="123" spans="2:20">
      <c r="B123" s="1928"/>
      <c r="C123" s="1929"/>
      <c r="D123" s="683" t="s">
        <v>173</v>
      </c>
      <c r="E123" s="683" t="s">
        <v>173</v>
      </c>
      <c r="F123" s="683" t="s">
        <v>173</v>
      </c>
      <c r="G123" s="684" t="s">
        <v>174</v>
      </c>
      <c r="H123" s="1493" t="str">
        <f>IF(H122=" "," ","P")</f>
        <v>P</v>
      </c>
      <c r="I123" s="1493" t="str">
        <f t="shared" ref="I123:Q123" si="39">IF(I122=" "," ","P")</f>
        <v>P</v>
      </c>
      <c r="J123" s="1493" t="str">
        <f t="shared" si="39"/>
        <v>P</v>
      </c>
      <c r="K123" s="1493" t="str">
        <f t="shared" si="39"/>
        <v>P</v>
      </c>
      <c r="L123" s="1493" t="str">
        <f t="shared" si="39"/>
        <v xml:space="preserve"> </v>
      </c>
      <c r="M123" s="1493" t="str">
        <f t="shared" si="39"/>
        <v xml:space="preserve"> </v>
      </c>
      <c r="N123" s="1493" t="str">
        <f t="shared" si="39"/>
        <v xml:space="preserve"> </v>
      </c>
      <c r="O123" s="1493" t="str">
        <f t="shared" si="39"/>
        <v xml:space="preserve"> </v>
      </c>
      <c r="P123" s="1493" t="str">
        <f t="shared" si="39"/>
        <v xml:space="preserve"> </v>
      </c>
      <c r="Q123" s="1493" t="str">
        <f t="shared" si="39"/>
        <v xml:space="preserve"> </v>
      </c>
      <c r="R123" s="1498"/>
    </row>
    <row r="124" spans="2:20">
      <c r="B124" s="450"/>
      <c r="R124" s="706"/>
    </row>
    <row r="125" spans="2:20">
      <c r="B125" s="737" t="str">
        <f>'G&amp;V'!B40</f>
        <v>EBITDA (adjusted)</v>
      </c>
      <c r="F125" s="476"/>
      <c r="G125" s="514">
        <f>G55</f>
        <v>971548.61223384365</v>
      </c>
      <c r="R125" s="514" cm="1">
        <f t="array" ref="R125">LOOKUP(2,1/(H88:Q88&lt;&gt;" "),H55:Q55)</f>
        <v>0</v>
      </c>
      <c r="T125" s="493"/>
    </row>
    <row r="126" spans="2:20">
      <c r="B126" s="737" t="str">
        <f>"EBITDA Multiple (Purchase/Exit)"</f>
        <v>EBITDA Multiple (Purchase/Exit)</v>
      </c>
      <c r="F126" s="707"/>
      <c r="G126" s="747" t="e">
        <f ca="1">C9</f>
        <v>#NUM!</v>
      </c>
      <c r="R126" s="747" t="e">
        <f ca="1">C13</f>
        <v>#NUM!</v>
      </c>
    </row>
    <row r="127" spans="2:20">
      <c r="B127" s="450" t="s">
        <v>696</v>
      </c>
      <c r="F127" s="476"/>
      <c r="G127" s="514" t="e">
        <f ca="1">G126*G125</f>
        <v>#NUM!</v>
      </c>
      <c r="R127" s="514" t="e">
        <f ca="1">R126*R125</f>
        <v>#NUM!</v>
      </c>
    </row>
    <row r="128" spans="2:20">
      <c r="B128" s="450" t="s">
        <v>756</v>
      </c>
      <c r="F128" s="476"/>
      <c r="G128" s="717" t="e">
        <f ca="1">C19</f>
        <v>#NUM!</v>
      </c>
      <c r="R128" s="717" t="e">
        <f ca="1">R127+R129-R130-R131</f>
        <v>#NUM!</v>
      </c>
    </row>
    <row r="129" spans="2:19">
      <c r="B129" s="669" t="s">
        <v>757</v>
      </c>
      <c r="F129" s="476"/>
      <c r="R129" s="514" t="str" cm="1">
        <f t="array" aca="1" ref="R129" ca="1">LOOKUP(2,1/(H88:Q88&lt;&gt;" "),H84:Q84)</f>
        <v>-</v>
      </c>
    </row>
    <row r="130" spans="2:19">
      <c r="B130" s="678" t="s">
        <v>758</v>
      </c>
      <c r="F130" s="476"/>
      <c r="R130" s="514" cm="1">
        <f t="array" ref="R130">LOOKUP(2,1/(H88:Q88&lt;&gt;" "),Pas.!I23:Q23)+LOOKUP(2,1/(H88:Q88&lt;&gt;" "),Pas.!I22:Q22)</f>
        <v>0</v>
      </c>
      <c r="S130" s="708"/>
    </row>
    <row r="131" spans="2:19">
      <c r="B131" s="678" t="s">
        <v>759</v>
      </c>
      <c r="F131" s="476"/>
      <c r="R131" s="514" t="e" cm="1">
        <f t="array" aca="1" ref="R131" ca="1">LOOKUP(2,1/(H88:Q88&lt;&gt;" "),H118:Q118)</f>
        <v>#VALUE!</v>
      </c>
    </row>
    <row r="132" spans="2:19">
      <c r="B132" s="678"/>
      <c r="F132" s="476"/>
      <c r="R132" s="475"/>
    </row>
    <row r="133" spans="2:19">
      <c r="B133" s="694" t="s">
        <v>760</v>
      </c>
      <c r="C133" s="451"/>
      <c r="D133" s="451"/>
      <c r="E133" s="451"/>
      <c r="F133" s="709"/>
      <c r="G133" s="748" t="e" cm="1">
        <f t="array" aca="1" ref="G133" ca="1">RATE(LOOKUP(2,1/(H122:Q122&lt;&gt;" "),H122:Q122)-G122,0,-G128,R128)</f>
        <v>#NUM!</v>
      </c>
      <c r="H133" s="451"/>
      <c r="I133" s="451"/>
      <c r="J133" s="451"/>
      <c r="K133" s="451"/>
      <c r="L133" s="451"/>
      <c r="M133" s="451"/>
      <c r="N133" s="451"/>
      <c r="O133" s="451"/>
      <c r="P133" s="451"/>
      <c r="Q133" s="451"/>
      <c r="R133" s="451"/>
    </row>
    <row r="134" spans="2:19">
      <c r="B134" s="450"/>
    </row>
    <row r="135" spans="2:19">
      <c r="B135" s="450"/>
    </row>
    <row r="136" spans="2:19">
      <c r="B136" s="450"/>
    </row>
    <row r="137" spans="2:19">
      <c r="B137" s="450"/>
    </row>
    <row r="138" spans="2:19">
      <c r="B138" s="450"/>
    </row>
    <row r="139" spans="2:19">
      <c r="B139" s="450"/>
    </row>
    <row r="140" spans="2:19">
      <c r="B140" s="450"/>
    </row>
    <row r="141" spans="2:19">
      <c r="B141" s="450"/>
    </row>
    <row r="142" spans="2:19">
      <c r="B142" s="450"/>
    </row>
    <row r="143" spans="2:19">
      <c r="B143" s="450"/>
    </row>
    <row r="144" spans="2:19">
      <c r="B144" s="450"/>
    </row>
    <row r="145" spans="2:2">
      <c r="B145" s="450"/>
    </row>
    <row r="146" spans="2:2">
      <c r="B146" s="450"/>
    </row>
    <row r="147" spans="2:2">
      <c r="B147" s="450"/>
    </row>
    <row r="148" spans="2:2">
      <c r="B148" s="450"/>
    </row>
    <row r="149" spans="2:2">
      <c r="B149" s="450"/>
    </row>
    <row r="150" spans="2:2">
      <c r="B150" s="450"/>
    </row>
    <row r="151" spans="2:2">
      <c r="B151" s="450"/>
    </row>
    <row r="152" spans="2:2">
      <c r="B152" s="450"/>
    </row>
    <row r="153" spans="2:2">
      <c r="B153" s="450"/>
    </row>
    <row r="154" spans="2:2">
      <c r="B154" s="450"/>
    </row>
    <row r="155" spans="2:2">
      <c r="B155" s="450"/>
    </row>
    <row r="156" spans="2:2">
      <c r="B156" s="450"/>
    </row>
    <row r="157" spans="2:2">
      <c r="B157" s="450"/>
    </row>
    <row r="158" spans="2:2">
      <c r="B158" s="450"/>
    </row>
    <row r="159" spans="2:2">
      <c r="B159" s="450"/>
    </row>
    <row r="160" spans="2:2">
      <c r="B160" s="450"/>
    </row>
    <row r="161" spans="2:2">
      <c r="B161" s="450"/>
    </row>
    <row r="162" spans="2:2">
      <c r="B162" s="450"/>
    </row>
    <row r="163" spans="2:2">
      <c r="B163" s="450"/>
    </row>
    <row r="164" spans="2:2">
      <c r="B164" s="450"/>
    </row>
    <row r="165" spans="2:2">
      <c r="B165" s="450"/>
    </row>
    <row r="166" spans="2:2">
      <c r="B166" s="450"/>
    </row>
    <row r="167" spans="2:2">
      <c r="B167" s="450"/>
    </row>
    <row r="168" spans="2:2">
      <c r="B168" s="450"/>
    </row>
    <row r="169" spans="2:2">
      <c r="B169" s="450"/>
    </row>
    <row r="170" spans="2:2">
      <c r="B170" s="450"/>
    </row>
    <row r="171" spans="2:2">
      <c r="B171" s="450"/>
    </row>
    <row r="172" spans="2:2">
      <c r="B172" s="450"/>
    </row>
    <row r="173" spans="2:2">
      <c r="B173" s="450"/>
    </row>
    <row r="174" spans="2:2">
      <c r="B174" s="450"/>
    </row>
    <row r="175" spans="2:2">
      <c r="B175" s="450"/>
    </row>
    <row r="176" spans="2:2">
      <c r="B176" s="450"/>
    </row>
    <row r="177" spans="2:2">
      <c r="B177" s="450"/>
    </row>
    <row r="178" spans="2:2">
      <c r="B178" s="450"/>
    </row>
    <row r="179" spans="2:2">
      <c r="B179" s="450"/>
    </row>
    <row r="180" spans="2:2">
      <c r="B180" s="450"/>
    </row>
    <row r="181" spans="2:2">
      <c r="B181" s="450"/>
    </row>
    <row r="182" spans="2:2">
      <c r="B182" s="450"/>
    </row>
    <row r="183" spans="2:2">
      <c r="B183" s="450"/>
    </row>
    <row r="184" spans="2:2">
      <c r="B184" s="450"/>
    </row>
    <row r="185" spans="2:2">
      <c r="B185" s="450"/>
    </row>
    <row r="186" spans="2:2">
      <c r="B186" s="450"/>
    </row>
    <row r="187" spans="2:2">
      <c r="B187" s="450"/>
    </row>
    <row r="188" spans="2:2">
      <c r="B188" s="450"/>
    </row>
    <row r="189" spans="2:2">
      <c r="B189" s="450"/>
    </row>
    <row r="190" spans="2:2">
      <c r="B190" s="450"/>
    </row>
    <row r="191" spans="2:2">
      <c r="B191" s="450"/>
    </row>
    <row r="192" spans="2:2">
      <c r="B192" s="450"/>
    </row>
    <row r="193" spans="2:2">
      <c r="B193" s="450"/>
    </row>
    <row r="194" spans="2:2">
      <c r="B194" s="450"/>
    </row>
    <row r="195" spans="2:2">
      <c r="B195" s="450"/>
    </row>
    <row r="196" spans="2:2">
      <c r="B196" s="450"/>
    </row>
    <row r="197" spans="2:2">
      <c r="B197" s="450"/>
    </row>
    <row r="198" spans="2:2">
      <c r="B198" s="450"/>
    </row>
    <row r="199" spans="2:2">
      <c r="B199" s="450"/>
    </row>
    <row r="200" spans="2:2">
      <c r="B200" s="450"/>
    </row>
    <row r="201" spans="2:2">
      <c r="B201" s="450"/>
    </row>
    <row r="202" spans="2:2">
      <c r="B202" s="450"/>
    </row>
    <row r="203" spans="2:2">
      <c r="B203" s="450"/>
    </row>
    <row r="204" spans="2:2">
      <c r="B204" s="450"/>
    </row>
    <row r="205" spans="2:2">
      <c r="B205" s="450"/>
    </row>
    <row r="206" spans="2:2">
      <c r="B206" s="450"/>
    </row>
    <row r="207" spans="2:2">
      <c r="B207" s="450"/>
    </row>
    <row r="208" spans="2:2">
      <c r="B208" s="450"/>
    </row>
    <row r="209" spans="2:2">
      <c r="B209" s="450"/>
    </row>
    <row r="210" spans="2:2">
      <c r="B210" s="450"/>
    </row>
    <row r="211" spans="2:2">
      <c r="B211" s="450"/>
    </row>
    <row r="212" spans="2:2">
      <c r="B212" s="450"/>
    </row>
    <row r="213" spans="2:2">
      <c r="B213" s="450"/>
    </row>
    <row r="214" spans="2:2">
      <c r="B214" s="450"/>
    </row>
    <row r="215" spans="2:2">
      <c r="B215" s="450"/>
    </row>
    <row r="216" spans="2:2">
      <c r="B216" s="450"/>
    </row>
    <row r="217" spans="2:2">
      <c r="B217" s="450"/>
    </row>
    <row r="218" spans="2:2">
      <c r="B218" s="450"/>
    </row>
    <row r="219" spans="2:2">
      <c r="B219" s="450"/>
    </row>
    <row r="220" spans="2:2">
      <c r="B220" s="450"/>
    </row>
    <row r="221" spans="2:2">
      <c r="B221" s="450"/>
    </row>
    <row r="222" spans="2:2">
      <c r="B222" s="450"/>
    </row>
    <row r="223" spans="2:2">
      <c r="B223" s="450"/>
    </row>
    <row r="224" spans="2:2">
      <c r="B224" s="450"/>
    </row>
    <row r="225" spans="2:2">
      <c r="B225" s="450"/>
    </row>
    <row r="226" spans="2:2">
      <c r="B226" s="450"/>
    </row>
    <row r="227" spans="2:2">
      <c r="B227" s="450"/>
    </row>
    <row r="228" spans="2:2">
      <c r="B228" s="450"/>
    </row>
    <row r="229" spans="2:2">
      <c r="B229" s="450"/>
    </row>
    <row r="230" spans="2:2">
      <c r="B230" s="450"/>
    </row>
  </sheetData>
  <sheetProtection formatCells="0" formatColumns="0" formatRows="0" insertRows="0"/>
  <mergeCells count="5">
    <mergeCell ref="B34:C34"/>
    <mergeCell ref="E34:G34"/>
    <mergeCell ref="B47:C47"/>
    <mergeCell ref="B89:C89"/>
    <mergeCell ref="B123:C123"/>
  </mergeCells>
  <pageMargins left="0.7" right="0.7" top="0.75" bottom="0.75" header="0.3" footer="0.3"/>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5A874E2A-8136-49C6-9A78-2FB87D82854E}">
          <x14:formula1>
            <xm:f>HS!$F$5:$F$17</xm:f>
          </x14:formula1>
          <xm:sqref>C6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F1745-F46B-4E37-91B6-E89729CFAE52}">
  <sheetPr codeName="Sheet5">
    <tabColor theme="1"/>
  </sheetPr>
  <dimension ref="A1"/>
  <sheetViews>
    <sheetView workbookViewId="0"/>
  </sheetViews>
  <sheetFormatPr defaultColWidth="9.140625" defaultRowHeight="12.75"/>
  <cols>
    <col min="1" max="1" width="5.7109375" style="28" customWidth="1"/>
    <col min="2" max="16384" width="9.140625" style="28"/>
  </cols>
  <sheetData>
    <row r="1" ht="15" customHeight="1"/>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15194-3ADF-44C9-A482-B9260F3157CE}">
  <sheetPr codeName="Sheet7">
    <tabColor theme="1" tint="0.499984740745262"/>
  </sheetPr>
  <dimension ref="B1:AY103"/>
  <sheetViews>
    <sheetView workbookViewId="0"/>
  </sheetViews>
  <sheetFormatPr defaultColWidth="8.7109375" defaultRowHeight="12.75"/>
  <cols>
    <col min="1" max="1" width="5.7109375" customWidth="1"/>
    <col min="2" max="2" width="17.42578125" bestFit="1" customWidth="1"/>
    <col min="3" max="3" width="45" bestFit="1" customWidth="1"/>
    <col min="4" max="4" width="12.42578125" customWidth="1"/>
    <col min="5" max="27" width="8.42578125" customWidth="1"/>
    <col min="29" max="29" width="5.140625" customWidth="1"/>
    <col min="30" max="30" width="34.42578125" bestFit="1" customWidth="1"/>
    <col min="32" max="32" width="9" bestFit="1" customWidth="1"/>
    <col min="34" max="34" width="14.42578125" bestFit="1" customWidth="1"/>
    <col min="36" max="36" width="8.42578125" bestFit="1" customWidth="1"/>
    <col min="39" max="39" width="52" bestFit="1" customWidth="1"/>
    <col min="48" max="48" width="28.28515625" bestFit="1" customWidth="1"/>
  </cols>
  <sheetData>
    <row r="1" spans="2:51" ht="15" customHeight="1"/>
    <row r="2" spans="2:51" ht="18.75">
      <c r="B2" s="109" t="str">
        <f>Übersicht!C26</f>
        <v>Multiples Aggregation</v>
      </c>
    </row>
    <row r="4" spans="2:51" ht="15.75" thickBot="1">
      <c r="B4" s="45" t="s">
        <v>46</v>
      </c>
      <c r="C4" s="46"/>
      <c r="D4" s="46"/>
      <c r="E4" s="46"/>
      <c r="F4" s="46"/>
      <c r="G4" s="46"/>
      <c r="H4" s="46"/>
      <c r="I4" s="46"/>
      <c r="J4" s="46"/>
      <c r="K4" s="46"/>
      <c r="L4" s="46"/>
      <c r="M4" s="46"/>
      <c r="N4" s="46"/>
      <c r="O4" s="46"/>
      <c r="P4" s="46"/>
      <c r="Q4" s="46"/>
      <c r="R4" s="46"/>
      <c r="S4" s="46"/>
      <c r="T4" s="46"/>
      <c r="U4" s="46"/>
      <c r="V4" s="46"/>
      <c r="W4" s="46"/>
      <c r="X4" s="46"/>
      <c r="Y4" s="46"/>
      <c r="Z4" s="46"/>
      <c r="AA4" s="46"/>
      <c r="AC4" s="45" t="s">
        <v>761</v>
      </c>
      <c r="AD4" s="46"/>
      <c r="AE4" s="46"/>
      <c r="AF4" s="46"/>
      <c r="AG4" s="46" t="s">
        <v>762</v>
      </c>
      <c r="AH4" s="46"/>
      <c r="AI4" s="46"/>
      <c r="AJ4" s="46"/>
      <c r="AL4" s="45" t="s">
        <v>763</v>
      </c>
      <c r="AM4" s="46"/>
      <c r="AN4" s="46"/>
      <c r="AO4" s="46"/>
      <c r="AP4" s="46"/>
      <c r="AQ4" s="46"/>
      <c r="AR4" s="46"/>
      <c r="AS4" s="46"/>
      <c r="AU4" s="1253" t="s">
        <v>53</v>
      </c>
      <c r="AV4" s="1254"/>
      <c r="AW4" s="1254"/>
      <c r="AX4" s="1254"/>
      <c r="AY4" s="1254"/>
    </row>
    <row r="5" spans="2:51" ht="16.5" thickBot="1">
      <c r="B5" s="44" t="s">
        <v>764</v>
      </c>
      <c r="C5" s="82" t="str">
        <f>FM!C2</f>
        <v>Ausgabe 04/2025</v>
      </c>
      <c r="D5" s="34" t="s">
        <v>592</v>
      </c>
      <c r="E5" s="34"/>
      <c r="F5" s="34"/>
      <c r="G5" s="34"/>
      <c r="H5" s="34"/>
      <c r="I5" s="34"/>
      <c r="J5" s="34" t="s">
        <v>530</v>
      </c>
      <c r="K5" s="35"/>
      <c r="L5" s="35"/>
      <c r="M5" s="35"/>
      <c r="N5" s="35"/>
      <c r="O5" s="36"/>
      <c r="P5" s="34" t="s">
        <v>593</v>
      </c>
      <c r="Q5" s="35"/>
      <c r="R5" s="35"/>
      <c r="S5" s="35"/>
      <c r="T5" s="35"/>
      <c r="U5" s="36"/>
      <c r="V5" s="34" t="s">
        <v>594</v>
      </c>
      <c r="W5" s="35"/>
      <c r="X5" s="35"/>
      <c r="Y5" s="35"/>
      <c r="Z5" s="35"/>
      <c r="AA5" s="36"/>
      <c r="AC5" s="35" t="s">
        <v>765</v>
      </c>
      <c r="AD5" s="81" t="str">
        <f>NYU!C4</f>
        <v>05. Jan 25</v>
      </c>
      <c r="AE5" s="35" t="s">
        <v>766</v>
      </c>
      <c r="AF5" s="35"/>
      <c r="AG5" s="35"/>
      <c r="AH5" s="35"/>
      <c r="AI5" s="35"/>
      <c r="AJ5" s="35"/>
      <c r="AL5" s="35" t="s">
        <v>765</v>
      </c>
      <c r="AM5" s="90" t="s">
        <v>767</v>
      </c>
      <c r="AN5" s="35"/>
      <c r="AO5" s="35"/>
      <c r="AP5" s="35"/>
      <c r="AQ5" s="35"/>
      <c r="AR5" s="35"/>
      <c r="AS5" s="35"/>
      <c r="AU5" s="1255" t="s">
        <v>765</v>
      </c>
      <c r="AV5" s="90" t="s">
        <v>768</v>
      </c>
      <c r="AW5" s="1256"/>
      <c r="AX5" s="1256" t="s">
        <v>525</v>
      </c>
      <c r="AY5" s="1255"/>
    </row>
    <row r="6" spans="2:51" ht="15.75">
      <c r="B6" s="37"/>
      <c r="C6" s="37" t="s">
        <v>582</v>
      </c>
      <c r="D6" s="1932" t="s">
        <v>769</v>
      </c>
      <c r="E6" s="1930"/>
      <c r="F6" s="1932" t="s">
        <v>770</v>
      </c>
      <c r="G6" s="1930"/>
      <c r="H6" s="1930" t="s">
        <v>771</v>
      </c>
      <c r="I6" s="1931"/>
      <c r="J6" s="1932" t="s">
        <v>769</v>
      </c>
      <c r="K6" s="1930"/>
      <c r="L6" s="1932" t="s">
        <v>770</v>
      </c>
      <c r="M6" s="1930"/>
      <c r="N6" s="1930" t="s">
        <v>771</v>
      </c>
      <c r="O6" s="1931"/>
      <c r="P6" s="1932" t="s">
        <v>769</v>
      </c>
      <c r="Q6" s="1930"/>
      <c r="R6" s="1932" t="s">
        <v>770</v>
      </c>
      <c r="S6" s="1930"/>
      <c r="T6" s="1930" t="s">
        <v>771</v>
      </c>
      <c r="U6" s="1931"/>
      <c r="V6" s="1932" t="s">
        <v>769</v>
      </c>
      <c r="W6" s="1930"/>
      <c r="X6" s="1932" t="s">
        <v>770</v>
      </c>
      <c r="Y6" s="1930"/>
      <c r="Z6" s="1930" t="s">
        <v>771</v>
      </c>
      <c r="AA6" s="1931"/>
      <c r="AC6" s="49"/>
      <c r="AD6" s="49" t="s">
        <v>582</v>
      </c>
      <c r="AE6" s="50"/>
      <c r="AF6" s="51" t="s">
        <v>772</v>
      </c>
      <c r="AG6" s="50"/>
      <c r="AH6" s="52" t="s">
        <v>524</v>
      </c>
      <c r="AI6" s="50"/>
      <c r="AJ6" s="50" t="s">
        <v>525</v>
      </c>
      <c r="AL6" s="49"/>
      <c r="AM6" s="49" t="s">
        <v>582</v>
      </c>
      <c r="AN6" s="50"/>
      <c r="AO6" s="51" t="s">
        <v>772</v>
      </c>
      <c r="AP6" s="50"/>
      <c r="AQ6" s="52" t="s">
        <v>524</v>
      </c>
      <c r="AR6" s="50"/>
      <c r="AS6" s="50" t="s">
        <v>525</v>
      </c>
      <c r="AU6" s="1257"/>
      <c r="AV6" s="1257" t="s">
        <v>582</v>
      </c>
      <c r="AW6" s="1252" t="s">
        <v>773</v>
      </c>
      <c r="AX6" s="1252" t="s">
        <v>774</v>
      </c>
      <c r="AY6" s="1252" t="s">
        <v>775</v>
      </c>
    </row>
    <row r="7" spans="2:51" ht="15.75">
      <c r="B7" s="39"/>
      <c r="C7" s="38"/>
      <c r="D7" s="1274" t="s">
        <v>776</v>
      </c>
      <c r="E7" s="1274" t="s">
        <v>777</v>
      </c>
      <c r="F7" s="1274" t="s">
        <v>776</v>
      </c>
      <c r="G7" s="1274" t="s">
        <v>777</v>
      </c>
      <c r="H7" s="1274" t="s">
        <v>776</v>
      </c>
      <c r="I7" s="1274" t="s">
        <v>777</v>
      </c>
      <c r="J7" s="1274" t="s">
        <v>776</v>
      </c>
      <c r="K7" s="1274" t="s">
        <v>777</v>
      </c>
      <c r="L7" s="1274" t="s">
        <v>776</v>
      </c>
      <c r="M7" s="1274" t="s">
        <v>777</v>
      </c>
      <c r="N7" s="1274" t="s">
        <v>776</v>
      </c>
      <c r="O7" s="1274" t="s">
        <v>777</v>
      </c>
      <c r="P7" s="1274" t="s">
        <v>776</v>
      </c>
      <c r="Q7" s="1274" t="s">
        <v>777</v>
      </c>
      <c r="R7" s="1274" t="s">
        <v>776</v>
      </c>
      <c r="S7" s="1274" t="s">
        <v>777</v>
      </c>
      <c r="T7" s="1274" t="s">
        <v>776</v>
      </c>
      <c r="U7" s="1274" t="s">
        <v>777</v>
      </c>
      <c r="V7" s="1274" t="s">
        <v>776</v>
      </c>
      <c r="W7" s="1274" t="s">
        <v>777</v>
      </c>
      <c r="X7" s="1274" t="s">
        <v>776</v>
      </c>
      <c r="Y7" s="1274" t="s">
        <v>777</v>
      </c>
      <c r="Z7" s="1274" t="s">
        <v>776</v>
      </c>
      <c r="AA7" s="1274" t="s">
        <v>777</v>
      </c>
      <c r="AC7">
        <v>1</v>
      </c>
      <c r="AD7" t="s">
        <v>778</v>
      </c>
      <c r="AF7" cm="1">
        <f t="array" ref="AF7">INDEX(NYU!$F$12:$F$107,MATCH(AD7,NYU!$B$12:$B$107,0),0)</f>
        <v>1.5</v>
      </c>
      <c r="AH7" t="e" cm="1">
        <f t="array" ref="AH7">INDEX(NYU!$N$14:$N$109,MATCH(AD7,NYU!$K$14:$K$109,0),0)</f>
        <v>#N/A</v>
      </c>
      <c r="AJ7" t="e" cm="1">
        <f t="array" ref="AJ7">INDEX(NYU!$O$14:$O$109,MATCH(AD7,NYU!$K$14:$K$109,0),0)</f>
        <v>#N/A</v>
      </c>
      <c r="AL7">
        <f>IFERROR(Kroll!B8,"")</f>
        <v>1</v>
      </c>
      <c r="AM7" t="str">
        <f>IFERROR(Kroll!C8,"")</f>
        <v>Communication Services</v>
      </c>
      <c r="AO7">
        <f>IFERROR(Kroll!E8,"")</f>
        <v>1.9</v>
      </c>
      <c r="AQ7">
        <f>IFERROR(Kroll!G8,"")</f>
        <v>7</v>
      </c>
      <c r="AS7" t="str">
        <f>IFERROR(Kroll!I8,"")</f>
        <v>NA</v>
      </c>
      <c r="AU7" s="1258">
        <f>IFERROR(DUB!B7,"")</f>
        <v>1</v>
      </c>
      <c r="AV7" s="1258" t="str">
        <f>IFERROR(DUB!C7,"")</f>
        <v>Bau und Handwerk</v>
      </c>
      <c r="AW7" s="1258">
        <f>IFERROR(DUB!D7,"")</f>
        <v>4.4000000000000004</v>
      </c>
      <c r="AX7" s="1258">
        <f>IFERROR(DUB!E7,"")</f>
        <v>7.4</v>
      </c>
      <c r="AY7" s="1258">
        <f>IFERROR(DUB!F7,"")</f>
        <v>5.9</v>
      </c>
    </row>
    <row r="8" spans="2:51" ht="15.75">
      <c r="B8" s="40">
        <v>1</v>
      </c>
      <c r="C8" s="41" t="s">
        <v>779</v>
      </c>
      <c r="D8" s="1275" cm="1">
        <f t="array" ref="D8">INDEX(FM!$B$4:$I$83, MATCH(1, (FM!$C$4:$C$83=$C8) * (FM!$B$4:$B$83=D$5), 0),3)</f>
        <v>4.4000000000000004</v>
      </c>
      <c r="E8" s="1275" cm="1">
        <f t="array" ref="E8">INDEX(FM!$B$4:$I$83, MATCH(1, (FM!$C$4:$C$83=$C8) * (FM!$B$4:$B$83=D$5), 0),4)</f>
        <v>6.1</v>
      </c>
      <c r="F8" s="1275" cm="1">
        <f t="array" ref="F8">INDEX(FM!$B$4:$I$83, MATCH(1, (FM!$C$4:$C$83=$C8) * (FM!$B$4:$B$83=D$5), 0),5)</f>
        <v>3.8</v>
      </c>
      <c r="G8" s="1275" cm="1">
        <f t="array" ref="G8">INDEX(FM!$B$4:$I$83, MATCH(1, (FM!$C$4:$C$83=$C8) * (FM!$B$4:$B$83=D$5), 0),6)</f>
        <v>5.9</v>
      </c>
      <c r="H8" s="1275" t="s">
        <v>149</v>
      </c>
      <c r="I8" s="1275" t="s">
        <v>149</v>
      </c>
      <c r="J8" s="1275" cm="1">
        <f t="array" ref="J8">INDEX(FM!$B$4:$I$83, MATCH(1, (FM!$C$4:$C$83=$C8) * (FM!$B$4:$B$83=J$5), 0),3)</f>
        <v>5</v>
      </c>
      <c r="K8" s="1275" cm="1">
        <f t="array" ref="K8">INDEX(FM!$B$4:$I$83, MATCH(1, (FM!$C$4:$C$83=$C8) * (FM!$B$4:$B$83=J$5), 0),4)</f>
        <v>6.5</v>
      </c>
      <c r="L8" s="1275" cm="1">
        <f t="array" ref="L8">INDEX(FM!$B$4:$I$83, MATCH(1, (FM!$C$4:$C$83=$C8) * (FM!$B$4:$B$83=J$5), 0),5)</f>
        <v>4.5</v>
      </c>
      <c r="M8" s="1275" cm="1">
        <f t="array" ref="M8">INDEX(FM!$B$4:$I$83, MATCH(1, (FM!$C$4:$C$83=$C8) * (FM!$B$4:$B$83=J$5), 0),6)</f>
        <v>6</v>
      </c>
      <c r="N8" s="1275" cm="1">
        <f t="array" ref="N8">INDEX(FM!$B$4:$I$83, MATCH(1, (FM!$C$4:$C$83=$C8) * (FM!$B$4:$B$83=J$5), 0),7)</f>
        <v>0.46</v>
      </c>
      <c r="O8" s="1275" cm="1">
        <f t="array" ref="O8">INDEX(FM!$B$4:$I$83, MATCH(1, (FM!$C$4:$C$83=$C8) * (FM!$B$4:$B$83=J$5), 0),8)</f>
        <v>0.69</v>
      </c>
      <c r="P8" s="1275" cm="1">
        <f t="array" ref="P8">INDEX(FM!$B$4:$I$83, MATCH(1, (FM!$C$4:$C$83=$C8) * (FM!$B$4:$B$83=P$5), 0),3)</f>
        <v>5.8</v>
      </c>
      <c r="Q8" s="1275" cm="1">
        <f t="array" ref="Q8">INDEX(FM!$B$4:$I$83, MATCH(1, (FM!$C$4:$C$83=$C8) * (FM!$B$4:$B$83=P$5), 0),4)</f>
        <v>7.3</v>
      </c>
      <c r="R8" s="1275" cm="1">
        <f t="array" ref="R8">INDEX(FM!$B$4:$I$83, MATCH(1, (FM!$C$4:$C$83=$C8) * (FM!$B$4:$B$83=P$5), 0),5)</f>
        <v>5.7</v>
      </c>
      <c r="S8" s="1275" cm="1">
        <f t="array" ref="S8">INDEX(FM!$B$4:$I$83, MATCH(1, (FM!$C$4:$C$83=$C8) * (FM!$B$4:$B$83=P$5), 0),6)</f>
        <v>7</v>
      </c>
      <c r="T8" s="1275" cm="1">
        <f t="array" ref="T8">INDEX(FM!$B$4:$I$83, MATCH(1, (FM!$C$4:$C$83=$C8) * (FM!$B$4:$B$83=P$5), 0),7)</f>
        <v>0.43</v>
      </c>
      <c r="U8" s="1275" cm="1">
        <f t="array" ref="U8">INDEX(FM!$B$4:$I$83, MATCH(1, (FM!$C$4:$C$83=$C8) * (FM!$B$4:$B$83=P$5), 0),8)</f>
        <v>0.81</v>
      </c>
      <c r="V8" s="1275" cm="1">
        <f t="array" ref="V8">INDEX(FM!$B$4:$I$83, MATCH(1, (FM!$C$4:$C$83=$C8) * (FM!$B$4:$B$83=V$5), 0),3)</f>
        <v>6.4</v>
      </c>
      <c r="W8" s="1275" cm="1">
        <f t="array" ref="W8">INDEX(FM!$B$4:$I$83, MATCH(1, (FM!$C$4:$C$83=$C8) * (FM!$B$4:$B$83=V$5), 0),4)</f>
        <v>8</v>
      </c>
      <c r="X8" s="1275" cm="1">
        <f t="array" ref="X8">INDEX(FM!$B$4:$I$83, MATCH(1, (FM!$C$4:$C$83=$C8) * (FM!$B$4:$B$83=V$5), 0),5)</f>
        <v>6.4</v>
      </c>
      <c r="Y8" s="1275" cm="1">
        <f t="array" ref="Y8">INDEX(FM!$B$4:$I$83, MATCH(1, (FM!$C$4:$C$83=$C8) * (FM!$B$4:$B$83=V$5), 0),6)</f>
        <v>7.3</v>
      </c>
      <c r="Z8" s="1275" cm="1">
        <f t="array" ref="Z8">INDEX(FM!$B$4:$I$83, MATCH(1, (FM!$C$4:$C$83=$C8) * (FM!$B$4:$B$83=V$5), 0),7)</f>
        <v>0.39</v>
      </c>
      <c r="AA8" s="1275" cm="1">
        <f t="array" ref="AA8">INDEX(FM!$B$4:$I$83, MATCH(1, (FM!$C$4:$C$83=$C8) * (FM!$B$4:$B$83=V$5), 0),8)</f>
        <v>0.91</v>
      </c>
      <c r="AC8">
        <v>2</v>
      </c>
      <c r="AD8" t="s">
        <v>780</v>
      </c>
      <c r="AF8" cm="1">
        <f t="array" ref="AF8">INDEX(NYU!$F$12:$F$107,MATCH(AD8,NYU!$B$12:$B$107,0),0)</f>
        <v>2.08</v>
      </c>
      <c r="AH8" cm="1">
        <f t="array" ref="AH8">INDEX(NYU!$N$14:$N$109,MATCH(AD8,NYU!$K$14:$K$109,0),0)</f>
        <v>16.760000000000002</v>
      </c>
      <c r="AJ8" cm="1">
        <f t="array" ref="AJ8">INDEX(NYU!$O$14:$O$109,MATCH(AD8,NYU!$K$14:$K$109,0),0)</f>
        <v>23.25</v>
      </c>
      <c r="AL8">
        <f>IFERROR(Kroll!B9,"")</f>
        <v>2</v>
      </c>
      <c r="AM8" t="str">
        <f>IFERROR(Kroll!C9,"")</f>
        <v>Media and Entertainment</v>
      </c>
      <c r="AO8">
        <f>IFERROR(Kroll!E9,"")</f>
        <v>1.8</v>
      </c>
      <c r="AQ8">
        <f>IFERROR(Kroll!G9,"")</f>
        <v>7.3</v>
      </c>
      <c r="AS8" t="str">
        <f>IFERROR(Kroll!I9,"")</f>
        <v>NA</v>
      </c>
      <c r="AU8" s="1258">
        <f>IFERROR(DUB!B8,"")</f>
        <v>2</v>
      </c>
      <c r="AV8" s="1258" t="str">
        <f>IFERROR(DUB!C8,"")</f>
        <v>Beratende Dienstleistung</v>
      </c>
      <c r="AW8" s="1258">
        <f>IFERROR(DUB!D8,"")</f>
        <v>3.9</v>
      </c>
      <c r="AX8" s="1258">
        <f>IFERROR(DUB!E8,"")</f>
        <v>9.1999999999999993</v>
      </c>
      <c r="AY8" s="1258">
        <f>IFERROR(DUB!F8,"")</f>
        <v>6.6</v>
      </c>
    </row>
    <row r="9" spans="2:51" ht="15.75">
      <c r="B9" s="40">
        <v>2</v>
      </c>
      <c r="C9" s="41" t="s">
        <v>781</v>
      </c>
      <c r="D9" s="1275" cm="1">
        <f t="array" ref="D9">INDEX(FM!$B$4:$I$83, MATCH(1, (FM!$C$4:$C$83=$C9) * (FM!$B$4:$B$83=D$5), 0),3)</f>
        <v>4.4000000000000004</v>
      </c>
      <c r="E9" s="1275" cm="1">
        <f t="array" ref="E9">INDEX(FM!$B$4:$I$83, MATCH(1, (FM!$C$4:$C$83=$C9) * (FM!$B$4:$B$83=D$5), 0),4)</f>
        <v>6</v>
      </c>
      <c r="F9" s="1275" cm="1">
        <f t="array" ref="F9">INDEX(FM!$B$4:$I$83, MATCH(1, (FM!$C$4:$C$83=$C9) * (FM!$B$4:$B$83=D$5), 0),5)</f>
        <v>4.0999999999999996</v>
      </c>
      <c r="G9" s="1275" cm="1">
        <f t="array" ref="G9">INDEX(FM!$B$4:$I$83, MATCH(1, (FM!$C$4:$C$83=$C9) * (FM!$B$4:$B$83=D$5), 0),6)</f>
        <v>6</v>
      </c>
      <c r="H9" s="1275" t="s">
        <v>149</v>
      </c>
      <c r="I9" s="1275" t="s">
        <v>149</v>
      </c>
      <c r="J9" s="1275" cm="1">
        <f t="array" ref="J9">INDEX(FM!$B$4:$I$83, MATCH(1, (FM!$C$4:$C$83=$C9) * (FM!$B$4:$B$83=J$5), 0),3)</f>
        <v>5.5</v>
      </c>
      <c r="K9" s="1275" cm="1">
        <f t="array" ref="K9">INDEX(FM!$B$4:$I$83, MATCH(1, (FM!$C$4:$C$83=$C9) * (FM!$B$4:$B$83=J$5), 0),4)</f>
        <v>7.3</v>
      </c>
      <c r="L9" s="1275" cm="1">
        <f t="array" ref="L9">INDEX(FM!$B$4:$I$83, MATCH(1, (FM!$C$4:$C$83=$C9) * (FM!$B$4:$B$83=J$5), 0),5)</f>
        <v>5</v>
      </c>
      <c r="M9" s="1275" cm="1">
        <f t="array" ref="M9">INDEX(FM!$B$4:$I$83, MATCH(1, (FM!$C$4:$C$83=$C9) * (FM!$B$4:$B$83=J$5), 0),6)</f>
        <v>7</v>
      </c>
      <c r="N9" s="1275" cm="1">
        <f t="array" ref="N9">INDEX(FM!$B$4:$I$83, MATCH(1, (FM!$C$4:$C$83=$C9) * (FM!$B$4:$B$83=J$5), 0),7)</f>
        <v>0.63</v>
      </c>
      <c r="O9" s="1275" cm="1">
        <f t="array" ref="O9">INDEX(FM!$B$4:$I$83, MATCH(1, (FM!$C$4:$C$83=$C9) * (FM!$B$4:$B$83=J$5), 0),8)</f>
        <v>1.06</v>
      </c>
      <c r="P9" s="1275" cm="1">
        <f t="array" ref="P9">INDEX(FM!$B$4:$I$83, MATCH(1, (FM!$C$4:$C$83=$C9) * (FM!$B$4:$B$83=P$5), 0),3)</f>
        <v>6.7</v>
      </c>
      <c r="Q9" s="1275" cm="1">
        <f t="array" ref="Q9">INDEX(FM!$B$4:$I$83, MATCH(1, (FM!$C$4:$C$83=$C9) * (FM!$B$4:$B$83=P$5), 0),4)</f>
        <v>8.5</v>
      </c>
      <c r="R9" s="1275" cm="1">
        <f t="array" ref="R9">INDEX(FM!$B$4:$I$83, MATCH(1, (FM!$C$4:$C$83=$C9) * (FM!$B$4:$B$83=P$5), 0),5)</f>
        <v>6.5</v>
      </c>
      <c r="S9" s="1275" cm="1">
        <f t="array" ref="S9">INDEX(FM!$B$4:$I$83, MATCH(1, (FM!$C$4:$C$83=$C9) * (FM!$B$4:$B$83=P$5), 0),6)</f>
        <v>7.9</v>
      </c>
      <c r="T9" s="1275" cm="1">
        <f t="array" ref="T9">INDEX(FM!$B$4:$I$83, MATCH(1, (FM!$C$4:$C$83=$C9) * (FM!$B$4:$B$83=P$5), 0),7)</f>
        <v>0.64</v>
      </c>
      <c r="U9" s="1275" cm="1">
        <f t="array" ref="U9">INDEX(FM!$B$4:$I$83, MATCH(1, (FM!$C$4:$C$83=$C9) * (FM!$B$4:$B$83=P$5), 0),8)</f>
        <v>1.04</v>
      </c>
      <c r="V9" s="1275" cm="1">
        <f t="array" ref="V9">INDEX(FM!$B$4:$I$83, MATCH(1, (FM!$C$4:$C$83=$C9) * (FM!$B$4:$B$83=V$5), 0),3)</f>
        <v>7.6</v>
      </c>
      <c r="W9" s="1275" cm="1">
        <f t="array" ref="W9">INDEX(FM!$B$4:$I$83, MATCH(1, (FM!$C$4:$C$83=$C9) * (FM!$B$4:$B$83=V$5), 0),4)</f>
        <v>9</v>
      </c>
      <c r="X9" s="1275" cm="1">
        <f t="array" ref="X9">INDEX(FM!$B$4:$I$83, MATCH(1, (FM!$C$4:$C$83=$C9) * (FM!$B$4:$B$83=V$5), 0),5)</f>
        <v>7.7</v>
      </c>
      <c r="Y9" s="1275" cm="1">
        <f t="array" ref="Y9">INDEX(FM!$B$4:$I$83, MATCH(1, (FM!$C$4:$C$83=$C9) * (FM!$B$4:$B$83=V$5), 0),6)</f>
        <v>9.1</v>
      </c>
      <c r="Z9" s="1275" cm="1">
        <f t="array" ref="Z9">INDEX(FM!$B$4:$I$83, MATCH(1, (FM!$C$4:$C$83=$C9) * (FM!$B$4:$B$83=V$5), 0),7)</f>
        <v>0.9</v>
      </c>
      <c r="AA9" s="1275" cm="1">
        <f t="array" ref="AA9">INDEX(FM!$B$4:$I$83, MATCH(1, (FM!$C$4:$C$83=$C9) * (FM!$B$4:$B$83=V$5), 0),8)</f>
        <v>1.26</v>
      </c>
      <c r="AC9">
        <v>3</v>
      </c>
      <c r="AD9" t="s">
        <v>782</v>
      </c>
      <c r="AF9" cm="1">
        <f t="array" ref="AF9">INDEX(NYU!$F$12:$F$107,MATCH(AD9,NYU!$B$12:$B$107,0),0)</f>
        <v>1.1499999999999999</v>
      </c>
      <c r="AH9" cm="1">
        <f t="array" ref="AH9">INDEX(NYU!$N$14:$N$109,MATCH(AD9,NYU!$K$14:$K$109,0),0)</f>
        <v>7.83</v>
      </c>
      <c r="AJ9" cm="1">
        <f t="array" ref="AJ9">INDEX(NYU!$O$14:$O$109,MATCH(AD9,NYU!$K$14:$K$109,0),0)</f>
        <v>12.34</v>
      </c>
      <c r="AL9">
        <f>IFERROR(Kroll!B10,"")</f>
        <v>3</v>
      </c>
      <c r="AM9" t="str">
        <f>IFERROR(Kroll!C10,"")</f>
        <v>Telecommunication Services</v>
      </c>
      <c r="AO9">
        <f>IFERROR(Kroll!E10,"")</f>
        <v>1.9</v>
      </c>
      <c r="AQ9">
        <f>IFERROR(Kroll!G10,"")</f>
        <v>5.9</v>
      </c>
      <c r="AS9" t="str">
        <f>IFERROR(Kroll!I10,"")</f>
        <v>NA</v>
      </c>
      <c r="AU9" s="1258">
        <f>IFERROR(DUB!B9,"")</f>
        <v>3</v>
      </c>
      <c r="AV9" s="1258" t="str">
        <f>IFERROR(DUB!C9,"")</f>
        <v>Chemie, Kunststoffe, Papier</v>
      </c>
      <c r="AW9" s="1258">
        <f>IFERROR(DUB!D9,"")</f>
        <v>5</v>
      </c>
      <c r="AX9" s="1258">
        <f>IFERROR(DUB!E9,"")</f>
        <v>8.5</v>
      </c>
      <c r="AY9" s="1258">
        <f>IFERROR(DUB!F9,"")</f>
        <v>6.8</v>
      </c>
    </row>
    <row r="10" spans="2:51" ht="15.75">
      <c r="B10" s="40">
        <v>3</v>
      </c>
      <c r="C10" s="41" t="s">
        <v>783</v>
      </c>
      <c r="D10" s="1275" cm="1">
        <f t="array" ref="D10">INDEX(FM!$B$4:$I$83, MATCH(1, (FM!$C$4:$C$83=$C10) * (FM!$B$4:$B$83=D$5), 0),3)</f>
        <v>5.7</v>
      </c>
      <c r="E10" s="1275" cm="1">
        <f t="array" ref="E10">INDEX(FM!$B$4:$I$83, MATCH(1, (FM!$C$4:$C$83=$C10) * (FM!$B$4:$B$83=D$5), 0),4)</f>
        <v>7.6</v>
      </c>
      <c r="F10" s="1275" cm="1">
        <f t="array" ref="F10">INDEX(FM!$B$4:$I$83, MATCH(1, (FM!$C$4:$C$83=$C10) * (FM!$B$4:$B$83=D$5), 0),5)</f>
        <v>5.0999999999999996</v>
      </c>
      <c r="G10" s="1275" cm="1">
        <f t="array" ref="G10">INDEX(FM!$B$4:$I$83, MATCH(1, (FM!$C$4:$C$83=$C10) * (FM!$B$4:$B$83=D$5), 0),6)</f>
        <v>7.2</v>
      </c>
      <c r="H10" s="1275" t="s">
        <v>149</v>
      </c>
      <c r="I10" s="1275" t="s">
        <v>149</v>
      </c>
      <c r="J10" s="1275" cm="1">
        <f t="array" ref="J10">INDEX(FM!$B$4:$I$83, MATCH(1, (FM!$C$4:$C$83=$C10) * (FM!$B$4:$B$83=J$5), 0),3)</f>
        <v>7.6</v>
      </c>
      <c r="K10" s="1275" cm="1">
        <f t="array" ref="K10">INDEX(FM!$B$4:$I$83, MATCH(1, (FM!$C$4:$C$83=$C10) * (FM!$B$4:$B$83=J$5), 0),4)</f>
        <v>9</v>
      </c>
      <c r="L10" s="1275" cm="1">
        <f t="array" ref="L10">INDEX(FM!$B$4:$I$83, MATCH(1, (FM!$C$4:$C$83=$C10) * (FM!$B$4:$B$83=J$5), 0),5)</f>
        <v>6</v>
      </c>
      <c r="M10" s="1275" cm="1">
        <f t="array" ref="M10">INDEX(FM!$B$4:$I$83, MATCH(1, (FM!$C$4:$C$83=$C10) * (FM!$B$4:$B$83=J$5), 0),6)</f>
        <v>7.5</v>
      </c>
      <c r="N10" s="1275" cm="1">
        <f t="array" ref="N10">INDEX(FM!$B$4:$I$83, MATCH(1, (FM!$C$4:$C$83=$C10) * (FM!$B$4:$B$83=J$5), 0),7)</f>
        <v>0.79</v>
      </c>
      <c r="O10" s="1275" cm="1">
        <f t="array" ref="O10">INDEX(FM!$B$4:$I$83, MATCH(1, (FM!$C$4:$C$83=$C10) * (FM!$B$4:$B$83=J$5), 0),8)</f>
        <v>1.01</v>
      </c>
      <c r="P10" s="1275" cm="1">
        <f t="array" ref="P10">INDEX(FM!$B$4:$I$83, MATCH(1, (FM!$C$4:$C$83=$C10) * (FM!$B$4:$B$83=P$5), 0),3)</f>
        <v>7.9</v>
      </c>
      <c r="Q10" s="1275" cm="1">
        <f t="array" ref="Q10">INDEX(FM!$B$4:$I$83, MATCH(1, (FM!$C$4:$C$83=$C10) * (FM!$B$4:$B$83=P$5), 0),4)</f>
        <v>10</v>
      </c>
      <c r="R10" s="1275" cm="1">
        <f t="array" ref="R10">INDEX(FM!$B$4:$I$83, MATCH(1, (FM!$C$4:$C$83=$C10) * (FM!$B$4:$B$83=P$5), 0),5)</f>
        <v>7</v>
      </c>
      <c r="S10" s="1275" cm="1">
        <f t="array" ref="S10">INDEX(FM!$B$4:$I$83, MATCH(1, (FM!$C$4:$C$83=$C10) * (FM!$B$4:$B$83=P$5), 0),6)</f>
        <v>8.5</v>
      </c>
      <c r="T10" s="1275" cm="1">
        <f t="array" ref="T10">INDEX(FM!$B$4:$I$83, MATCH(1, (FM!$C$4:$C$83=$C10) * (FM!$B$4:$B$83=P$5), 0),7)</f>
        <v>0.84</v>
      </c>
      <c r="U10" s="1275" cm="1">
        <f t="array" ref="U10">INDEX(FM!$B$4:$I$83, MATCH(1, (FM!$C$4:$C$83=$C10) * (FM!$B$4:$B$83=P$5), 0),8)</f>
        <v>1.1200000000000001</v>
      </c>
      <c r="V10" s="1275" cm="1">
        <f t="array" ref="V10">INDEX(FM!$B$4:$I$83, MATCH(1, (FM!$C$4:$C$83=$C10) * (FM!$B$4:$B$83=V$5), 0),3)</f>
        <v>9.4</v>
      </c>
      <c r="W10" s="1275" cm="1">
        <f t="array" ref="W10">INDEX(FM!$B$4:$I$83, MATCH(1, (FM!$C$4:$C$83=$C10) * (FM!$B$4:$B$83=V$5), 0),4)</f>
        <v>11.4</v>
      </c>
      <c r="X10" s="1275" cm="1">
        <f t="array" ref="X10">INDEX(FM!$B$4:$I$83, MATCH(1, (FM!$C$4:$C$83=$C10) * (FM!$B$4:$B$83=V$5), 0),5)</f>
        <v>7.5</v>
      </c>
      <c r="Y10" s="1275" cm="1">
        <f t="array" ref="Y10">INDEX(FM!$B$4:$I$83, MATCH(1, (FM!$C$4:$C$83=$C10) * (FM!$B$4:$B$83=V$5), 0),6)</f>
        <v>9</v>
      </c>
      <c r="Z10" s="1275" cm="1">
        <f t="array" ref="Z10">INDEX(FM!$B$4:$I$83, MATCH(1, (FM!$C$4:$C$83=$C10) * (FM!$B$4:$B$83=V$5), 0),7)</f>
        <v>0.93</v>
      </c>
      <c r="AA10" s="1275" cm="1">
        <f t="array" ref="AA10">INDEX(FM!$B$4:$I$83, MATCH(1, (FM!$C$4:$C$83=$C10) * (FM!$B$4:$B$83=V$5), 0),8)</f>
        <v>1.38</v>
      </c>
      <c r="AC10">
        <v>4</v>
      </c>
      <c r="AD10" t="s">
        <v>784</v>
      </c>
      <c r="AF10" cm="1">
        <f t="array" ref="AF10">INDEX(NYU!$F$12:$F$107,MATCH(AD10,NYU!$B$12:$B$107,0),0)</f>
        <v>3.28</v>
      </c>
      <c r="AH10" cm="1">
        <f t="array" ref="AH10">INDEX(NYU!$N$14:$N$109,MATCH(AD10,NYU!$K$14:$K$109,0),0)</f>
        <v>13.33</v>
      </c>
      <c r="AJ10" cm="1">
        <f t="array" ref="AJ10">INDEX(NYU!$O$14:$O$109,MATCH(AD10,NYU!$K$14:$K$109,0),0)</f>
        <v>15.32</v>
      </c>
      <c r="AL10">
        <f>IFERROR(Kroll!B11,"")</f>
        <v>4</v>
      </c>
      <c r="AM10" t="str">
        <f>IFERROR(Kroll!C11,"")</f>
        <v>Consumer Discretionary</v>
      </c>
      <c r="AO10">
        <f>IFERROR(Kroll!E11,"")</f>
        <v>1.1000000000000001</v>
      </c>
      <c r="AQ10">
        <f>IFERROR(Kroll!G11,"")</f>
        <v>8.4</v>
      </c>
      <c r="AS10" t="str">
        <f>IFERROR(Kroll!I11,"")</f>
        <v>NA</v>
      </c>
      <c r="AU10" s="1258">
        <f>IFERROR(DUB!B10,"")</f>
        <v>4</v>
      </c>
      <c r="AV10" s="1258" t="str">
        <f>IFERROR(DUB!C10,"")</f>
        <v>Elektrotechnik</v>
      </c>
      <c r="AW10" s="1258">
        <f>IFERROR(DUB!D10,"")</f>
        <v>4</v>
      </c>
      <c r="AX10" s="1258">
        <f>IFERROR(DUB!E10,"")</f>
        <v>7.8</v>
      </c>
      <c r="AY10" s="1258">
        <f>IFERROR(DUB!F10,"")</f>
        <v>5.9</v>
      </c>
    </row>
    <row r="11" spans="2:51" ht="15.75">
      <c r="B11" s="40">
        <v>4</v>
      </c>
      <c r="C11" s="41" t="s">
        <v>785</v>
      </c>
      <c r="D11" s="1275" cm="1">
        <f t="array" ref="D11">INDEX(FM!$B$4:$I$83, MATCH(1, (FM!$C$4:$C$83=$C11) * (FM!$B$4:$B$83=D$5), 0),3)</f>
        <v>4.8</v>
      </c>
      <c r="E11" s="1275" cm="1">
        <f t="array" ref="E11">INDEX(FM!$B$4:$I$83, MATCH(1, (FM!$C$4:$C$83=$C11) * (FM!$B$4:$B$83=D$5), 0),4)</f>
        <v>7</v>
      </c>
      <c r="F11" s="1275" cm="1">
        <f t="array" ref="F11">INDEX(FM!$B$4:$I$83, MATCH(1, (FM!$C$4:$C$83=$C11) * (FM!$B$4:$B$83=D$5), 0),5)</f>
        <v>4.0999999999999996</v>
      </c>
      <c r="G11" s="1275" cm="1">
        <f t="array" ref="G11">INDEX(FM!$B$4:$I$83, MATCH(1, (FM!$C$4:$C$83=$C11) * (FM!$B$4:$B$83=D$5), 0),6)</f>
        <v>6.2</v>
      </c>
      <c r="H11" s="1275" t="s">
        <v>149</v>
      </c>
      <c r="I11" s="1275" t="s">
        <v>149</v>
      </c>
      <c r="J11" s="1275" cm="1">
        <f t="array" ref="J11">INDEX(FM!$B$4:$I$83, MATCH(1, (FM!$C$4:$C$83=$C11) * (FM!$B$4:$B$83=J$5), 0),3)</f>
        <v>6.9</v>
      </c>
      <c r="K11" s="1275" cm="1">
        <f t="array" ref="K11">INDEX(FM!$B$4:$I$83, MATCH(1, (FM!$C$4:$C$83=$C11) * (FM!$B$4:$B$83=J$5), 0),4)</f>
        <v>9</v>
      </c>
      <c r="L11" s="1275" cm="1">
        <f t="array" ref="L11">INDEX(FM!$B$4:$I$83, MATCH(1, (FM!$C$4:$C$83=$C11) * (FM!$B$4:$B$83=J$5), 0),5)</f>
        <v>5.8</v>
      </c>
      <c r="M11" s="1275" cm="1">
        <f t="array" ref="M11">INDEX(FM!$B$4:$I$83, MATCH(1, (FM!$C$4:$C$83=$C11) * (FM!$B$4:$B$83=J$5), 0),6)</f>
        <v>7.5</v>
      </c>
      <c r="N11" s="1275" cm="1">
        <f t="array" ref="N11">INDEX(FM!$B$4:$I$83, MATCH(1, (FM!$C$4:$C$83=$C11) * (FM!$B$4:$B$83=J$5), 0),7)</f>
        <v>0.5</v>
      </c>
      <c r="O11" s="1275" cm="1">
        <f t="array" ref="O11">INDEX(FM!$B$4:$I$83, MATCH(1, (FM!$C$4:$C$83=$C11) * (FM!$B$4:$B$83=J$5), 0),8)</f>
        <v>0.74</v>
      </c>
      <c r="P11" s="1275" cm="1">
        <f t="array" ref="P11">INDEX(FM!$B$4:$I$83, MATCH(1, (FM!$C$4:$C$83=$C11) * (FM!$B$4:$B$83=P$5), 0),3)</f>
        <v>8</v>
      </c>
      <c r="Q11" s="1275" cm="1">
        <f t="array" ref="Q11">INDEX(FM!$B$4:$I$83, MATCH(1, (FM!$C$4:$C$83=$C11) * (FM!$B$4:$B$83=P$5), 0),4)</f>
        <v>10.8</v>
      </c>
      <c r="R11" s="1275" cm="1">
        <f t="array" ref="R11">INDEX(FM!$B$4:$I$83, MATCH(1, (FM!$C$4:$C$83=$C11) * (FM!$B$4:$B$83=P$5), 0),5)</f>
        <v>6.9</v>
      </c>
      <c r="S11" s="1275" cm="1">
        <f t="array" ref="S11">INDEX(FM!$B$4:$I$83, MATCH(1, (FM!$C$4:$C$83=$C11) * (FM!$B$4:$B$83=P$5), 0),6)</f>
        <v>9.6</v>
      </c>
      <c r="T11" s="1275" cm="1">
        <f t="array" ref="T11">INDEX(FM!$B$4:$I$83, MATCH(1, (FM!$C$4:$C$83=$C11) * (FM!$B$4:$B$83=P$5), 0),7)</f>
        <v>0.56000000000000005</v>
      </c>
      <c r="U11" s="1275" cm="1">
        <f t="array" ref="U11">INDEX(FM!$B$4:$I$83, MATCH(1, (FM!$C$4:$C$83=$C11) * (FM!$B$4:$B$83=P$5), 0),8)</f>
        <v>0.98</v>
      </c>
      <c r="V11" s="1275" cm="1">
        <f t="array" ref="V11">INDEX(FM!$B$4:$I$83, MATCH(1, (FM!$C$4:$C$83=$C11) * (FM!$B$4:$B$83=V$5), 0),3)</f>
        <v>9.6999999999999993</v>
      </c>
      <c r="W11" s="1275" cm="1">
        <f t="array" ref="W11">INDEX(FM!$B$4:$I$83, MATCH(1, (FM!$C$4:$C$83=$C11) * (FM!$B$4:$B$83=V$5), 0),4)</f>
        <v>12.1</v>
      </c>
      <c r="X11" s="1275" cm="1">
        <f t="array" ref="X11">INDEX(FM!$B$4:$I$83, MATCH(1, (FM!$C$4:$C$83=$C11) * (FM!$B$4:$B$83=V$5), 0),5)</f>
        <v>8.9</v>
      </c>
      <c r="Y11" s="1275" cm="1">
        <f t="array" ref="Y11">INDEX(FM!$B$4:$I$83, MATCH(1, (FM!$C$4:$C$83=$C11) * (FM!$B$4:$B$83=V$5), 0),6)</f>
        <v>11.1</v>
      </c>
      <c r="Z11" s="1275" cm="1">
        <f t="array" ref="Z11">INDEX(FM!$B$4:$I$83, MATCH(1, (FM!$C$4:$C$83=$C11) * (FM!$B$4:$B$83=V$5), 0),7)</f>
        <v>0.7</v>
      </c>
      <c r="AA11" s="1275" cm="1">
        <f t="array" ref="AA11">INDEX(FM!$B$4:$I$83, MATCH(1, (FM!$C$4:$C$83=$C11) * (FM!$B$4:$B$83=V$5), 0),8)</f>
        <v>1.26</v>
      </c>
      <c r="AC11">
        <v>5</v>
      </c>
      <c r="AD11" t="s">
        <v>786</v>
      </c>
      <c r="AF11" cm="1">
        <f t="array" ref="AF11">INDEX(NYU!$F$12:$F$107,MATCH(AD11,NYU!$B$12:$B$107,0),0)</f>
        <v>0.81</v>
      </c>
      <c r="AH11" cm="1">
        <f t="array" ref="AH11">INDEX(NYU!$N$14:$N$109,MATCH(AD11,NYU!$K$14:$K$109,0),0)</f>
        <v>6.7</v>
      </c>
      <c r="AJ11" cm="1">
        <f t="array" ref="AJ11">INDEX(NYU!$O$14:$O$109,MATCH(AD11,NYU!$K$14:$K$109,0),0)</f>
        <v>8.92</v>
      </c>
      <c r="AL11">
        <f>IFERROR(Kroll!B12,"")</f>
        <v>5</v>
      </c>
      <c r="AM11" t="str">
        <f>IFERROR(Kroll!C12,"")</f>
        <v>Automobiles and Components</v>
      </c>
      <c r="AO11">
        <f>IFERROR(Kroll!E12,"")</f>
        <v>0.7</v>
      </c>
      <c r="AQ11">
        <f>IFERROR(Kroll!G12,"")</f>
        <v>5.7</v>
      </c>
      <c r="AS11" t="str">
        <f>IFERROR(Kroll!I12,"")</f>
        <v>NA</v>
      </c>
      <c r="AU11" s="1258">
        <f>IFERROR(DUB!B11,"")</f>
        <v>5</v>
      </c>
      <c r="AV11" s="1258" t="str">
        <f>IFERROR(DUB!C11,"")</f>
        <v>Fahrzeugbau und -zubehör</v>
      </c>
      <c r="AW11" s="1258">
        <f>IFERROR(DUB!D11,"")</f>
        <v>4</v>
      </c>
      <c r="AX11" s="1258">
        <f>IFERROR(DUB!E11,"")</f>
        <v>5.7</v>
      </c>
      <c r="AY11" s="1258">
        <f>IFERROR(DUB!F11,"")</f>
        <v>4.9000000000000004</v>
      </c>
    </row>
    <row r="12" spans="2:51" ht="15.75">
      <c r="B12" s="40">
        <v>5</v>
      </c>
      <c r="C12" s="41" t="s">
        <v>787</v>
      </c>
      <c r="D12" s="1275" cm="1">
        <f t="array" ref="D12">INDEX(FM!$B$4:$I$83, MATCH(1, (FM!$C$4:$C$83=$C12) * (FM!$B$4:$B$83=D$5), 0),3)</f>
        <v>5.0999999999999996</v>
      </c>
      <c r="E12" s="1275" cm="1">
        <f t="array" ref="E12">INDEX(FM!$B$4:$I$83, MATCH(1, (FM!$C$4:$C$83=$C12) * (FM!$B$4:$B$83=D$5), 0),4)</f>
        <v>7</v>
      </c>
      <c r="F12" s="1275" cm="1">
        <f t="array" ref="F12">INDEX(FM!$B$4:$I$83, MATCH(1, (FM!$C$4:$C$83=$C12) * (FM!$B$4:$B$83=D$5), 0),5)</f>
        <v>4.5</v>
      </c>
      <c r="G12" s="1275" cm="1">
        <f t="array" ref="G12">INDEX(FM!$B$4:$I$83, MATCH(1, (FM!$C$4:$C$83=$C12) * (FM!$B$4:$B$83=D$5), 0),6)</f>
        <v>6.8</v>
      </c>
      <c r="H12" s="1275" t="s">
        <v>149</v>
      </c>
      <c r="I12" s="1275" t="s">
        <v>149</v>
      </c>
      <c r="J12" s="1275" cm="1">
        <f t="array" ref="J12">INDEX(FM!$B$4:$I$83, MATCH(1, (FM!$C$4:$C$83=$C12) * (FM!$B$4:$B$83=J$5), 0),3)</f>
        <v>7</v>
      </c>
      <c r="K12" s="1275" cm="1">
        <f t="array" ref="K12">INDEX(FM!$B$4:$I$83, MATCH(1, (FM!$C$4:$C$83=$C12) * (FM!$B$4:$B$83=J$5), 0),4)</f>
        <v>8.8000000000000007</v>
      </c>
      <c r="L12" s="1275" cm="1">
        <f t="array" ref="L12">INDEX(FM!$B$4:$I$83, MATCH(1, (FM!$C$4:$C$83=$C12) * (FM!$B$4:$B$83=J$5), 0),5)</f>
        <v>5.6</v>
      </c>
      <c r="M12" s="1275" cm="1">
        <f t="array" ref="M12">INDEX(FM!$B$4:$I$83, MATCH(1, (FM!$C$4:$C$83=$C12) * (FM!$B$4:$B$83=J$5), 0),6)</f>
        <v>7.4</v>
      </c>
      <c r="N12" s="1275" cm="1">
        <f t="array" ref="N12">INDEX(FM!$B$4:$I$83, MATCH(1, (FM!$C$4:$C$83=$C12) * (FM!$B$4:$B$83=J$5), 0),7)</f>
        <v>0.75</v>
      </c>
      <c r="O12" s="1275" cm="1">
        <f t="array" ref="O12">INDEX(FM!$B$4:$I$83, MATCH(1, (FM!$C$4:$C$83=$C12) * (FM!$B$4:$B$83=J$5), 0),8)</f>
        <v>1.1299999999999999</v>
      </c>
      <c r="P12" s="1275" cm="1">
        <f t="array" ref="P12">INDEX(FM!$B$4:$I$83, MATCH(1, (FM!$C$4:$C$83=$C12) * (FM!$B$4:$B$83=P$5), 0),3)</f>
        <v>7.6</v>
      </c>
      <c r="Q12" s="1275" cm="1">
        <f t="array" ref="Q12">INDEX(FM!$B$4:$I$83, MATCH(1, (FM!$C$4:$C$83=$C12) * (FM!$B$4:$B$83=P$5), 0),4)</f>
        <v>9.5</v>
      </c>
      <c r="R12" s="1275" cm="1">
        <f t="array" ref="R12">INDEX(FM!$B$4:$I$83, MATCH(1, (FM!$C$4:$C$83=$C12) * (FM!$B$4:$B$83=P$5), 0),5)</f>
        <v>7.2</v>
      </c>
      <c r="S12" s="1275" cm="1">
        <f t="array" ref="S12">INDEX(FM!$B$4:$I$83, MATCH(1, (FM!$C$4:$C$83=$C12) * (FM!$B$4:$B$83=P$5), 0),6)</f>
        <v>9.1999999999999993</v>
      </c>
      <c r="T12" s="1275" cm="1">
        <f t="array" ref="T12">INDEX(FM!$B$4:$I$83, MATCH(1, (FM!$C$4:$C$83=$C12) * (FM!$B$4:$B$83=P$5), 0),7)</f>
        <v>0.83</v>
      </c>
      <c r="U12" s="1275" cm="1">
        <f t="array" ref="U12">INDEX(FM!$B$4:$I$83, MATCH(1, (FM!$C$4:$C$83=$C12) * (FM!$B$4:$B$83=P$5), 0),8)</f>
        <v>1.2</v>
      </c>
      <c r="V12" s="1275" cm="1">
        <f t="array" ref="V12">INDEX(FM!$B$4:$I$83, MATCH(1, (FM!$C$4:$C$83=$C12) * (FM!$B$4:$B$83=V$5), 0),3)</f>
        <v>8.9</v>
      </c>
      <c r="W12" s="1275" cm="1">
        <f t="array" ref="W12">INDEX(FM!$B$4:$I$83, MATCH(1, (FM!$C$4:$C$83=$C12) * (FM!$B$4:$B$83=V$5), 0),4)</f>
        <v>11.8</v>
      </c>
      <c r="X12" s="1275" cm="1">
        <f t="array" ref="X12">INDEX(FM!$B$4:$I$83, MATCH(1, (FM!$C$4:$C$83=$C12) * (FM!$B$4:$B$83=V$5), 0),5)</f>
        <v>7.5</v>
      </c>
      <c r="Y12" s="1275" cm="1">
        <f t="array" ref="Y12">INDEX(FM!$B$4:$I$83, MATCH(1, (FM!$C$4:$C$83=$C12) * (FM!$B$4:$B$83=V$5), 0),6)</f>
        <v>10.8</v>
      </c>
      <c r="Z12" s="1275" cm="1">
        <f t="array" ref="Z12">INDEX(FM!$B$4:$I$83, MATCH(1, (FM!$C$4:$C$83=$C12) * (FM!$B$4:$B$83=V$5), 0),7)</f>
        <v>1.1000000000000001</v>
      </c>
      <c r="AA12" s="1275" cm="1">
        <f t="array" ref="AA12">INDEX(FM!$B$4:$I$83, MATCH(1, (FM!$C$4:$C$83=$C12) * (FM!$B$4:$B$83=V$5), 0),8)</f>
        <v>1.56</v>
      </c>
      <c r="AC12">
        <v>6</v>
      </c>
      <c r="AD12" t="s">
        <v>788</v>
      </c>
      <c r="AF12" cm="1">
        <f t="array" ref="AF12">INDEX(NYU!$F$12:$F$107,MATCH(AD12,NYU!$B$12:$B$107,0),0)</f>
        <v>0.52</v>
      </c>
      <c r="AH12" cm="1">
        <f t="array" ref="AH12">INDEX(NYU!$N$14:$N$109,MATCH(AD12,NYU!$K$14:$K$109,0),0)</f>
        <v>5.31</v>
      </c>
      <c r="AJ12" cm="1">
        <f t="array" ref="AJ12">INDEX(NYU!$O$14:$O$109,MATCH(AD12,NYU!$K$14:$K$109,0),0)</f>
        <v>9.6999999999999993</v>
      </c>
      <c r="AL12">
        <f>IFERROR(Kroll!B13,"")</f>
        <v>6</v>
      </c>
      <c r="AM12" t="str">
        <f>IFERROR(Kroll!C13,"")</f>
        <v>Consumer Durables and Apparel</v>
      </c>
      <c r="AO12">
        <f>IFERROR(Kroll!E13,"")</f>
        <v>1.4</v>
      </c>
      <c r="AQ12">
        <f>IFERROR(Kroll!G13,"")</f>
        <v>9.1</v>
      </c>
      <c r="AS12" t="str">
        <f>IFERROR(Kroll!I13,"")</f>
        <v>NA</v>
      </c>
      <c r="AU12" s="1258">
        <f>IFERROR(DUB!B12,"")</f>
        <v>6</v>
      </c>
      <c r="AV12" s="1258" t="str">
        <f>IFERROR(DUB!C12,"")</f>
        <v>Handel und E-Commerce</v>
      </c>
      <c r="AW12" s="1258">
        <f>IFERROR(DUB!D12,"")</f>
        <v>4.0999999999999996</v>
      </c>
      <c r="AX12" s="1258">
        <f>IFERROR(DUB!E12,"")</f>
        <v>7.5</v>
      </c>
      <c r="AY12" s="1258">
        <f>IFERROR(DUB!F12,"")</f>
        <v>5.8</v>
      </c>
    </row>
    <row r="13" spans="2:51" ht="15.75">
      <c r="B13" s="40">
        <v>6</v>
      </c>
      <c r="C13" s="41" t="s">
        <v>789</v>
      </c>
      <c r="D13" s="1275" cm="1">
        <f t="array" ref="D13">INDEX(FM!$B$4:$I$83, MATCH(1, (FM!$C$4:$C$83=$C13) * (FM!$B$4:$B$83=D$5), 0),3)</f>
        <v>5.0999999999999996</v>
      </c>
      <c r="E13" s="1275" cm="1">
        <f t="array" ref="E13">INDEX(FM!$B$4:$I$83, MATCH(1, (FM!$C$4:$C$83=$C13) * (FM!$B$4:$B$83=D$5), 0),4)</f>
        <v>7.3</v>
      </c>
      <c r="F13" s="1275" cm="1">
        <f t="array" ref="F13">INDEX(FM!$B$4:$I$83, MATCH(1, (FM!$C$4:$C$83=$C13) * (FM!$B$4:$B$83=D$5), 0),5)</f>
        <v>4.7</v>
      </c>
      <c r="G13" s="1275" cm="1">
        <f t="array" ref="G13">INDEX(FM!$B$4:$I$83, MATCH(1, (FM!$C$4:$C$83=$C13) * (FM!$B$4:$B$83=D$5), 0),6)</f>
        <v>6.6</v>
      </c>
      <c r="H13" s="1275" t="s">
        <v>149</v>
      </c>
      <c r="I13" s="1275" t="s">
        <v>149</v>
      </c>
      <c r="J13" s="1275" cm="1">
        <f t="array" ref="J13">INDEX(FM!$B$4:$I$83, MATCH(1, (FM!$C$4:$C$83=$C13) * (FM!$B$4:$B$83=J$5), 0),3)</f>
        <v>7.9</v>
      </c>
      <c r="K13" s="1275" cm="1">
        <f t="array" ref="K13">INDEX(FM!$B$4:$I$83, MATCH(1, (FM!$C$4:$C$83=$C13) * (FM!$B$4:$B$83=J$5), 0),4)</f>
        <v>9.6</v>
      </c>
      <c r="L13" s="1275" cm="1">
        <f t="array" ref="L13">INDEX(FM!$B$4:$I$83, MATCH(1, (FM!$C$4:$C$83=$C13) * (FM!$B$4:$B$83=J$5), 0),5)</f>
        <v>4.9000000000000004</v>
      </c>
      <c r="M13" s="1275" cm="1">
        <f t="array" ref="M13">INDEX(FM!$B$4:$I$83, MATCH(1, (FM!$C$4:$C$83=$C13) * (FM!$B$4:$B$83=J$5), 0),6)</f>
        <v>6.5</v>
      </c>
      <c r="N13" s="1275" cm="1">
        <f t="array" ref="N13">INDEX(FM!$B$4:$I$83, MATCH(1, (FM!$C$4:$C$83=$C13) * (FM!$B$4:$B$83=J$5), 0),7)</f>
        <v>0.95</v>
      </c>
      <c r="O13" s="1275" cm="1">
        <f t="array" ref="O13">INDEX(FM!$B$4:$I$83, MATCH(1, (FM!$C$4:$C$83=$C13) * (FM!$B$4:$B$83=J$5), 0),8)</f>
        <v>1.31</v>
      </c>
      <c r="P13" s="1275" cm="1">
        <f t="array" ref="P13">INDEX(FM!$B$4:$I$83, MATCH(1, (FM!$C$4:$C$83=$C13) * (FM!$B$4:$B$83=P$5), 0),3)</f>
        <v>9</v>
      </c>
      <c r="Q13" s="1275" cm="1">
        <f t="array" ref="Q13">INDEX(FM!$B$4:$I$83, MATCH(1, (FM!$C$4:$C$83=$C13) * (FM!$B$4:$B$83=P$5), 0),4)</f>
        <v>11.6</v>
      </c>
      <c r="R13" s="1275" cm="1">
        <f t="array" ref="R13">INDEX(FM!$B$4:$I$83, MATCH(1, (FM!$C$4:$C$83=$C13) * (FM!$B$4:$B$83=P$5), 0),5)</f>
        <v>6.8</v>
      </c>
      <c r="S13" s="1275" cm="1">
        <f t="array" ref="S13">INDEX(FM!$B$4:$I$83, MATCH(1, (FM!$C$4:$C$83=$C13) * (FM!$B$4:$B$83=P$5), 0),6)</f>
        <v>7.6</v>
      </c>
      <c r="T13" s="1275" cm="1">
        <f t="array" ref="T13">INDEX(FM!$B$4:$I$83, MATCH(1, (FM!$C$4:$C$83=$C13) * (FM!$B$4:$B$83=P$5), 0),7)</f>
        <v>0.99</v>
      </c>
      <c r="U13" s="1275" cm="1">
        <f t="array" ref="U13">INDEX(FM!$B$4:$I$83, MATCH(1, (FM!$C$4:$C$83=$C13) * (FM!$B$4:$B$83=P$5), 0),8)</f>
        <v>1.36</v>
      </c>
      <c r="V13" s="1275" cm="1">
        <f t="array" ref="V13">INDEX(FM!$B$4:$I$83, MATCH(1, (FM!$C$4:$C$83=$C13) * (FM!$B$4:$B$83=V$5), 0),3)</f>
        <v>10.3</v>
      </c>
      <c r="W13" s="1275" cm="1">
        <f t="array" ref="W13">INDEX(FM!$B$4:$I$83, MATCH(1, (FM!$C$4:$C$83=$C13) * (FM!$B$4:$B$83=V$5), 0),4)</f>
        <v>13.3</v>
      </c>
      <c r="X13" s="1275" cm="1">
        <f t="array" ref="X13">INDEX(FM!$B$4:$I$83, MATCH(1, (FM!$C$4:$C$83=$C13) * (FM!$B$4:$B$83=V$5), 0),5)</f>
        <v>7.5</v>
      </c>
      <c r="Y13" s="1275" cm="1">
        <f t="array" ref="Y13">INDEX(FM!$B$4:$I$83, MATCH(1, (FM!$C$4:$C$83=$C13) * (FM!$B$4:$B$83=V$5), 0),6)</f>
        <v>9.4</v>
      </c>
      <c r="Z13" s="1275" cm="1">
        <f t="array" ref="Z13">INDEX(FM!$B$4:$I$83, MATCH(1, (FM!$C$4:$C$83=$C13) * (FM!$B$4:$B$83=V$5), 0),7)</f>
        <v>1.32</v>
      </c>
      <c r="AA13" s="1275" cm="1">
        <f t="array" ref="AA13">INDEX(FM!$B$4:$I$83, MATCH(1, (FM!$C$4:$C$83=$C13) * (FM!$B$4:$B$83=V$5), 0),8)</f>
        <v>1.96</v>
      </c>
      <c r="AC13">
        <v>7</v>
      </c>
      <c r="AD13" t="s">
        <v>790</v>
      </c>
      <c r="AF13" t="str" cm="1">
        <f t="array" ref="AF13">INDEX(NYU!$F$12:$F$107,MATCH(AD13,NYU!$B$12:$B$107,0),0)</f>
        <v>NA</v>
      </c>
      <c r="AH13" t="str" cm="1">
        <f t="array" ref="AH13">INDEX(NYU!$N$14:$N$109,MATCH(AD13,NYU!$K$14:$K$109,0),0)</f>
        <v>NA</v>
      </c>
      <c r="AJ13" t="str" cm="1">
        <f t="array" ref="AJ13">INDEX(NYU!$O$14:$O$109,MATCH(AD13,NYU!$K$14:$K$109,0),0)</f>
        <v>NA</v>
      </c>
      <c r="AL13">
        <f>IFERROR(Kroll!B14,"")</f>
        <v>7</v>
      </c>
      <c r="AM13" t="str">
        <f>IFERROR(Kroll!C14,"")</f>
        <v>Consumer Services</v>
      </c>
      <c r="AO13">
        <f>IFERROR(Kroll!E14,"")</f>
        <v>1.8</v>
      </c>
      <c r="AQ13">
        <f>IFERROR(Kroll!G14,"")</f>
        <v>10</v>
      </c>
      <c r="AS13" t="str">
        <f>IFERROR(Kroll!I14,"")</f>
        <v>NA</v>
      </c>
      <c r="AU13" s="1258">
        <f>IFERROR(DUB!B13,"")</f>
        <v>7</v>
      </c>
      <c r="AV13" s="1258" t="str">
        <f>IFERROR(DUB!C13,"")</f>
        <v>Maschinen- und Anlagenbau</v>
      </c>
      <c r="AW13" s="1258">
        <f>IFERROR(DUB!D13,"")</f>
        <v>4.3</v>
      </c>
      <c r="AX13" s="1258">
        <f>IFERROR(DUB!E13,"")</f>
        <v>8.4</v>
      </c>
      <c r="AY13" s="1258">
        <f>IFERROR(DUB!F13,"")</f>
        <v>6.4</v>
      </c>
    </row>
    <row r="14" spans="2:51" ht="15.75">
      <c r="B14" s="40">
        <v>7</v>
      </c>
      <c r="C14" s="41" t="s">
        <v>791</v>
      </c>
      <c r="D14" s="1275" cm="1">
        <f t="array" ref="D14">INDEX(FM!$B$4:$I$83, MATCH(1, (FM!$C$4:$C$83=$C14) * (FM!$B$4:$B$83=D$5), 0),3)</f>
        <v>4.0999999999999996</v>
      </c>
      <c r="E14" s="1275" cm="1">
        <f t="array" ref="E14">INDEX(FM!$B$4:$I$83, MATCH(1, (FM!$C$4:$C$83=$C14) * (FM!$B$4:$B$83=D$5), 0),4)</f>
        <v>5.5</v>
      </c>
      <c r="F14" s="1275" cm="1">
        <f t="array" ref="F14">INDEX(FM!$B$4:$I$83, MATCH(1, (FM!$C$4:$C$83=$C14) * (FM!$B$4:$B$83=D$5), 0),5)</f>
        <v>3.7</v>
      </c>
      <c r="G14" s="1275" cm="1">
        <f t="array" ref="G14">INDEX(FM!$B$4:$I$83, MATCH(1, (FM!$C$4:$C$83=$C14) * (FM!$B$4:$B$83=D$5), 0),6)</f>
        <v>5.4</v>
      </c>
      <c r="H14" s="1275" t="s">
        <v>149</v>
      </c>
      <c r="I14" s="1275" t="s">
        <v>149</v>
      </c>
      <c r="J14" s="1275" cm="1">
        <f t="array" ref="J14">INDEX(FM!$B$4:$I$83, MATCH(1, (FM!$C$4:$C$83=$C14) * (FM!$B$4:$B$83=J$5), 0),3)</f>
        <v>4.9000000000000004</v>
      </c>
      <c r="K14" s="1275" cm="1">
        <f t="array" ref="K14">INDEX(FM!$B$4:$I$83, MATCH(1, (FM!$C$4:$C$83=$C14) * (FM!$B$4:$B$83=J$5), 0),4)</f>
        <v>6</v>
      </c>
      <c r="L14" s="1275" cm="1">
        <f t="array" ref="L14">INDEX(FM!$B$4:$I$83, MATCH(1, (FM!$C$4:$C$83=$C14) * (FM!$B$4:$B$83=J$5), 0),5)</f>
        <v>3.9</v>
      </c>
      <c r="M14" s="1275" cm="1">
        <f t="array" ref="M14">INDEX(FM!$B$4:$I$83, MATCH(1, (FM!$C$4:$C$83=$C14) * (FM!$B$4:$B$83=J$5), 0),6)</f>
        <v>5.7</v>
      </c>
      <c r="N14" s="1275" cm="1">
        <f t="array" ref="N14">INDEX(FM!$B$4:$I$83, MATCH(1, (FM!$C$4:$C$83=$C14) * (FM!$B$4:$B$83=J$5), 0),7)</f>
        <v>0.39</v>
      </c>
      <c r="O14" s="1275" cm="1">
        <f t="array" ref="O14">INDEX(FM!$B$4:$I$83, MATCH(1, (FM!$C$4:$C$83=$C14) * (FM!$B$4:$B$83=J$5), 0),8)</f>
        <v>0.68</v>
      </c>
      <c r="P14" s="1275" cm="1">
        <f t="array" ref="P14">INDEX(FM!$B$4:$I$83, MATCH(1, (FM!$C$4:$C$83=$C14) * (FM!$B$4:$B$83=P$5), 0),3)</f>
        <v>5.5</v>
      </c>
      <c r="Q14" s="1275" cm="1">
        <f t="array" ref="Q14">INDEX(FM!$B$4:$I$83, MATCH(1, (FM!$C$4:$C$83=$C14) * (FM!$B$4:$B$83=P$5), 0),4)</f>
        <v>7</v>
      </c>
      <c r="R14" s="1275" cm="1">
        <f t="array" ref="R14">INDEX(FM!$B$4:$I$83, MATCH(1, (FM!$C$4:$C$83=$C14) * (FM!$B$4:$B$83=P$5), 0),5)</f>
        <v>4.8</v>
      </c>
      <c r="S14" s="1275" cm="1">
        <f t="array" ref="S14">INDEX(FM!$B$4:$I$83, MATCH(1, (FM!$C$4:$C$83=$C14) * (FM!$B$4:$B$83=P$5), 0),6)</f>
        <v>6.3</v>
      </c>
      <c r="T14" s="1275" cm="1">
        <f t="array" ref="T14">INDEX(FM!$B$4:$I$83, MATCH(1, (FM!$C$4:$C$83=$C14) * (FM!$B$4:$B$83=P$5), 0),7)</f>
        <v>0.39</v>
      </c>
      <c r="U14" s="1275" cm="1">
        <f t="array" ref="U14">INDEX(FM!$B$4:$I$83, MATCH(1, (FM!$C$4:$C$83=$C14) * (FM!$B$4:$B$83=P$5), 0),8)</f>
        <v>0.7</v>
      </c>
      <c r="V14" s="1275" cm="1">
        <f t="array" ref="V14">INDEX(FM!$B$4:$I$83, MATCH(1, (FM!$C$4:$C$83=$C14) * (FM!$B$4:$B$83=V$5), 0),3)</f>
        <v>7</v>
      </c>
      <c r="W14" s="1275" cm="1">
        <f t="array" ref="W14">INDEX(FM!$B$4:$I$83, MATCH(1, (FM!$C$4:$C$83=$C14) * (FM!$B$4:$B$83=V$5), 0),4)</f>
        <v>8.9</v>
      </c>
      <c r="X14" s="1275" cm="1">
        <f t="array" ref="X14">INDEX(FM!$B$4:$I$83, MATCH(1, (FM!$C$4:$C$83=$C14) * (FM!$B$4:$B$83=V$5), 0),5)</f>
        <v>5.6</v>
      </c>
      <c r="Y14" s="1275" cm="1">
        <f t="array" ref="Y14">INDEX(FM!$B$4:$I$83, MATCH(1, (FM!$C$4:$C$83=$C14) * (FM!$B$4:$B$83=V$5), 0),6)</f>
        <v>7.5</v>
      </c>
      <c r="Z14" s="1275" cm="1">
        <f t="array" ref="Z14">INDEX(FM!$B$4:$I$83, MATCH(1, (FM!$C$4:$C$83=$C14) * (FM!$B$4:$B$83=V$5), 0),7)</f>
        <v>0.54</v>
      </c>
      <c r="AA14" s="1275" cm="1">
        <f t="array" ref="AA14">INDEX(FM!$B$4:$I$83, MATCH(1, (FM!$C$4:$C$83=$C14) * (FM!$B$4:$B$83=V$5), 0),8)</f>
        <v>0.95</v>
      </c>
      <c r="AC14">
        <v>8</v>
      </c>
      <c r="AD14" t="s">
        <v>792</v>
      </c>
      <c r="AF14" t="str" cm="1">
        <f t="array" ref="AF14">INDEX(NYU!$F$12:$F$107,MATCH(AD14,NYU!$B$12:$B$107,0),0)</f>
        <v>NA</v>
      </c>
      <c r="AH14" t="str" cm="1">
        <f t="array" ref="AH14">INDEX(NYU!$N$14:$N$109,MATCH(AD14,NYU!$K$14:$K$109,0),0)</f>
        <v>NA</v>
      </c>
      <c r="AJ14" t="str" cm="1">
        <f t="array" ref="AJ14">INDEX(NYU!$O$14:$O$109,MATCH(AD14,NYU!$K$14:$K$109,0),0)</f>
        <v>NA</v>
      </c>
      <c r="AL14">
        <f>IFERROR(Kroll!B15,"")</f>
        <v>8</v>
      </c>
      <c r="AM14" t="str">
        <f>IFERROR(Kroll!C15,"")</f>
        <v>Consumer Discretionary Distribution and Retail</v>
      </c>
      <c r="AO14">
        <f>IFERROR(Kroll!E15,"")</f>
        <v>0.8</v>
      </c>
      <c r="AQ14">
        <f>IFERROR(Kroll!G15,"")</f>
        <v>7.7</v>
      </c>
      <c r="AS14" t="str">
        <f>IFERROR(Kroll!I15,"")</f>
        <v>NA</v>
      </c>
      <c r="AU14" s="1258">
        <f>IFERROR(DUB!B14,"")</f>
        <v>8</v>
      </c>
      <c r="AV14" s="1258" t="str">
        <f>IFERROR(DUB!C14,"")</f>
        <v>Medien</v>
      </c>
      <c r="AW14" s="1258">
        <f>IFERROR(DUB!D14,"")</f>
        <v>3.5</v>
      </c>
      <c r="AX14" s="1258">
        <f>IFERROR(DUB!E14,"")</f>
        <v>7.2</v>
      </c>
      <c r="AY14" s="1258">
        <f>IFERROR(DUB!F14,"")</f>
        <v>5.3</v>
      </c>
    </row>
    <row r="15" spans="2:51" ht="15.75">
      <c r="B15" s="40">
        <v>8</v>
      </c>
      <c r="C15" s="41" t="s">
        <v>793</v>
      </c>
      <c r="D15" s="1275" cm="1">
        <f t="array" ref="D15">INDEX(FM!$B$4:$I$83, MATCH(1, (FM!$C$4:$C$83=$C15) * (FM!$B$4:$B$83=D$5), 0),3)</f>
        <v>5.5</v>
      </c>
      <c r="E15" s="1275" cm="1">
        <f t="array" ref="E15">INDEX(FM!$B$4:$I$83, MATCH(1, (FM!$C$4:$C$83=$C15) * (FM!$B$4:$B$83=D$5), 0),4)</f>
        <v>7.4</v>
      </c>
      <c r="F15" s="1275" cm="1">
        <f t="array" ref="F15">INDEX(FM!$B$4:$I$83, MATCH(1, (FM!$C$4:$C$83=$C15) * (FM!$B$4:$B$83=D$5), 0),5)</f>
        <v>5.2</v>
      </c>
      <c r="G15" s="1275" cm="1">
        <f t="array" ref="G15">INDEX(FM!$B$4:$I$83, MATCH(1, (FM!$C$4:$C$83=$C15) * (FM!$B$4:$B$83=D$5), 0),6)</f>
        <v>7</v>
      </c>
      <c r="H15" s="1275" t="s">
        <v>149</v>
      </c>
      <c r="I15" s="1275" t="s">
        <v>149</v>
      </c>
      <c r="J15" s="1275" cm="1">
        <f t="array" ref="J15">INDEX(FM!$B$4:$I$83, MATCH(1, (FM!$C$4:$C$83=$C15) * (FM!$B$4:$B$83=J$5), 0),3)</f>
        <v>7</v>
      </c>
      <c r="K15" s="1275" cm="1">
        <f t="array" ref="K15">INDEX(FM!$B$4:$I$83, MATCH(1, (FM!$C$4:$C$83=$C15) * (FM!$B$4:$B$83=J$5), 0),4)</f>
        <v>8.5</v>
      </c>
      <c r="L15" s="1275" cm="1">
        <f t="array" ref="L15">INDEX(FM!$B$4:$I$83, MATCH(1, (FM!$C$4:$C$83=$C15) * (FM!$B$4:$B$83=J$5), 0),5)</f>
        <v>6</v>
      </c>
      <c r="M15" s="1275" cm="1">
        <f t="array" ref="M15">INDEX(FM!$B$4:$I$83, MATCH(1, (FM!$C$4:$C$83=$C15) * (FM!$B$4:$B$83=J$5), 0),6)</f>
        <v>7.8</v>
      </c>
      <c r="N15" s="1275" cm="1">
        <f t="array" ref="N15">INDEX(FM!$B$4:$I$83, MATCH(1, (FM!$C$4:$C$83=$C15) * (FM!$B$4:$B$83=J$5), 0),7)</f>
        <v>0.77</v>
      </c>
      <c r="O15" s="1275" cm="1">
        <f t="array" ref="O15">INDEX(FM!$B$4:$I$83, MATCH(1, (FM!$C$4:$C$83=$C15) * (FM!$B$4:$B$83=J$5), 0),8)</f>
        <v>1.01</v>
      </c>
      <c r="P15" s="1275" cm="1">
        <f t="array" ref="P15">INDEX(FM!$B$4:$I$83, MATCH(1, (FM!$C$4:$C$83=$C15) * (FM!$B$4:$B$83=P$5), 0),3)</f>
        <v>7.9</v>
      </c>
      <c r="Q15" s="1275" cm="1">
        <f t="array" ref="Q15">INDEX(FM!$B$4:$I$83, MATCH(1, (FM!$C$4:$C$83=$C15) * (FM!$B$4:$B$83=P$5), 0),4)</f>
        <v>10</v>
      </c>
      <c r="R15" s="1275" cm="1">
        <f t="array" ref="R15">INDEX(FM!$B$4:$I$83, MATCH(1, (FM!$C$4:$C$83=$C15) * (FM!$B$4:$B$83=P$5), 0),5)</f>
        <v>7.2</v>
      </c>
      <c r="S15" s="1275" cm="1">
        <f t="array" ref="S15">INDEX(FM!$B$4:$I$83, MATCH(1, (FM!$C$4:$C$83=$C15) * (FM!$B$4:$B$83=P$5), 0),6)</f>
        <v>9.1</v>
      </c>
      <c r="T15" s="1275" cm="1">
        <f t="array" ref="T15">INDEX(FM!$B$4:$I$83, MATCH(1, (FM!$C$4:$C$83=$C15) * (FM!$B$4:$B$83=P$5), 0),7)</f>
        <v>0.88</v>
      </c>
      <c r="U15" s="1275" cm="1">
        <f t="array" ref="U15">INDEX(FM!$B$4:$I$83, MATCH(1, (FM!$C$4:$C$83=$C15) * (FM!$B$4:$B$83=P$5), 0),8)</f>
        <v>1.1499999999999999</v>
      </c>
      <c r="V15" s="1275" cm="1">
        <f t="array" ref="V15">INDEX(FM!$B$4:$I$83, MATCH(1, (FM!$C$4:$C$83=$C15) * (FM!$B$4:$B$83=V$5), 0),3)</f>
        <v>9.6</v>
      </c>
      <c r="W15" s="1275" cm="1">
        <f t="array" ref="W15">INDEX(FM!$B$4:$I$83, MATCH(1, (FM!$C$4:$C$83=$C15) * (FM!$B$4:$B$83=V$5), 0),4)</f>
        <v>11.5</v>
      </c>
      <c r="X15" s="1275" cm="1">
        <f t="array" ref="X15">INDEX(FM!$B$4:$I$83, MATCH(1, (FM!$C$4:$C$83=$C15) * (FM!$B$4:$B$83=V$5), 0),5)</f>
        <v>8.5</v>
      </c>
      <c r="Y15" s="1275" cm="1">
        <f t="array" ref="Y15">INDEX(FM!$B$4:$I$83, MATCH(1, (FM!$C$4:$C$83=$C15) * (FM!$B$4:$B$83=V$5), 0),6)</f>
        <v>9.1999999999999993</v>
      </c>
      <c r="Z15" s="1275" cm="1">
        <f t="array" ref="Z15">INDEX(FM!$B$4:$I$83, MATCH(1, (FM!$C$4:$C$83=$C15) * (FM!$B$4:$B$83=V$5), 0),7)</f>
        <v>1.1000000000000001</v>
      </c>
      <c r="AA15" s="1275" cm="1">
        <f t="array" ref="AA15">INDEX(FM!$B$4:$I$83, MATCH(1, (FM!$C$4:$C$83=$C15) * (FM!$B$4:$B$83=V$5), 0),8)</f>
        <v>1.47</v>
      </c>
      <c r="AC15">
        <v>9</v>
      </c>
      <c r="AD15" t="s">
        <v>794</v>
      </c>
      <c r="AF15" cm="1">
        <f t="array" ref="AF15">INDEX(NYU!$F$12:$F$107,MATCH(AD15,NYU!$B$12:$B$107,0),0)</f>
        <v>2.38</v>
      </c>
      <c r="AH15" cm="1">
        <f t="array" ref="AH15">INDEX(NYU!$N$14:$N$109,MATCH(AD15,NYU!$K$14:$K$109,0),0)</f>
        <v>9.69</v>
      </c>
      <c r="AJ15" cm="1">
        <f t="array" ref="AJ15">INDEX(NYU!$O$14:$O$109,MATCH(AD15,NYU!$K$14:$K$109,0),0)</f>
        <v>12.19</v>
      </c>
      <c r="AL15">
        <f>IFERROR(Kroll!B16,"")</f>
        <v>9</v>
      </c>
      <c r="AM15" t="str">
        <f>IFERROR(Kroll!C16,"")</f>
        <v>Consumer Staples</v>
      </c>
      <c r="AO15">
        <f>IFERROR(Kroll!E16,"")</f>
        <v>1.3</v>
      </c>
      <c r="AQ15">
        <f>IFERROR(Kroll!G16,"")</f>
        <v>9.8000000000000007</v>
      </c>
      <c r="AS15" t="str">
        <f>IFERROR(Kroll!I16,"")</f>
        <v>NA</v>
      </c>
      <c r="AU15" s="1258">
        <f>IFERROR(DUB!B15,"")</f>
        <v>9</v>
      </c>
      <c r="AV15" s="1258" t="str">
        <f>IFERROR(DUB!C15,"")</f>
        <v>Nahrungs- und Genussmittel</v>
      </c>
      <c r="AW15" s="1258">
        <f>IFERROR(DUB!D15,"")</f>
        <v>4.8</v>
      </c>
      <c r="AX15" s="1258">
        <f>IFERROR(DUB!E15,"")</f>
        <v>6.8</v>
      </c>
      <c r="AY15" s="1258">
        <f>IFERROR(DUB!F15,"")</f>
        <v>5.8</v>
      </c>
    </row>
    <row r="16" spans="2:51" ht="15.75">
      <c r="B16" s="40">
        <v>9</v>
      </c>
      <c r="C16" s="41" t="s">
        <v>795</v>
      </c>
      <c r="D16" s="1275" cm="1">
        <f t="array" ref="D16">INDEX(FM!$B$4:$I$83, MATCH(1, (FM!$C$4:$C$83=$C16) * (FM!$B$4:$B$83=D$5), 0),3)</f>
        <v>5</v>
      </c>
      <c r="E16" s="1275" cm="1">
        <f t="array" ref="E16">INDEX(FM!$B$4:$I$83, MATCH(1, (FM!$C$4:$C$83=$C16) * (FM!$B$4:$B$83=D$5), 0),4)</f>
        <v>7</v>
      </c>
      <c r="F16" s="1275" cm="1">
        <f t="array" ref="F16">INDEX(FM!$B$4:$I$83, MATCH(1, (FM!$C$4:$C$83=$C16) * (FM!$B$4:$B$83=D$5), 0),5)</f>
        <v>5.0999999999999996</v>
      </c>
      <c r="G16" s="1275" cm="1">
        <f t="array" ref="G16">INDEX(FM!$B$4:$I$83, MATCH(1, (FM!$C$4:$C$83=$C16) * (FM!$B$4:$B$83=D$5), 0),6)</f>
        <v>6.3</v>
      </c>
      <c r="H16" s="1275" t="s">
        <v>149</v>
      </c>
      <c r="I16" s="1275" t="s">
        <v>149</v>
      </c>
      <c r="J16" s="1275" cm="1">
        <f t="array" ref="J16">INDEX(FM!$B$4:$I$83, MATCH(1, (FM!$C$4:$C$83=$C16) * (FM!$B$4:$B$83=J$5), 0),3)</f>
        <v>5.7</v>
      </c>
      <c r="K16" s="1275" cm="1">
        <f t="array" ref="K16">INDEX(FM!$B$4:$I$83, MATCH(1, (FM!$C$4:$C$83=$C16) * (FM!$B$4:$B$83=J$5), 0),4)</f>
        <v>7</v>
      </c>
      <c r="L16" s="1275" cm="1">
        <f t="array" ref="L16">INDEX(FM!$B$4:$I$83, MATCH(1, (FM!$C$4:$C$83=$C16) * (FM!$B$4:$B$83=J$5), 0),5)</f>
        <v>5</v>
      </c>
      <c r="M16" s="1275" cm="1">
        <f t="array" ref="M16">INDEX(FM!$B$4:$I$83, MATCH(1, (FM!$C$4:$C$83=$C16) * (FM!$B$4:$B$83=J$5), 0),6)</f>
        <v>6</v>
      </c>
      <c r="N16" s="1275" cm="1">
        <f t="array" ref="N16">INDEX(FM!$B$4:$I$83, MATCH(1, (FM!$C$4:$C$83=$C16) * (FM!$B$4:$B$83=J$5), 0),7)</f>
        <v>0.51</v>
      </c>
      <c r="O16" s="1275" cm="1">
        <f t="array" ref="O16">INDEX(FM!$B$4:$I$83, MATCH(1, (FM!$C$4:$C$83=$C16) * (FM!$B$4:$B$83=J$5), 0),8)</f>
        <v>0.72</v>
      </c>
      <c r="P16" s="1275" cm="1">
        <f t="array" ref="P16">INDEX(FM!$B$4:$I$83, MATCH(1, (FM!$C$4:$C$83=$C16) * (FM!$B$4:$B$83=P$5), 0),3)</f>
        <v>6.3</v>
      </c>
      <c r="Q16" s="1275" cm="1">
        <f t="array" ref="Q16">INDEX(FM!$B$4:$I$83, MATCH(1, (FM!$C$4:$C$83=$C16) * (FM!$B$4:$B$83=P$5), 0),4)</f>
        <v>8.1</v>
      </c>
      <c r="R16" s="1275" cm="1">
        <f t="array" ref="R16">INDEX(FM!$B$4:$I$83, MATCH(1, (FM!$C$4:$C$83=$C16) * (FM!$B$4:$B$83=P$5), 0),5)</f>
        <v>5.3</v>
      </c>
      <c r="S16" s="1275" cm="1">
        <f t="array" ref="S16">INDEX(FM!$B$4:$I$83, MATCH(1, (FM!$C$4:$C$83=$C16) * (FM!$B$4:$B$83=P$5), 0),6)</f>
        <v>7.5</v>
      </c>
      <c r="T16" s="1275" cm="1">
        <f t="array" ref="T16">INDEX(FM!$B$4:$I$83, MATCH(1, (FM!$C$4:$C$83=$C16) * (FM!$B$4:$B$83=P$5), 0),7)</f>
        <v>0.53</v>
      </c>
      <c r="U16" s="1275" cm="1">
        <f t="array" ref="U16">INDEX(FM!$B$4:$I$83, MATCH(1, (FM!$C$4:$C$83=$C16) * (FM!$B$4:$B$83=P$5), 0),8)</f>
        <v>0.83</v>
      </c>
      <c r="V16" s="1275" cm="1">
        <f t="array" ref="V16">INDEX(FM!$B$4:$I$83, MATCH(1, (FM!$C$4:$C$83=$C16) * (FM!$B$4:$B$83=V$5), 0),3)</f>
        <v>7.4</v>
      </c>
      <c r="W16" s="1275" cm="1">
        <f t="array" ref="W16">INDEX(FM!$B$4:$I$83, MATCH(1, (FM!$C$4:$C$83=$C16) * (FM!$B$4:$B$83=V$5), 0),4)</f>
        <v>9.5</v>
      </c>
      <c r="X16" s="1275" cm="1">
        <f t="array" ref="X16">INDEX(FM!$B$4:$I$83, MATCH(1, (FM!$C$4:$C$83=$C16) * (FM!$B$4:$B$83=V$5), 0),5)</f>
        <v>6.4</v>
      </c>
      <c r="Y16" s="1275" cm="1">
        <f t="array" ref="Y16">INDEX(FM!$B$4:$I$83, MATCH(1, (FM!$C$4:$C$83=$C16) * (FM!$B$4:$B$83=V$5), 0),6)</f>
        <v>8.6</v>
      </c>
      <c r="Z16" s="1275" cm="1">
        <f t="array" ref="Z16">INDEX(FM!$B$4:$I$83, MATCH(1, (FM!$C$4:$C$83=$C16) * (FM!$B$4:$B$83=V$5), 0),7)</f>
        <v>0.67</v>
      </c>
      <c r="AA16" s="1275" cm="1">
        <f t="array" ref="AA16">INDEX(FM!$B$4:$I$83, MATCH(1, (FM!$C$4:$C$83=$C16) * (FM!$B$4:$B$83=V$5), 0),8)</f>
        <v>1.07</v>
      </c>
      <c r="AC16">
        <v>10</v>
      </c>
      <c r="AD16" t="s">
        <v>796</v>
      </c>
      <c r="AF16" cm="1">
        <f t="array" ref="AF16">INDEX(NYU!$F$12:$F$107,MATCH(AD16,NYU!$B$12:$B$107,0),0)</f>
        <v>1.96</v>
      </c>
      <c r="AH16" cm="1">
        <f t="array" ref="AH16">INDEX(NYU!$N$14:$N$109,MATCH(AD16,NYU!$K$14:$K$109,0),0)</f>
        <v>13.5</v>
      </c>
      <c r="AJ16" cm="1">
        <f t="array" ref="AJ16">INDEX(NYU!$O$14:$O$109,MATCH(AD16,NYU!$K$14:$K$109,0),0)</f>
        <v>17.16</v>
      </c>
      <c r="AL16">
        <f>IFERROR(Kroll!B17,"")</f>
        <v>10</v>
      </c>
      <c r="AM16" t="str">
        <f>IFERROR(Kroll!C17,"")</f>
        <v>Consumer Staples Distribution and Retail</v>
      </c>
      <c r="AO16">
        <f>IFERROR(Kroll!E17,"")</f>
        <v>0.5</v>
      </c>
      <c r="AQ16">
        <f>IFERROR(Kroll!G17,"")</f>
        <v>6.4</v>
      </c>
      <c r="AS16" t="str">
        <f>IFERROR(Kroll!I17,"")</f>
        <v>NA</v>
      </c>
      <c r="AU16" s="1258">
        <f>IFERROR(DUB!B16,"")</f>
        <v>10</v>
      </c>
      <c r="AV16" s="1258" t="str">
        <f>IFERROR(DUB!C16,"")</f>
        <v>Pharma, Bio- und Medizintechnik</v>
      </c>
      <c r="AW16" s="1258">
        <f>IFERROR(DUB!D16,"")</f>
        <v>5</v>
      </c>
      <c r="AX16" s="1258">
        <f>IFERROR(DUB!E16,"")</f>
        <v>8</v>
      </c>
      <c r="AY16" s="1258">
        <f>IFERROR(DUB!F16,"")</f>
        <v>6.5</v>
      </c>
    </row>
    <row r="17" spans="2:51" ht="15.75">
      <c r="B17" s="40">
        <v>10</v>
      </c>
      <c r="C17" s="41" t="s">
        <v>797</v>
      </c>
      <c r="D17" s="1275" cm="1">
        <f t="array" ref="D17">INDEX(FM!$B$4:$I$83, MATCH(1, (FM!$C$4:$C$83=$C17) * (FM!$B$4:$B$83=D$5), 0),3)</f>
        <v>4.5999999999999996</v>
      </c>
      <c r="E17" s="1275" cm="1">
        <f t="array" ref="E17">INDEX(FM!$B$4:$I$83, MATCH(1, (FM!$C$4:$C$83=$C17) * (FM!$B$4:$B$83=D$5), 0),4)</f>
        <v>6.4</v>
      </c>
      <c r="F17" s="1275" cm="1">
        <f t="array" ref="F17">INDEX(FM!$B$4:$I$83, MATCH(1, (FM!$C$4:$C$83=$C17) * (FM!$B$4:$B$83=D$5), 0),5)</f>
        <v>4.4000000000000004</v>
      </c>
      <c r="G17" s="1275" cm="1">
        <f t="array" ref="G17">INDEX(FM!$B$4:$I$83, MATCH(1, (FM!$C$4:$C$83=$C17) * (FM!$B$4:$B$83=D$5), 0),6)</f>
        <v>6.4</v>
      </c>
      <c r="H17" s="1275" t="s">
        <v>149</v>
      </c>
      <c r="I17" s="1275" t="s">
        <v>149</v>
      </c>
      <c r="J17" s="1275" cm="1">
        <f t="array" ref="J17">INDEX(FM!$B$4:$I$83, MATCH(1, (FM!$C$4:$C$83=$C17) * (FM!$B$4:$B$83=J$5), 0),3)</f>
        <v>6.6</v>
      </c>
      <c r="K17" s="1275" cm="1">
        <f t="array" ref="K17">INDEX(FM!$B$4:$I$83, MATCH(1, (FM!$C$4:$C$83=$C17) * (FM!$B$4:$B$83=J$5), 0),4)</f>
        <v>8.3000000000000007</v>
      </c>
      <c r="L17" s="1275" cm="1">
        <f t="array" ref="L17">INDEX(FM!$B$4:$I$83, MATCH(1, (FM!$C$4:$C$83=$C17) * (FM!$B$4:$B$83=J$5), 0),5)</f>
        <v>5.5</v>
      </c>
      <c r="M17" s="1275" cm="1">
        <f t="array" ref="M17">INDEX(FM!$B$4:$I$83, MATCH(1, (FM!$C$4:$C$83=$C17) * (FM!$B$4:$B$83=J$5), 0),6)</f>
        <v>6.6</v>
      </c>
      <c r="N17" s="1275" cm="1">
        <f t="array" ref="N17">INDEX(FM!$B$4:$I$83, MATCH(1, (FM!$C$4:$C$83=$C17) * (FM!$B$4:$B$83=J$5), 0),7)</f>
        <v>0.82</v>
      </c>
      <c r="O17" s="1275" cm="1">
        <f t="array" ref="O17">INDEX(FM!$B$4:$I$83, MATCH(1, (FM!$C$4:$C$83=$C17) * (FM!$B$4:$B$83=J$5), 0),8)</f>
        <v>1.1299999999999999</v>
      </c>
      <c r="P17" s="1275" cm="1">
        <f t="array" ref="P17">INDEX(FM!$B$4:$I$83, MATCH(1, (FM!$C$4:$C$83=$C17) * (FM!$B$4:$B$83=P$5), 0),3)</f>
        <v>8</v>
      </c>
      <c r="Q17" s="1275" cm="1">
        <f t="array" ref="Q17">INDEX(FM!$B$4:$I$83, MATCH(1, (FM!$C$4:$C$83=$C17) * (FM!$B$4:$B$83=P$5), 0),4)</f>
        <v>10</v>
      </c>
      <c r="R17" s="1275" cm="1">
        <f t="array" ref="R17">INDEX(FM!$B$4:$I$83, MATCH(1, (FM!$C$4:$C$83=$C17) * (FM!$B$4:$B$83=P$5), 0),5)</f>
        <v>6.7</v>
      </c>
      <c r="S17" s="1275" cm="1">
        <f t="array" ref="S17">INDEX(FM!$B$4:$I$83, MATCH(1, (FM!$C$4:$C$83=$C17) * (FM!$B$4:$B$83=P$5), 0),6)</f>
        <v>8.3000000000000007</v>
      </c>
      <c r="T17" s="1275" cm="1">
        <f t="array" ref="T17">INDEX(FM!$B$4:$I$83, MATCH(1, (FM!$C$4:$C$83=$C17) * (FM!$B$4:$B$83=P$5), 0),7)</f>
        <v>0.99</v>
      </c>
      <c r="U17" s="1275" cm="1">
        <f t="array" ref="U17">INDEX(FM!$B$4:$I$83, MATCH(1, (FM!$C$4:$C$83=$C17) * (FM!$B$4:$B$83=P$5), 0),8)</f>
        <v>1.33</v>
      </c>
      <c r="V17" s="1275" cm="1">
        <f t="array" ref="V17">INDEX(FM!$B$4:$I$83, MATCH(1, (FM!$C$4:$C$83=$C17) * (FM!$B$4:$B$83=V$5), 0),3)</f>
        <v>8.6999999999999993</v>
      </c>
      <c r="W17" s="1275" cm="1">
        <f t="array" ref="W17">INDEX(FM!$B$4:$I$83, MATCH(1, (FM!$C$4:$C$83=$C17) * (FM!$B$4:$B$83=V$5), 0),4)</f>
        <v>11.3</v>
      </c>
      <c r="X17" s="1275" cm="1">
        <f t="array" ref="X17">INDEX(FM!$B$4:$I$83, MATCH(1, (FM!$C$4:$C$83=$C17) * (FM!$B$4:$B$83=V$5), 0),5)</f>
        <v>7.5</v>
      </c>
      <c r="Y17" s="1275" cm="1">
        <f t="array" ref="Y17">INDEX(FM!$B$4:$I$83, MATCH(1, (FM!$C$4:$C$83=$C17) * (FM!$B$4:$B$83=V$5), 0),6)</f>
        <v>9.1999999999999993</v>
      </c>
      <c r="Z17" s="1275" cm="1">
        <f t="array" ref="Z17">INDEX(FM!$B$4:$I$83, MATCH(1, (FM!$C$4:$C$83=$C17) * (FM!$B$4:$B$83=V$5), 0),7)</f>
        <v>1.1000000000000001</v>
      </c>
      <c r="AA17" s="1275" cm="1">
        <f t="array" ref="AA17">INDEX(FM!$B$4:$I$83, MATCH(1, (FM!$C$4:$C$83=$C17) * (FM!$B$4:$B$83=V$5), 0),8)</f>
        <v>1.58</v>
      </c>
      <c r="AC17">
        <v>11</v>
      </c>
      <c r="AD17" t="s">
        <v>798</v>
      </c>
      <c r="AF17" cm="1">
        <f t="array" ref="AF17">INDEX(NYU!$F$12:$F$107,MATCH(AD17,NYU!$B$12:$B$107,0),0)</f>
        <v>0.87</v>
      </c>
      <c r="AH17" cm="1">
        <f t="array" ref="AH17">INDEX(NYU!$N$14:$N$109,MATCH(AD17,NYU!$K$14:$K$109,0),0)</f>
        <v>6.02</v>
      </c>
      <c r="AJ17" cm="1">
        <f t="array" ref="AJ17">INDEX(NYU!$O$14:$O$109,MATCH(AD17,NYU!$K$14:$K$109,0),0)</f>
        <v>7.63</v>
      </c>
      <c r="AL17">
        <f>IFERROR(Kroll!B18,"")</f>
        <v>11</v>
      </c>
      <c r="AM17" t="str">
        <f>IFERROR(Kroll!C18,"")</f>
        <v>Food, Beverage and Tobacco</v>
      </c>
      <c r="AO17">
        <f>IFERROR(Kroll!E18,"")</f>
        <v>1.5</v>
      </c>
      <c r="AQ17">
        <f>IFERROR(Kroll!G18,"")</f>
        <v>9.6999999999999993</v>
      </c>
      <c r="AS17" t="str">
        <f>IFERROR(Kroll!I18,"")</f>
        <v>NA</v>
      </c>
      <c r="AU17" s="1258">
        <f>IFERROR(DUB!B17,"")</f>
        <v>11</v>
      </c>
      <c r="AV17" s="1258" t="str">
        <f>IFERROR(DUB!C17,"")</f>
        <v>Software</v>
      </c>
      <c r="AW17" s="1258">
        <f>IFERROR(DUB!D17,"")</f>
        <v>4.5</v>
      </c>
      <c r="AX17" s="1258">
        <f>IFERROR(DUB!E17,"")</f>
        <v>8.6</v>
      </c>
      <c r="AY17" s="1258">
        <f>IFERROR(DUB!F17,"")</f>
        <v>6.6</v>
      </c>
    </row>
    <row r="18" spans="2:51" ht="15.75">
      <c r="B18" s="40">
        <v>11</v>
      </c>
      <c r="C18" s="41" t="s">
        <v>799</v>
      </c>
      <c r="D18" s="1275" cm="1">
        <f t="array" ref="D18">INDEX(FM!$B$4:$I$83, MATCH(1, (FM!$C$4:$C$83=$C18) * (FM!$B$4:$B$83=D$5), 0),3)</f>
        <v>6.5</v>
      </c>
      <c r="E18" s="1275" cm="1">
        <f t="array" ref="E18">INDEX(FM!$B$4:$I$83, MATCH(1, (FM!$C$4:$C$83=$C18) * (FM!$B$4:$B$83=D$5), 0),4)</f>
        <v>8.6</v>
      </c>
      <c r="F18" s="1275" cm="1">
        <f t="array" ref="F18">INDEX(FM!$B$4:$I$83, MATCH(1, (FM!$C$4:$C$83=$C18) * (FM!$B$4:$B$83=D$5), 0),5)</f>
        <v>5.9</v>
      </c>
      <c r="G18" s="1275" cm="1">
        <f t="array" ref="G18">INDEX(FM!$B$4:$I$83, MATCH(1, (FM!$C$4:$C$83=$C18) * (FM!$B$4:$B$83=D$5), 0),6)</f>
        <v>8</v>
      </c>
      <c r="H18" s="1275" t="s">
        <v>149</v>
      </c>
      <c r="I18" s="1275" t="s">
        <v>149</v>
      </c>
      <c r="J18" s="1275" cm="1">
        <f t="array" ref="J18">INDEX(FM!$B$4:$I$83, MATCH(1, (FM!$C$4:$C$83=$C18) * (FM!$B$4:$B$83=J$5), 0),3)</f>
        <v>8.5</v>
      </c>
      <c r="K18" s="1275" cm="1">
        <f t="array" ref="K18">INDEX(FM!$B$4:$I$83, MATCH(1, (FM!$C$4:$C$83=$C18) * (FM!$B$4:$B$83=J$5), 0),4)</f>
        <v>10.5</v>
      </c>
      <c r="L18" s="1275" cm="1">
        <f t="array" ref="L18">INDEX(FM!$B$4:$I$83, MATCH(1, (FM!$C$4:$C$83=$C18) * (FM!$B$4:$B$83=J$5), 0),5)</f>
        <v>7.3</v>
      </c>
      <c r="M18" s="1275" cm="1">
        <f t="array" ref="M18">INDEX(FM!$B$4:$I$83, MATCH(1, (FM!$C$4:$C$83=$C18) * (FM!$B$4:$B$83=J$5), 0),6)</f>
        <v>8.6999999999999993</v>
      </c>
      <c r="N18" s="1275" cm="1">
        <f t="array" ref="N18">INDEX(FM!$B$4:$I$83, MATCH(1, (FM!$C$4:$C$83=$C18) * (FM!$B$4:$B$83=J$5), 0),7)</f>
        <v>1.34</v>
      </c>
      <c r="O18" s="1275" cm="1">
        <f t="array" ref="O18">INDEX(FM!$B$4:$I$83, MATCH(1, (FM!$C$4:$C$83=$C18) * (FM!$B$4:$B$83=J$5), 0),8)</f>
        <v>1.98</v>
      </c>
      <c r="P18" s="1275" cm="1">
        <f t="array" ref="P18">INDEX(FM!$B$4:$I$83, MATCH(1, (FM!$C$4:$C$83=$C18) * (FM!$B$4:$B$83=P$5), 0),3)</f>
        <v>10.199999999999999</v>
      </c>
      <c r="Q18" s="1275" cm="1">
        <f t="array" ref="Q18">INDEX(FM!$B$4:$I$83, MATCH(1, (FM!$C$4:$C$83=$C18) * (FM!$B$4:$B$83=P$5), 0),4)</f>
        <v>12.1</v>
      </c>
      <c r="R18" s="1275" cm="1">
        <f t="array" ref="R18">INDEX(FM!$B$4:$I$83, MATCH(1, (FM!$C$4:$C$83=$C18) * (FM!$B$4:$B$83=P$5), 0),5)</f>
        <v>8.5</v>
      </c>
      <c r="S18" s="1275" cm="1">
        <f t="array" ref="S18">INDEX(FM!$B$4:$I$83, MATCH(1, (FM!$C$4:$C$83=$C18) * (FM!$B$4:$B$83=P$5), 0),6)</f>
        <v>10.3</v>
      </c>
      <c r="T18" s="1275" cm="1">
        <f t="array" ref="T18">INDEX(FM!$B$4:$I$83, MATCH(1, (FM!$C$4:$C$83=$C18) * (FM!$B$4:$B$83=P$5), 0),7)</f>
        <v>1.87</v>
      </c>
      <c r="U18" s="1275" cm="1">
        <f t="array" ref="U18">INDEX(FM!$B$4:$I$83, MATCH(1, (FM!$C$4:$C$83=$C18) * (FM!$B$4:$B$83=P$5), 0),8)</f>
        <v>2.4500000000000002</v>
      </c>
      <c r="V18" s="1275" cm="1">
        <f t="array" ref="V18">INDEX(FM!$B$4:$I$83, MATCH(1, (FM!$C$4:$C$83=$C18) * (FM!$B$4:$B$83=V$5), 0),3)</f>
        <v>11.6</v>
      </c>
      <c r="W18" s="1275" cm="1">
        <f t="array" ref="W18">INDEX(FM!$B$4:$I$83, MATCH(1, (FM!$C$4:$C$83=$C18) * (FM!$B$4:$B$83=V$5), 0),4)</f>
        <v>14.2</v>
      </c>
      <c r="X18" s="1275" cm="1">
        <f t="array" ref="X18">INDEX(FM!$B$4:$I$83, MATCH(1, (FM!$C$4:$C$83=$C18) * (FM!$B$4:$B$83=V$5), 0),5)</f>
        <v>9.6</v>
      </c>
      <c r="Y18" s="1275" cm="1">
        <f t="array" ref="Y18">INDEX(FM!$B$4:$I$83, MATCH(1, (FM!$C$4:$C$83=$C18) * (FM!$B$4:$B$83=V$5), 0),6)</f>
        <v>12.2</v>
      </c>
      <c r="Z18" s="1275" cm="1">
        <f t="array" ref="Z18">INDEX(FM!$B$4:$I$83, MATCH(1, (FM!$C$4:$C$83=$C18) * (FM!$B$4:$B$83=V$5), 0),7)</f>
        <v>2.37</v>
      </c>
      <c r="AA18" s="1275" cm="1">
        <f t="array" ref="AA18">INDEX(FM!$B$4:$I$83, MATCH(1, (FM!$C$4:$C$83=$C18) * (FM!$B$4:$B$83=V$5), 0),8)</f>
        <v>2.92</v>
      </c>
      <c r="AC18">
        <v>12</v>
      </c>
      <c r="AD18" t="s">
        <v>800</v>
      </c>
      <c r="AF18" t="str" cm="1">
        <f t="array" ref="AF18">INDEX(NYU!$F$12:$F$107,MATCH(AD18,NYU!$B$12:$B$107,0),0)</f>
        <v>NA</v>
      </c>
      <c r="AH18" cm="1">
        <f t="array" ref="AH18">INDEX(NYU!$N$14:$N$109,MATCH(AD18,NYU!$K$14:$K$109,0),0)</f>
        <v>26.01</v>
      </c>
      <c r="AJ18" cm="1">
        <f t="array" ref="AJ18">INDEX(NYU!$O$14:$O$109,MATCH(AD18,NYU!$K$14:$K$109,0),0)</f>
        <v>27.13</v>
      </c>
      <c r="AL18">
        <f>IFERROR(Kroll!B19,"")</f>
        <v>12</v>
      </c>
      <c r="AM18" t="str">
        <f>IFERROR(Kroll!C19,"")</f>
        <v>Household and Personal Products</v>
      </c>
      <c r="AO18">
        <f>IFERROR(Kroll!E19,"")</f>
        <v>2.4</v>
      </c>
      <c r="AQ18">
        <f>IFERROR(Kroll!G19,"")</f>
        <v>13</v>
      </c>
      <c r="AS18" t="str">
        <f>IFERROR(Kroll!I19,"")</f>
        <v>NA</v>
      </c>
      <c r="AU18" s="1258">
        <f>IFERROR(DUB!B18,"")</f>
        <v>12</v>
      </c>
      <c r="AV18" s="1258" t="str">
        <f>IFERROR(DUB!C18,"")</f>
        <v>Telekommunikation</v>
      </c>
      <c r="AW18" s="1258">
        <f>IFERROR(DUB!D18,"")</f>
        <v>4.9000000000000004</v>
      </c>
      <c r="AX18" s="1258">
        <f>IFERROR(DUB!E18,"")</f>
        <v>6.4</v>
      </c>
      <c r="AY18" s="1258">
        <f>IFERROR(DUB!F18,"")</f>
        <v>5.6</v>
      </c>
    </row>
    <row r="19" spans="2:51" ht="15.75">
      <c r="B19" s="40">
        <v>12</v>
      </c>
      <c r="C19" s="41" t="s">
        <v>801</v>
      </c>
      <c r="D19" s="1275" cm="1">
        <f t="array" ref="D19">INDEX(FM!$B$4:$I$83, MATCH(1, (FM!$C$4:$C$83=$C19) * (FM!$B$4:$B$83=D$5), 0),3)</f>
        <v>5</v>
      </c>
      <c r="E19" s="1275" cm="1">
        <f t="array" ref="E19">INDEX(FM!$B$4:$I$83, MATCH(1, (FM!$C$4:$C$83=$C19) * (FM!$B$4:$B$83=D$5), 0),4)</f>
        <v>6.6</v>
      </c>
      <c r="F19" s="1275" cm="1">
        <f t="array" ref="F19">INDEX(FM!$B$4:$I$83, MATCH(1, (FM!$C$4:$C$83=$C19) * (FM!$B$4:$B$83=D$5), 0),5)</f>
        <v>5.2</v>
      </c>
      <c r="G19" s="1275" cm="1">
        <f t="array" ref="G19">INDEX(FM!$B$4:$I$83, MATCH(1, (FM!$C$4:$C$83=$C19) * (FM!$B$4:$B$83=D$5), 0),6)</f>
        <v>6.6</v>
      </c>
      <c r="H19" s="1275" t="s">
        <v>149</v>
      </c>
      <c r="I19" s="1275" t="s">
        <v>149</v>
      </c>
      <c r="J19" s="1275" cm="1">
        <f t="array" ref="J19">INDEX(FM!$B$4:$I$83, MATCH(1, (FM!$C$4:$C$83=$C19) * (FM!$B$4:$B$83=J$5), 0),3)</f>
        <v>7</v>
      </c>
      <c r="K19" s="1275" cm="1">
        <f t="array" ref="K19">INDEX(FM!$B$4:$I$83, MATCH(1, (FM!$C$4:$C$83=$C19) * (FM!$B$4:$B$83=J$5), 0),4)</f>
        <v>8.5</v>
      </c>
      <c r="L19" s="1275" cm="1">
        <f t="array" ref="L19">INDEX(FM!$B$4:$I$83, MATCH(1, (FM!$C$4:$C$83=$C19) * (FM!$B$4:$B$83=J$5), 0),5)</f>
        <v>6.2</v>
      </c>
      <c r="M19" s="1275" cm="1">
        <f t="array" ref="M19">INDEX(FM!$B$4:$I$83, MATCH(1, (FM!$C$4:$C$83=$C19) * (FM!$B$4:$B$83=J$5), 0),6)</f>
        <v>7.4</v>
      </c>
      <c r="N19" s="1275" cm="1">
        <f t="array" ref="N19">INDEX(FM!$B$4:$I$83, MATCH(1, (FM!$C$4:$C$83=$C19) * (FM!$B$4:$B$83=J$5), 0),7)</f>
        <v>0.74</v>
      </c>
      <c r="O19" s="1275" cm="1">
        <f t="array" ref="O19">INDEX(FM!$B$4:$I$83, MATCH(1, (FM!$C$4:$C$83=$C19) * (FM!$B$4:$B$83=J$5), 0),8)</f>
        <v>1.1000000000000001</v>
      </c>
      <c r="P19" s="1275" cm="1">
        <f t="array" ref="P19">INDEX(FM!$B$4:$I$83, MATCH(1, (FM!$C$4:$C$83=$C19) * (FM!$B$4:$B$83=P$5), 0),3)</f>
        <v>8</v>
      </c>
      <c r="Q19" s="1275" cm="1">
        <f t="array" ref="Q19">INDEX(FM!$B$4:$I$83, MATCH(1, (FM!$C$4:$C$83=$C19) * (FM!$B$4:$B$83=P$5), 0),4)</f>
        <v>10.1</v>
      </c>
      <c r="R19" s="1275" cm="1">
        <f t="array" ref="R19">INDEX(FM!$B$4:$I$83, MATCH(1, (FM!$C$4:$C$83=$C19) * (FM!$B$4:$B$83=P$5), 0),5)</f>
        <v>7.8</v>
      </c>
      <c r="S19" s="1275" cm="1">
        <f t="array" ref="S19">INDEX(FM!$B$4:$I$83, MATCH(1, (FM!$C$4:$C$83=$C19) * (FM!$B$4:$B$83=P$5), 0),6)</f>
        <v>9.5</v>
      </c>
      <c r="T19" s="1275" cm="1">
        <f t="array" ref="T19">INDEX(FM!$B$4:$I$83, MATCH(1, (FM!$C$4:$C$83=$C19) * (FM!$B$4:$B$83=P$5), 0),7)</f>
        <v>0.9</v>
      </c>
      <c r="U19" s="1275" cm="1">
        <f t="array" ref="U19">INDEX(FM!$B$4:$I$83, MATCH(1, (FM!$C$4:$C$83=$C19) * (FM!$B$4:$B$83=P$5), 0),8)</f>
        <v>1.34</v>
      </c>
      <c r="V19" s="1275" cm="1">
        <f t="array" ref="V19">INDEX(FM!$B$4:$I$83, MATCH(1, (FM!$C$4:$C$83=$C19) * (FM!$B$4:$B$83=V$5), 0),3)</f>
        <v>10.199999999999999</v>
      </c>
      <c r="W19" s="1275" cm="1">
        <f t="array" ref="W19">INDEX(FM!$B$4:$I$83, MATCH(1, (FM!$C$4:$C$83=$C19) * (FM!$B$4:$B$83=V$5), 0),4)</f>
        <v>12.5</v>
      </c>
      <c r="X19" s="1275" cm="1">
        <f t="array" ref="X19">INDEX(FM!$B$4:$I$83, MATCH(1, (FM!$C$4:$C$83=$C19) * (FM!$B$4:$B$83=V$5), 0),5)</f>
        <v>9.8000000000000007</v>
      </c>
      <c r="Y19" s="1275" cm="1">
        <f t="array" ref="Y19">INDEX(FM!$B$4:$I$83, MATCH(1, (FM!$C$4:$C$83=$C19) * (FM!$B$4:$B$83=V$5), 0),6)</f>
        <v>11.1</v>
      </c>
      <c r="Z19" s="1275" cm="1">
        <f t="array" ref="Z19">INDEX(FM!$B$4:$I$83, MATCH(1, (FM!$C$4:$C$83=$C19) * (FM!$B$4:$B$83=V$5), 0),7)</f>
        <v>1.38</v>
      </c>
      <c r="AA19" s="1275" cm="1">
        <f t="array" ref="AA19">INDEX(FM!$B$4:$I$83, MATCH(1, (FM!$C$4:$C$83=$C19) * (FM!$B$4:$B$83=V$5), 0),8)</f>
        <v>1.77</v>
      </c>
      <c r="AC19">
        <v>13</v>
      </c>
      <c r="AD19" t="s">
        <v>802</v>
      </c>
      <c r="AF19" cm="1">
        <f t="array" ref="AF19">INDEX(NYU!$F$12:$F$107,MATCH(AD19,NYU!$B$12:$B$107,0),0)</f>
        <v>2.11</v>
      </c>
      <c r="AH19" cm="1">
        <f t="array" ref="AH19">INDEX(NYU!$N$14:$N$109,MATCH(AD19,NYU!$K$14:$K$109,0),0)</f>
        <v>13.43</v>
      </c>
      <c r="AJ19" cm="1">
        <f t="array" ref="AJ19">INDEX(NYU!$O$14:$O$109,MATCH(AD19,NYU!$K$14:$K$109,0),0)</f>
        <v>17.38</v>
      </c>
      <c r="AL19">
        <f>IFERROR(Kroll!B20,"")</f>
        <v>13</v>
      </c>
      <c r="AM19" t="str">
        <f>IFERROR(Kroll!C20,"")</f>
        <v>Energy</v>
      </c>
      <c r="AO19">
        <f>IFERROR(Kroll!E20,"")</f>
        <v>1.1000000000000001</v>
      </c>
      <c r="AQ19">
        <f>IFERROR(Kroll!G20,"")</f>
        <v>3.3</v>
      </c>
      <c r="AS19" t="str">
        <f>IFERROR(Kroll!I20,"")</f>
        <v>NA</v>
      </c>
      <c r="AU19" s="1258">
        <f>IFERROR(DUB!B19,"")</f>
        <v>13</v>
      </c>
      <c r="AV19" s="1258" t="str">
        <f>IFERROR(DUB!C19,"")</f>
        <v>Textilien und Bekleidung</v>
      </c>
      <c r="AW19" s="1258">
        <f>IFERROR(DUB!D19,"")</f>
        <v>3.5</v>
      </c>
      <c r="AX19" s="1258">
        <f>IFERROR(DUB!E19,"")</f>
        <v>5.5</v>
      </c>
      <c r="AY19" s="1258">
        <f>IFERROR(DUB!F19,"")</f>
        <v>4.5</v>
      </c>
    </row>
    <row r="20" spans="2:51" ht="15.75">
      <c r="B20" s="40">
        <v>13</v>
      </c>
      <c r="C20" s="41" t="s">
        <v>803</v>
      </c>
      <c r="D20" s="1275" cm="1">
        <f t="array" ref="D20">INDEX(FM!$B$4:$I$83, MATCH(1, (FM!$C$4:$C$83=$C20) * (FM!$B$4:$B$83=D$5), 0),3)</f>
        <v>6</v>
      </c>
      <c r="E20" s="1275" cm="1">
        <f t="array" ref="E20">INDEX(FM!$B$4:$I$83, MATCH(1, (FM!$C$4:$C$83=$C20) * (FM!$B$4:$B$83=D$5), 0),4)</f>
        <v>8.3000000000000007</v>
      </c>
      <c r="F20" s="1275" cm="1">
        <f t="array" ref="F20">INDEX(FM!$B$4:$I$83, MATCH(1, (FM!$C$4:$C$83=$C20) * (FM!$B$4:$B$83=D$5), 0),5)</f>
        <v>5.8</v>
      </c>
      <c r="G20" s="1275" cm="1">
        <f t="array" ref="G20">INDEX(FM!$B$4:$I$83, MATCH(1, (FM!$C$4:$C$83=$C20) * (FM!$B$4:$B$83=D$5), 0),6)</f>
        <v>7.9</v>
      </c>
      <c r="H20" s="1275" t="s">
        <v>149</v>
      </c>
      <c r="I20" s="1275" t="s">
        <v>149</v>
      </c>
      <c r="J20" s="1275" cm="1">
        <f t="array" ref="J20">INDEX(FM!$B$4:$I$83, MATCH(1, (FM!$C$4:$C$83=$C20) * (FM!$B$4:$B$83=J$5), 0),3)</f>
        <v>8.5</v>
      </c>
      <c r="K20" s="1275" cm="1">
        <f t="array" ref="K20">INDEX(FM!$B$4:$I$83, MATCH(1, (FM!$C$4:$C$83=$C20) * (FM!$B$4:$B$83=J$5), 0),4)</f>
        <v>10.5</v>
      </c>
      <c r="L20" s="1275" cm="1">
        <f t="array" ref="L20">INDEX(FM!$B$4:$I$83, MATCH(1, (FM!$C$4:$C$83=$C20) * (FM!$B$4:$B$83=J$5), 0),5)</f>
        <v>7.2</v>
      </c>
      <c r="M20" s="1275" cm="1">
        <f t="array" ref="M20">INDEX(FM!$B$4:$I$83, MATCH(1, (FM!$C$4:$C$83=$C20) * (FM!$B$4:$B$83=J$5), 0),6)</f>
        <v>8.8000000000000007</v>
      </c>
      <c r="N20" s="1275" cm="1">
        <f t="array" ref="N20">INDEX(FM!$B$4:$I$83, MATCH(1, (FM!$C$4:$C$83=$C20) * (FM!$B$4:$B$83=J$5), 0),7)</f>
        <v>1.28</v>
      </c>
      <c r="O20" s="1275" cm="1">
        <f t="array" ref="O20">INDEX(FM!$B$4:$I$83, MATCH(1, (FM!$C$4:$C$83=$C20) * (FM!$B$4:$B$83=J$5), 0),8)</f>
        <v>1.9</v>
      </c>
      <c r="P20" s="1275" cm="1">
        <f t="array" ref="P20">INDEX(FM!$B$4:$I$83, MATCH(1, (FM!$C$4:$C$83=$C20) * (FM!$B$4:$B$83=P$5), 0),3)</f>
        <v>9.8000000000000007</v>
      </c>
      <c r="Q20" s="1275" cm="1">
        <f t="array" ref="Q20">INDEX(FM!$B$4:$I$83, MATCH(1, (FM!$C$4:$C$83=$C20) * (FM!$B$4:$B$83=P$5), 0),4)</f>
        <v>11.6</v>
      </c>
      <c r="R20" s="1275" cm="1">
        <f t="array" ref="R20">INDEX(FM!$B$4:$I$83, MATCH(1, (FM!$C$4:$C$83=$C20) * (FM!$B$4:$B$83=P$5), 0),5)</f>
        <v>8.1</v>
      </c>
      <c r="S20" s="1275" cm="1">
        <f t="array" ref="S20">INDEX(FM!$B$4:$I$83, MATCH(1, (FM!$C$4:$C$83=$C20) * (FM!$B$4:$B$83=P$5), 0),6)</f>
        <v>9.9</v>
      </c>
      <c r="T20" s="1275" cm="1">
        <f t="array" ref="T20">INDEX(FM!$B$4:$I$83, MATCH(1, (FM!$C$4:$C$83=$C20) * (FM!$B$4:$B$83=P$5), 0),7)</f>
        <v>1.59</v>
      </c>
      <c r="U20" s="1275" cm="1">
        <f t="array" ref="U20">INDEX(FM!$B$4:$I$83, MATCH(1, (FM!$C$4:$C$83=$C20) * (FM!$B$4:$B$83=P$5), 0),8)</f>
        <v>2.35</v>
      </c>
      <c r="V20" s="1275" cm="1">
        <f t="array" ref="V20">INDEX(FM!$B$4:$I$83, MATCH(1, (FM!$C$4:$C$83=$C20) * (FM!$B$4:$B$83=V$5), 0),3)</f>
        <v>11.4</v>
      </c>
      <c r="W20" s="1275" cm="1">
        <f t="array" ref="W20">INDEX(FM!$B$4:$I$83, MATCH(1, (FM!$C$4:$C$83=$C20) * (FM!$B$4:$B$83=V$5), 0),4)</f>
        <v>13.8</v>
      </c>
      <c r="X20" s="1275" cm="1">
        <f t="array" ref="X20">INDEX(FM!$B$4:$I$83, MATCH(1, (FM!$C$4:$C$83=$C20) * (FM!$B$4:$B$83=V$5), 0),5)</f>
        <v>9.1999999999999993</v>
      </c>
      <c r="Y20" s="1275" cm="1">
        <f t="array" ref="Y20">INDEX(FM!$B$4:$I$83, MATCH(1, (FM!$C$4:$C$83=$C20) * (FM!$B$4:$B$83=V$5), 0),6)</f>
        <v>11.7</v>
      </c>
      <c r="Z20" s="1275" cm="1">
        <f t="array" ref="Z20">INDEX(FM!$B$4:$I$83, MATCH(1, (FM!$C$4:$C$83=$C20) * (FM!$B$4:$B$83=V$5), 0),7)</f>
        <v>2.17</v>
      </c>
      <c r="AA20" s="1275" cm="1">
        <f t="array" ref="AA20">INDEX(FM!$B$4:$I$83, MATCH(1, (FM!$C$4:$C$83=$C20) * (FM!$B$4:$B$83=V$5), 0),8)</f>
        <v>2.8</v>
      </c>
      <c r="AC20">
        <v>14</v>
      </c>
      <c r="AD20" t="s">
        <v>804</v>
      </c>
      <c r="AF20" cm="1">
        <f t="array" ref="AF20">INDEX(NYU!$F$12:$F$107,MATCH(AD20,NYU!$B$12:$B$107,0),0)</f>
        <v>1.56</v>
      </c>
      <c r="AH20" cm="1">
        <f t="array" ref="AH20">INDEX(NYU!$N$14:$N$109,MATCH(AD20,NYU!$K$14:$K$109,0),0)</f>
        <v>13.66</v>
      </c>
      <c r="AJ20" cm="1">
        <f t="array" ref="AJ20">INDEX(NYU!$O$14:$O$109,MATCH(AD20,NYU!$K$14:$K$109,0),0)</f>
        <v>18.09</v>
      </c>
      <c r="AL20">
        <f>IFERROR(Kroll!B21,"")</f>
        <v>14</v>
      </c>
      <c r="AM20" t="str">
        <f>IFERROR(Kroll!C21,"")</f>
        <v>Health Care</v>
      </c>
      <c r="AO20">
        <f>IFERROR(Kroll!E21,"")</f>
        <v>3.4</v>
      </c>
      <c r="AQ20">
        <f>IFERROR(Kroll!G21,"")</f>
        <v>14</v>
      </c>
      <c r="AS20" t="str">
        <f>IFERROR(Kroll!I21,"")</f>
        <v>NA</v>
      </c>
      <c r="AU20" s="1258">
        <f>IFERROR(DUB!B20,"")</f>
        <v>14</v>
      </c>
      <c r="AV20" s="1258" t="str">
        <f>IFERROR(DUB!C20,"")</f>
        <v>Transport, Logistik und Touristik</v>
      </c>
      <c r="AW20" s="1258">
        <f>IFERROR(DUB!D20,"")</f>
        <v>3.7</v>
      </c>
      <c r="AX20" s="1258">
        <f>IFERROR(DUB!E20,"")</f>
        <v>5.6</v>
      </c>
      <c r="AY20" s="1258">
        <f>IFERROR(DUB!F20,"")</f>
        <v>4.7</v>
      </c>
    </row>
    <row r="21" spans="2:51" ht="15.75">
      <c r="B21" s="40">
        <v>14</v>
      </c>
      <c r="C21" s="41" t="s">
        <v>805</v>
      </c>
      <c r="D21" s="1275" cm="1">
        <f t="array" ref="D21">INDEX(FM!$B$4:$I$83, MATCH(1, (FM!$C$4:$C$83=$C21) * (FM!$B$4:$B$83=D$5), 0),3)</f>
        <v>5.9</v>
      </c>
      <c r="E21" s="1275" cm="1">
        <f t="array" ref="E21">INDEX(FM!$B$4:$I$83, MATCH(1, (FM!$C$4:$C$83=$C21) * (FM!$B$4:$B$83=D$5), 0),4)</f>
        <v>7.9</v>
      </c>
      <c r="F21" s="1275" cm="1">
        <f t="array" ref="F21">INDEX(FM!$B$4:$I$83, MATCH(1, (FM!$C$4:$C$83=$C21) * (FM!$B$4:$B$83=D$5), 0),5)</f>
        <v>5.8</v>
      </c>
      <c r="G21" s="1275" cm="1">
        <f t="array" ref="G21">INDEX(FM!$B$4:$I$83, MATCH(1, (FM!$C$4:$C$83=$C21) * (FM!$B$4:$B$83=D$5), 0),6)</f>
        <v>7.7</v>
      </c>
      <c r="H21" s="1275" t="s">
        <v>149</v>
      </c>
      <c r="I21" s="1275" t="s">
        <v>149</v>
      </c>
      <c r="J21" s="1275" cm="1">
        <f t="array" ref="J21">INDEX(FM!$B$4:$I$83, MATCH(1, (FM!$C$4:$C$83=$C21) * (FM!$B$4:$B$83=J$5), 0),3)</f>
        <v>8.3000000000000007</v>
      </c>
      <c r="K21" s="1275" cm="1">
        <f t="array" ref="K21">INDEX(FM!$B$4:$I$83, MATCH(1, (FM!$C$4:$C$83=$C21) * (FM!$B$4:$B$83=J$5), 0),4)</f>
        <v>10.199999999999999</v>
      </c>
      <c r="L21" s="1275" cm="1">
        <f t="array" ref="L21">INDEX(FM!$B$4:$I$83, MATCH(1, (FM!$C$4:$C$83=$C21) * (FM!$B$4:$B$83=J$5), 0),5)</f>
        <v>7.5</v>
      </c>
      <c r="M21" s="1275" cm="1">
        <f t="array" ref="M21">INDEX(FM!$B$4:$I$83, MATCH(1, (FM!$C$4:$C$83=$C21) * (FM!$B$4:$B$83=J$5), 0),6)</f>
        <v>9.4</v>
      </c>
      <c r="N21" s="1275" cm="1">
        <f t="array" ref="N21">INDEX(FM!$B$4:$I$83, MATCH(1, (FM!$C$4:$C$83=$C21) * (FM!$B$4:$B$83=J$5), 0),7)</f>
        <v>1.26</v>
      </c>
      <c r="O21" s="1275" cm="1">
        <f t="array" ref="O21">INDEX(FM!$B$4:$I$83, MATCH(1, (FM!$C$4:$C$83=$C21) * (FM!$B$4:$B$83=J$5), 0),8)</f>
        <v>2.06</v>
      </c>
      <c r="P21" s="1275" cm="1">
        <f t="array" ref="P21">INDEX(FM!$B$4:$I$83, MATCH(1, (FM!$C$4:$C$83=$C21) * (FM!$B$4:$B$83=P$5), 0),3)</f>
        <v>9.4</v>
      </c>
      <c r="Q21" s="1275" cm="1">
        <f t="array" ref="Q21">INDEX(FM!$B$4:$I$83, MATCH(1, (FM!$C$4:$C$83=$C21) * (FM!$B$4:$B$83=P$5), 0),4)</f>
        <v>11.7</v>
      </c>
      <c r="R21" s="1275" cm="1">
        <f t="array" ref="R21">INDEX(FM!$B$4:$I$83, MATCH(1, (FM!$C$4:$C$83=$C21) * (FM!$B$4:$B$83=P$5), 0),5)</f>
        <v>8.9</v>
      </c>
      <c r="S21" s="1275" cm="1">
        <f t="array" ref="S21">INDEX(FM!$B$4:$I$83, MATCH(1, (FM!$C$4:$C$83=$C21) * (FM!$B$4:$B$83=P$5), 0),6)</f>
        <v>11.2</v>
      </c>
      <c r="T21" s="1275" cm="1">
        <f t="array" ref="T21">INDEX(FM!$B$4:$I$83, MATCH(1, (FM!$C$4:$C$83=$C21) * (FM!$B$4:$B$83=P$5), 0),7)</f>
        <v>1.63</v>
      </c>
      <c r="U21" s="1275" cm="1">
        <f t="array" ref="U21">INDEX(FM!$B$4:$I$83, MATCH(1, (FM!$C$4:$C$83=$C21) * (FM!$B$4:$B$83=P$5), 0),8)</f>
        <v>2.27</v>
      </c>
      <c r="V21" s="1275" cm="1">
        <f t="array" ref="V21">INDEX(FM!$B$4:$I$83, MATCH(1, (FM!$C$4:$C$83=$C21) * (FM!$B$4:$B$83=V$5), 0),3)</f>
        <v>10.5</v>
      </c>
      <c r="W21" s="1275" cm="1">
        <f t="array" ref="W21">INDEX(FM!$B$4:$I$83, MATCH(1, (FM!$C$4:$C$83=$C21) * (FM!$B$4:$B$83=V$5), 0),4)</f>
        <v>13</v>
      </c>
      <c r="X21" s="1275" cm="1">
        <f t="array" ref="X21">INDEX(FM!$B$4:$I$83, MATCH(1, (FM!$C$4:$C$83=$C21) * (FM!$B$4:$B$83=V$5), 0),5)</f>
        <v>10.6</v>
      </c>
      <c r="Y21" s="1275" cm="1">
        <f t="array" ref="Y21">INDEX(FM!$B$4:$I$83, MATCH(1, (FM!$C$4:$C$83=$C21) * (FM!$B$4:$B$83=V$5), 0),6)</f>
        <v>12.3</v>
      </c>
      <c r="Z21" s="1275" cm="1">
        <f t="array" ref="Z21">INDEX(FM!$B$4:$I$83, MATCH(1, (FM!$C$4:$C$83=$C21) * (FM!$B$4:$B$83=V$5), 0),7)</f>
        <v>1.83</v>
      </c>
      <c r="AA21" s="1275" cm="1">
        <f t="array" ref="AA21">INDEX(FM!$B$4:$I$83, MATCH(1, (FM!$C$4:$C$83=$C21) * (FM!$B$4:$B$83=V$5), 0),8)</f>
        <v>2.54</v>
      </c>
      <c r="AC21">
        <v>15</v>
      </c>
      <c r="AD21" t="s">
        <v>806</v>
      </c>
      <c r="AF21" cm="1">
        <f t="array" ref="AF21">INDEX(NYU!$F$12:$F$107,MATCH(AD21,NYU!$B$12:$B$107,0),0)</f>
        <v>1.97</v>
      </c>
      <c r="AH21" cm="1">
        <f t="array" ref="AH21">INDEX(NYU!$N$14:$N$109,MATCH(AD21,NYU!$K$14:$K$109,0),0)</f>
        <v>6.83</v>
      </c>
      <c r="AJ21" cm="1">
        <f t="array" ref="AJ21">INDEX(NYU!$O$14:$O$109,MATCH(AD21,NYU!$K$14:$K$109,0),0)</f>
        <v>34.32</v>
      </c>
      <c r="AL21">
        <f>IFERROR(Kroll!B22,"")</f>
        <v>15</v>
      </c>
      <c r="AM21" t="str">
        <f>IFERROR(Kroll!C22,"")</f>
        <v>Health Care Equipment and Services</v>
      </c>
      <c r="AO21">
        <f>IFERROR(Kroll!E22,"")</f>
        <v>2.6</v>
      </c>
      <c r="AQ21">
        <f>IFERROR(Kroll!G22,"")</f>
        <v>13.7</v>
      </c>
      <c r="AS21" t="str">
        <f>IFERROR(Kroll!I22,"")</f>
        <v>NA</v>
      </c>
      <c r="AU21" s="1258">
        <f>IFERROR(DUB!B21,"")</f>
        <v>15</v>
      </c>
      <c r="AV21" s="1258" t="str">
        <f>IFERROR(DUB!C21,"")</f>
        <v>Umwelttechnik</v>
      </c>
      <c r="AW21" s="1258">
        <f>IFERROR(DUB!D21,"")</f>
        <v>4.8</v>
      </c>
      <c r="AX21" s="1258">
        <f>IFERROR(DUB!E21,"")</f>
        <v>7</v>
      </c>
      <c r="AY21" s="1258">
        <f>IFERROR(DUB!F21,"")</f>
        <v>5.9</v>
      </c>
    </row>
    <row r="22" spans="2:51" ht="15.75">
      <c r="B22" s="40">
        <v>15</v>
      </c>
      <c r="C22" s="41" t="s">
        <v>807</v>
      </c>
      <c r="D22" s="1275" cm="1">
        <f t="array" ref="D22">INDEX(FM!$B$4:$I$83, MATCH(1, (FM!$C$4:$C$83=$C22) * (FM!$B$4:$B$83=D$5), 0),3)</f>
        <v>5</v>
      </c>
      <c r="E22" s="1275" cm="1">
        <f t="array" ref="E22">INDEX(FM!$B$4:$I$83, MATCH(1, (FM!$C$4:$C$83=$C22) * (FM!$B$4:$B$83=D$5), 0),4)</f>
        <v>6.9</v>
      </c>
      <c r="F22" s="1275" cm="1">
        <f t="array" ref="F22">INDEX(FM!$B$4:$I$83, MATCH(1, (FM!$C$4:$C$83=$C22) * (FM!$B$4:$B$83=D$5), 0),5)</f>
        <v>4.0999999999999996</v>
      </c>
      <c r="G22" s="1275" cm="1">
        <f t="array" ref="G22">INDEX(FM!$B$4:$I$83, MATCH(1, (FM!$C$4:$C$83=$C22) * (FM!$B$4:$B$83=D$5), 0),6)</f>
        <v>5.8</v>
      </c>
      <c r="H22" s="1275" t="s">
        <v>149</v>
      </c>
      <c r="I22" s="1275" t="s">
        <v>149</v>
      </c>
      <c r="J22" s="1275" cm="1">
        <f t="array" ref="J22">INDEX(FM!$B$4:$I$83, MATCH(1, (FM!$C$4:$C$83=$C22) * (FM!$B$4:$B$83=J$5), 0),3)</f>
        <v>7</v>
      </c>
      <c r="K22" s="1275" cm="1">
        <f t="array" ref="K22">INDEX(FM!$B$4:$I$83, MATCH(1, (FM!$C$4:$C$83=$C22) * (FM!$B$4:$B$83=J$5), 0),4)</f>
        <v>8.8000000000000007</v>
      </c>
      <c r="L22" s="1275" cm="1">
        <f t="array" ref="L22">INDEX(FM!$B$4:$I$83, MATCH(1, (FM!$C$4:$C$83=$C22) * (FM!$B$4:$B$83=J$5), 0),5)</f>
        <v>4.8</v>
      </c>
      <c r="M22" s="1275" cm="1">
        <f t="array" ref="M22">INDEX(FM!$B$4:$I$83, MATCH(1, (FM!$C$4:$C$83=$C22) * (FM!$B$4:$B$83=J$5), 0),6)</f>
        <v>6</v>
      </c>
      <c r="N22" s="1275" cm="1">
        <f t="array" ref="N22">INDEX(FM!$B$4:$I$83, MATCH(1, (FM!$C$4:$C$83=$C22) * (FM!$B$4:$B$83=J$5), 0),7)</f>
        <v>0.51</v>
      </c>
      <c r="O22" s="1275" cm="1">
        <f t="array" ref="O22">INDEX(FM!$B$4:$I$83, MATCH(1, (FM!$C$4:$C$83=$C22) * (FM!$B$4:$B$83=J$5), 0),8)</f>
        <v>0.72</v>
      </c>
      <c r="P22" s="1275" cm="1">
        <f t="array" ref="P22">INDEX(FM!$B$4:$I$83, MATCH(1, (FM!$C$4:$C$83=$C22) * (FM!$B$4:$B$83=P$5), 0),3)</f>
        <v>8</v>
      </c>
      <c r="Q22" s="1275" cm="1">
        <f t="array" ref="Q22">INDEX(FM!$B$4:$I$83, MATCH(1, (FM!$C$4:$C$83=$C22) * (FM!$B$4:$B$83=P$5), 0),4)</f>
        <v>10.5</v>
      </c>
      <c r="R22" s="1275" cm="1">
        <f t="array" ref="R22">INDEX(FM!$B$4:$I$83, MATCH(1, (FM!$C$4:$C$83=$C22) * (FM!$B$4:$B$83=P$5), 0),5)</f>
        <v>6.3</v>
      </c>
      <c r="S22" s="1275" cm="1">
        <f t="array" ref="S22">INDEX(FM!$B$4:$I$83, MATCH(1, (FM!$C$4:$C$83=$C22) * (FM!$B$4:$B$83=P$5), 0),6)</f>
        <v>7.9</v>
      </c>
      <c r="T22" s="1275" cm="1">
        <f t="array" ref="T22">INDEX(FM!$B$4:$I$83, MATCH(1, (FM!$C$4:$C$83=$C22) * (FM!$B$4:$B$83=P$5), 0),7)</f>
        <v>0.56999999999999995</v>
      </c>
      <c r="U22" s="1275" cm="1">
        <f t="array" ref="U22">INDEX(FM!$B$4:$I$83, MATCH(1, (FM!$C$4:$C$83=$C22) * (FM!$B$4:$B$83=P$5), 0),8)</f>
        <v>0.94</v>
      </c>
      <c r="V22" s="1275" cm="1">
        <f t="array" ref="V22">INDEX(FM!$B$4:$I$83, MATCH(1, (FM!$C$4:$C$83=$C22) * (FM!$B$4:$B$83=V$5), 0),3)</f>
        <v>9.3000000000000007</v>
      </c>
      <c r="W22" s="1275" cm="1">
        <f t="array" ref="W22">INDEX(FM!$B$4:$I$83, MATCH(1, (FM!$C$4:$C$83=$C22) * (FM!$B$4:$B$83=V$5), 0),4)</f>
        <v>12.4</v>
      </c>
      <c r="X22" s="1275" cm="1">
        <f t="array" ref="X22">INDEX(FM!$B$4:$I$83, MATCH(1, (FM!$C$4:$C$83=$C22) * (FM!$B$4:$B$83=V$5), 0),5)</f>
        <v>8</v>
      </c>
      <c r="Y22" s="1275" cm="1">
        <f t="array" ref="Y22">INDEX(FM!$B$4:$I$83, MATCH(1, (FM!$C$4:$C$83=$C22) * (FM!$B$4:$B$83=V$5), 0),6)</f>
        <v>9.4</v>
      </c>
      <c r="Z22" s="1275" cm="1">
        <f t="array" ref="Z22">INDEX(FM!$B$4:$I$83, MATCH(1, (FM!$C$4:$C$83=$C22) * (FM!$B$4:$B$83=V$5), 0),7)</f>
        <v>0.72</v>
      </c>
      <c r="AA22" s="1275" cm="1">
        <f t="array" ref="AA22">INDEX(FM!$B$4:$I$83, MATCH(1, (FM!$C$4:$C$83=$C22) * (FM!$B$4:$B$83=V$5), 0),8)</f>
        <v>1.23</v>
      </c>
      <c r="AC22">
        <v>16</v>
      </c>
      <c r="AD22" t="s">
        <v>808</v>
      </c>
      <c r="AF22" cm="1">
        <f t="array" ref="AF22">INDEX(NYU!$F$12:$F$107,MATCH(AD22,NYU!$B$12:$B$107,0),0)</f>
        <v>1.58</v>
      </c>
      <c r="AH22" cm="1">
        <f t="array" ref="AH22">INDEX(NYU!$N$14:$N$109,MATCH(AD22,NYU!$K$14:$K$109,0),0)</f>
        <v>12.87</v>
      </c>
      <c r="AJ22" cm="1">
        <f t="array" ref="AJ22">INDEX(NYU!$O$14:$O$109,MATCH(AD22,NYU!$K$14:$K$109,0),0)</f>
        <v>35.57</v>
      </c>
      <c r="AL22">
        <f>IFERROR(Kroll!B23,"")</f>
        <v>16</v>
      </c>
      <c r="AM22" t="str">
        <f>IFERROR(Kroll!C23,"")</f>
        <v>Pharmaceuticals, Biotechnology and Life Sciences</v>
      </c>
      <c r="AO22">
        <f>IFERROR(Kroll!E23,"")</f>
        <v>3.9</v>
      </c>
      <c r="AQ22">
        <f>IFERROR(Kroll!G23,"")</f>
        <v>15.4</v>
      </c>
      <c r="AS22" t="str">
        <f>IFERROR(Kroll!I23,"")</f>
        <v>NA</v>
      </c>
      <c r="AU22" s="1258">
        <f>IFERROR(DUB!B22,"")</f>
        <v>16</v>
      </c>
      <c r="AV22" s="1258" t="str">
        <f>IFERROR(DUB!C22,"")</f>
        <v>Versorgungswirtschaft</v>
      </c>
      <c r="AW22" s="1258">
        <f>IFERROR(DUB!D22,"")</f>
        <v>4.7</v>
      </c>
      <c r="AX22" s="1258">
        <f>IFERROR(DUB!E22,"")</f>
        <v>6.5</v>
      </c>
      <c r="AY22" s="1258">
        <f>IFERROR(DUB!F22,"")</f>
        <v>5.6</v>
      </c>
    </row>
    <row r="23" spans="2:51" ht="15.75">
      <c r="B23" s="40">
        <v>16</v>
      </c>
      <c r="C23" s="41" t="s">
        <v>809</v>
      </c>
      <c r="D23" s="1275" cm="1">
        <f t="array" ref="D23">INDEX(FM!$B$4:$I$83, MATCH(1, (FM!$C$4:$C$83=$C23) * (FM!$B$4:$B$83=D$5), 0),3)</f>
        <v>4.9000000000000004</v>
      </c>
      <c r="E23" s="1275" cm="1">
        <f t="array" ref="E23">INDEX(FM!$B$4:$I$83, MATCH(1, (FM!$C$4:$C$83=$C23) * (FM!$B$4:$B$83=D$5), 0),4)</f>
        <v>6.9</v>
      </c>
      <c r="F23" s="1275" cm="1">
        <f t="array" ref="F23">INDEX(FM!$B$4:$I$83, MATCH(1, (FM!$C$4:$C$83=$C23) * (FM!$B$4:$B$83=D$5), 0),5)</f>
        <v>4.2</v>
      </c>
      <c r="G23" s="1275" cm="1">
        <f t="array" ref="G23">INDEX(FM!$B$4:$I$83, MATCH(1, (FM!$C$4:$C$83=$C23) * (FM!$B$4:$B$83=D$5), 0),6)</f>
        <v>6.8</v>
      </c>
      <c r="H23" s="1275" t="s">
        <v>149</v>
      </c>
      <c r="I23" s="1275" t="s">
        <v>149</v>
      </c>
      <c r="J23" s="1275" cm="1">
        <f t="array" ref="J23">INDEX(FM!$B$4:$I$83, MATCH(1, (FM!$C$4:$C$83=$C23) * (FM!$B$4:$B$83=J$5), 0),3)</f>
        <v>7</v>
      </c>
      <c r="K23" s="1275" cm="1">
        <f t="array" ref="K23">INDEX(FM!$B$4:$I$83, MATCH(1, (FM!$C$4:$C$83=$C23) * (FM!$B$4:$B$83=J$5), 0),4)</f>
        <v>8.5</v>
      </c>
      <c r="L23" s="1275" cm="1">
        <f t="array" ref="L23">INDEX(FM!$B$4:$I$83, MATCH(1, (FM!$C$4:$C$83=$C23) * (FM!$B$4:$B$83=J$5), 0),5)</f>
        <v>4.5999999999999996</v>
      </c>
      <c r="M23" s="1275" cm="1">
        <f t="array" ref="M23">INDEX(FM!$B$4:$I$83, MATCH(1, (FM!$C$4:$C$83=$C23) * (FM!$B$4:$B$83=J$5), 0),6)</f>
        <v>7</v>
      </c>
      <c r="N23" s="1275" cm="1">
        <f t="array" ref="N23">INDEX(FM!$B$4:$I$83, MATCH(1, (FM!$C$4:$C$83=$C23) * (FM!$B$4:$B$83=J$5), 0),7)</f>
        <v>1.01</v>
      </c>
      <c r="O23" s="1275" cm="1">
        <f t="array" ref="O23">INDEX(FM!$B$4:$I$83, MATCH(1, (FM!$C$4:$C$83=$C23) * (FM!$B$4:$B$83=J$5), 0),8)</f>
        <v>1.4</v>
      </c>
      <c r="P23" s="1275" cm="1">
        <f t="array" ref="P23">INDEX(FM!$B$4:$I$83, MATCH(1, (FM!$C$4:$C$83=$C23) * (FM!$B$4:$B$83=P$5), 0),3)</f>
        <v>8.3000000000000007</v>
      </c>
      <c r="Q23" s="1275" cm="1">
        <f t="array" ref="Q23">INDEX(FM!$B$4:$I$83, MATCH(1, (FM!$C$4:$C$83=$C23) * (FM!$B$4:$B$83=P$5), 0),4)</f>
        <v>10.5</v>
      </c>
      <c r="R23" s="1275" cm="1">
        <f t="array" ref="R23">INDEX(FM!$B$4:$I$83, MATCH(1, (FM!$C$4:$C$83=$C23) * (FM!$B$4:$B$83=P$5), 0),5)</f>
        <v>7.3</v>
      </c>
      <c r="S23" s="1275" cm="1">
        <f t="array" ref="S23">INDEX(FM!$B$4:$I$83, MATCH(1, (FM!$C$4:$C$83=$C23) * (FM!$B$4:$B$83=P$5), 0),6)</f>
        <v>9.3000000000000007</v>
      </c>
      <c r="T23" s="1275" cm="1">
        <f t="array" ref="T23">INDEX(FM!$B$4:$I$83, MATCH(1, (FM!$C$4:$C$83=$C23) * (FM!$B$4:$B$83=P$5), 0),7)</f>
        <v>1.1599999999999999</v>
      </c>
      <c r="U23" s="1275" cm="1">
        <f t="array" ref="U23">INDEX(FM!$B$4:$I$83, MATCH(1, (FM!$C$4:$C$83=$C23) * (FM!$B$4:$B$83=P$5), 0),8)</f>
        <v>1.52</v>
      </c>
      <c r="V23" s="1275" cm="1">
        <f t="array" ref="V23">INDEX(FM!$B$4:$I$83, MATCH(1, (FM!$C$4:$C$83=$C23) * (FM!$B$4:$B$83=V$5), 0),3)</f>
        <v>9.1</v>
      </c>
      <c r="W23" s="1275" cm="1">
        <f t="array" ref="W23">INDEX(FM!$B$4:$I$83, MATCH(1, (FM!$C$4:$C$83=$C23) * (FM!$B$4:$B$83=V$5), 0),4)</f>
        <v>11.5</v>
      </c>
      <c r="X23" s="1275" cm="1">
        <f t="array" ref="X23">INDEX(FM!$B$4:$I$83, MATCH(1, (FM!$C$4:$C$83=$C23) * (FM!$B$4:$B$83=V$5), 0),5)</f>
        <v>8</v>
      </c>
      <c r="Y23" s="1275" cm="1">
        <f t="array" ref="Y23">INDEX(FM!$B$4:$I$83, MATCH(1, (FM!$C$4:$C$83=$C23) * (FM!$B$4:$B$83=V$5), 0),6)</f>
        <v>10</v>
      </c>
      <c r="Z23" s="1275" cm="1">
        <f t="array" ref="Z23">INDEX(FM!$B$4:$I$83, MATCH(1, (FM!$C$4:$C$83=$C23) * (FM!$B$4:$B$83=V$5), 0),7)</f>
        <v>1.31</v>
      </c>
      <c r="AA23" s="1275" cm="1">
        <f t="array" ref="AA23">INDEX(FM!$B$4:$I$83, MATCH(1, (FM!$C$4:$C$83=$C23) * (FM!$B$4:$B$83=V$5), 0),8)</f>
        <v>1.86</v>
      </c>
      <c r="AC23">
        <v>17</v>
      </c>
      <c r="AD23" t="s">
        <v>810</v>
      </c>
      <c r="AF23" cm="1">
        <f t="array" ref="AF23">INDEX(NYU!$F$12:$F$107,MATCH(AD23,NYU!$B$12:$B$107,0),0)</f>
        <v>0.85</v>
      </c>
      <c r="AH23" cm="1">
        <f t="array" ref="AH23">INDEX(NYU!$N$14:$N$109,MATCH(AD23,NYU!$K$14:$K$109,0),0)</f>
        <v>9.11</v>
      </c>
      <c r="AJ23" cm="1">
        <f t="array" ref="AJ23">INDEX(NYU!$O$14:$O$109,MATCH(AD23,NYU!$K$14:$K$109,0),0)</f>
        <v>22.96</v>
      </c>
      <c r="AL23">
        <f>IFERROR(Kroll!B24,"")</f>
        <v>17</v>
      </c>
      <c r="AM23" t="str">
        <f>IFERROR(Kroll!C24,"")</f>
        <v>Industrials</v>
      </c>
      <c r="AO23">
        <f>IFERROR(Kroll!E24,"")</f>
        <v>1.2</v>
      </c>
      <c r="AQ23">
        <f>IFERROR(Kroll!G24,"")</f>
        <v>9</v>
      </c>
      <c r="AS23" t="str">
        <f>IFERROR(Kroll!I24,"")</f>
        <v>NA</v>
      </c>
      <c r="AU23" s="1258">
        <f>IFERROR(DUB!B23,"")</f>
        <v>17</v>
      </c>
      <c r="AV23" s="1258" t="str">
        <f>IFERROR(DUB!C23,"")</f>
        <v>__Nothing__</v>
      </c>
      <c r="AW23" s="1258" t="str">
        <f>IFERROR(DUB!D23,"")</f>
        <v>NA</v>
      </c>
      <c r="AX23" s="1258" t="str">
        <f>IFERROR(DUB!E23,"")</f>
        <v>NA</v>
      </c>
      <c r="AY23" s="1258" t="str">
        <f>IFERROR(DUB!F23,"")</f>
        <v>NA</v>
      </c>
    </row>
    <row r="24" spans="2:51" ht="15.75">
      <c r="B24" s="40">
        <v>17</v>
      </c>
      <c r="C24" s="13" t="s">
        <v>811</v>
      </c>
      <c r="D24" s="1275" cm="1">
        <f t="array" ref="D24">INDEX(FM!$B$4:$I$83, MATCH(1, (FM!$C$4:$C$83=$C24) * (FM!$B$4:$B$83=D$5), 0),3)</f>
        <v>3.8</v>
      </c>
      <c r="E24" s="1275" cm="1">
        <f t="array" ref="E24">INDEX(FM!$B$4:$I$83, MATCH(1, (FM!$C$4:$C$83=$C24) * (FM!$B$4:$B$83=D$5), 0),4)</f>
        <v>5.5</v>
      </c>
      <c r="F24" s="1275" cm="1">
        <f t="array" ref="F24">INDEX(FM!$B$4:$I$83, MATCH(1, (FM!$C$4:$C$83=$C24) * (FM!$B$4:$B$83=D$5), 0),5)</f>
        <v>3.8</v>
      </c>
      <c r="G24" s="1275" cm="1">
        <f t="array" ref="G24">INDEX(FM!$B$4:$I$83, MATCH(1, (FM!$C$4:$C$83=$C24) * (FM!$B$4:$B$83=D$5), 0),6)</f>
        <v>5.4</v>
      </c>
      <c r="H24" s="1275" t="s">
        <v>149</v>
      </c>
      <c r="I24" s="1275" t="s">
        <v>149</v>
      </c>
      <c r="J24" s="1275" cm="1">
        <f t="array" ref="J24">INDEX(FM!$B$4:$I$83, MATCH(1, (FM!$C$4:$C$83=$C24) * (FM!$B$4:$B$83=J$5), 0),3)</f>
        <v>5</v>
      </c>
      <c r="K24" s="1275" cm="1">
        <f t="array" ref="K24">INDEX(FM!$B$4:$I$83, MATCH(1, (FM!$C$4:$C$83=$C24) * (FM!$B$4:$B$83=J$5), 0),4)</f>
        <v>6.6</v>
      </c>
      <c r="L24" s="1275" cm="1">
        <f t="array" ref="L24">INDEX(FM!$B$4:$I$83, MATCH(1, (FM!$C$4:$C$83=$C24) * (FM!$B$4:$B$83=J$5), 0),5)</f>
        <v>5</v>
      </c>
      <c r="M24" s="1275" cm="1">
        <f t="array" ref="M24">INDEX(FM!$B$4:$I$83, MATCH(1, (FM!$C$4:$C$83=$C24) * (FM!$B$4:$B$83=J$5), 0),6)</f>
        <v>6</v>
      </c>
      <c r="N24" s="1275" cm="1">
        <f t="array" ref="N24">INDEX(FM!$B$4:$I$83, MATCH(1, (FM!$C$4:$C$83=$C24) * (FM!$B$4:$B$83=J$5), 0),7)</f>
        <v>0.5</v>
      </c>
      <c r="O24" s="1275" cm="1">
        <f t="array" ref="O24">INDEX(FM!$B$4:$I$83, MATCH(1, (FM!$C$4:$C$83=$C24) * (FM!$B$4:$B$83=J$5), 0),8)</f>
        <v>0.7</v>
      </c>
      <c r="P24" s="1275" cm="1">
        <f t="array" ref="P24">INDEX(FM!$B$4:$I$83, MATCH(1, (FM!$C$4:$C$83=$C24) * (FM!$B$4:$B$83=P$5), 0),3)</f>
        <v>5.5</v>
      </c>
      <c r="Q24" s="1275" cm="1">
        <f t="array" ref="Q24">INDEX(FM!$B$4:$I$83, MATCH(1, (FM!$C$4:$C$83=$C24) * (FM!$B$4:$B$83=P$5), 0),4)</f>
        <v>7</v>
      </c>
      <c r="R24" s="1275" cm="1">
        <f t="array" ref="R24">INDEX(FM!$B$4:$I$83, MATCH(1, (FM!$C$4:$C$83=$C24) * (FM!$B$4:$B$83=P$5), 0),5)</f>
        <v>5.4</v>
      </c>
      <c r="S24" s="1275" cm="1">
        <f t="array" ref="S24">INDEX(FM!$B$4:$I$83, MATCH(1, (FM!$C$4:$C$83=$C24) * (FM!$B$4:$B$83=P$5), 0),6)</f>
        <v>6.6</v>
      </c>
      <c r="T24" s="1275" cm="1">
        <f t="array" ref="T24">INDEX(FM!$B$4:$I$83, MATCH(1, (FM!$C$4:$C$83=$C24) * (FM!$B$4:$B$83=P$5), 0),7)</f>
        <v>0.6</v>
      </c>
      <c r="U24" s="1275" cm="1">
        <f t="array" ref="U24">INDEX(FM!$B$4:$I$83, MATCH(1, (FM!$C$4:$C$83=$C24) * (FM!$B$4:$B$83=P$5), 0),8)</f>
        <v>0.88</v>
      </c>
      <c r="V24" s="1275" cm="1">
        <f t="array" ref="V24">INDEX(FM!$B$4:$I$83, MATCH(1, (FM!$C$4:$C$83=$C24) * (FM!$B$4:$B$83=V$5), 0),3)</f>
        <v>7.6</v>
      </c>
      <c r="W24" s="1275" cm="1">
        <f t="array" ref="W24">INDEX(FM!$B$4:$I$83, MATCH(1, (FM!$C$4:$C$83=$C24) * (FM!$B$4:$B$83=V$5), 0),4)</f>
        <v>9.1999999999999993</v>
      </c>
      <c r="X24" s="1275" cm="1">
        <f t="array" ref="X24">INDEX(FM!$B$4:$I$83, MATCH(1, (FM!$C$4:$C$83=$C24) * (FM!$B$4:$B$83=V$5), 0),5)</f>
        <v>7.2</v>
      </c>
      <c r="Y24" s="1275" cm="1">
        <f t="array" ref="Y24">INDEX(FM!$B$4:$I$83, MATCH(1, (FM!$C$4:$C$83=$C24) * (FM!$B$4:$B$83=V$5), 0),6)</f>
        <v>8.6</v>
      </c>
      <c r="Z24" s="1275" cm="1">
        <f t="array" ref="Z24">INDEX(FM!$B$4:$I$83, MATCH(1, (FM!$C$4:$C$83=$C24) * (FM!$B$4:$B$83=V$5), 0),7)</f>
        <v>0.8</v>
      </c>
      <c r="AA24" s="1275" cm="1">
        <f t="array" ref="AA24">INDEX(FM!$B$4:$I$83, MATCH(1, (FM!$C$4:$C$83=$C24) * (FM!$B$4:$B$83=V$5), 0),8)</f>
        <v>1.2</v>
      </c>
      <c r="AC24">
        <v>18</v>
      </c>
      <c r="AD24" t="s">
        <v>812</v>
      </c>
      <c r="AF24" cm="1">
        <f t="array" ref="AF24">INDEX(NYU!$F$12:$F$107,MATCH(AD24,NYU!$B$12:$B$107,0),0)</f>
        <v>2.4500000000000002</v>
      </c>
      <c r="AH24" cm="1">
        <f t="array" ref="AH24">INDEX(NYU!$N$14:$N$109,MATCH(AD24,NYU!$K$14:$K$109,0),0)</f>
        <v>14.45</v>
      </c>
      <c r="AJ24" cm="1">
        <f t="array" ref="AJ24">INDEX(NYU!$O$14:$O$109,MATCH(AD24,NYU!$K$14:$K$109,0),0)</f>
        <v>23.26</v>
      </c>
      <c r="AL24">
        <f>IFERROR(Kroll!B25,"")</f>
        <v>18</v>
      </c>
      <c r="AM24" t="str">
        <f>IFERROR(Kroll!C25,"")</f>
        <v>Capital Goods</v>
      </c>
      <c r="AO24">
        <f>IFERROR(Kroll!E25,"")</f>
        <v>1.2</v>
      </c>
      <c r="AQ24">
        <f>IFERROR(Kroll!G25,"")</f>
        <v>9.8000000000000007</v>
      </c>
      <c r="AS24" t="str">
        <f>IFERROR(Kroll!I25,"")</f>
        <v>NA</v>
      </c>
    </row>
    <row r="25" spans="2:51" ht="15.75">
      <c r="B25" s="40">
        <v>18</v>
      </c>
      <c r="C25" s="13" t="s">
        <v>813</v>
      </c>
      <c r="D25" s="1275" cm="1">
        <f t="array" ref="D25">INDEX(FM!$B$4:$I$83, MATCH(1, (FM!$C$4:$C$83=$C25) * (FM!$B$4:$B$83=D$5), 0),3)</f>
        <v>4.0999999999999996</v>
      </c>
      <c r="E25" s="1275" cm="1">
        <f t="array" ref="E25">INDEX(FM!$B$4:$I$83, MATCH(1, (FM!$C$4:$C$83=$C25) * (FM!$B$4:$B$83=D$5), 0),4)</f>
        <v>6</v>
      </c>
      <c r="F25" s="1275" cm="1">
        <f t="array" ref="F25">INDEX(FM!$B$4:$I$83, MATCH(1, (FM!$C$4:$C$83=$C25) * (FM!$B$4:$B$83=D$5), 0),5)</f>
        <v>3.7</v>
      </c>
      <c r="G25" s="1275" cm="1">
        <f t="array" ref="G25">INDEX(FM!$B$4:$I$83, MATCH(1, (FM!$C$4:$C$83=$C25) * (FM!$B$4:$B$83=D$5), 0),6)</f>
        <v>5.7</v>
      </c>
      <c r="H25" s="1275" t="s">
        <v>149</v>
      </c>
      <c r="I25" s="1275" t="s">
        <v>149</v>
      </c>
      <c r="J25" s="1275" cm="1">
        <f t="array" ref="J25">INDEX(FM!$B$4:$I$83, MATCH(1, (FM!$C$4:$C$83=$C25) * (FM!$B$4:$B$83=J$5), 0),3)</f>
        <v>5.6</v>
      </c>
      <c r="K25" s="1275" cm="1">
        <f t="array" ref="K25">INDEX(FM!$B$4:$I$83, MATCH(1, (FM!$C$4:$C$83=$C25) * (FM!$B$4:$B$83=J$5), 0),4)</f>
        <v>7.1</v>
      </c>
      <c r="L25" s="1275" cm="1">
        <f t="array" ref="L25">INDEX(FM!$B$4:$I$83, MATCH(1, (FM!$C$4:$C$83=$C25) * (FM!$B$4:$B$83=J$5), 0),5)</f>
        <v>4.8</v>
      </c>
      <c r="M25" s="1275" cm="1">
        <f t="array" ref="M25">INDEX(FM!$B$4:$I$83, MATCH(1, (FM!$C$4:$C$83=$C25) * (FM!$B$4:$B$83=J$5), 0),6)</f>
        <v>6.1</v>
      </c>
      <c r="N25" s="1275" cm="1">
        <f t="array" ref="N25">INDEX(FM!$B$4:$I$83, MATCH(1, (FM!$C$4:$C$83=$C25) * (FM!$B$4:$B$83=J$5), 0),7)</f>
        <v>0.52</v>
      </c>
      <c r="O25" s="1275" cm="1">
        <f t="array" ref="O25">INDEX(FM!$B$4:$I$83, MATCH(1, (FM!$C$4:$C$83=$C25) * (FM!$B$4:$B$83=J$5), 0),8)</f>
        <v>0.82</v>
      </c>
      <c r="P25" s="1275" cm="1">
        <f t="array" ref="P25">INDEX(FM!$B$4:$I$83, MATCH(1, (FM!$C$4:$C$83=$C25) * (FM!$B$4:$B$83=P$5), 0),3)</f>
        <v>6.4</v>
      </c>
      <c r="Q25" s="1275" cm="1">
        <f t="array" ref="Q25">INDEX(FM!$B$4:$I$83, MATCH(1, (FM!$C$4:$C$83=$C25) * (FM!$B$4:$B$83=P$5), 0),4)</f>
        <v>8.1999999999999993</v>
      </c>
      <c r="R25" s="1275" cm="1">
        <f t="array" ref="R25">INDEX(FM!$B$4:$I$83, MATCH(1, (FM!$C$4:$C$83=$C25) * (FM!$B$4:$B$83=P$5), 0),5)</f>
        <v>5.5</v>
      </c>
      <c r="S25" s="1275" cm="1">
        <f t="array" ref="S25">INDEX(FM!$B$4:$I$83, MATCH(1, (FM!$C$4:$C$83=$C25) * (FM!$B$4:$B$83=P$5), 0),6)</f>
        <v>7.7</v>
      </c>
      <c r="T25" s="1275" cm="1">
        <f t="array" ref="T25">INDEX(FM!$B$4:$I$83, MATCH(1, (FM!$C$4:$C$83=$C25) * (FM!$B$4:$B$83=P$5), 0),7)</f>
        <v>0.52</v>
      </c>
      <c r="U25" s="1275" cm="1">
        <f t="array" ref="U25">INDEX(FM!$B$4:$I$83, MATCH(1, (FM!$C$4:$C$83=$C25) * (FM!$B$4:$B$83=P$5), 0),8)</f>
        <v>1.04</v>
      </c>
      <c r="V25" s="1275" cm="1">
        <f t="array" ref="V25">INDEX(FM!$B$4:$I$83, MATCH(1, (FM!$C$4:$C$83=$C25) * (FM!$B$4:$B$83=V$5), 0),3)</f>
        <v>7.9</v>
      </c>
      <c r="W25" s="1275" cm="1">
        <f t="array" ref="W25">INDEX(FM!$B$4:$I$83, MATCH(1, (FM!$C$4:$C$83=$C25) * (FM!$B$4:$B$83=V$5), 0),4)</f>
        <v>11.2</v>
      </c>
      <c r="X25" s="1275" cm="1">
        <f t="array" ref="X25">INDEX(FM!$B$4:$I$83, MATCH(1, (FM!$C$4:$C$83=$C25) * (FM!$B$4:$B$83=V$5), 0),5)</f>
        <v>6.7</v>
      </c>
      <c r="Y25" s="1275" cm="1">
        <f t="array" ref="Y25">INDEX(FM!$B$4:$I$83, MATCH(1, (FM!$C$4:$C$83=$C25) * (FM!$B$4:$B$83=V$5), 0),6)</f>
        <v>9.9</v>
      </c>
      <c r="Z25" s="1275" cm="1">
        <f t="array" ref="Z25">INDEX(FM!$B$4:$I$83, MATCH(1, (FM!$C$4:$C$83=$C25) * (FM!$B$4:$B$83=V$5), 0),7)</f>
        <v>0.67</v>
      </c>
      <c r="AA25" s="1275" cm="1">
        <f t="array" ref="AA25">INDEX(FM!$B$4:$I$83, MATCH(1, (FM!$C$4:$C$83=$C25) * (FM!$B$4:$B$83=V$5), 0),8)</f>
        <v>1.27</v>
      </c>
      <c r="AC25">
        <v>19</v>
      </c>
      <c r="AD25" t="s">
        <v>814</v>
      </c>
      <c r="AF25" cm="1">
        <f t="array" ref="AF25">INDEX(NYU!$F$12:$F$107,MATCH(AD25,NYU!$B$12:$B$107,0),0)</f>
        <v>1.0900000000000001</v>
      </c>
      <c r="AH25" cm="1">
        <f t="array" ref="AH25">INDEX(NYU!$N$14:$N$109,MATCH(AD25,NYU!$K$14:$K$109,0),0)</f>
        <v>1.73</v>
      </c>
      <c r="AJ25" cm="1">
        <f t="array" ref="AJ25">INDEX(NYU!$O$14:$O$109,MATCH(AD25,NYU!$K$14:$K$109,0),0)</f>
        <v>1.93</v>
      </c>
      <c r="AL25">
        <f>IFERROR(Kroll!B26,"")</f>
        <v>19</v>
      </c>
      <c r="AM25" t="str">
        <f>IFERROR(Kroll!C26,"")</f>
        <v>Commercial and Professional Services</v>
      </c>
      <c r="AO25">
        <f>IFERROR(Kroll!E26,"")</f>
        <v>1</v>
      </c>
      <c r="AQ25">
        <f>IFERROR(Kroll!G26,"")</f>
        <v>8.9</v>
      </c>
      <c r="AS25" t="str">
        <f>IFERROR(Kroll!I26,"")</f>
        <v>NA</v>
      </c>
    </row>
    <row r="26" spans="2:51" ht="15.75">
      <c r="B26" s="40">
        <v>19</v>
      </c>
      <c r="C26" s="13" t="s">
        <v>511</v>
      </c>
      <c r="D26" s="1275" cm="1">
        <f t="array" ref="D26">INDEX(FM!$B$4:$I$83, MATCH(1, (FM!$C$4:$C$83=$C26) * (FM!$B$4:$B$83=D$5), 0),3)</f>
        <v>4.0999999999999996</v>
      </c>
      <c r="E26" s="1275" cm="1">
        <f t="array" ref="E26">INDEX(FM!$B$4:$I$83, MATCH(1, (FM!$C$4:$C$83=$C26) * (FM!$B$4:$B$83=D$5), 0),4)</f>
        <v>6</v>
      </c>
      <c r="F26" s="1275" cm="1">
        <f t="array" ref="F26">INDEX(FM!$B$4:$I$83, MATCH(1, (FM!$C$4:$C$83=$C26) * (FM!$B$4:$B$83=D$5), 0),5)</f>
        <v>3.8</v>
      </c>
      <c r="G26" s="1275" cm="1">
        <f t="array" ref="G26">INDEX(FM!$B$4:$I$83, MATCH(1, (FM!$C$4:$C$83=$C26) * (FM!$B$4:$B$83=D$5), 0),6)</f>
        <v>5.7</v>
      </c>
      <c r="H26" s="1275" t="s">
        <v>149</v>
      </c>
      <c r="I26" s="1275" t="s">
        <v>149</v>
      </c>
      <c r="J26" s="1275" cm="1">
        <f t="array" ref="J26">INDEX(FM!$B$4:$I$83, MATCH(1, (FM!$C$4:$C$83=$C26) * (FM!$B$4:$B$83=J$5), 0),3)</f>
        <v>5.6</v>
      </c>
      <c r="K26" s="1275" cm="1">
        <f t="array" ref="K26">INDEX(FM!$B$4:$I$83, MATCH(1, (FM!$C$4:$C$83=$C26) * (FM!$B$4:$B$83=J$5), 0),4)</f>
        <v>7</v>
      </c>
      <c r="L26" s="1275" cm="1">
        <f t="array" ref="L26">INDEX(FM!$B$4:$I$83, MATCH(1, (FM!$C$4:$C$83=$C26) * (FM!$B$4:$B$83=J$5), 0),5)</f>
        <v>4.4000000000000004</v>
      </c>
      <c r="M26" s="1275" cm="1">
        <f t="array" ref="M26">INDEX(FM!$B$4:$I$83, MATCH(1, (FM!$C$4:$C$83=$C26) * (FM!$B$4:$B$83=J$5), 0),6)</f>
        <v>6</v>
      </c>
      <c r="N26" s="1275" cm="1">
        <f t="array" ref="N26">INDEX(FM!$B$4:$I$83, MATCH(1, (FM!$C$4:$C$83=$C26) * (FM!$B$4:$B$83=J$5), 0),7)</f>
        <v>0.51</v>
      </c>
      <c r="O26" s="1275" cm="1">
        <f t="array" ref="O26">INDEX(FM!$B$4:$I$83, MATCH(1, (FM!$C$4:$C$83=$C26) * (FM!$B$4:$B$83=J$5), 0),8)</f>
        <v>0.82</v>
      </c>
      <c r="P26" s="1275" cm="1">
        <f t="array" ref="P26">INDEX(FM!$B$4:$I$83, MATCH(1, (FM!$C$4:$C$83=$C26) * (FM!$B$4:$B$83=P$5), 0),3)</f>
        <v>6.3</v>
      </c>
      <c r="Q26" s="1275" cm="1">
        <f t="array" ref="Q26">INDEX(FM!$B$4:$I$83, MATCH(1, (FM!$C$4:$C$83=$C26) * (FM!$B$4:$B$83=P$5), 0),4)</f>
        <v>8</v>
      </c>
      <c r="R26" s="1275" cm="1">
        <f t="array" ref="R26">INDEX(FM!$B$4:$I$83, MATCH(1, (FM!$C$4:$C$83=$C26) * (FM!$B$4:$B$83=P$5), 0),5)</f>
        <v>5.3</v>
      </c>
      <c r="S26" s="1275" cm="1">
        <f t="array" ref="S26">INDEX(FM!$B$4:$I$83, MATCH(1, (FM!$C$4:$C$83=$C26) * (FM!$B$4:$B$83=P$5), 0),6)</f>
        <v>7.1</v>
      </c>
      <c r="T26" s="1275" cm="1">
        <f t="array" ref="T26">INDEX(FM!$B$4:$I$83, MATCH(1, (FM!$C$4:$C$83=$C26) * (FM!$B$4:$B$83=P$5), 0),7)</f>
        <v>0.51</v>
      </c>
      <c r="U26" s="1275" cm="1">
        <f t="array" ref="U26">INDEX(FM!$B$4:$I$83, MATCH(1, (FM!$C$4:$C$83=$C26) * (FM!$B$4:$B$83=P$5), 0),8)</f>
        <v>0.99</v>
      </c>
      <c r="V26" s="1275" cm="1">
        <f t="array" ref="V26">INDEX(FM!$B$4:$I$83, MATCH(1, (FM!$C$4:$C$83=$C26) * (FM!$B$4:$B$83=V$5), 0),3)</f>
        <v>7.6</v>
      </c>
      <c r="W26" s="1275" cm="1">
        <f t="array" ref="W26">INDEX(FM!$B$4:$I$83, MATCH(1, (FM!$C$4:$C$83=$C26) * (FM!$B$4:$B$83=V$5), 0),4)</f>
        <v>10.9</v>
      </c>
      <c r="X26" s="1275" cm="1">
        <f t="array" ref="X26">INDEX(FM!$B$4:$I$83, MATCH(1, (FM!$C$4:$C$83=$C26) * (FM!$B$4:$B$83=V$5), 0),5)</f>
        <v>6.6</v>
      </c>
      <c r="Y26" s="1275" cm="1">
        <f t="array" ref="Y26">INDEX(FM!$B$4:$I$83, MATCH(1, (FM!$C$4:$C$83=$C26) * (FM!$B$4:$B$83=V$5), 0),6)</f>
        <v>9.6999999999999993</v>
      </c>
      <c r="Z26" s="1275" cm="1">
        <f t="array" ref="Z26">INDEX(FM!$B$4:$I$83, MATCH(1, (FM!$C$4:$C$83=$C26) * (FM!$B$4:$B$83=V$5), 0),7)</f>
        <v>0.68</v>
      </c>
      <c r="AA26" s="1275" cm="1">
        <f t="array" ref="AA26">INDEX(FM!$B$4:$I$83, MATCH(1, (FM!$C$4:$C$83=$C26) * (FM!$B$4:$B$83=V$5), 0),8)</f>
        <v>1.23</v>
      </c>
      <c r="AC26">
        <v>20</v>
      </c>
      <c r="AD26" t="s">
        <v>815</v>
      </c>
      <c r="AF26" cm="1">
        <f t="array" ref="AF26">INDEX(NYU!$F$12:$F$107,MATCH(AD26,NYU!$B$12:$B$107,0),0)</f>
        <v>1.57</v>
      </c>
      <c r="AH26" cm="1">
        <f t="array" ref="AH26">INDEX(NYU!$N$14:$N$109,MATCH(AD26,NYU!$K$14:$K$109,0),0)</f>
        <v>14.08</v>
      </c>
      <c r="AJ26" cm="1">
        <f t="array" ref="AJ26">INDEX(NYU!$O$14:$O$109,MATCH(AD26,NYU!$K$14:$K$109,0),0)</f>
        <v>17.36</v>
      </c>
      <c r="AL26">
        <f>IFERROR(Kroll!B27,"")</f>
        <v>20</v>
      </c>
      <c r="AM26" t="str">
        <f>IFERROR(Kroll!C27,"")</f>
        <v>Transportation</v>
      </c>
      <c r="AO26">
        <f>IFERROR(Kroll!E27,"")</f>
        <v>1</v>
      </c>
      <c r="AQ26">
        <f>IFERROR(Kroll!G27,"")</f>
        <v>4.4000000000000004</v>
      </c>
      <c r="AS26" t="str">
        <f>IFERROR(Kroll!I27,"")</f>
        <v>NA</v>
      </c>
    </row>
    <row r="27" spans="2:51" ht="15.75">
      <c r="B27" s="40">
        <v>20</v>
      </c>
      <c r="C27" s="13" t="s">
        <v>816</v>
      </c>
      <c r="D27" s="1275" cm="1">
        <f t="array" ref="D27">INDEX(FM!$B$4:$I$83, MATCH(1, (FM!$C$4:$C$83=$C27) * (FM!$B$4:$B$83=D$5), 0),3)</f>
        <v>5</v>
      </c>
      <c r="E27" s="1275" cm="1">
        <f t="array" ref="E27">INDEX(FM!$B$4:$I$83, MATCH(1, (FM!$C$4:$C$83=$C27) * (FM!$B$4:$B$83=D$5), 0),4)</f>
        <v>6.8</v>
      </c>
      <c r="F27" s="1275" cm="1">
        <f t="array" ref="F27">INDEX(FM!$B$4:$I$83, MATCH(1, (FM!$C$4:$C$83=$C27) * (FM!$B$4:$B$83=D$5), 0),5)</f>
        <v>4.2</v>
      </c>
      <c r="G27" s="1275" cm="1">
        <f t="array" ref="G27">INDEX(FM!$B$4:$I$83, MATCH(1, (FM!$C$4:$C$83=$C27) * (FM!$B$4:$B$83=D$5), 0),6)</f>
        <v>5.9</v>
      </c>
      <c r="H27" s="1275" t="s">
        <v>149</v>
      </c>
      <c r="I27" s="1275" t="s">
        <v>149</v>
      </c>
      <c r="J27" s="1275" cm="1">
        <f t="array" ref="J27">INDEX(FM!$B$4:$I$83, MATCH(1, (FM!$C$4:$C$83=$C27) * (FM!$B$4:$B$83=J$5), 0),3)</f>
        <v>6.4</v>
      </c>
      <c r="K27" s="1275" cm="1">
        <f t="array" ref="K27">INDEX(FM!$B$4:$I$83, MATCH(1, (FM!$C$4:$C$83=$C27) * (FM!$B$4:$B$83=J$5), 0),4)</f>
        <v>8.1999999999999993</v>
      </c>
      <c r="L27" s="1275" cm="1">
        <f t="array" ref="L27">INDEX(FM!$B$4:$I$83, MATCH(1, (FM!$C$4:$C$83=$C27) * (FM!$B$4:$B$83=J$5), 0),5)</f>
        <v>4.5</v>
      </c>
      <c r="M27" s="1275" cm="1">
        <f t="array" ref="M27">INDEX(FM!$B$4:$I$83, MATCH(1, (FM!$C$4:$C$83=$C27) * (FM!$B$4:$B$83=J$5), 0),6)</f>
        <v>6.8</v>
      </c>
      <c r="N27" s="1275" cm="1">
        <f t="array" ref="N27">INDEX(FM!$B$4:$I$83, MATCH(1, (FM!$C$4:$C$83=$C27) * (FM!$B$4:$B$83=J$5), 0),7)</f>
        <v>0.72</v>
      </c>
      <c r="O27" s="1275" cm="1">
        <f t="array" ref="O27">INDEX(FM!$B$4:$I$83, MATCH(1, (FM!$C$4:$C$83=$C27) * (FM!$B$4:$B$83=J$5), 0),8)</f>
        <v>1.17</v>
      </c>
      <c r="P27" s="1275" cm="1">
        <f t="array" ref="P27">INDEX(FM!$B$4:$I$83, MATCH(1, (FM!$C$4:$C$83=$C27) * (FM!$B$4:$B$83=P$5), 0),3)</f>
        <v>7.5</v>
      </c>
      <c r="Q27" s="1275" cm="1">
        <f t="array" ref="Q27">INDEX(FM!$B$4:$I$83, MATCH(1, (FM!$C$4:$C$83=$C27) * (FM!$B$4:$B$83=P$5), 0),4)</f>
        <v>9.5</v>
      </c>
      <c r="R27" s="1275" cm="1">
        <f t="array" ref="R27">INDEX(FM!$B$4:$I$83, MATCH(1, (FM!$C$4:$C$83=$C27) * (FM!$B$4:$B$83=P$5), 0),5)</f>
        <v>6.1</v>
      </c>
      <c r="S27" s="1275" cm="1">
        <f t="array" ref="S27">INDEX(FM!$B$4:$I$83, MATCH(1, (FM!$C$4:$C$83=$C27) * (FM!$B$4:$B$83=P$5), 0),6)</f>
        <v>8.1</v>
      </c>
      <c r="T27" s="1275" cm="1">
        <f t="array" ref="T27">INDEX(FM!$B$4:$I$83, MATCH(1, (FM!$C$4:$C$83=$C27) * (FM!$B$4:$B$83=P$5), 0),7)</f>
        <v>0.96</v>
      </c>
      <c r="U27" s="1275" cm="1">
        <f t="array" ref="U27">INDEX(FM!$B$4:$I$83, MATCH(1, (FM!$C$4:$C$83=$C27) * (FM!$B$4:$B$83=P$5), 0),8)</f>
        <v>1.38</v>
      </c>
      <c r="V27" s="1275" cm="1">
        <f t="array" ref="V27">INDEX(FM!$B$4:$I$83, MATCH(1, (FM!$C$4:$C$83=$C27) * (FM!$B$4:$B$83=V$5), 0),3)</f>
        <v>8.8000000000000007</v>
      </c>
      <c r="W27" s="1275" cm="1">
        <f t="array" ref="W27">INDEX(FM!$B$4:$I$83, MATCH(1, (FM!$C$4:$C$83=$C27) * (FM!$B$4:$B$83=V$5), 0),4)</f>
        <v>10.4</v>
      </c>
      <c r="X27" s="1275" cm="1">
        <f t="array" ref="X27">INDEX(FM!$B$4:$I$83, MATCH(1, (FM!$C$4:$C$83=$C27) * (FM!$B$4:$B$83=V$5), 0),5)</f>
        <v>6.9</v>
      </c>
      <c r="Y27" s="1275" cm="1">
        <f t="array" ref="Y27">INDEX(FM!$B$4:$I$83, MATCH(1, (FM!$C$4:$C$83=$C27) * (FM!$B$4:$B$83=V$5), 0),6)</f>
        <v>7.8</v>
      </c>
      <c r="Z27" s="1275" cm="1">
        <f t="array" ref="Z27">INDEX(FM!$B$4:$I$83, MATCH(1, (FM!$C$4:$C$83=$C27) * (FM!$B$4:$B$83=V$5), 0),7)</f>
        <v>1.1000000000000001</v>
      </c>
      <c r="AA27" s="1275" cm="1">
        <f t="array" ref="AA27">INDEX(FM!$B$4:$I$83, MATCH(1, (FM!$C$4:$C$83=$C27) * (FM!$B$4:$B$83=V$5), 0),8)</f>
        <v>1.58</v>
      </c>
      <c r="AC27">
        <v>21</v>
      </c>
      <c r="AD27" t="s">
        <v>817</v>
      </c>
      <c r="AF27" cm="1">
        <f t="array" ref="AF27">INDEX(NYU!$F$12:$F$107,MATCH(AD27,NYU!$B$12:$B$107,0),0)</f>
        <v>2.15</v>
      </c>
      <c r="AH27" cm="1">
        <f t="array" ref="AH27">INDEX(NYU!$N$14:$N$109,MATCH(AD27,NYU!$K$14:$K$109,0),0)</f>
        <v>12.14</v>
      </c>
      <c r="AJ27" cm="1">
        <f t="array" ref="AJ27">INDEX(NYU!$O$14:$O$109,MATCH(AD27,NYU!$K$14:$K$109,0),0)</f>
        <v>16.940000000000001</v>
      </c>
      <c r="AL27">
        <f>IFERROR(Kroll!B28,"")</f>
        <v>21</v>
      </c>
      <c r="AM27" t="str">
        <f>IFERROR(Kroll!C28,"")</f>
        <v>Information Technology</v>
      </c>
      <c r="AO27">
        <f>IFERROR(Kroll!E28,"")</f>
        <v>2.2000000000000002</v>
      </c>
      <c r="AQ27">
        <f>IFERROR(Kroll!G28,"")</f>
        <v>14.1</v>
      </c>
      <c r="AS27" t="str">
        <f>IFERROR(Kroll!I28,"")</f>
        <v>NA</v>
      </c>
    </row>
    <row r="28" spans="2:51" ht="15.75">
      <c r="B28" s="40">
        <v>17</v>
      </c>
      <c r="C28" s="89" t="s">
        <v>818</v>
      </c>
      <c r="D28" s="88" t="s">
        <v>149</v>
      </c>
      <c r="E28" s="88" t="s">
        <v>149</v>
      </c>
      <c r="F28" s="88" t="s">
        <v>149</v>
      </c>
      <c r="G28" s="88" t="s">
        <v>149</v>
      </c>
      <c r="H28" s="88" t="s">
        <v>149</v>
      </c>
      <c r="I28" s="88" t="s">
        <v>149</v>
      </c>
      <c r="J28" s="88" t="s">
        <v>149</v>
      </c>
      <c r="K28" s="88" t="s">
        <v>149</v>
      </c>
      <c r="L28" s="88" t="s">
        <v>149</v>
      </c>
      <c r="M28" s="88" t="s">
        <v>149</v>
      </c>
      <c r="N28" s="88" t="s">
        <v>149</v>
      </c>
      <c r="O28" s="88" t="s">
        <v>149</v>
      </c>
      <c r="P28" s="88" t="s">
        <v>149</v>
      </c>
      <c r="Q28" s="88" t="s">
        <v>149</v>
      </c>
      <c r="R28" s="88" t="s">
        <v>149</v>
      </c>
      <c r="S28" s="88" t="s">
        <v>149</v>
      </c>
      <c r="T28" s="88" t="s">
        <v>149</v>
      </c>
      <c r="U28" s="88" t="s">
        <v>149</v>
      </c>
      <c r="V28" s="88" t="s">
        <v>149</v>
      </c>
      <c r="W28" s="88" t="s">
        <v>149</v>
      </c>
      <c r="X28" s="88" t="s">
        <v>149</v>
      </c>
      <c r="Y28" s="88" t="s">
        <v>149</v>
      </c>
      <c r="Z28" s="88" t="s">
        <v>149</v>
      </c>
      <c r="AA28" s="88" t="s">
        <v>149</v>
      </c>
      <c r="AC28">
        <v>22</v>
      </c>
      <c r="AD28" t="s">
        <v>819</v>
      </c>
      <c r="AF28" cm="1">
        <f t="array" ref="AF28">INDEX(NYU!$F$12:$F$107,MATCH(AD28,NYU!$B$12:$B$107,0),0)</f>
        <v>1.21</v>
      </c>
      <c r="AH28" cm="1">
        <f t="array" ref="AH28">INDEX(NYU!$N$14:$N$109,MATCH(AD28,NYU!$K$14:$K$109,0),0)</f>
        <v>8.4</v>
      </c>
      <c r="AJ28" cm="1">
        <f t="array" ref="AJ28">INDEX(NYU!$O$14:$O$109,MATCH(AD28,NYU!$K$14:$K$109,0),0)</f>
        <v>11.24</v>
      </c>
      <c r="AL28">
        <f>IFERROR(Kroll!B29,"")</f>
        <v>22</v>
      </c>
      <c r="AM28" t="str">
        <f>IFERROR(Kroll!C29,"")</f>
        <v>Semiconductors and Semiconductor Equipment</v>
      </c>
      <c r="AO28">
        <f>IFERROR(Kroll!E29,"")</f>
        <v>3.1</v>
      </c>
      <c r="AQ28">
        <f>IFERROR(Kroll!G29,"")</f>
        <v>11.9</v>
      </c>
      <c r="AS28" t="str">
        <f>IFERROR(Kroll!I29,"")</f>
        <v>NA</v>
      </c>
    </row>
    <row r="29" spans="2:51" ht="15.75">
      <c r="B29" s="42"/>
      <c r="C29" s="43" t="s">
        <v>592</v>
      </c>
      <c r="D29" s="43" t="s">
        <v>820</v>
      </c>
      <c r="E29" s="43"/>
      <c r="F29" s="43"/>
      <c r="G29" s="43"/>
      <c r="H29" s="43"/>
      <c r="I29" s="43"/>
      <c r="J29" s="42"/>
      <c r="K29" s="42"/>
      <c r="L29" s="42"/>
      <c r="M29" s="42"/>
      <c r="N29" s="42" t="s">
        <v>273</v>
      </c>
      <c r="O29" s="42"/>
      <c r="P29" s="42" t="s">
        <v>273</v>
      </c>
      <c r="Q29" s="42"/>
      <c r="R29" s="42"/>
      <c r="S29" s="42"/>
      <c r="T29" s="42"/>
      <c r="U29" s="42"/>
      <c r="V29" s="42"/>
      <c r="W29" s="42"/>
      <c r="X29" s="42"/>
      <c r="Y29" s="42"/>
      <c r="Z29" s="42"/>
      <c r="AA29" s="42"/>
      <c r="AC29">
        <v>23</v>
      </c>
      <c r="AD29" t="s">
        <v>821</v>
      </c>
      <c r="AF29" cm="1">
        <f t="array" ref="AF29">INDEX(NYU!$F$12:$F$107,MATCH(AD29,NYU!$B$12:$B$107,0),0)</f>
        <v>1.7</v>
      </c>
      <c r="AH29" cm="1">
        <f t="array" ref="AH29">INDEX(NYU!$N$14:$N$109,MATCH(AD29,NYU!$K$14:$K$109,0),0)</f>
        <v>6.82</v>
      </c>
      <c r="AJ29" cm="1">
        <f t="array" ref="AJ29">INDEX(NYU!$O$14:$O$109,MATCH(AD29,NYU!$K$14:$K$109,0),0)</f>
        <v>7.75</v>
      </c>
      <c r="AL29">
        <f>IFERROR(Kroll!B30,"")</f>
        <v>23</v>
      </c>
      <c r="AM29" t="str">
        <f>IFERROR(Kroll!C30,"")</f>
        <v>Software and Services</v>
      </c>
      <c r="AO29">
        <f>IFERROR(Kroll!E30,"")</f>
        <v>1.9</v>
      </c>
      <c r="AQ29">
        <f>IFERROR(Kroll!G30,"")</f>
        <v>14.1</v>
      </c>
      <c r="AS29" t="str">
        <f>IFERROR(Kroll!I30,"")</f>
        <v>NA</v>
      </c>
    </row>
    <row r="30" spans="2:51" ht="15.75">
      <c r="B30" s="42"/>
      <c r="C30" s="43" t="s">
        <v>530</v>
      </c>
      <c r="D30" s="43" t="s">
        <v>822</v>
      </c>
      <c r="E30" s="43"/>
      <c r="F30" s="43"/>
      <c r="G30" s="43"/>
      <c r="H30" s="43"/>
      <c r="I30" s="43"/>
      <c r="J30" s="42"/>
      <c r="K30" s="42"/>
      <c r="L30" s="42"/>
      <c r="M30" s="42"/>
      <c r="N30" s="42"/>
      <c r="O30" s="42"/>
      <c r="P30" s="42"/>
      <c r="Q30" s="42"/>
      <c r="R30" s="42"/>
      <c r="S30" s="42"/>
      <c r="T30" s="42"/>
      <c r="U30" s="42"/>
      <c r="V30" s="42"/>
      <c r="W30" s="42"/>
      <c r="X30" s="42"/>
      <c r="Y30" s="42"/>
      <c r="Z30" s="42"/>
      <c r="AA30" s="42"/>
      <c r="AC30">
        <v>24</v>
      </c>
      <c r="AD30" t="s">
        <v>823</v>
      </c>
      <c r="AF30" cm="1">
        <f t="array" ref="AF30">INDEX(NYU!$F$12:$F$107,MATCH(AD30,NYU!$B$12:$B$107,0),0)</f>
        <v>6.18</v>
      </c>
      <c r="AH30" cm="1">
        <f t="array" ref="AH30">INDEX(NYU!$N$14:$N$109,MATCH(AD30,NYU!$K$14:$K$109,0),0)</f>
        <v>13.61</v>
      </c>
      <c r="AJ30" t="str" cm="1">
        <f t="array" ref="AJ30">INDEX(NYU!$O$14:$O$109,MATCH(AD30,NYU!$K$14:$K$109,0),0)</f>
        <v>NA</v>
      </c>
      <c r="AL30">
        <f>IFERROR(Kroll!B31,"")</f>
        <v>24</v>
      </c>
      <c r="AM30" t="str">
        <f>IFERROR(Kroll!C31,"")</f>
        <v>Technology Hardware and Equipment</v>
      </c>
      <c r="AO30">
        <f>IFERROR(Kroll!E31,"")</f>
        <v>1.9</v>
      </c>
      <c r="AQ30">
        <f>IFERROR(Kroll!G31,"")</f>
        <v>14.3</v>
      </c>
      <c r="AS30" t="str">
        <f>IFERROR(Kroll!I31,"")</f>
        <v>NA</v>
      </c>
    </row>
    <row r="31" spans="2:51" ht="15.75">
      <c r="B31" s="42"/>
      <c r="C31" s="43" t="s">
        <v>593</v>
      </c>
      <c r="D31" s="43" t="s">
        <v>824</v>
      </c>
      <c r="E31" s="43"/>
      <c r="F31" s="43"/>
      <c r="G31" s="43"/>
      <c r="H31" s="43"/>
      <c r="I31" s="43"/>
      <c r="J31" s="42"/>
      <c r="K31" s="42"/>
      <c r="L31" s="42"/>
      <c r="M31" s="42"/>
      <c r="N31" s="42"/>
      <c r="O31" s="42"/>
      <c r="P31" s="42"/>
      <c r="Q31" s="42"/>
      <c r="R31" s="42"/>
      <c r="S31" s="42"/>
      <c r="T31" s="42"/>
      <c r="U31" s="42"/>
      <c r="V31" s="42"/>
      <c r="W31" s="42"/>
      <c r="X31" s="42"/>
      <c r="Y31" s="42"/>
      <c r="Z31" s="42"/>
      <c r="AA31" s="42"/>
      <c r="AC31">
        <v>25</v>
      </c>
      <c r="AD31" t="s">
        <v>825</v>
      </c>
      <c r="AF31" cm="1">
        <f t="array" ref="AF31">INDEX(NYU!$F$12:$F$107,MATCH(AD31,NYU!$B$12:$B$107,0),0)</f>
        <v>3.78</v>
      </c>
      <c r="AH31" cm="1">
        <f t="array" ref="AH31">INDEX(NYU!$N$14:$N$109,MATCH(AD31,NYU!$K$14:$K$109,0),0)</f>
        <v>11.79</v>
      </c>
      <c r="AJ31" cm="1">
        <f t="array" ref="AJ31">INDEX(NYU!$O$14:$O$109,MATCH(AD31,NYU!$K$14:$K$109,0),0)</f>
        <v>14.69</v>
      </c>
      <c r="AL31">
        <f>IFERROR(Kroll!B32,"")</f>
        <v>25</v>
      </c>
      <c r="AM31" t="str">
        <f>IFERROR(Kroll!C32,"")</f>
        <v>Materials</v>
      </c>
      <c r="AO31">
        <f>IFERROR(Kroll!E32,"")</f>
        <v>0.9</v>
      </c>
      <c r="AQ31">
        <f>IFERROR(Kroll!G32,"")</f>
        <v>5.9</v>
      </c>
      <c r="AS31" t="str">
        <f>IFERROR(Kroll!I32,"")</f>
        <v>NA</v>
      </c>
    </row>
    <row r="32" spans="2:51" ht="15.75">
      <c r="B32" s="42"/>
      <c r="C32" s="43" t="s">
        <v>594</v>
      </c>
      <c r="D32" s="43" t="s">
        <v>826</v>
      </c>
      <c r="E32" s="43"/>
      <c r="F32" s="43"/>
      <c r="G32" s="43"/>
      <c r="H32" s="43"/>
      <c r="I32" s="43"/>
      <c r="J32" s="42"/>
      <c r="K32" s="42"/>
      <c r="L32" s="42"/>
      <c r="M32" s="42"/>
      <c r="N32" s="42"/>
      <c r="O32" s="42"/>
      <c r="P32" s="42"/>
      <c r="Q32" s="42" t="s">
        <v>273</v>
      </c>
      <c r="R32" s="42"/>
      <c r="S32" s="42"/>
      <c r="T32" s="42"/>
      <c r="U32" s="42"/>
      <c r="V32" s="42"/>
      <c r="W32" s="42"/>
      <c r="X32" s="42"/>
      <c r="Y32" s="42"/>
      <c r="Z32" s="42"/>
      <c r="AA32" s="42"/>
      <c r="AC32">
        <v>26</v>
      </c>
      <c r="AD32" t="s">
        <v>827</v>
      </c>
      <c r="AF32" cm="1">
        <f t="array" ref="AF32">INDEX(NYU!$F$12:$F$107,MATCH(AD32,NYU!$B$12:$B$107,0),0)</f>
        <v>2.23</v>
      </c>
      <c r="AH32" cm="1">
        <f t="array" ref="AH32">INDEX(NYU!$N$14:$N$109,MATCH(AD32,NYU!$K$14:$K$109,0),0)</f>
        <v>14.84</v>
      </c>
      <c r="AJ32" cm="1">
        <f t="array" ref="AJ32">INDEX(NYU!$O$14:$O$109,MATCH(AD32,NYU!$K$14:$K$109,0),0)</f>
        <v>18.079999999999998</v>
      </c>
      <c r="AL32">
        <f>IFERROR(Kroll!B33,"")</f>
        <v>26</v>
      </c>
      <c r="AM32" t="str">
        <f>IFERROR(Kroll!C33,"")</f>
        <v>Real Estate</v>
      </c>
      <c r="AO32">
        <f>IFERROR(Kroll!E33,"")</f>
        <v>12.4</v>
      </c>
      <c r="AQ32">
        <f>IFERROR(Kroll!G33,"")</f>
        <v>19.899999999999999</v>
      </c>
      <c r="AS32" t="str">
        <f>IFERROR(Kroll!I33,"")</f>
        <v>NA</v>
      </c>
    </row>
    <row r="33" spans="29:45">
      <c r="AC33">
        <v>27</v>
      </c>
      <c r="AD33" t="s">
        <v>828</v>
      </c>
      <c r="AF33" cm="1">
        <f t="array" ref="AF33">INDEX(NYU!$F$12:$F$107,MATCH(AD33,NYU!$B$12:$B$107,0),0)</f>
        <v>2.44</v>
      </c>
      <c r="AH33" cm="1">
        <f t="array" ref="AH33">INDEX(NYU!$N$14:$N$109,MATCH(AD33,NYU!$K$14:$K$109,0),0)</f>
        <v>18.559999999999999</v>
      </c>
      <c r="AJ33" cm="1">
        <f t="array" ref="AJ33">INDEX(NYU!$O$14:$O$109,MATCH(AD33,NYU!$K$14:$K$109,0),0)</f>
        <v>24.91</v>
      </c>
      <c r="AL33">
        <f>IFERROR(Kroll!B34,"")</f>
        <v>27</v>
      </c>
      <c r="AM33" t="str">
        <f>IFERROR(Kroll!C34,"")</f>
        <v>Utilities</v>
      </c>
      <c r="AO33">
        <f>IFERROR(Kroll!E34,"")</f>
        <v>2.7</v>
      </c>
      <c r="AQ33">
        <f>IFERROR(Kroll!G34,"")</f>
        <v>9.4</v>
      </c>
      <c r="AS33" t="str">
        <f>IFERROR(Kroll!I34,"")</f>
        <v>NA</v>
      </c>
    </row>
    <row r="34" spans="29:45">
      <c r="AC34">
        <v>28</v>
      </c>
      <c r="AD34" t="s">
        <v>829</v>
      </c>
      <c r="AF34" cm="1">
        <f t="array" ref="AF34">INDEX(NYU!$F$12:$F$107,MATCH(AD34,NYU!$B$12:$B$107,0),0)</f>
        <v>3.42</v>
      </c>
      <c r="AH34" cm="1">
        <f t="array" ref="AH34">INDEX(NYU!$N$14:$N$109,MATCH(AD34,NYU!$K$14:$K$109,0),0)</f>
        <v>18.47</v>
      </c>
      <c r="AJ34" cm="1">
        <f t="array" ref="AJ34">INDEX(NYU!$O$14:$O$109,MATCH(AD34,NYU!$K$14:$K$109,0),0)</f>
        <v>22.91</v>
      </c>
      <c r="AL34">
        <f>IFERROR(Kroll!B35,"")</f>
        <v>28</v>
      </c>
      <c r="AM34" t="str">
        <f>IFERROR(Kroll!C35,"")</f>
        <v>Electric, Gas and Water Utilities</v>
      </c>
      <c r="AO34">
        <f>IFERROR(Kroll!E35,"")</f>
        <v>1.3</v>
      </c>
      <c r="AQ34">
        <f>IFERROR(Kroll!G35,"")</f>
        <v>8.3000000000000007</v>
      </c>
      <c r="AS34" t="str">
        <f>IFERROR(Kroll!I35,"")</f>
        <v>NA</v>
      </c>
    </row>
    <row r="35" spans="29:45">
      <c r="AC35">
        <v>29</v>
      </c>
      <c r="AD35" t="s">
        <v>830</v>
      </c>
      <c r="AF35" cm="1">
        <f t="array" ref="AF35">INDEX(NYU!$F$12:$F$107,MATCH(AD35,NYU!$B$12:$B$107,0),0)</f>
        <v>2.52</v>
      </c>
      <c r="AH35" cm="1">
        <f t="array" ref="AH35">INDEX(NYU!$N$14:$N$109,MATCH(AD35,NYU!$K$14:$K$109,0),0)</f>
        <v>13.09</v>
      </c>
      <c r="AJ35" cm="1">
        <f t="array" ref="AJ35">INDEX(NYU!$O$14:$O$109,MATCH(AD35,NYU!$K$14:$K$109,0),0)</f>
        <v>18.079999999999998</v>
      </c>
      <c r="AL35">
        <f>IFERROR(Kroll!B36,"")</f>
        <v>29</v>
      </c>
      <c r="AM35" t="str">
        <f>IFERROR(Kroll!C36,"")</f>
        <v>Independent Power and Renewable Electricity Producers</v>
      </c>
      <c r="AO35">
        <f>IFERROR(Kroll!E36,"")</f>
        <v>7.8</v>
      </c>
      <c r="AQ35">
        <f>IFERROR(Kroll!G36,"")</f>
        <v>14.7</v>
      </c>
      <c r="AS35" t="str">
        <f>IFERROR(Kroll!I36,"")</f>
        <v>NA</v>
      </c>
    </row>
    <row r="36" spans="29:45">
      <c r="AC36">
        <v>30</v>
      </c>
      <c r="AD36" t="s">
        <v>831</v>
      </c>
      <c r="AF36" cm="1">
        <f t="array" ref="AF36">INDEX(NYU!$F$12:$F$107,MATCH(AD36,NYU!$B$12:$B$107,0),0)</f>
        <v>0.7</v>
      </c>
      <c r="AH36" cm="1">
        <f t="array" ref="AH36">INDEX(NYU!$N$14:$N$109,MATCH(AD36,NYU!$K$14:$K$109,0),0)</f>
        <v>8.02</v>
      </c>
      <c r="AJ36" cm="1">
        <f t="array" ref="AJ36">INDEX(NYU!$O$14:$O$109,MATCH(AD36,NYU!$K$14:$K$109,0),0)</f>
        <v>12.01</v>
      </c>
      <c r="AL36">
        <f>IFERROR(Kroll!B37,"")</f>
        <v>30</v>
      </c>
      <c r="AM36" t="str">
        <f>IFERROR(Kroll!C37,"")</f>
        <v>__Nothing__</v>
      </c>
      <c r="AO36" t="str">
        <f>IFERROR(Kroll!E37,"")</f>
        <v>NA</v>
      </c>
      <c r="AQ36" t="str">
        <f>IFERROR(Kroll!G37,"")</f>
        <v>NA</v>
      </c>
      <c r="AS36" t="str">
        <f>IFERROR(Kroll!I37,"")</f>
        <v>NA</v>
      </c>
    </row>
    <row r="37" spans="29:45">
      <c r="AC37">
        <v>31</v>
      </c>
      <c r="AD37" t="s">
        <v>832</v>
      </c>
      <c r="AF37" cm="1">
        <f t="array" ref="AF37">INDEX(NYU!$F$12:$F$107,MATCH(AD37,NYU!$B$12:$B$107,0),0)</f>
        <v>2.36</v>
      </c>
      <c r="AH37" cm="1">
        <f t="array" ref="AH37">INDEX(NYU!$N$14:$N$109,MATCH(AD37,NYU!$K$14:$K$109,0),0)</f>
        <v>2.71</v>
      </c>
      <c r="AJ37" cm="1">
        <f t="array" ref="AJ37">INDEX(NYU!$O$14:$O$109,MATCH(AD37,NYU!$K$14:$K$109,0),0)</f>
        <v>49.16</v>
      </c>
      <c r="AM37" s="91"/>
      <c r="AO37" s="92"/>
      <c r="AQ37" s="92"/>
      <c r="AS37" s="14"/>
    </row>
    <row r="38" spans="29:45">
      <c r="AC38">
        <v>32</v>
      </c>
      <c r="AD38" t="s">
        <v>833</v>
      </c>
      <c r="AF38" cm="1">
        <f t="array" ref="AF38">INDEX(NYU!$F$12:$F$107,MATCH(AD38,NYU!$B$12:$B$107,0),0)</f>
        <v>0.99</v>
      </c>
      <c r="AH38" cm="1">
        <f t="array" ref="AH38">INDEX(NYU!$N$14:$N$109,MATCH(AD38,NYU!$K$14:$K$109,0),0)</f>
        <v>8.33</v>
      </c>
      <c r="AJ38" cm="1">
        <f t="array" ref="AJ38">INDEX(NYU!$O$14:$O$109,MATCH(AD38,NYU!$K$14:$K$109,0),0)</f>
        <v>13.7</v>
      </c>
      <c r="AM38" s="95"/>
      <c r="AO38" s="94"/>
      <c r="AQ38" s="94"/>
      <c r="AS38" s="14"/>
    </row>
    <row r="39" spans="29:45">
      <c r="AC39">
        <v>33</v>
      </c>
      <c r="AD39" t="s">
        <v>834</v>
      </c>
      <c r="AF39" cm="1">
        <f t="array" ref="AF39">INDEX(NYU!$F$12:$F$107,MATCH(AD39,NYU!$B$12:$B$107,0),0)</f>
        <v>1.29</v>
      </c>
      <c r="AH39" cm="1">
        <f t="array" ref="AH39">INDEX(NYU!$N$14:$N$109,MATCH(AD39,NYU!$K$14:$K$109,0),0)</f>
        <v>10.26</v>
      </c>
      <c r="AJ39" cm="1">
        <f t="array" ref="AJ39">INDEX(NYU!$O$14:$O$109,MATCH(AD39,NYU!$K$14:$K$109,0),0)</f>
        <v>13.4</v>
      </c>
      <c r="AM39" s="91"/>
      <c r="AO39" s="92"/>
      <c r="AQ39" s="92"/>
      <c r="AS39" s="14"/>
    </row>
    <row r="40" spans="29:45">
      <c r="AC40">
        <v>34</v>
      </c>
      <c r="AD40" t="s">
        <v>835</v>
      </c>
      <c r="AF40" cm="1">
        <f t="array" ref="AF40">INDEX(NYU!$F$12:$F$107,MATCH(AD40,NYU!$B$12:$B$107,0),0)</f>
        <v>6.6</v>
      </c>
      <c r="AH40" cm="1">
        <f t="array" ref="AH40">INDEX(NYU!$N$14:$N$109,MATCH(AD40,NYU!$K$14:$K$109,0),0)</f>
        <v>16.22</v>
      </c>
      <c r="AJ40" cm="1">
        <f t="array" ref="AJ40">INDEX(NYU!$O$14:$O$109,MATCH(AD40,NYU!$K$14:$K$109,0),0)</f>
        <v>18.260000000000002</v>
      </c>
      <c r="AM40" s="97"/>
      <c r="AQ40" s="14"/>
      <c r="AS40" s="14"/>
    </row>
    <row r="41" spans="29:45">
      <c r="AC41">
        <v>35</v>
      </c>
      <c r="AD41" t="s">
        <v>836</v>
      </c>
      <c r="AF41" cm="1">
        <f t="array" ref="AF41">INDEX(NYU!$F$12:$F$107,MATCH(AD41,NYU!$B$12:$B$107,0),0)</f>
        <v>1.67</v>
      </c>
      <c r="AH41" cm="1">
        <f t="array" ref="AH41">INDEX(NYU!$N$14:$N$109,MATCH(AD41,NYU!$K$14:$K$109,0),0)</f>
        <v>11.78</v>
      </c>
      <c r="AJ41" cm="1">
        <f t="array" ref="AJ41">INDEX(NYU!$O$14:$O$109,MATCH(AD41,NYU!$K$14:$K$109,0),0)</f>
        <v>15.18</v>
      </c>
      <c r="AS41" s="14"/>
    </row>
    <row r="42" spans="29:45">
      <c r="AC42">
        <v>36</v>
      </c>
      <c r="AD42" t="s">
        <v>837</v>
      </c>
      <c r="AF42" cm="1">
        <f t="array" ref="AF42">INDEX(NYU!$F$12:$F$107,MATCH(AD42,NYU!$B$12:$B$107,0),0)</f>
        <v>0.21</v>
      </c>
      <c r="AH42" cm="1">
        <f t="array" ref="AH42">INDEX(NYU!$N$14:$N$109,MATCH(AD42,NYU!$K$14:$K$109,0),0)</f>
        <v>8.2200000000000006</v>
      </c>
      <c r="AJ42" cm="1">
        <f t="array" ref="AJ42">INDEX(NYU!$O$14:$O$109,MATCH(AD42,NYU!$K$14:$K$109,0),0)</f>
        <v>20.49</v>
      </c>
    </row>
    <row r="43" spans="29:45">
      <c r="AC43">
        <v>37</v>
      </c>
      <c r="AD43" t="s">
        <v>838</v>
      </c>
      <c r="AF43" cm="1">
        <f t="array" ref="AF43">INDEX(NYU!$F$12:$F$107,MATCH(AD43,NYU!$B$12:$B$107,0),0)</f>
        <v>0.68</v>
      </c>
      <c r="AH43" cm="1">
        <f t="array" ref="AH43">INDEX(NYU!$N$14:$N$109,MATCH(AD43,NYU!$K$14:$K$109,0),0)</f>
        <v>10.41</v>
      </c>
      <c r="AJ43" cm="1">
        <f t="array" ref="AJ43">INDEX(NYU!$O$14:$O$109,MATCH(AD43,NYU!$K$14:$K$109,0),0)</f>
        <v>21.22</v>
      </c>
    </row>
    <row r="44" spans="29:45">
      <c r="AC44">
        <v>38</v>
      </c>
      <c r="AD44" t="s">
        <v>839</v>
      </c>
      <c r="AF44" cm="1">
        <f t="array" ref="AF44">INDEX(NYU!$F$12:$F$107,MATCH(AD44,NYU!$B$12:$B$107,0),0)</f>
        <v>3.54</v>
      </c>
      <c r="AH44" cm="1">
        <f t="array" ref="AH44">INDEX(NYU!$N$14:$N$109,MATCH(AD44,NYU!$K$14:$K$109,0),0)</f>
        <v>10.76</v>
      </c>
      <c r="AJ44" cm="1">
        <f t="array" ref="AJ44">INDEX(NYU!$O$14:$O$109,MATCH(AD44,NYU!$K$14:$K$109,0),0)</f>
        <v>18.010000000000002</v>
      </c>
    </row>
    <row r="45" spans="29:45">
      <c r="AC45">
        <v>39</v>
      </c>
      <c r="AD45" t="s">
        <v>840</v>
      </c>
      <c r="AF45" cm="1">
        <f t="array" ref="AF45">INDEX(NYU!$F$12:$F$107,MATCH(AD45,NYU!$B$12:$B$107,0),0)</f>
        <v>3.52</v>
      </c>
      <c r="AH45" cm="1">
        <f t="array" ref="AH45">INDEX(NYU!$N$14:$N$109,MATCH(AD45,NYU!$K$14:$K$109,0),0)</f>
        <v>17.350000000000001</v>
      </c>
      <c r="AJ45" cm="1">
        <f t="array" ref="AJ45">INDEX(NYU!$O$14:$O$109,MATCH(AD45,NYU!$K$14:$K$109,0),0)</f>
        <v>26.01</v>
      </c>
    </row>
    <row r="46" spans="29:45">
      <c r="AC46">
        <v>40</v>
      </c>
      <c r="AD46" t="s">
        <v>841</v>
      </c>
      <c r="AF46" cm="1">
        <f t="array" ref="AF46">INDEX(NYU!$F$12:$F$107,MATCH(AD46,NYU!$B$12:$B$107,0),0)</f>
        <v>1.1399999999999999</v>
      </c>
      <c r="AH46" cm="1">
        <f t="array" ref="AH46">INDEX(NYU!$N$14:$N$109,MATCH(AD46,NYU!$K$14:$K$109,0),0)</f>
        <v>12.04</v>
      </c>
      <c r="AJ46" cm="1">
        <f t="array" ref="AJ46">INDEX(NYU!$O$14:$O$109,MATCH(AD46,NYU!$K$14:$K$109,0),0)</f>
        <v>18.04</v>
      </c>
    </row>
    <row r="47" spans="29:45">
      <c r="AC47">
        <v>41</v>
      </c>
      <c r="AD47" t="s">
        <v>842</v>
      </c>
      <c r="AF47" cm="1">
        <f t="array" ref="AF47">INDEX(NYU!$F$12:$F$107,MATCH(AD47,NYU!$B$12:$B$107,0),0)</f>
        <v>3.64</v>
      </c>
      <c r="AH47" cm="1">
        <f t="array" ref="AH47">INDEX(NYU!$N$14:$N$109,MATCH(AD47,NYU!$K$14:$K$109,0),0)</f>
        <v>17.53</v>
      </c>
      <c r="AJ47" cm="1">
        <f t="array" ref="AJ47">INDEX(NYU!$O$14:$O$109,MATCH(AD47,NYU!$K$14:$K$109,0),0)</f>
        <v>29.27</v>
      </c>
    </row>
    <row r="48" spans="29:45">
      <c r="AC48">
        <v>42</v>
      </c>
      <c r="AD48" t="s">
        <v>843</v>
      </c>
      <c r="AF48" cm="1">
        <f t="array" ref="AF48">INDEX(NYU!$F$12:$F$107,MATCH(AD48,NYU!$B$12:$B$107,0),0)</f>
        <v>1.1200000000000001</v>
      </c>
      <c r="AH48" cm="1">
        <f t="array" ref="AH48">INDEX(NYU!$N$14:$N$109,MATCH(AD48,NYU!$K$14:$K$109,0),0)</f>
        <v>10</v>
      </c>
      <c r="AJ48" cm="1">
        <f t="array" ref="AJ48">INDEX(NYU!$O$14:$O$109,MATCH(AD48,NYU!$K$14:$K$109,0),0)</f>
        <v>10.78</v>
      </c>
    </row>
    <row r="49" spans="29:36">
      <c r="AC49">
        <v>43</v>
      </c>
      <c r="AD49" t="s">
        <v>844</v>
      </c>
      <c r="AF49" cm="1">
        <f t="array" ref="AF49">INDEX(NYU!$F$12:$F$107,MATCH(AD49,NYU!$B$12:$B$107,0),0)</f>
        <v>1.42</v>
      </c>
      <c r="AH49" cm="1">
        <f t="array" ref="AH49">INDEX(NYU!$N$14:$N$109,MATCH(AD49,NYU!$K$14:$K$109,0),0)</f>
        <v>15.34</v>
      </c>
      <c r="AJ49" cm="1">
        <f t="array" ref="AJ49">INDEX(NYU!$O$14:$O$109,MATCH(AD49,NYU!$K$14:$K$109,0),0)</f>
        <v>29.64</v>
      </c>
    </row>
    <row r="50" spans="29:36">
      <c r="AC50">
        <v>44</v>
      </c>
      <c r="AD50" t="s">
        <v>845</v>
      </c>
      <c r="AF50" cm="1">
        <f t="array" ref="AF50">INDEX(NYU!$F$12:$F$107,MATCH(AD50,NYU!$B$12:$B$107,0),0)</f>
        <v>2.35</v>
      </c>
      <c r="AH50" cm="1">
        <f t="array" ref="AH50">INDEX(NYU!$N$14:$N$109,MATCH(AD50,NYU!$K$14:$K$109,0),0)</f>
        <v>12.35</v>
      </c>
      <c r="AJ50" cm="1">
        <f t="array" ref="AJ50">INDEX(NYU!$O$14:$O$109,MATCH(AD50,NYU!$K$14:$K$109,0),0)</f>
        <v>17.809999999999999</v>
      </c>
    </row>
    <row r="51" spans="29:36">
      <c r="AC51">
        <v>45</v>
      </c>
      <c r="AD51" t="s">
        <v>846</v>
      </c>
      <c r="AF51" cm="1">
        <f t="array" ref="AF51">INDEX(NYU!$F$12:$F$107,MATCH(AD51,NYU!$B$12:$B$107,0),0)</f>
        <v>2.95</v>
      </c>
      <c r="AH51" cm="1">
        <f t="array" ref="AH51">INDEX(NYU!$N$14:$N$109,MATCH(AD51,NYU!$K$14:$K$109,0),0)</f>
        <v>14.9</v>
      </c>
      <c r="AJ51" cm="1">
        <f t="array" ref="AJ51">INDEX(NYU!$O$14:$O$109,MATCH(AD51,NYU!$K$14:$K$109,0),0)</f>
        <v>16.82</v>
      </c>
    </row>
    <row r="52" spans="29:36">
      <c r="AC52">
        <v>46</v>
      </c>
      <c r="AD52" t="s">
        <v>847</v>
      </c>
      <c r="AF52" cm="1">
        <f t="array" ref="AF52">INDEX(NYU!$F$12:$F$107,MATCH(AD52,NYU!$B$12:$B$107,0),0)</f>
        <v>0.8</v>
      </c>
      <c r="AH52" cm="1">
        <f t="array" ref="AH52">INDEX(NYU!$N$14:$N$109,MATCH(AD52,NYU!$K$14:$K$109,0),0)</f>
        <v>6.18</v>
      </c>
      <c r="AJ52" cm="1">
        <f t="array" ref="AJ52">INDEX(NYU!$O$14:$O$109,MATCH(AD52,NYU!$K$14:$K$109,0),0)</f>
        <v>8.6</v>
      </c>
    </row>
    <row r="53" spans="29:36">
      <c r="AC53">
        <v>47</v>
      </c>
      <c r="AD53" t="s">
        <v>848</v>
      </c>
      <c r="AF53" cm="1">
        <f t="array" ref="AF53">INDEX(NYU!$F$12:$F$107,MATCH(AD53,NYU!$B$12:$B$107,0),0)</f>
        <v>1.07</v>
      </c>
      <c r="AH53" cm="1">
        <f t="array" ref="AH53">INDEX(NYU!$N$14:$N$109,MATCH(AD53,NYU!$K$14:$K$109,0),0)</f>
        <v>6.47</v>
      </c>
      <c r="AJ53" cm="1">
        <f t="array" ref="AJ53">INDEX(NYU!$O$14:$O$109,MATCH(AD53,NYU!$K$14:$K$109,0),0)</f>
        <v>6.07</v>
      </c>
    </row>
    <row r="54" spans="29:36">
      <c r="AC54">
        <v>48</v>
      </c>
      <c r="AD54" t="s">
        <v>849</v>
      </c>
      <c r="AF54" cm="1">
        <f t="array" ref="AF54">INDEX(NYU!$F$12:$F$107,MATCH(AD54,NYU!$B$12:$B$107,0),0)</f>
        <v>1.75</v>
      </c>
      <c r="AH54" cm="1">
        <f t="array" ref="AH54">INDEX(NYU!$N$14:$N$109,MATCH(AD54,NYU!$K$14:$K$109,0),0)</f>
        <v>9.77</v>
      </c>
      <c r="AJ54" cm="1">
        <f t="array" ref="AJ54">INDEX(NYU!$O$14:$O$109,MATCH(AD54,NYU!$K$14:$K$109,0),0)</f>
        <v>10.36</v>
      </c>
    </row>
    <row r="55" spans="29:36">
      <c r="AC55">
        <v>49</v>
      </c>
      <c r="AD55" t="s">
        <v>850</v>
      </c>
      <c r="AF55" cm="1">
        <f t="array" ref="AF55">INDEX(NYU!$F$12:$F$107,MATCH(AD55,NYU!$B$12:$B$107,0),0)</f>
        <v>2.14</v>
      </c>
      <c r="AH55" cm="1">
        <f t="array" ref="AH55">INDEX(NYU!$N$14:$N$109,MATCH(AD55,NYU!$K$14:$K$109,0),0)</f>
        <v>10.36</v>
      </c>
      <c r="AJ55" cm="1">
        <f t="array" ref="AJ55">INDEX(NYU!$O$14:$O$109,MATCH(AD55,NYU!$K$14:$K$109,0),0)</f>
        <v>11</v>
      </c>
    </row>
    <row r="56" spans="29:36">
      <c r="AC56">
        <v>50</v>
      </c>
      <c r="AD56" t="s">
        <v>851</v>
      </c>
      <c r="AF56" cm="1">
        <f t="array" ref="AF56">INDEX(NYU!$F$12:$F$107,MATCH(AD56,NYU!$B$12:$B$107,0),0)</f>
        <v>2.85</v>
      </c>
      <c r="AH56" cm="1">
        <f t="array" ref="AH56">INDEX(NYU!$N$14:$N$109,MATCH(AD56,NYU!$K$14:$K$109,0),0)</f>
        <v>11.7</v>
      </c>
      <c r="AJ56" cm="1">
        <f t="array" ref="AJ56">INDEX(NYU!$O$14:$O$109,MATCH(AD56,NYU!$K$14:$K$109,0),0)</f>
        <v>11.34</v>
      </c>
    </row>
    <row r="57" spans="29:36">
      <c r="AC57">
        <v>51</v>
      </c>
      <c r="AD57" t="s">
        <v>852</v>
      </c>
      <c r="AF57" cm="1">
        <f t="array" ref="AF57">INDEX(NYU!$F$12:$F$107,MATCH(AD57,NYU!$B$12:$B$107,0),0)</f>
        <v>1.84</v>
      </c>
      <c r="AH57" cm="1">
        <f t="array" ref="AH57">INDEX(NYU!$N$14:$N$109,MATCH(AD57,NYU!$K$14:$K$109,0),0)</f>
        <v>12.56</v>
      </c>
      <c r="AJ57" cm="1">
        <f t="array" ref="AJ57">INDEX(NYU!$O$14:$O$109,MATCH(AD57,NYU!$K$14:$K$109,0),0)</f>
        <v>16.04</v>
      </c>
    </row>
    <row r="58" spans="29:36">
      <c r="AC58">
        <v>52</v>
      </c>
      <c r="AD58" t="s">
        <v>853</v>
      </c>
      <c r="AF58" cm="1">
        <f t="array" ref="AF58">INDEX(NYU!$F$12:$F$107,MATCH(AD58,NYU!$B$12:$B$107,0),0)</f>
        <v>0.78</v>
      </c>
      <c r="AH58" cm="1">
        <f t="array" ref="AH58">INDEX(NYU!$N$14:$N$109,MATCH(AD58,NYU!$K$14:$K$109,0),0)</f>
        <v>5.67</v>
      </c>
      <c r="AJ58" cm="1">
        <f t="array" ref="AJ58">INDEX(NYU!$O$14:$O$109,MATCH(AD58,NYU!$K$14:$K$109,0),0)</f>
        <v>8.94</v>
      </c>
    </row>
    <row r="59" spans="29:36">
      <c r="AC59">
        <v>53</v>
      </c>
      <c r="AD59" t="s">
        <v>854</v>
      </c>
      <c r="AF59" cm="1">
        <f t="array" ref="AF59">INDEX(NYU!$F$12:$F$107,MATCH(AD59,NYU!$B$12:$B$107,0),0)</f>
        <v>0.87</v>
      </c>
      <c r="AH59" cm="1">
        <f t="array" ref="AH59">INDEX(NYU!$N$14:$N$109,MATCH(AD59,NYU!$K$14:$K$109,0),0)</f>
        <v>6.9</v>
      </c>
      <c r="AJ59" cm="1">
        <f t="array" ref="AJ59">INDEX(NYU!$O$14:$O$109,MATCH(AD59,NYU!$K$14:$K$109,0),0)</f>
        <v>9</v>
      </c>
    </row>
    <row r="60" spans="29:36">
      <c r="AC60">
        <v>54</v>
      </c>
      <c r="AD60" t="s">
        <v>855</v>
      </c>
      <c r="AF60" cm="1">
        <f t="array" ref="AF60">INDEX(NYU!$F$12:$F$107,MATCH(AD60,NYU!$B$12:$B$107,0),0)</f>
        <v>0.68</v>
      </c>
      <c r="AH60" cm="1">
        <f t="array" ref="AH60">INDEX(NYU!$N$14:$N$109,MATCH(AD60,NYU!$K$14:$K$109,0),0)</f>
        <v>3.81</v>
      </c>
      <c r="AJ60" cm="1">
        <f t="array" ref="AJ60">INDEX(NYU!$O$14:$O$109,MATCH(AD60,NYU!$K$14:$K$109,0),0)</f>
        <v>5.96</v>
      </c>
    </row>
    <row r="61" spans="29:36">
      <c r="AC61">
        <v>55</v>
      </c>
      <c r="AD61" t="s">
        <v>856</v>
      </c>
      <c r="AF61" cm="1">
        <f t="array" ref="AF61">INDEX(NYU!$F$12:$F$107,MATCH(AD61,NYU!$B$12:$B$107,0),0)</f>
        <v>1.59</v>
      </c>
      <c r="AH61" cm="1">
        <f t="array" ref="AH61">INDEX(NYU!$N$14:$N$109,MATCH(AD61,NYU!$K$14:$K$109,0),0)</f>
        <v>2.34</v>
      </c>
      <c r="AJ61" cm="1">
        <f t="array" ref="AJ61">INDEX(NYU!$O$14:$O$109,MATCH(AD61,NYU!$K$14:$K$109,0),0)</f>
        <v>4.01</v>
      </c>
    </row>
    <row r="62" spans="29:36">
      <c r="AC62">
        <v>56</v>
      </c>
      <c r="AD62" t="s">
        <v>857</v>
      </c>
      <c r="AF62" cm="1">
        <f t="array" ref="AF62">INDEX(NYU!$F$12:$F$107,MATCH(AD62,NYU!$B$12:$B$107,0),0)</f>
        <v>2.38</v>
      </c>
      <c r="AH62" cm="1">
        <f t="array" ref="AH62">INDEX(NYU!$N$14:$N$109,MATCH(AD62,NYU!$K$14:$K$109,0),0)</f>
        <v>6.4</v>
      </c>
      <c r="AJ62" cm="1">
        <f t="array" ref="AJ62">INDEX(NYU!$O$14:$O$109,MATCH(AD62,NYU!$K$14:$K$109,0),0)</f>
        <v>8.81</v>
      </c>
    </row>
    <row r="63" spans="29:36">
      <c r="AC63">
        <v>57</v>
      </c>
      <c r="AD63" t="s">
        <v>858</v>
      </c>
      <c r="AF63" cm="1">
        <f t="array" ref="AF63">INDEX(NYU!$F$12:$F$107,MATCH(AD63,NYU!$B$12:$B$107,0),0)</f>
        <v>0.46</v>
      </c>
      <c r="AH63" cm="1">
        <f t="array" ref="AH63">INDEX(NYU!$N$14:$N$109,MATCH(AD63,NYU!$K$14:$K$109,0),0)</f>
        <v>4.1900000000000004</v>
      </c>
      <c r="AJ63" cm="1">
        <f t="array" ref="AJ63">INDEX(NYU!$O$14:$O$109,MATCH(AD63,NYU!$K$14:$K$109,0),0)</f>
        <v>6.22</v>
      </c>
    </row>
    <row r="64" spans="29:36">
      <c r="AC64">
        <v>58</v>
      </c>
      <c r="AD64" t="s">
        <v>859</v>
      </c>
      <c r="AF64" cm="1">
        <f t="array" ref="AF64">INDEX(NYU!$F$12:$F$107,MATCH(AD64,NYU!$B$12:$B$107,0),0)</f>
        <v>1.61</v>
      </c>
      <c r="AH64" cm="1">
        <f t="array" ref="AH64">INDEX(NYU!$N$14:$N$109,MATCH(AD64,NYU!$K$14:$K$109,0),0)</f>
        <v>10.86</v>
      </c>
      <c r="AJ64" cm="1">
        <f t="array" ref="AJ64">INDEX(NYU!$O$14:$O$109,MATCH(AD64,NYU!$K$14:$K$109,0),0)</f>
        <v>19.329999999999998</v>
      </c>
    </row>
    <row r="65" spans="29:36">
      <c r="AC65">
        <v>59</v>
      </c>
      <c r="AD65" t="s">
        <v>860</v>
      </c>
      <c r="AF65" cm="1">
        <f t="array" ref="AF65">INDEX(NYU!$F$12:$F$107,MATCH(AD65,NYU!$B$12:$B$107,0),0)</f>
        <v>1.43</v>
      </c>
      <c r="AH65" cm="1">
        <f t="array" ref="AH65">INDEX(NYU!$N$14:$N$109,MATCH(AD65,NYU!$K$14:$K$109,0),0)</f>
        <v>9.8000000000000007</v>
      </c>
      <c r="AJ65" cm="1">
        <f t="array" ref="AJ65">INDEX(NYU!$O$14:$O$109,MATCH(AD65,NYU!$K$14:$K$109,0),0)</f>
        <v>15.12</v>
      </c>
    </row>
    <row r="66" spans="29:36">
      <c r="AC66">
        <v>60</v>
      </c>
      <c r="AD66" t="s">
        <v>861</v>
      </c>
      <c r="AF66" cm="1">
        <f t="array" ref="AF66">INDEX(NYU!$F$12:$F$107,MATCH(AD66,NYU!$B$12:$B$107,0),0)</f>
        <v>1.38</v>
      </c>
      <c r="AH66" cm="1">
        <f t="array" ref="AH66">INDEX(NYU!$N$14:$N$109,MATCH(AD66,NYU!$K$14:$K$109,0),0)</f>
        <v>7.16</v>
      </c>
      <c r="AJ66" cm="1">
        <f t="array" ref="AJ66">INDEX(NYU!$O$14:$O$109,MATCH(AD66,NYU!$K$14:$K$109,0),0)</f>
        <v>10.34</v>
      </c>
    </row>
    <row r="67" spans="29:36">
      <c r="AC67">
        <v>61</v>
      </c>
      <c r="AD67" t="s">
        <v>862</v>
      </c>
      <c r="AF67" cm="1">
        <f t="array" ref="AF67">INDEX(NYU!$F$12:$F$107,MATCH(AD67,NYU!$B$12:$B$107,0),0)</f>
        <v>2.04</v>
      </c>
      <c r="AH67" cm="1">
        <f t="array" ref="AH67">INDEX(NYU!$N$14:$N$109,MATCH(AD67,NYU!$K$14:$K$109,0),0)</f>
        <v>5.77</v>
      </c>
      <c r="AJ67" cm="1">
        <f t="array" ref="AJ67">INDEX(NYU!$O$14:$O$109,MATCH(AD67,NYU!$K$14:$K$109,0),0)</f>
        <v>17.170000000000002</v>
      </c>
    </row>
    <row r="68" spans="29:36">
      <c r="AC68">
        <v>62</v>
      </c>
      <c r="AD68" t="s">
        <v>863</v>
      </c>
      <c r="AF68" cm="1">
        <f t="array" ref="AF68">INDEX(NYU!$F$12:$F$107,MATCH(AD68,NYU!$B$12:$B$107,0),0)</f>
        <v>1.34</v>
      </c>
      <c r="AH68" cm="1">
        <f t="array" ref="AH68">INDEX(NYU!$N$14:$N$109,MATCH(AD68,NYU!$K$14:$K$109,0),0)</f>
        <v>9.4499999999999993</v>
      </c>
      <c r="AJ68" cm="1">
        <f t="array" ref="AJ68">INDEX(NYU!$O$14:$O$109,MATCH(AD68,NYU!$K$14:$K$109,0),0)</f>
        <v>14.97</v>
      </c>
    </row>
    <row r="69" spans="29:36">
      <c r="AC69">
        <v>63</v>
      </c>
      <c r="AD69" t="s">
        <v>864</v>
      </c>
      <c r="AF69" cm="1">
        <f t="array" ref="AF69">INDEX(NYU!$F$12:$F$107,MATCH(AD69,NYU!$B$12:$B$107,0),0)</f>
        <v>11.1</v>
      </c>
      <c r="AH69" cm="1">
        <f t="array" ref="AH69">INDEX(NYU!$N$14:$N$109,MATCH(AD69,NYU!$K$14:$K$109,0),0)</f>
        <v>20.48</v>
      </c>
      <c r="AJ69" cm="1">
        <f t="array" ref="AJ69">INDEX(NYU!$O$14:$O$109,MATCH(AD69,NYU!$K$14:$K$109,0),0)</f>
        <v>20.98</v>
      </c>
    </row>
    <row r="70" spans="29:36">
      <c r="AC70">
        <v>64</v>
      </c>
      <c r="AD70" t="s">
        <v>865</v>
      </c>
      <c r="AF70" cm="1">
        <f t="array" ref="AF70">INDEX(NYU!$F$12:$F$107,MATCH(AD70,NYU!$B$12:$B$107,0),0)</f>
        <v>1.81</v>
      </c>
      <c r="AH70" cm="1">
        <f t="array" ref="AH70">INDEX(NYU!$N$14:$N$109,MATCH(AD70,NYU!$K$14:$K$109,0),0)</f>
        <v>12.54</v>
      </c>
      <c r="AJ70" cm="1">
        <f t="array" ref="AJ70">INDEX(NYU!$O$14:$O$109,MATCH(AD70,NYU!$K$14:$K$109,0),0)</f>
        <v>42.2</v>
      </c>
    </row>
    <row r="71" spans="29:36">
      <c r="AC71">
        <v>65</v>
      </c>
      <c r="AD71" t="s">
        <v>866</v>
      </c>
      <c r="AF71" cm="1">
        <f t="array" ref="AF71">INDEX(NYU!$F$12:$F$107,MATCH(AD71,NYU!$B$12:$B$107,0),0)</f>
        <v>9.5500000000000007</v>
      </c>
      <c r="AH71" cm="1">
        <f t="array" ref="AH71">INDEX(NYU!$N$14:$N$109,MATCH(AD71,NYU!$K$14:$K$109,0),0)</f>
        <v>30.91</v>
      </c>
      <c r="AJ71" cm="1">
        <f t="array" ref="AJ71">INDEX(NYU!$O$14:$O$109,MATCH(AD71,NYU!$K$14:$K$109,0),0)</f>
        <v>43.53</v>
      </c>
    </row>
    <row r="72" spans="29:36">
      <c r="AC72">
        <v>66</v>
      </c>
      <c r="AD72" t="s">
        <v>867</v>
      </c>
      <c r="AF72" cm="1">
        <f t="array" ref="AF72">INDEX(NYU!$F$12:$F$107,MATCH(AD72,NYU!$B$12:$B$107,0),0)</f>
        <v>8.6</v>
      </c>
      <c r="AH72" cm="1">
        <f t="array" ref="AH72">INDEX(NYU!$N$14:$N$109,MATCH(AD72,NYU!$K$14:$K$109,0),0)</f>
        <v>22.46</v>
      </c>
      <c r="AJ72" cm="1">
        <f t="array" ref="AJ72">INDEX(NYU!$O$14:$O$109,MATCH(AD72,NYU!$K$14:$K$109,0),0)</f>
        <v>23.6</v>
      </c>
    </row>
    <row r="73" spans="29:36">
      <c r="AC73">
        <v>67</v>
      </c>
      <c r="AD73" t="s">
        <v>868</v>
      </c>
      <c r="AF73" cm="1">
        <f t="array" ref="AF73">INDEX(NYU!$F$12:$F$107,MATCH(AD73,NYU!$B$12:$B$107,0),0)</f>
        <v>2.04</v>
      </c>
      <c r="AH73" cm="1">
        <f t="array" ref="AH73">INDEX(NYU!$N$14:$N$109,MATCH(AD73,NYU!$K$14:$K$109,0),0)</f>
        <v>10.86</v>
      </c>
      <c r="AJ73" cm="1">
        <f t="array" ref="AJ73">INDEX(NYU!$O$14:$O$109,MATCH(AD73,NYU!$K$14:$K$109,0),0)</f>
        <v>15.71</v>
      </c>
    </row>
    <row r="74" spans="29:36">
      <c r="AC74">
        <v>68</v>
      </c>
      <c r="AD74" t="s">
        <v>869</v>
      </c>
      <c r="AF74" cm="1">
        <f t="array" ref="AF74">INDEX(NYU!$F$12:$F$107,MATCH(AD74,NYU!$B$12:$B$107,0),0)</f>
        <v>0.93</v>
      </c>
      <c r="AH74" cm="1">
        <f t="array" ref="AH74">INDEX(NYU!$N$14:$N$109,MATCH(AD74,NYU!$K$14:$K$109,0),0)</f>
        <v>9.98</v>
      </c>
      <c r="AJ74" cm="1">
        <f t="array" ref="AJ74">INDEX(NYU!$O$14:$O$109,MATCH(AD74,NYU!$K$14:$K$109,0),0)</f>
        <v>8.91</v>
      </c>
    </row>
    <row r="75" spans="29:36">
      <c r="AC75">
        <v>69</v>
      </c>
      <c r="AD75" t="s">
        <v>870</v>
      </c>
      <c r="AF75" cm="1">
        <f t="array" ref="AF75">INDEX(NYU!$F$12:$F$107,MATCH(AD75,NYU!$B$12:$B$107,0),0)</f>
        <v>1.07</v>
      </c>
      <c r="AH75" cm="1">
        <f t="array" ref="AH75">INDEX(NYU!$N$14:$N$109,MATCH(AD75,NYU!$K$14:$K$109,0),0)</f>
        <v>13.4</v>
      </c>
      <c r="AJ75" cm="1">
        <f t="array" ref="AJ75">INDEX(NYU!$O$14:$O$109,MATCH(AD75,NYU!$K$14:$K$109,0),0)</f>
        <v>20.84</v>
      </c>
    </row>
    <row r="76" spans="29:36">
      <c r="AC76">
        <v>70</v>
      </c>
      <c r="AD76" t="s">
        <v>871</v>
      </c>
      <c r="AF76" cm="1">
        <f t="array" ref="AF76">INDEX(NYU!$F$12:$F$107,MATCH(AD76,NYU!$B$12:$B$107,0),0)</f>
        <v>0.42</v>
      </c>
      <c r="AH76" cm="1">
        <f t="array" ref="AH76">INDEX(NYU!$N$14:$N$109,MATCH(AD76,NYU!$K$14:$K$109,0),0)</f>
        <v>11.18</v>
      </c>
      <c r="AJ76" cm="1">
        <f t="array" ref="AJ76">INDEX(NYU!$O$14:$O$109,MATCH(AD76,NYU!$K$14:$K$109,0),0)</f>
        <v>18</v>
      </c>
    </row>
    <row r="77" spans="29:36">
      <c r="AC77">
        <v>71</v>
      </c>
      <c r="AD77" t="s">
        <v>872</v>
      </c>
      <c r="AF77" cm="1">
        <f t="array" ref="AF77">INDEX(NYU!$F$12:$F$107,MATCH(AD77,NYU!$B$12:$B$107,0),0)</f>
        <v>0.57999999999999996</v>
      </c>
      <c r="AH77" cm="1">
        <f t="array" ref="AH77">INDEX(NYU!$N$14:$N$109,MATCH(AD77,NYU!$K$14:$K$109,0),0)</f>
        <v>8.08</v>
      </c>
      <c r="AJ77" cm="1">
        <f t="array" ref="AJ77">INDEX(NYU!$O$14:$O$109,MATCH(AD77,NYU!$K$14:$K$109,0),0)</f>
        <v>11.1</v>
      </c>
    </row>
    <row r="78" spans="29:36">
      <c r="AC78">
        <v>72</v>
      </c>
      <c r="AD78" t="s">
        <v>873</v>
      </c>
      <c r="AF78" cm="1">
        <f t="array" ref="AF78">INDEX(NYU!$F$12:$F$107,MATCH(AD78,NYU!$B$12:$B$107,0),0)</f>
        <v>1.19</v>
      </c>
      <c r="AH78" cm="1">
        <f t="array" ref="AH78">INDEX(NYU!$N$14:$N$109,MATCH(AD78,NYU!$K$14:$K$109,0),0)</f>
        <v>12.14</v>
      </c>
      <c r="AJ78" cm="1">
        <f t="array" ref="AJ78">INDEX(NYU!$O$14:$O$109,MATCH(AD78,NYU!$K$14:$K$109,0),0)</f>
        <v>15.7</v>
      </c>
    </row>
    <row r="79" spans="29:36">
      <c r="AC79">
        <v>73</v>
      </c>
      <c r="AD79" t="s">
        <v>874</v>
      </c>
      <c r="AF79" cm="1">
        <f t="array" ref="AF79">INDEX(NYU!$F$12:$F$107,MATCH(AD79,NYU!$B$12:$B$107,0),0)</f>
        <v>1.29</v>
      </c>
      <c r="AH79" cm="1">
        <f t="array" ref="AH79">INDEX(NYU!$N$14:$N$109,MATCH(AD79,NYU!$K$14:$K$109,0),0)</f>
        <v>20.89</v>
      </c>
      <c r="AJ79" cm="1">
        <f t="array" ref="AJ79">INDEX(NYU!$O$14:$O$109,MATCH(AD79,NYU!$K$14:$K$109,0),0)</f>
        <v>31.2</v>
      </c>
    </row>
    <row r="80" spans="29:36">
      <c r="AC80">
        <v>74</v>
      </c>
      <c r="AD80" t="s">
        <v>875</v>
      </c>
      <c r="AF80" cm="1">
        <f t="array" ref="AF80">INDEX(NYU!$F$12:$F$107,MATCH(AD80,NYU!$B$12:$B$107,0),0)</f>
        <v>0.5</v>
      </c>
      <c r="AH80" cm="1">
        <f t="array" ref="AH80">INDEX(NYU!$N$14:$N$109,MATCH(AD80,NYU!$K$14:$K$109,0),0)</f>
        <v>8.68</v>
      </c>
      <c r="AJ80" cm="1">
        <f t="array" ref="AJ80">INDEX(NYU!$O$14:$O$109,MATCH(AD80,NYU!$K$14:$K$109,0),0)</f>
        <v>13.8</v>
      </c>
    </row>
    <row r="81" spans="29:36">
      <c r="AC81">
        <v>75</v>
      </c>
      <c r="AD81" t="s">
        <v>876</v>
      </c>
      <c r="AF81" cm="1">
        <f t="array" ref="AF81">INDEX(NYU!$F$12:$F$107,MATCH(AD81,NYU!$B$12:$B$107,0),0)</f>
        <v>10.65</v>
      </c>
      <c r="AH81" cm="1">
        <f t="array" ref="AH81">INDEX(NYU!$N$14:$N$109,MATCH(AD81,NYU!$K$14:$K$109,0),0)</f>
        <v>17.55</v>
      </c>
      <c r="AJ81" cm="1">
        <f t="array" ref="AJ81">INDEX(NYU!$O$14:$O$109,MATCH(AD81,NYU!$K$14:$K$109,0),0)</f>
        <v>17.059999999999999</v>
      </c>
    </row>
    <row r="82" spans="29:36">
      <c r="AC82">
        <v>76</v>
      </c>
      <c r="AD82" t="s">
        <v>877</v>
      </c>
      <c r="AF82" cm="1">
        <f t="array" ref="AF82">INDEX(NYU!$F$12:$F$107,MATCH(AD82,NYU!$B$12:$B$107,0),0)</f>
        <v>1.39</v>
      </c>
      <c r="AH82" cm="1">
        <f t="array" ref="AH82">INDEX(NYU!$N$14:$N$109,MATCH(AD82,NYU!$K$14:$K$109,0),0)</f>
        <v>13.02</v>
      </c>
      <c r="AJ82" cm="1">
        <f t="array" ref="AJ82">INDEX(NYU!$O$14:$O$109,MATCH(AD82,NYU!$K$14:$K$109,0),0)</f>
        <v>17.91</v>
      </c>
    </row>
    <row r="83" spans="29:36">
      <c r="AC83">
        <v>77</v>
      </c>
      <c r="AD83" t="s">
        <v>878</v>
      </c>
      <c r="AF83" cm="1">
        <f t="array" ref="AF83">INDEX(NYU!$F$12:$F$107,MATCH(AD83,NYU!$B$12:$B$107,0),0)</f>
        <v>1</v>
      </c>
      <c r="AH83" cm="1">
        <f t="array" ref="AH83">INDEX(NYU!$N$14:$N$109,MATCH(AD83,NYU!$K$14:$K$109,0),0)</f>
        <v>5.59</v>
      </c>
      <c r="AJ83" cm="1">
        <f t="array" ref="AJ83">INDEX(NYU!$O$14:$O$109,MATCH(AD83,NYU!$K$14:$K$109,0),0)</f>
        <v>8.6300000000000008</v>
      </c>
    </row>
    <row r="84" spans="29:36">
      <c r="AC84">
        <v>78</v>
      </c>
      <c r="AD84" t="s">
        <v>879</v>
      </c>
      <c r="AF84" cm="1">
        <f t="array" ref="AF84">INDEX(NYU!$F$12:$F$107,MATCH(AD84,NYU!$B$12:$B$107,0),0)</f>
        <v>2.74</v>
      </c>
      <c r="AH84" cm="1">
        <f t="array" ref="AH84">INDEX(NYU!$N$14:$N$109,MATCH(AD84,NYU!$K$14:$K$109,0),0)</f>
        <v>9.06</v>
      </c>
      <c r="AJ84" cm="1">
        <f t="array" ref="AJ84">INDEX(NYU!$O$14:$O$109,MATCH(AD84,NYU!$K$14:$K$109,0),0)</f>
        <v>13.99</v>
      </c>
    </row>
    <row r="85" spans="29:36">
      <c r="AC85">
        <v>79</v>
      </c>
      <c r="AD85" t="s">
        <v>880</v>
      </c>
      <c r="AF85" cm="1">
        <f t="array" ref="AF85">INDEX(NYU!$F$12:$F$107,MATCH(AD85,NYU!$B$12:$B$107,0),0)</f>
        <v>8.17</v>
      </c>
      <c r="AH85" cm="1">
        <f t="array" ref="AH85">INDEX(NYU!$N$14:$N$109,MATCH(AD85,NYU!$K$14:$K$109,0),0)</f>
        <v>26.39</v>
      </c>
      <c r="AJ85" cm="1">
        <f t="array" ref="AJ85">INDEX(NYU!$O$14:$O$109,MATCH(AD85,NYU!$K$14:$K$109,0),0)</f>
        <v>30.88</v>
      </c>
    </row>
    <row r="86" spans="29:36">
      <c r="AC86">
        <v>80</v>
      </c>
      <c r="AD86" t="s">
        <v>881</v>
      </c>
      <c r="AF86" cm="1">
        <f t="array" ref="AF86">INDEX(NYU!$F$12:$F$107,MATCH(AD86,NYU!$B$12:$B$107,0),0)</f>
        <v>1.02</v>
      </c>
      <c r="AH86" cm="1">
        <f t="array" ref="AH86">INDEX(NYU!$N$14:$N$109,MATCH(AD86,NYU!$K$14:$K$109,0),0)</f>
        <v>6.72</v>
      </c>
      <c r="AJ86" cm="1">
        <f t="array" ref="AJ86">INDEX(NYU!$O$14:$O$109,MATCH(AD86,NYU!$K$14:$K$109,0),0)</f>
        <v>9.9600000000000009</v>
      </c>
    </row>
    <row r="87" spans="29:36">
      <c r="AC87">
        <v>81</v>
      </c>
      <c r="AD87" t="s">
        <v>882</v>
      </c>
      <c r="AF87" cm="1">
        <f t="array" ref="AF87">INDEX(NYU!$F$12:$F$107,MATCH(AD87,NYU!$B$12:$B$107,0),0)</f>
        <v>2.4900000000000002</v>
      </c>
      <c r="AH87" cm="1">
        <f t="array" ref="AH87">INDEX(NYU!$N$14:$N$109,MATCH(AD87,NYU!$K$14:$K$109,0),0)</f>
        <v>21.59</v>
      </c>
      <c r="AJ87" cm="1">
        <f t="array" ref="AJ87">INDEX(NYU!$O$14:$O$109,MATCH(AD87,NYU!$K$14:$K$109,0),0)</f>
        <v>26.31</v>
      </c>
    </row>
    <row r="88" spans="29:36">
      <c r="AC88">
        <v>82</v>
      </c>
      <c r="AD88" t="s">
        <v>883</v>
      </c>
      <c r="AF88" cm="1">
        <f t="array" ref="AF88">INDEX(NYU!$F$12:$F$107,MATCH(AD88,NYU!$B$12:$B$107,0),0)</f>
        <v>2.5299999999999998</v>
      </c>
      <c r="AH88" cm="1">
        <f t="array" ref="AH88">INDEX(NYU!$N$14:$N$109,MATCH(AD88,NYU!$K$14:$K$109,0),0)</f>
        <v>13.82</v>
      </c>
      <c r="AJ88" cm="1">
        <f t="array" ref="AJ88">INDEX(NYU!$O$14:$O$109,MATCH(AD88,NYU!$K$14:$K$109,0),0)</f>
        <v>21.01</v>
      </c>
    </row>
    <row r="89" spans="29:36">
      <c r="AC89">
        <v>83</v>
      </c>
      <c r="AD89" t="s">
        <v>884</v>
      </c>
      <c r="AF89" cm="1">
        <f t="array" ref="AF89">INDEX(NYU!$F$12:$F$107,MATCH(AD89,NYU!$B$12:$B$107,0),0)</f>
        <v>2.2999999999999998</v>
      </c>
      <c r="AH89" cm="1">
        <f t="array" ref="AH89">INDEX(NYU!$N$14:$N$109,MATCH(AD89,NYU!$K$14:$K$109,0),0)</f>
        <v>10.01</v>
      </c>
      <c r="AJ89" cm="1">
        <f t="array" ref="AJ89">INDEX(NYU!$O$14:$O$109,MATCH(AD89,NYU!$K$14:$K$109,0),0)</f>
        <v>21.46</v>
      </c>
    </row>
    <row r="90" spans="29:36">
      <c r="AC90">
        <v>84</v>
      </c>
      <c r="AD90" t="s">
        <v>885</v>
      </c>
      <c r="AF90" cm="1">
        <f t="array" ref="AF90">INDEX(NYU!$F$12:$F$107,MATCH(AD90,NYU!$B$12:$B$107,0),0)</f>
        <v>5.74</v>
      </c>
      <c r="AH90" cm="1">
        <f t="array" ref="AH90">INDEX(NYU!$N$14:$N$109,MATCH(AD90,NYU!$K$14:$K$109,0),0)</f>
        <v>26.51</v>
      </c>
      <c r="AJ90" cm="1">
        <f t="array" ref="AJ90">INDEX(NYU!$O$14:$O$109,MATCH(AD90,NYU!$K$14:$K$109,0),0)</f>
        <v>31.86</v>
      </c>
    </row>
    <row r="91" spans="29:36">
      <c r="AC91">
        <v>85</v>
      </c>
      <c r="AD91" t="s">
        <v>886</v>
      </c>
      <c r="AF91" cm="1">
        <f t="array" ref="AF91">INDEX(NYU!$F$12:$F$107,MATCH(AD91,NYU!$B$12:$B$107,0),0)</f>
        <v>0.36</v>
      </c>
      <c r="AH91" cm="1">
        <f t="array" ref="AH91">INDEX(NYU!$N$14:$N$109,MATCH(AD91,NYU!$K$14:$K$109,0),0)</f>
        <v>5.88</v>
      </c>
      <c r="AJ91" cm="1">
        <f t="array" ref="AJ91">INDEX(NYU!$O$14:$O$109,MATCH(AD91,NYU!$K$14:$K$109,0),0)</f>
        <v>25.78</v>
      </c>
    </row>
    <row r="92" spans="29:36">
      <c r="AC92">
        <v>86</v>
      </c>
      <c r="AD92" t="s">
        <v>887</v>
      </c>
      <c r="AF92" cm="1">
        <f t="array" ref="AF92">INDEX(NYU!$F$12:$F$107,MATCH(AD92,NYU!$B$12:$B$107,0),0)</f>
        <v>1.86</v>
      </c>
      <c r="AH92" cm="1">
        <f t="array" ref="AH92">INDEX(NYU!$N$14:$N$109,MATCH(AD92,NYU!$K$14:$K$109,0),0)</f>
        <v>7.09</v>
      </c>
      <c r="AJ92" cm="1">
        <f t="array" ref="AJ92">INDEX(NYU!$O$14:$O$109,MATCH(AD92,NYU!$K$14:$K$109,0),0)</f>
        <v>13.43</v>
      </c>
    </row>
    <row r="93" spans="29:36">
      <c r="AC93">
        <v>87</v>
      </c>
      <c r="AD93" t="s">
        <v>888</v>
      </c>
      <c r="AF93" cm="1">
        <f t="array" ref="AF93">INDEX(NYU!$F$12:$F$107,MATCH(AD93,NYU!$B$12:$B$107,0),0)</f>
        <v>1.06</v>
      </c>
      <c r="AH93" cm="1">
        <f t="array" ref="AH93">INDEX(NYU!$N$14:$N$109,MATCH(AD93,NYU!$K$14:$K$109,0),0)</f>
        <v>8.93</v>
      </c>
      <c r="AJ93" cm="1">
        <f t="array" ref="AJ93">INDEX(NYU!$O$14:$O$109,MATCH(AD93,NYU!$K$14:$K$109,0),0)</f>
        <v>12.73</v>
      </c>
    </row>
    <row r="94" spans="29:36">
      <c r="AC94">
        <v>88</v>
      </c>
      <c r="AD94" t="s">
        <v>889</v>
      </c>
      <c r="AF94" cm="1">
        <f t="array" ref="AF94">INDEX(NYU!$F$12:$F$107,MATCH(AD94,NYU!$B$12:$B$107,0),0)</f>
        <v>2.12</v>
      </c>
      <c r="AH94" cm="1">
        <f t="array" ref="AH94">INDEX(NYU!$N$14:$N$109,MATCH(AD94,NYU!$K$14:$K$109,0),0)</f>
        <v>6.65</v>
      </c>
      <c r="AJ94" cm="1">
        <f t="array" ref="AJ94">INDEX(NYU!$O$14:$O$109,MATCH(AD94,NYU!$K$14:$K$109,0),0)</f>
        <v>13.1</v>
      </c>
    </row>
    <row r="95" spans="29:36">
      <c r="AC95">
        <v>89</v>
      </c>
      <c r="AD95" t="s">
        <v>890</v>
      </c>
      <c r="AF95" cm="1">
        <f t="array" ref="AF95">INDEX(NYU!$F$12:$F$107,MATCH(AD95,NYU!$B$12:$B$107,0),0)</f>
        <v>2.73</v>
      </c>
      <c r="AH95" cm="1">
        <f t="array" ref="AH95">INDEX(NYU!$N$14:$N$109,MATCH(AD95,NYU!$K$14:$K$109,0),0)</f>
        <v>7.44</v>
      </c>
      <c r="AJ95" cm="1">
        <f t="array" ref="AJ95">INDEX(NYU!$O$14:$O$109,MATCH(AD95,NYU!$K$14:$K$109,0),0)</f>
        <v>8.61</v>
      </c>
    </row>
    <row r="96" spans="29:36">
      <c r="AC96">
        <v>90</v>
      </c>
      <c r="AD96" t="s">
        <v>513</v>
      </c>
      <c r="AF96" cm="1">
        <f t="array" ref="AF96">INDEX(NYU!$F$12:$F$107,MATCH(AD96,NYU!$B$12:$B$107,0),0)</f>
        <v>1.03</v>
      </c>
      <c r="AH96" cm="1">
        <f t="array" ref="AH96">INDEX(NYU!$N$14:$N$109,MATCH(AD96,NYU!$K$14:$K$109,0),0)</f>
        <v>10.93</v>
      </c>
      <c r="AJ96" cm="1">
        <f t="array" ref="AJ96">INDEX(NYU!$O$14:$O$109,MATCH(AD96,NYU!$K$14:$K$109,0),0)</f>
        <v>14.86</v>
      </c>
    </row>
    <row r="97" spans="29:36">
      <c r="AC97">
        <v>91</v>
      </c>
      <c r="AD97" t="s">
        <v>891</v>
      </c>
      <c r="AF97" cm="1">
        <f t="array" ref="AF97">INDEX(NYU!$F$12:$F$107,MATCH(AD97,NYU!$B$12:$B$107,0),0)</f>
        <v>1.55</v>
      </c>
      <c r="AH97" cm="1">
        <f t="array" ref="AH97">INDEX(NYU!$N$14:$N$109,MATCH(AD97,NYU!$K$14:$K$109,0),0)</f>
        <v>5.33</v>
      </c>
      <c r="AJ97" cm="1">
        <f t="array" ref="AJ97">INDEX(NYU!$O$14:$O$109,MATCH(AD97,NYU!$K$14:$K$109,0),0)</f>
        <v>11.67</v>
      </c>
    </row>
    <row r="98" spans="29:36">
      <c r="AC98">
        <v>92</v>
      </c>
      <c r="AD98" t="s">
        <v>512</v>
      </c>
      <c r="AF98" cm="1">
        <f t="array" ref="AF98">INDEX(NYU!$F$12:$F$107,MATCH(AD98,NYU!$B$12:$B$107,0),0)</f>
        <v>0.69</v>
      </c>
      <c r="AH98" cm="1">
        <f t="array" ref="AH98">INDEX(NYU!$N$14:$N$109,MATCH(AD98,NYU!$K$14:$K$109,0),0)</f>
        <v>8.6</v>
      </c>
      <c r="AJ98" cm="1">
        <f t="array" ref="AJ98">INDEX(NYU!$O$14:$O$109,MATCH(AD98,NYU!$K$14:$K$109,0),0)</f>
        <v>12.66</v>
      </c>
    </row>
    <row r="99" spans="29:36">
      <c r="AC99">
        <v>93</v>
      </c>
      <c r="AD99" t="s">
        <v>892</v>
      </c>
      <c r="AF99" cm="1">
        <f t="array" ref="AF99">INDEX(NYU!$F$12:$F$107,MATCH(AD99,NYU!$B$12:$B$107,0),0)</f>
        <v>1.1000000000000001</v>
      </c>
      <c r="AH99" cm="1">
        <f t="array" ref="AH99">INDEX(NYU!$N$14:$N$109,MATCH(AD99,NYU!$K$14:$K$109,0),0)</f>
        <v>6.66</v>
      </c>
      <c r="AJ99" cm="1">
        <f t="array" ref="AJ99">INDEX(NYU!$O$14:$O$109,MATCH(AD99,NYU!$K$14:$K$109,0),0)</f>
        <v>9.68</v>
      </c>
    </row>
    <row r="100" spans="29:36">
      <c r="AC100">
        <v>94</v>
      </c>
      <c r="AD100" t="s">
        <v>893</v>
      </c>
      <c r="AF100" cm="1">
        <f t="array" ref="AF100">INDEX(NYU!$F$12:$F$107,MATCH(AD100,NYU!$B$12:$B$107,0),0)</f>
        <v>6.34</v>
      </c>
      <c r="AH100" cm="1">
        <f t="array" ref="AH100">INDEX(NYU!$N$14:$N$109,MATCH(AD100,NYU!$K$14:$K$109,0),0)</f>
        <v>15.85</v>
      </c>
      <c r="AJ100" cm="1">
        <f t="array" ref="AJ100">INDEX(NYU!$O$14:$O$109,MATCH(AD100,NYU!$K$14:$K$109,0),0)</f>
        <v>28.93</v>
      </c>
    </row>
    <row r="101" spans="29:36">
      <c r="AC101">
        <v>95</v>
      </c>
      <c r="AD101" t="s">
        <v>894</v>
      </c>
      <c r="AF101" cm="1">
        <f t="array" ref="AF101">INDEX(NYU!$F$12:$F$107,MATCH(AD101,NYU!$B$12:$B$107,0),0)</f>
        <v>2.0099999999999998</v>
      </c>
      <c r="AH101" cm="1">
        <f t="array" ref="AH101">INDEX(NYU!$N$14:$N$109,MATCH(AD101,NYU!$K$14:$K$109,0),0)</f>
        <v>9.52</v>
      </c>
      <c r="AJ101" cm="1">
        <f t="array" ref="AJ101">INDEX(NYU!$O$14:$O$109,MATCH(AD101,NYU!$K$14:$K$109,0),0)</f>
        <v>13.43</v>
      </c>
    </row>
    <row r="102" spans="29:36">
      <c r="AC102" s="86">
        <v>96</v>
      </c>
      <c r="AD102" s="87" t="s">
        <v>895</v>
      </c>
      <c r="AE102" s="86"/>
      <c r="AF102" cm="1">
        <f t="array" ref="AF102">INDEX(NYU!$F$12:$F$107,MATCH(AD102,NYU!$B$12:$B$107,0),0)</f>
        <v>1.52</v>
      </c>
      <c r="AH102" cm="1">
        <f t="array" ref="AH102">INDEX(NYU!$N$14:$N$109,MATCH(AD102,NYU!$K$14:$K$109,0),0)</f>
        <v>9.5399999999999991</v>
      </c>
      <c r="AJ102" cm="1">
        <f t="array" ref="AJ102">INDEX(NYU!$O$14:$O$109,MATCH(AD102,NYU!$K$14:$K$109,0),0)</f>
        <v>13.93</v>
      </c>
    </row>
    <row r="103" spans="29:36">
      <c r="AC103">
        <v>97</v>
      </c>
      <c r="AD103" s="14" t="s">
        <v>818</v>
      </c>
      <c r="AF103" s="14" t="s">
        <v>149</v>
      </c>
      <c r="AH103" s="14" t="s">
        <v>149</v>
      </c>
      <c r="AJ103" s="14" t="s">
        <v>149</v>
      </c>
    </row>
  </sheetData>
  <mergeCells count="12">
    <mergeCell ref="Z6:AA6"/>
    <mergeCell ref="D6:E6"/>
    <mergeCell ref="H6:I6"/>
    <mergeCell ref="F6:G6"/>
    <mergeCell ref="J6:K6"/>
    <mergeCell ref="L6:M6"/>
    <mergeCell ref="N6:O6"/>
    <mergeCell ref="P6:Q6"/>
    <mergeCell ref="R6:S6"/>
    <mergeCell ref="T6:U6"/>
    <mergeCell ref="V6:W6"/>
    <mergeCell ref="X6:Y6"/>
  </mergeCells>
  <hyperlinks>
    <hyperlink ref="AG4" r:id="rId1" location="variables" display="https://pages.stern.nyu.edu/~adamodar/New_Home_Page/dataarchived.html - variables" xr:uid="{ED14FA92-EA3A-4848-8980-6CF3E41F0EF9}"/>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56DEE-5DD4-4D70-B86F-F96773693B02}">
  <sheetPr codeName="Sheet13">
    <tabColor theme="1"/>
  </sheetPr>
  <dimension ref="B2:I83"/>
  <sheetViews>
    <sheetView workbookViewId="0"/>
  </sheetViews>
  <sheetFormatPr defaultColWidth="8.7109375" defaultRowHeight="12.75"/>
  <cols>
    <col min="2" max="2" width="22.42578125" style="14" bestFit="1" customWidth="1"/>
    <col min="3" max="3" width="39.7109375" style="14" bestFit="1" customWidth="1"/>
    <col min="4" max="4" width="13.42578125" style="14" bestFit="1" customWidth="1"/>
    <col min="5" max="5" width="13.7109375" style="14" bestFit="1" customWidth="1"/>
    <col min="6" max="6" width="16.42578125" style="14" bestFit="1" customWidth="1"/>
    <col min="7" max="7" width="16.7109375" style="14" bestFit="1" customWidth="1"/>
    <col min="8" max="8" width="12.42578125" style="14" bestFit="1" customWidth="1"/>
    <col min="9" max="9" width="12.85546875" style="14" bestFit="1" customWidth="1"/>
  </cols>
  <sheetData>
    <row r="2" spans="2:9" ht="18.75">
      <c r="B2" s="109" t="str">
        <f>Übersicht!C27</f>
        <v>FINANCE Multiples</v>
      </c>
      <c r="C2" s="109" t="s">
        <v>896</v>
      </c>
    </row>
    <row r="3" spans="2:9" s="1817" customFormat="1" ht="25.15" customHeight="1">
      <c r="B3" s="1815" t="s">
        <v>584</v>
      </c>
      <c r="C3" s="1815" t="s">
        <v>582</v>
      </c>
      <c r="D3" s="1816" t="s">
        <v>897</v>
      </c>
      <c r="E3" s="1816" t="s">
        <v>898</v>
      </c>
      <c r="F3" s="1816" t="s">
        <v>899</v>
      </c>
      <c r="G3" s="1816" t="s">
        <v>900</v>
      </c>
      <c r="H3" s="1816" t="s">
        <v>901</v>
      </c>
      <c r="I3" s="1816" t="s">
        <v>902</v>
      </c>
    </row>
    <row r="4" spans="2:9">
      <c r="B4" s="14" t="s">
        <v>530</v>
      </c>
      <c r="C4" s="14" t="s">
        <v>779</v>
      </c>
      <c r="D4" s="1814">
        <v>5</v>
      </c>
      <c r="E4" s="1814">
        <v>6.5</v>
      </c>
      <c r="F4" s="1814">
        <v>4.5</v>
      </c>
      <c r="G4" s="1814">
        <v>6</v>
      </c>
      <c r="H4" s="1814">
        <v>0.46</v>
      </c>
      <c r="I4" s="1814">
        <v>0.69</v>
      </c>
    </row>
    <row r="5" spans="2:9">
      <c r="B5" s="14" t="s">
        <v>530</v>
      </c>
      <c r="C5" s="14" t="s">
        <v>781</v>
      </c>
      <c r="D5" s="1814">
        <v>5.5</v>
      </c>
      <c r="E5" s="1814">
        <v>7.3</v>
      </c>
      <c r="F5" s="1814">
        <v>5</v>
      </c>
      <c r="G5" s="1814">
        <v>7</v>
      </c>
      <c r="H5" s="1814">
        <v>0.63</v>
      </c>
      <c r="I5" s="1814">
        <v>1.06</v>
      </c>
    </row>
    <row r="6" spans="2:9">
      <c r="B6" s="14" t="s">
        <v>530</v>
      </c>
      <c r="C6" s="14" t="s">
        <v>783</v>
      </c>
      <c r="D6" s="1814">
        <v>7.6</v>
      </c>
      <c r="E6" s="1814">
        <v>9</v>
      </c>
      <c r="F6" s="1814">
        <v>6</v>
      </c>
      <c r="G6" s="1814">
        <v>7.5</v>
      </c>
      <c r="H6" s="1814">
        <v>0.79</v>
      </c>
      <c r="I6" s="1814">
        <v>1.01</v>
      </c>
    </row>
    <row r="7" spans="2:9">
      <c r="B7" s="14" t="s">
        <v>530</v>
      </c>
      <c r="C7" s="14" t="s">
        <v>785</v>
      </c>
      <c r="D7" s="1814">
        <v>6.9</v>
      </c>
      <c r="E7" s="1814">
        <v>9</v>
      </c>
      <c r="F7" s="1814">
        <v>5.8</v>
      </c>
      <c r="G7" s="1814">
        <v>7.5</v>
      </c>
      <c r="H7" s="1814">
        <v>0.5</v>
      </c>
      <c r="I7" s="1814">
        <v>0.74</v>
      </c>
    </row>
    <row r="8" spans="2:9">
      <c r="B8" s="14" t="s">
        <v>530</v>
      </c>
      <c r="C8" s="14" t="s">
        <v>787</v>
      </c>
      <c r="D8" s="1814">
        <v>7</v>
      </c>
      <c r="E8" s="1814">
        <v>8.8000000000000007</v>
      </c>
      <c r="F8" s="1814">
        <v>5.6</v>
      </c>
      <c r="G8" s="1814">
        <v>7.4</v>
      </c>
      <c r="H8" s="1814">
        <v>0.75</v>
      </c>
      <c r="I8" s="1814">
        <v>1.1299999999999999</v>
      </c>
    </row>
    <row r="9" spans="2:9">
      <c r="B9" s="14" t="s">
        <v>530</v>
      </c>
      <c r="C9" s="14" t="s">
        <v>789</v>
      </c>
      <c r="D9" s="1814">
        <v>7.9</v>
      </c>
      <c r="E9" s="1814">
        <v>9.6</v>
      </c>
      <c r="F9" s="1814">
        <v>4.9000000000000004</v>
      </c>
      <c r="G9" s="1814">
        <v>6.5</v>
      </c>
      <c r="H9" s="1814">
        <v>0.95</v>
      </c>
      <c r="I9" s="1814">
        <v>1.31</v>
      </c>
    </row>
    <row r="10" spans="2:9">
      <c r="B10" s="14" t="s">
        <v>530</v>
      </c>
      <c r="C10" s="14" t="s">
        <v>791</v>
      </c>
      <c r="D10" s="1814">
        <v>4.9000000000000004</v>
      </c>
      <c r="E10" s="1814">
        <v>6</v>
      </c>
      <c r="F10" s="1814">
        <v>3.9</v>
      </c>
      <c r="G10" s="1814">
        <v>5.7</v>
      </c>
      <c r="H10" s="1814">
        <v>0.39</v>
      </c>
      <c r="I10" s="1814">
        <v>0.68</v>
      </c>
    </row>
    <row r="11" spans="2:9">
      <c r="B11" s="14" t="s">
        <v>530</v>
      </c>
      <c r="C11" s="14" t="s">
        <v>793</v>
      </c>
      <c r="D11" s="1814">
        <v>7</v>
      </c>
      <c r="E11" s="1814">
        <v>8.5</v>
      </c>
      <c r="F11" s="1814">
        <v>6</v>
      </c>
      <c r="G11" s="1814">
        <v>7.8</v>
      </c>
      <c r="H11" s="1814">
        <v>0.77</v>
      </c>
      <c r="I11" s="1814">
        <v>1.01</v>
      </c>
    </row>
    <row r="12" spans="2:9">
      <c r="B12" s="14" t="s">
        <v>530</v>
      </c>
      <c r="C12" s="14" t="s">
        <v>795</v>
      </c>
      <c r="D12" s="1814">
        <v>5.7</v>
      </c>
      <c r="E12" s="1814">
        <v>7</v>
      </c>
      <c r="F12" s="1814">
        <v>5</v>
      </c>
      <c r="G12" s="1814">
        <v>6</v>
      </c>
      <c r="H12" s="1814">
        <v>0.51</v>
      </c>
      <c r="I12" s="1814">
        <v>0.72</v>
      </c>
    </row>
    <row r="13" spans="2:9">
      <c r="B13" s="14" t="s">
        <v>530</v>
      </c>
      <c r="C13" s="14" t="s">
        <v>797</v>
      </c>
      <c r="D13" s="1814">
        <v>6.6</v>
      </c>
      <c r="E13" s="1814">
        <v>8.3000000000000007</v>
      </c>
      <c r="F13" s="1814">
        <v>5.5</v>
      </c>
      <c r="G13" s="1814">
        <v>6.6</v>
      </c>
      <c r="H13" s="1814">
        <v>0.82</v>
      </c>
      <c r="I13" s="1814">
        <v>1.1299999999999999</v>
      </c>
    </row>
    <row r="14" spans="2:9">
      <c r="B14" s="14" t="s">
        <v>530</v>
      </c>
      <c r="C14" s="14" t="s">
        <v>799</v>
      </c>
      <c r="D14" s="1814">
        <v>8.5</v>
      </c>
      <c r="E14" s="1814">
        <v>10.5</v>
      </c>
      <c r="F14" s="1814">
        <v>7.3</v>
      </c>
      <c r="G14" s="1814">
        <v>8.6999999999999993</v>
      </c>
      <c r="H14" s="1814">
        <v>1.34</v>
      </c>
      <c r="I14" s="1814">
        <v>1.98</v>
      </c>
    </row>
    <row r="15" spans="2:9">
      <c r="B15" s="14" t="s">
        <v>530</v>
      </c>
      <c r="C15" s="14" t="s">
        <v>801</v>
      </c>
      <c r="D15" s="1814">
        <v>7</v>
      </c>
      <c r="E15" s="1814">
        <v>8.5</v>
      </c>
      <c r="F15" s="1814">
        <v>6.2</v>
      </c>
      <c r="G15" s="1814">
        <v>7.4</v>
      </c>
      <c r="H15" s="1814">
        <v>0.74</v>
      </c>
      <c r="I15" s="1814">
        <v>1.1000000000000001</v>
      </c>
    </row>
    <row r="16" spans="2:9">
      <c r="B16" s="14" t="s">
        <v>530</v>
      </c>
      <c r="C16" s="14" t="s">
        <v>803</v>
      </c>
      <c r="D16" s="1814">
        <v>8.5</v>
      </c>
      <c r="E16" s="1814">
        <v>10.5</v>
      </c>
      <c r="F16" s="1814">
        <v>7.2</v>
      </c>
      <c r="G16" s="1814">
        <v>8.8000000000000007</v>
      </c>
      <c r="H16" s="1814">
        <v>1.28</v>
      </c>
      <c r="I16" s="1814">
        <v>1.9</v>
      </c>
    </row>
    <row r="17" spans="2:9">
      <c r="B17" s="14" t="s">
        <v>530</v>
      </c>
      <c r="C17" s="14" t="s">
        <v>805</v>
      </c>
      <c r="D17" s="1814">
        <v>8.3000000000000007</v>
      </c>
      <c r="E17" s="1814">
        <v>10.199999999999999</v>
      </c>
      <c r="F17" s="1814">
        <v>7.5</v>
      </c>
      <c r="G17" s="1814">
        <v>9.4</v>
      </c>
      <c r="H17" s="1814">
        <v>1.26</v>
      </c>
      <c r="I17" s="1814">
        <v>2.06</v>
      </c>
    </row>
    <row r="18" spans="2:9">
      <c r="B18" s="14" t="s">
        <v>530</v>
      </c>
      <c r="C18" s="14" t="s">
        <v>807</v>
      </c>
      <c r="D18" s="1814">
        <v>7</v>
      </c>
      <c r="E18" s="1814">
        <v>8.8000000000000007</v>
      </c>
      <c r="F18" s="1814">
        <v>4.8</v>
      </c>
      <c r="G18" s="1814">
        <v>6</v>
      </c>
      <c r="H18" s="1814">
        <v>0.51</v>
      </c>
      <c r="I18" s="1814">
        <v>0.72</v>
      </c>
    </row>
    <row r="19" spans="2:9">
      <c r="B19" s="14" t="s">
        <v>530</v>
      </c>
      <c r="C19" s="14" t="s">
        <v>809</v>
      </c>
      <c r="D19" s="1814">
        <v>7</v>
      </c>
      <c r="E19" s="1814">
        <v>8.5</v>
      </c>
      <c r="F19" s="1814">
        <v>4.5999999999999996</v>
      </c>
      <c r="G19" s="1814">
        <v>7</v>
      </c>
      <c r="H19" s="1814">
        <v>1.01</v>
      </c>
      <c r="I19" s="1814">
        <v>1.4</v>
      </c>
    </row>
    <row r="20" spans="2:9">
      <c r="B20" s="14" t="s">
        <v>530</v>
      </c>
      <c r="C20" s="14" t="s">
        <v>811</v>
      </c>
      <c r="D20" s="1814">
        <v>5</v>
      </c>
      <c r="E20" s="1814">
        <v>6.6</v>
      </c>
      <c r="F20" s="1814">
        <v>5</v>
      </c>
      <c r="G20" s="1814">
        <v>6</v>
      </c>
      <c r="H20" s="1814">
        <v>0.5</v>
      </c>
      <c r="I20" s="1814">
        <v>0.7</v>
      </c>
    </row>
    <row r="21" spans="2:9">
      <c r="B21" s="14" t="s">
        <v>530</v>
      </c>
      <c r="C21" s="14" t="s">
        <v>813</v>
      </c>
      <c r="D21" s="1814">
        <v>5.6</v>
      </c>
      <c r="E21" s="1814">
        <v>7.1</v>
      </c>
      <c r="F21" s="1814">
        <v>4.8</v>
      </c>
      <c r="G21" s="1814">
        <v>6.1</v>
      </c>
      <c r="H21" s="1814">
        <v>0.52</v>
      </c>
      <c r="I21" s="1814">
        <v>0.82</v>
      </c>
    </row>
    <row r="22" spans="2:9">
      <c r="B22" s="14" t="s">
        <v>530</v>
      </c>
      <c r="C22" s="14" t="s">
        <v>511</v>
      </c>
      <c r="D22" s="1814">
        <v>5.6</v>
      </c>
      <c r="E22" s="1814">
        <v>7</v>
      </c>
      <c r="F22" s="1814">
        <v>4.4000000000000004</v>
      </c>
      <c r="G22" s="1814">
        <v>6</v>
      </c>
      <c r="H22" s="1814">
        <v>0.51</v>
      </c>
      <c r="I22" s="1814">
        <v>0.82</v>
      </c>
    </row>
    <row r="23" spans="2:9">
      <c r="B23" s="14" t="s">
        <v>530</v>
      </c>
      <c r="C23" s="14" t="s">
        <v>816</v>
      </c>
      <c r="D23" s="1814">
        <v>6.4</v>
      </c>
      <c r="E23" s="1814">
        <v>8.1999999999999993</v>
      </c>
      <c r="F23" s="1814">
        <v>4.5</v>
      </c>
      <c r="G23" s="1814">
        <v>6.8</v>
      </c>
      <c r="H23" s="1814">
        <v>0.72</v>
      </c>
      <c r="I23" s="1814">
        <v>1.17</v>
      </c>
    </row>
    <row r="24" spans="2:9">
      <c r="B24" s="14" t="s">
        <v>593</v>
      </c>
      <c r="C24" s="14" t="s">
        <v>779</v>
      </c>
      <c r="D24" s="1814">
        <v>5.8</v>
      </c>
      <c r="E24" s="1814">
        <v>7.3</v>
      </c>
      <c r="F24" s="1814">
        <v>5.7</v>
      </c>
      <c r="G24" s="1814">
        <v>7</v>
      </c>
      <c r="H24" s="1814">
        <v>0.43</v>
      </c>
      <c r="I24" s="1814">
        <v>0.81</v>
      </c>
    </row>
    <row r="25" spans="2:9">
      <c r="B25" s="14" t="s">
        <v>593</v>
      </c>
      <c r="C25" s="14" t="s">
        <v>781</v>
      </c>
      <c r="D25" s="1814">
        <v>6.7</v>
      </c>
      <c r="E25" s="1814">
        <v>8.5</v>
      </c>
      <c r="F25" s="1814">
        <v>6.5</v>
      </c>
      <c r="G25" s="1814">
        <v>7.9</v>
      </c>
      <c r="H25" s="1814">
        <v>0.64</v>
      </c>
      <c r="I25" s="1814">
        <v>1.04</v>
      </c>
    </row>
    <row r="26" spans="2:9">
      <c r="B26" s="14" t="s">
        <v>593</v>
      </c>
      <c r="C26" s="14" t="s">
        <v>783</v>
      </c>
      <c r="D26" s="1814">
        <v>7.9</v>
      </c>
      <c r="E26" s="1814">
        <v>10</v>
      </c>
      <c r="F26" s="1814">
        <v>7</v>
      </c>
      <c r="G26" s="1814">
        <v>8.5</v>
      </c>
      <c r="H26" s="1814">
        <v>0.84</v>
      </c>
      <c r="I26" s="1814">
        <v>1.1200000000000001</v>
      </c>
    </row>
    <row r="27" spans="2:9">
      <c r="B27" s="14" t="s">
        <v>593</v>
      </c>
      <c r="C27" s="14" t="s">
        <v>785</v>
      </c>
      <c r="D27" s="1814">
        <v>8</v>
      </c>
      <c r="E27" s="1814">
        <v>10.8</v>
      </c>
      <c r="F27" s="1814">
        <v>6.9</v>
      </c>
      <c r="G27" s="1814">
        <v>9.6</v>
      </c>
      <c r="H27" s="1814">
        <v>0.56000000000000005</v>
      </c>
      <c r="I27" s="1814">
        <v>0.98</v>
      </c>
    </row>
    <row r="28" spans="2:9">
      <c r="B28" s="14" t="s">
        <v>593</v>
      </c>
      <c r="C28" s="14" t="s">
        <v>787</v>
      </c>
      <c r="D28" s="1814">
        <v>7.6</v>
      </c>
      <c r="E28" s="1814">
        <v>9.5</v>
      </c>
      <c r="F28" s="1814">
        <v>7.2</v>
      </c>
      <c r="G28" s="1814">
        <v>9.1999999999999993</v>
      </c>
      <c r="H28" s="1814">
        <v>0.83</v>
      </c>
      <c r="I28" s="1814">
        <v>1.2</v>
      </c>
    </row>
    <row r="29" spans="2:9">
      <c r="B29" s="14" t="s">
        <v>593</v>
      </c>
      <c r="C29" s="14" t="s">
        <v>789</v>
      </c>
      <c r="D29" s="1814">
        <v>9</v>
      </c>
      <c r="E29" s="1814">
        <v>11.6</v>
      </c>
      <c r="F29" s="1814">
        <v>6.8</v>
      </c>
      <c r="G29" s="1814">
        <v>7.6</v>
      </c>
      <c r="H29" s="1814">
        <v>0.99</v>
      </c>
      <c r="I29" s="1814">
        <v>1.36</v>
      </c>
    </row>
    <row r="30" spans="2:9">
      <c r="B30" s="14" t="s">
        <v>593</v>
      </c>
      <c r="C30" s="14" t="s">
        <v>791</v>
      </c>
      <c r="D30" s="1814">
        <v>5.5</v>
      </c>
      <c r="E30" s="1814">
        <v>7</v>
      </c>
      <c r="F30" s="1814">
        <v>4.8</v>
      </c>
      <c r="G30" s="1814">
        <v>6.3</v>
      </c>
      <c r="H30" s="1814">
        <v>0.39</v>
      </c>
      <c r="I30" s="1814">
        <v>0.7</v>
      </c>
    </row>
    <row r="31" spans="2:9">
      <c r="B31" s="14" t="s">
        <v>593</v>
      </c>
      <c r="C31" s="14" t="s">
        <v>793</v>
      </c>
      <c r="D31" s="1814">
        <v>7.9</v>
      </c>
      <c r="E31" s="1814">
        <v>10</v>
      </c>
      <c r="F31" s="1814">
        <v>7.2</v>
      </c>
      <c r="G31" s="1814">
        <v>9.1</v>
      </c>
      <c r="H31" s="1814">
        <v>0.88</v>
      </c>
      <c r="I31" s="1814">
        <v>1.1499999999999999</v>
      </c>
    </row>
    <row r="32" spans="2:9">
      <c r="B32" s="14" t="s">
        <v>593</v>
      </c>
      <c r="C32" s="14" t="s">
        <v>795</v>
      </c>
      <c r="D32" s="1814">
        <v>6.3</v>
      </c>
      <c r="E32" s="1814">
        <v>8.1</v>
      </c>
      <c r="F32" s="1814">
        <v>5.3</v>
      </c>
      <c r="G32" s="1814">
        <v>7.5</v>
      </c>
      <c r="H32" s="1814">
        <v>0.53</v>
      </c>
      <c r="I32" s="1814">
        <v>0.83</v>
      </c>
    </row>
    <row r="33" spans="2:9">
      <c r="B33" s="14" t="s">
        <v>593</v>
      </c>
      <c r="C33" s="14" t="s">
        <v>797</v>
      </c>
      <c r="D33" s="1814">
        <v>8</v>
      </c>
      <c r="E33" s="1814">
        <v>10</v>
      </c>
      <c r="F33" s="1814">
        <v>6.7</v>
      </c>
      <c r="G33" s="1814">
        <v>8.3000000000000007</v>
      </c>
      <c r="H33" s="1814">
        <v>0.99</v>
      </c>
      <c r="I33" s="1814">
        <v>1.33</v>
      </c>
    </row>
    <row r="34" spans="2:9">
      <c r="B34" s="14" t="s">
        <v>593</v>
      </c>
      <c r="C34" s="14" t="s">
        <v>799</v>
      </c>
      <c r="D34" s="1814">
        <v>10.199999999999999</v>
      </c>
      <c r="E34" s="1814">
        <v>12.1</v>
      </c>
      <c r="F34" s="1814">
        <v>8.5</v>
      </c>
      <c r="G34" s="1814">
        <v>10.3</v>
      </c>
      <c r="H34" s="1814">
        <v>1.87</v>
      </c>
      <c r="I34" s="1814">
        <v>2.4500000000000002</v>
      </c>
    </row>
    <row r="35" spans="2:9">
      <c r="B35" s="14" t="s">
        <v>593</v>
      </c>
      <c r="C35" s="14" t="s">
        <v>801</v>
      </c>
      <c r="D35" s="1814">
        <v>8</v>
      </c>
      <c r="E35" s="1814">
        <v>10.1</v>
      </c>
      <c r="F35" s="1814">
        <v>7.8</v>
      </c>
      <c r="G35" s="1814">
        <v>9.5</v>
      </c>
      <c r="H35" s="1814">
        <v>0.9</v>
      </c>
      <c r="I35" s="1814">
        <v>1.34</v>
      </c>
    </row>
    <row r="36" spans="2:9">
      <c r="B36" s="14" t="s">
        <v>593</v>
      </c>
      <c r="C36" s="14" t="s">
        <v>803</v>
      </c>
      <c r="D36" s="1814">
        <v>9.8000000000000007</v>
      </c>
      <c r="E36" s="1814">
        <v>11.6</v>
      </c>
      <c r="F36" s="1814">
        <v>8.1</v>
      </c>
      <c r="G36" s="1814">
        <v>9.9</v>
      </c>
      <c r="H36" s="1814">
        <v>1.59</v>
      </c>
      <c r="I36" s="1814">
        <v>2.35</v>
      </c>
    </row>
    <row r="37" spans="2:9">
      <c r="B37" s="14" t="s">
        <v>593</v>
      </c>
      <c r="C37" s="14" t="s">
        <v>805</v>
      </c>
      <c r="D37" s="1814">
        <v>9.4</v>
      </c>
      <c r="E37" s="1814">
        <v>11.7</v>
      </c>
      <c r="F37" s="1814">
        <v>8.9</v>
      </c>
      <c r="G37" s="1814">
        <v>11.2</v>
      </c>
      <c r="H37" s="1814">
        <v>1.63</v>
      </c>
      <c r="I37" s="1814">
        <v>2.27</v>
      </c>
    </row>
    <row r="38" spans="2:9">
      <c r="B38" s="14" t="s">
        <v>593</v>
      </c>
      <c r="C38" s="14" t="s">
        <v>807</v>
      </c>
      <c r="D38" s="1814">
        <v>8</v>
      </c>
      <c r="E38" s="1814">
        <v>10.5</v>
      </c>
      <c r="F38" s="1814">
        <v>6.3</v>
      </c>
      <c r="G38" s="1814">
        <v>7.9</v>
      </c>
      <c r="H38" s="1814">
        <v>0.56999999999999995</v>
      </c>
      <c r="I38" s="1814">
        <v>0.94</v>
      </c>
    </row>
    <row r="39" spans="2:9">
      <c r="B39" s="14" t="s">
        <v>593</v>
      </c>
      <c r="C39" s="14" t="s">
        <v>809</v>
      </c>
      <c r="D39" s="1814">
        <v>8.3000000000000007</v>
      </c>
      <c r="E39" s="1814">
        <v>10.5</v>
      </c>
      <c r="F39" s="1814">
        <v>7.3</v>
      </c>
      <c r="G39" s="1814">
        <v>9.3000000000000007</v>
      </c>
      <c r="H39" s="1814">
        <v>1.1599999999999999</v>
      </c>
      <c r="I39" s="1814">
        <v>1.52</v>
      </c>
    </row>
    <row r="40" spans="2:9">
      <c r="B40" s="14" t="s">
        <v>593</v>
      </c>
      <c r="C40" s="14" t="s">
        <v>811</v>
      </c>
      <c r="D40" s="1814">
        <v>5.5</v>
      </c>
      <c r="E40" s="1814">
        <v>7</v>
      </c>
      <c r="F40" s="1814">
        <v>5.4</v>
      </c>
      <c r="G40" s="1814">
        <v>6.6</v>
      </c>
      <c r="H40" s="1814">
        <v>0.6</v>
      </c>
      <c r="I40" s="1814">
        <v>0.88</v>
      </c>
    </row>
    <row r="41" spans="2:9">
      <c r="B41" s="14" t="s">
        <v>593</v>
      </c>
      <c r="C41" s="14" t="s">
        <v>813</v>
      </c>
      <c r="D41" s="1814">
        <v>6.4</v>
      </c>
      <c r="E41" s="1814">
        <v>8.1999999999999993</v>
      </c>
      <c r="F41" s="1814">
        <v>5.5</v>
      </c>
      <c r="G41" s="1814">
        <v>7.7</v>
      </c>
      <c r="H41" s="1814">
        <v>0.52</v>
      </c>
      <c r="I41" s="1814">
        <v>1.04</v>
      </c>
    </row>
    <row r="42" spans="2:9">
      <c r="B42" s="14" t="s">
        <v>593</v>
      </c>
      <c r="C42" s="14" t="s">
        <v>511</v>
      </c>
      <c r="D42" s="1814">
        <v>6.3</v>
      </c>
      <c r="E42" s="1814">
        <v>8</v>
      </c>
      <c r="F42" s="1814">
        <v>5.3</v>
      </c>
      <c r="G42" s="1814">
        <v>7.1</v>
      </c>
      <c r="H42" s="1814">
        <v>0.51</v>
      </c>
      <c r="I42" s="1814">
        <v>0.99</v>
      </c>
    </row>
    <row r="43" spans="2:9">
      <c r="B43" s="14" t="s">
        <v>593</v>
      </c>
      <c r="C43" s="14" t="s">
        <v>816</v>
      </c>
      <c r="D43" s="1814">
        <v>7.5</v>
      </c>
      <c r="E43" s="1814">
        <v>9.5</v>
      </c>
      <c r="F43" s="1814">
        <v>6.1</v>
      </c>
      <c r="G43" s="1814">
        <v>8.1</v>
      </c>
      <c r="H43" s="1814">
        <v>0.96</v>
      </c>
      <c r="I43" s="1814">
        <v>1.38</v>
      </c>
    </row>
    <row r="44" spans="2:9">
      <c r="B44" s="14" t="s">
        <v>592</v>
      </c>
      <c r="C44" s="14" t="s">
        <v>779</v>
      </c>
      <c r="D44" s="1814">
        <v>4.4000000000000004</v>
      </c>
      <c r="E44" s="1814">
        <v>6.1</v>
      </c>
      <c r="F44" s="1814">
        <v>3.8</v>
      </c>
      <c r="G44" s="1814">
        <v>5.9</v>
      </c>
      <c r="H44" s="1814">
        <v>0.4</v>
      </c>
      <c r="I44" s="1814">
        <v>0.57999999999999996</v>
      </c>
    </row>
    <row r="45" spans="2:9">
      <c r="B45" s="14" t="s">
        <v>592</v>
      </c>
      <c r="C45" s="14" t="s">
        <v>781</v>
      </c>
      <c r="D45" s="1814">
        <v>4.4000000000000004</v>
      </c>
      <c r="E45" s="1814">
        <v>6</v>
      </c>
      <c r="F45" s="1814">
        <v>4.0999999999999996</v>
      </c>
      <c r="G45" s="1814">
        <v>6</v>
      </c>
      <c r="H45" s="1814">
        <v>0.59</v>
      </c>
      <c r="I45" s="1814">
        <v>0.98</v>
      </c>
    </row>
    <row r="46" spans="2:9">
      <c r="B46" s="14" t="s">
        <v>592</v>
      </c>
      <c r="C46" s="14" t="s">
        <v>783</v>
      </c>
      <c r="D46" s="1814">
        <v>5.7</v>
      </c>
      <c r="E46" s="1814">
        <v>7.6</v>
      </c>
      <c r="F46" s="1814">
        <v>5.0999999999999996</v>
      </c>
      <c r="G46" s="1814">
        <v>7.2</v>
      </c>
      <c r="H46" s="1814">
        <v>0.72</v>
      </c>
      <c r="I46" s="1814">
        <v>1.19</v>
      </c>
    </row>
    <row r="47" spans="2:9">
      <c r="B47" s="14" t="s">
        <v>592</v>
      </c>
      <c r="C47" s="14" t="s">
        <v>785</v>
      </c>
      <c r="D47" s="1814">
        <v>4.8</v>
      </c>
      <c r="E47" s="1814">
        <v>7</v>
      </c>
      <c r="F47" s="1814">
        <v>4.0999999999999996</v>
      </c>
      <c r="G47" s="1814">
        <v>6.2</v>
      </c>
      <c r="H47" s="1814">
        <v>0.41</v>
      </c>
      <c r="I47" s="1814">
        <v>0.71</v>
      </c>
    </row>
    <row r="48" spans="2:9">
      <c r="B48" s="14" t="s">
        <v>592</v>
      </c>
      <c r="C48" s="14" t="s">
        <v>787</v>
      </c>
      <c r="D48" s="1814">
        <v>5.0999999999999996</v>
      </c>
      <c r="E48" s="1814">
        <v>7</v>
      </c>
      <c r="F48" s="1814">
        <v>4.5</v>
      </c>
      <c r="G48" s="1814">
        <v>6.8</v>
      </c>
      <c r="H48" s="1814">
        <v>0.75</v>
      </c>
      <c r="I48" s="1814">
        <v>1.1000000000000001</v>
      </c>
    </row>
    <row r="49" spans="2:9">
      <c r="B49" s="14" t="s">
        <v>592</v>
      </c>
      <c r="C49" s="14" t="s">
        <v>789</v>
      </c>
      <c r="D49" s="1814">
        <v>5.0999999999999996</v>
      </c>
      <c r="E49" s="1814">
        <v>7.3</v>
      </c>
      <c r="F49" s="1814">
        <v>4.7</v>
      </c>
      <c r="G49" s="1814">
        <v>6.6</v>
      </c>
      <c r="H49" s="1814">
        <v>1</v>
      </c>
      <c r="I49" s="1814">
        <v>1.24</v>
      </c>
    </row>
    <row r="50" spans="2:9">
      <c r="B50" s="14" t="s">
        <v>592</v>
      </c>
      <c r="C50" s="14" t="s">
        <v>791</v>
      </c>
      <c r="D50" s="1814">
        <v>4.0999999999999996</v>
      </c>
      <c r="E50" s="1814">
        <v>5.5</v>
      </c>
      <c r="F50" s="1814">
        <v>3.7</v>
      </c>
      <c r="G50" s="1814">
        <v>5.4</v>
      </c>
      <c r="H50" s="1814">
        <v>0.39</v>
      </c>
      <c r="I50" s="1814">
        <v>0.52</v>
      </c>
    </row>
    <row r="51" spans="2:9">
      <c r="B51" s="14" t="s">
        <v>592</v>
      </c>
      <c r="C51" s="14" t="s">
        <v>793</v>
      </c>
      <c r="D51" s="1814">
        <v>5.5</v>
      </c>
      <c r="E51" s="1814">
        <v>7.4</v>
      </c>
      <c r="F51" s="1814">
        <v>5.2</v>
      </c>
      <c r="G51" s="1814">
        <v>7</v>
      </c>
      <c r="H51" s="1814">
        <v>0.76</v>
      </c>
      <c r="I51" s="1814">
        <v>0.88</v>
      </c>
    </row>
    <row r="52" spans="2:9">
      <c r="B52" s="14" t="s">
        <v>592</v>
      </c>
      <c r="C52" s="14" t="s">
        <v>795</v>
      </c>
      <c r="D52" s="1814">
        <v>5</v>
      </c>
      <c r="E52" s="1814">
        <v>7</v>
      </c>
      <c r="F52" s="1814">
        <v>5.0999999999999996</v>
      </c>
      <c r="G52" s="1814">
        <v>6.3</v>
      </c>
      <c r="H52" s="1814">
        <v>0.43</v>
      </c>
      <c r="I52" s="1814">
        <v>0.59</v>
      </c>
    </row>
    <row r="53" spans="2:9">
      <c r="B53" s="14" t="s">
        <v>592</v>
      </c>
      <c r="C53" s="14" t="s">
        <v>797</v>
      </c>
      <c r="D53" s="1814">
        <v>4.5999999999999996</v>
      </c>
      <c r="E53" s="1814">
        <v>6.4</v>
      </c>
      <c r="F53" s="1814">
        <v>4.4000000000000004</v>
      </c>
      <c r="G53" s="1814">
        <v>6.4</v>
      </c>
      <c r="H53" s="1814">
        <v>0.78</v>
      </c>
      <c r="I53" s="1814">
        <v>1.1000000000000001</v>
      </c>
    </row>
    <row r="54" spans="2:9">
      <c r="B54" s="14" t="s">
        <v>592</v>
      </c>
      <c r="C54" s="14" t="s">
        <v>799</v>
      </c>
      <c r="D54" s="1814">
        <v>6.5</v>
      </c>
      <c r="E54" s="1814">
        <v>8.6</v>
      </c>
      <c r="F54" s="1814">
        <v>5.9</v>
      </c>
      <c r="G54" s="1814">
        <v>8</v>
      </c>
      <c r="H54" s="1814">
        <v>1.29</v>
      </c>
      <c r="I54" s="1814">
        <v>1.71</v>
      </c>
    </row>
    <row r="55" spans="2:9">
      <c r="B55" s="14" t="s">
        <v>592</v>
      </c>
      <c r="C55" s="14" t="s">
        <v>801</v>
      </c>
      <c r="D55" s="1814">
        <v>5</v>
      </c>
      <c r="E55" s="1814">
        <v>6.6</v>
      </c>
      <c r="F55" s="1814">
        <v>5.2</v>
      </c>
      <c r="G55" s="1814">
        <v>6.6</v>
      </c>
      <c r="H55" s="1814">
        <v>0.79</v>
      </c>
      <c r="I55" s="1814">
        <v>1.1200000000000001</v>
      </c>
    </row>
    <row r="56" spans="2:9">
      <c r="B56" s="14" t="s">
        <v>592</v>
      </c>
      <c r="C56" s="14" t="s">
        <v>803</v>
      </c>
      <c r="D56" s="1814">
        <v>6</v>
      </c>
      <c r="E56" s="1814">
        <v>8.3000000000000007</v>
      </c>
      <c r="F56" s="1814">
        <v>5.8</v>
      </c>
      <c r="G56" s="1814">
        <v>7.9</v>
      </c>
      <c r="H56" s="1814">
        <v>1.28</v>
      </c>
      <c r="I56" s="1814">
        <v>1.84</v>
      </c>
    </row>
    <row r="57" spans="2:9">
      <c r="B57" s="14" t="s">
        <v>592</v>
      </c>
      <c r="C57" s="14" t="s">
        <v>805</v>
      </c>
      <c r="D57" s="1814">
        <v>5.9</v>
      </c>
      <c r="E57" s="1814">
        <v>7.9</v>
      </c>
      <c r="F57" s="1814">
        <v>5.8</v>
      </c>
      <c r="G57" s="1814">
        <v>7.7</v>
      </c>
      <c r="H57" s="1814">
        <v>1.27</v>
      </c>
      <c r="I57" s="1814">
        <v>2.0699999999999998</v>
      </c>
    </row>
    <row r="58" spans="2:9">
      <c r="B58" s="14" t="s">
        <v>592</v>
      </c>
      <c r="C58" s="14" t="s">
        <v>807</v>
      </c>
      <c r="D58" s="1814">
        <v>5</v>
      </c>
      <c r="E58" s="1814">
        <v>6.9</v>
      </c>
      <c r="F58" s="1814">
        <v>4.0999999999999996</v>
      </c>
      <c r="G58" s="1814">
        <v>5.8</v>
      </c>
      <c r="H58" s="1814">
        <v>0.4</v>
      </c>
      <c r="I58" s="1814">
        <v>0.61</v>
      </c>
    </row>
    <row r="59" spans="2:9">
      <c r="B59" s="14" t="s">
        <v>592</v>
      </c>
      <c r="C59" s="14" t="s">
        <v>809</v>
      </c>
      <c r="D59" s="1814">
        <v>4.9000000000000004</v>
      </c>
      <c r="E59" s="1814">
        <v>6.9</v>
      </c>
      <c r="F59" s="1814">
        <v>4.2</v>
      </c>
      <c r="G59" s="1814">
        <v>6.8</v>
      </c>
      <c r="H59" s="1814">
        <v>0.85</v>
      </c>
      <c r="I59" s="1814">
        <v>1.17</v>
      </c>
    </row>
    <row r="60" spans="2:9">
      <c r="B60" s="14" t="s">
        <v>592</v>
      </c>
      <c r="C60" s="14" t="s">
        <v>811</v>
      </c>
      <c r="D60" s="1814">
        <v>3.8</v>
      </c>
      <c r="E60" s="1814">
        <v>5.5</v>
      </c>
      <c r="F60" s="1814">
        <v>3.8</v>
      </c>
      <c r="G60" s="1814">
        <v>5.4</v>
      </c>
      <c r="H60" s="1814">
        <v>0.54</v>
      </c>
      <c r="I60" s="1814">
        <v>0.81</v>
      </c>
    </row>
    <row r="61" spans="2:9">
      <c r="B61" s="14" t="s">
        <v>592</v>
      </c>
      <c r="C61" s="14" t="s">
        <v>813</v>
      </c>
      <c r="D61" s="1814">
        <v>4.0999999999999996</v>
      </c>
      <c r="E61" s="1814">
        <v>6</v>
      </c>
      <c r="F61" s="1814">
        <v>3.7</v>
      </c>
      <c r="G61" s="1814">
        <v>5.7</v>
      </c>
      <c r="H61" s="1814">
        <v>0.56999999999999995</v>
      </c>
      <c r="I61" s="1814">
        <v>0.8</v>
      </c>
    </row>
    <row r="62" spans="2:9">
      <c r="B62" s="14" t="s">
        <v>592</v>
      </c>
      <c r="C62" s="14" t="s">
        <v>511</v>
      </c>
      <c r="D62" s="1814">
        <v>4.0999999999999996</v>
      </c>
      <c r="E62" s="1814">
        <v>6</v>
      </c>
      <c r="F62" s="1814">
        <v>3.8</v>
      </c>
      <c r="G62" s="1814">
        <v>5.7</v>
      </c>
      <c r="H62" s="1814">
        <v>0.59</v>
      </c>
      <c r="I62" s="1814">
        <v>0.78</v>
      </c>
    </row>
    <row r="63" spans="2:9">
      <c r="B63" s="14" t="s">
        <v>592</v>
      </c>
      <c r="C63" s="14" t="s">
        <v>816</v>
      </c>
      <c r="D63" s="1814">
        <v>5</v>
      </c>
      <c r="E63" s="1814">
        <v>6.8</v>
      </c>
      <c r="F63" s="1814">
        <v>4.2</v>
      </c>
      <c r="G63" s="1814">
        <v>5.9</v>
      </c>
      <c r="H63" s="1814">
        <v>0.7</v>
      </c>
      <c r="I63" s="1814">
        <v>1.08</v>
      </c>
    </row>
    <row r="64" spans="2:9">
      <c r="B64" s="14" t="s">
        <v>594</v>
      </c>
      <c r="C64" s="14" t="s">
        <v>779</v>
      </c>
      <c r="D64" s="1814">
        <v>6.4</v>
      </c>
      <c r="E64" s="1814">
        <v>8</v>
      </c>
      <c r="F64" s="1814">
        <v>6.4</v>
      </c>
      <c r="G64" s="1814">
        <v>7.3</v>
      </c>
      <c r="H64" s="1814">
        <v>0.39</v>
      </c>
      <c r="I64" s="1814">
        <v>0.91</v>
      </c>
    </row>
    <row r="65" spans="2:9">
      <c r="B65" s="14" t="s">
        <v>594</v>
      </c>
      <c r="C65" s="14" t="s">
        <v>781</v>
      </c>
      <c r="D65" s="1814">
        <v>7.6</v>
      </c>
      <c r="E65" s="1814">
        <v>9</v>
      </c>
      <c r="F65" s="1814">
        <v>7.7</v>
      </c>
      <c r="G65" s="1814">
        <v>9.1</v>
      </c>
      <c r="H65" s="1814">
        <v>0.9</v>
      </c>
      <c r="I65" s="1814">
        <v>1.26</v>
      </c>
    </row>
    <row r="66" spans="2:9">
      <c r="B66" s="14" t="s">
        <v>594</v>
      </c>
      <c r="C66" s="14" t="s">
        <v>783</v>
      </c>
      <c r="D66" s="1814">
        <v>9.4</v>
      </c>
      <c r="E66" s="1814">
        <v>11.4</v>
      </c>
      <c r="F66" s="1814">
        <v>7.5</v>
      </c>
      <c r="G66" s="1814">
        <v>9</v>
      </c>
      <c r="H66" s="1814">
        <v>0.93</v>
      </c>
      <c r="I66" s="1814">
        <v>1.38</v>
      </c>
    </row>
    <row r="67" spans="2:9">
      <c r="B67" s="14" t="s">
        <v>594</v>
      </c>
      <c r="C67" s="14" t="s">
        <v>785</v>
      </c>
      <c r="D67" s="1814">
        <v>9.6999999999999993</v>
      </c>
      <c r="E67" s="1814">
        <v>12.1</v>
      </c>
      <c r="F67" s="1814">
        <v>8.9</v>
      </c>
      <c r="G67" s="1814">
        <v>11.1</v>
      </c>
      <c r="H67" s="1814">
        <v>0.7</v>
      </c>
      <c r="I67" s="1814">
        <v>1.26</v>
      </c>
    </row>
    <row r="68" spans="2:9">
      <c r="B68" s="14" t="s">
        <v>594</v>
      </c>
      <c r="C68" s="14" t="s">
        <v>787</v>
      </c>
      <c r="D68" s="1814">
        <v>8.9</v>
      </c>
      <c r="E68" s="1814">
        <v>11.8</v>
      </c>
      <c r="F68" s="1814">
        <v>7.5</v>
      </c>
      <c r="G68" s="1814">
        <v>10.8</v>
      </c>
      <c r="H68" s="1814">
        <v>1.1000000000000001</v>
      </c>
      <c r="I68" s="1814">
        <v>1.56</v>
      </c>
    </row>
    <row r="69" spans="2:9">
      <c r="B69" s="14" t="s">
        <v>594</v>
      </c>
      <c r="C69" s="14" t="s">
        <v>789</v>
      </c>
      <c r="D69" s="1814">
        <v>10.3</v>
      </c>
      <c r="E69" s="1814">
        <v>13.3</v>
      </c>
      <c r="F69" s="1814">
        <v>7.5</v>
      </c>
      <c r="G69" s="1814">
        <v>9.4</v>
      </c>
      <c r="H69" s="1814">
        <v>1.32</v>
      </c>
      <c r="I69" s="1814">
        <v>1.96</v>
      </c>
    </row>
    <row r="70" spans="2:9">
      <c r="B70" s="14" t="s">
        <v>594</v>
      </c>
      <c r="C70" s="14" t="s">
        <v>791</v>
      </c>
      <c r="D70" s="1814">
        <v>7</v>
      </c>
      <c r="E70" s="1814">
        <v>8.9</v>
      </c>
      <c r="F70" s="1814">
        <v>5.6</v>
      </c>
      <c r="G70" s="1814">
        <v>7.5</v>
      </c>
      <c r="H70" s="1814">
        <v>0.54</v>
      </c>
      <c r="I70" s="1814">
        <v>0.95</v>
      </c>
    </row>
    <row r="71" spans="2:9">
      <c r="B71" s="14" t="s">
        <v>594</v>
      </c>
      <c r="C71" s="14" t="s">
        <v>793</v>
      </c>
      <c r="D71" s="1814">
        <v>9.6</v>
      </c>
      <c r="E71" s="1814">
        <v>11.5</v>
      </c>
      <c r="F71" s="1814">
        <v>8.5</v>
      </c>
      <c r="G71" s="1814">
        <v>9.1999999999999993</v>
      </c>
      <c r="H71" s="1814">
        <v>1.1000000000000001</v>
      </c>
      <c r="I71" s="1814">
        <v>1.47</v>
      </c>
    </row>
    <row r="72" spans="2:9">
      <c r="B72" s="14" t="s">
        <v>594</v>
      </c>
      <c r="C72" s="14" t="s">
        <v>795</v>
      </c>
      <c r="D72" s="1814">
        <v>7.4</v>
      </c>
      <c r="E72" s="1814">
        <v>9.5</v>
      </c>
      <c r="F72" s="1814">
        <v>6.4</v>
      </c>
      <c r="G72" s="1814">
        <v>8.6</v>
      </c>
      <c r="H72" s="1814">
        <v>0.67</v>
      </c>
      <c r="I72" s="1814">
        <v>1.07</v>
      </c>
    </row>
    <row r="73" spans="2:9">
      <c r="B73" s="14" t="s">
        <v>594</v>
      </c>
      <c r="C73" s="14" t="s">
        <v>797</v>
      </c>
      <c r="D73" s="1814">
        <v>8.6999999999999993</v>
      </c>
      <c r="E73" s="1814">
        <v>11.3</v>
      </c>
      <c r="F73" s="1814">
        <v>7.5</v>
      </c>
      <c r="G73" s="1814">
        <v>9.1999999999999993</v>
      </c>
      <c r="H73" s="1814">
        <v>1.1000000000000001</v>
      </c>
      <c r="I73" s="1814">
        <v>1.58</v>
      </c>
    </row>
    <row r="74" spans="2:9">
      <c r="B74" s="14" t="s">
        <v>594</v>
      </c>
      <c r="C74" s="14" t="s">
        <v>799</v>
      </c>
      <c r="D74" s="1814">
        <v>11.6</v>
      </c>
      <c r="E74" s="1814">
        <v>14.2</v>
      </c>
      <c r="F74" s="1814">
        <v>9.6</v>
      </c>
      <c r="G74" s="1814">
        <v>12.2</v>
      </c>
      <c r="H74" s="1814">
        <v>2.37</v>
      </c>
      <c r="I74" s="1814">
        <v>2.92</v>
      </c>
    </row>
    <row r="75" spans="2:9">
      <c r="B75" s="14" t="s">
        <v>594</v>
      </c>
      <c r="C75" s="14" t="s">
        <v>801</v>
      </c>
      <c r="D75" s="1814">
        <v>10.199999999999999</v>
      </c>
      <c r="E75" s="1814">
        <v>12.5</v>
      </c>
      <c r="F75" s="1814">
        <v>9.8000000000000007</v>
      </c>
      <c r="G75" s="1814">
        <v>11.1</v>
      </c>
      <c r="H75" s="1814">
        <v>1.38</v>
      </c>
      <c r="I75" s="1814">
        <v>1.77</v>
      </c>
    </row>
    <row r="76" spans="2:9">
      <c r="B76" s="14" t="s">
        <v>594</v>
      </c>
      <c r="C76" s="14" t="s">
        <v>803</v>
      </c>
      <c r="D76" s="1814">
        <v>11.4</v>
      </c>
      <c r="E76" s="1814">
        <v>13.8</v>
      </c>
      <c r="F76" s="1814">
        <v>9.1999999999999993</v>
      </c>
      <c r="G76" s="1814">
        <v>11.7</v>
      </c>
      <c r="H76" s="1814">
        <v>2.17</v>
      </c>
      <c r="I76" s="1814">
        <v>2.8</v>
      </c>
    </row>
    <row r="77" spans="2:9">
      <c r="B77" s="14" t="s">
        <v>594</v>
      </c>
      <c r="C77" s="14" t="s">
        <v>805</v>
      </c>
      <c r="D77" s="1814">
        <v>10.5</v>
      </c>
      <c r="E77" s="1814">
        <v>13</v>
      </c>
      <c r="F77" s="1814">
        <v>10.6</v>
      </c>
      <c r="G77" s="1814">
        <v>12.3</v>
      </c>
      <c r="H77" s="1814">
        <v>1.83</v>
      </c>
      <c r="I77" s="1814">
        <v>2.54</v>
      </c>
    </row>
    <row r="78" spans="2:9">
      <c r="B78" s="14" t="s">
        <v>594</v>
      </c>
      <c r="C78" s="14" t="s">
        <v>807</v>
      </c>
      <c r="D78" s="1814">
        <v>9.3000000000000007</v>
      </c>
      <c r="E78" s="1814">
        <v>12.4</v>
      </c>
      <c r="F78" s="1814">
        <v>8</v>
      </c>
      <c r="G78" s="1814">
        <v>9.4</v>
      </c>
      <c r="H78" s="1814">
        <v>0.72</v>
      </c>
      <c r="I78" s="1814">
        <v>1.23</v>
      </c>
    </row>
    <row r="79" spans="2:9">
      <c r="B79" s="14" t="s">
        <v>594</v>
      </c>
      <c r="C79" s="14" t="s">
        <v>809</v>
      </c>
      <c r="D79" s="1814">
        <v>9.1</v>
      </c>
      <c r="E79" s="1814">
        <v>11.5</v>
      </c>
      <c r="F79" s="1814">
        <v>8</v>
      </c>
      <c r="G79" s="1814">
        <v>10</v>
      </c>
      <c r="H79" s="1814">
        <v>1.31</v>
      </c>
      <c r="I79" s="1814">
        <v>1.86</v>
      </c>
    </row>
    <row r="80" spans="2:9">
      <c r="B80" s="14" t="s">
        <v>594</v>
      </c>
      <c r="C80" s="14" t="s">
        <v>811</v>
      </c>
      <c r="D80" s="1814">
        <v>7.6</v>
      </c>
      <c r="E80" s="1814">
        <v>9.1999999999999993</v>
      </c>
      <c r="F80" s="1814">
        <v>7.2</v>
      </c>
      <c r="G80" s="1814">
        <v>8.6</v>
      </c>
      <c r="H80" s="1814">
        <v>0.8</v>
      </c>
      <c r="I80" s="1814">
        <v>1.2</v>
      </c>
    </row>
    <row r="81" spans="2:9">
      <c r="B81" s="14" t="s">
        <v>594</v>
      </c>
      <c r="C81" s="14" t="s">
        <v>813</v>
      </c>
      <c r="D81" s="1814">
        <v>7.9</v>
      </c>
      <c r="E81" s="1814">
        <v>11.2</v>
      </c>
      <c r="F81" s="1814">
        <v>6.7</v>
      </c>
      <c r="G81" s="1814">
        <v>9.9</v>
      </c>
      <c r="H81" s="1814">
        <v>0.67</v>
      </c>
      <c r="I81" s="1814">
        <v>1.27</v>
      </c>
    </row>
    <row r="82" spans="2:9">
      <c r="B82" s="14" t="s">
        <v>594</v>
      </c>
      <c r="C82" s="14" t="s">
        <v>511</v>
      </c>
      <c r="D82" s="1814">
        <v>7.6</v>
      </c>
      <c r="E82" s="1814">
        <v>10.9</v>
      </c>
      <c r="F82" s="1814">
        <v>6.6</v>
      </c>
      <c r="G82" s="1814">
        <v>9.6999999999999993</v>
      </c>
      <c r="H82" s="1814">
        <v>0.68</v>
      </c>
      <c r="I82" s="1814">
        <v>1.23</v>
      </c>
    </row>
    <row r="83" spans="2:9">
      <c r="B83" s="14" t="s">
        <v>594</v>
      </c>
      <c r="C83" s="14" t="s">
        <v>816</v>
      </c>
      <c r="D83" s="1814">
        <v>8.8000000000000007</v>
      </c>
      <c r="E83" s="1814">
        <v>10.4</v>
      </c>
      <c r="F83" s="1814">
        <v>6.9</v>
      </c>
      <c r="G83" s="1814">
        <v>7.8</v>
      </c>
      <c r="H83" s="1814">
        <v>1.1000000000000001</v>
      </c>
      <c r="I83" s="1814">
        <v>1.58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30BC3-DDFE-4F21-96D3-C5C941D70C2B}">
  <sheetPr codeName="Sheet8">
    <tabColor theme="1"/>
  </sheetPr>
  <dimension ref="B2:U109"/>
  <sheetViews>
    <sheetView workbookViewId="0"/>
  </sheetViews>
  <sheetFormatPr defaultColWidth="8.7109375" defaultRowHeight="12.75"/>
  <cols>
    <col min="2" max="2" width="52.42578125" bestFit="1" customWidth="1"/>
    <col min="3" max="7" width="21.42578125" customWidth="1"/>
    <col min="8" max="8" width="8.42578125" customWidth="1"/>
    <col min="11" max="11" width="40" bestFit="1" customWidth="1"/>
  </cols>
  <sheetData>
    <row r="2" spans="2:21" ht="18.75">
      <c r="B2" s="109" t="s">
        <v>903</v>
      </c>
    </row>
    <row r="3" spans="2:21" ht="13.5" thickBot="1"/>
    <row r="4" spans="2:21" ht="15.6" customHeight="1">
      <c r="B4" s="58" t="s">
        <v>904</v>
      </c>
      <c r="C4" s="1954" t="s">
        <v>905</v>
      </c>
      <c r="D4" s="1955"/>
      <c r="E4" s="1955"/>
      <c r="F4" s="1955"/>
      <c r="G4" s="1955"/>
      <c r="H4" s="1955"/>
      <c r="K4" s="58" t="s">
        <v>904</v>
      </c>
      <c r="L4" s="1954" t="s">
        <v>905</v>
      </c>
      <c r="M4" s="1955"/>
      <c r="N4" s="1955"/>
      <c r="O4" s="1955"/>
      <c r="P4" s="1955"/>
      <c r="Q4" s="1959"/>
      <c r="R4" s="1940" t="s">
        <v>906</v>
      </c>
      <c r="S4" s="1942" t="s">
        <v>275</v>
      </c>
      <c r="T4" s="1943"/>
      <c r="U4" s="1944"/>
    </row>
    <row r="5" spans="2:21" ht="15.6" customHeight="1">
      <c r="B5" s="59" t="s">
        <v>907</v>
      </c>
      <c r="C5" s="1933" t="s">
        <v>908</v>
      </c>
      <c r="D5" s="1934"/>
      <c r="E5" s="1934"/>
      <c r="F5" s="1934"/>
      <c r="G5" s="1934"/>
      <c r="H5" s="1934"/>
      <c r="K5" s="59" t="s">
        <v>907</v>
      </c>
      <c r="L5" s="1933" t="s">
        <v>908</v>
      </c>
      <c r="M5" s="1934"/>
      <c r="N5" s="1934"/>
      <c r="O5" s="1934"/>
      <c r="P5" s="1934"/>
      <c r="Q5" s="1935"/>
      <c r="R5" s="1941"/>
      <c r="S5" s="1945" t="s">
        <v>909</v>
      </c>
      <c r="T5" s="1946"/>
      <c r="U5" s="1947"/>
    </row>
    <row r="6" spans="2:21" ht="15.75">
      <c r="B6" s="59" t="s">
        <v>910</v>
      </c>
      <c r="C6" s="1956" t="s">
        <v>911</v>
      </c>
      <c r="D6" s="1957"/>
      <c r="E6" s="1957"/>
      <c r="F6" s="1958"/>
      <c r="G6" s="1956" t="s">
        <v>534</v>
      </c>
      <c r="H6" s="1957"/>
      <c r="K6" s="59" t="s">
        <v>910</v>
      </c>
      <c r="L6" s="1956" t="s">
        <v>912</v>
      </c>
      <c r="M6" s="1957"/>
      <c r="N6" s="1957"/>
      <c r="O6" s="1958"/>
      <c r="P6" s="1956" t="s">
        <v>534</v>
      </c>
      <c r="Q6" s="1958"/>
      <c r="R6" s="1941"/>
      <c r="S6" s="1948"/>
      <c r="T6" s="1949"/>
      <c r="U6" s="1950"/>
    </row>
    <row r="7" spans="2:21" ht="15.75">
      <c r="B7" s="59" t="s">
        <v>913</v>
      </c>
      <c r="C7" s="1933" t="s">
        <v>914</v>
      </c>
      <c r="D7" s="1934"/>
      <c r="E7" s="1934"/>
      <c r="F7" s="1934"/>
      <c r="G7" s="1934"/>
      <c r="H7" s="1934"/>
      <c r="K7" s="59" t="s">
        <v>913</v>
      </c>
      <c r="L7" s="1933" t="s">
        <v>914</v>
      </c>
      <c r="M7" s="1934"/>
      <c r="N7" s="1934"/>
      <c r="O7" s="1934"/>
      <c r="P7" s="1934"/>
      <c r="Q7" s="1935"/>
      <c r="R7" s="1941"/>
      <c r="S7" s="1948"/>
      <c r="T7" s="1949"/>
      <c r="U7" s="1950"/>
    </row>
    <row r="8" spans="2:21" ht="15.75">
      <c r="B8" s="59" t="s">
        <v>915</v>
      </c>
      <c r="C8" s="1963" t="s">
        <v>916</v>
      </c>
      <c r="D8" s="1964"/>
      <c r="E8" s="1964"/>
      <c r="F8" s="1964"/>
      <c r="G8" s="1964"/>
      <c r="H8" s="1964"/>
      <c r="K8" s="59" t="s">
        <v>915</v>
      </c>
      <c r="L8" s="1963" t="s">
        <v>916</v>
      </c>
      <c r="M8" s="1964"/>
      <c r="N8" s="1964"/>
      <c r="O8" s="1964"/>
      <c r="P8" s="1964"/>
      <c r="Q8" s="1965"/>
      <c r="R8" s="1941"/>
      <c r="S8" s="1948"/>
      <c r="T8" s="1949"/>
      <c r="U8" s="1950"/>
    </row>
    <row r="9" spans="2:21" ht="15.75">
      <c r="B9" s="59" t="s">
        <v>917</v>
      </c>
      <c r="C9" s="1933" t="s">
        <v>918</v>
      </c>
      <c r="D9" s="1934"/>
      <c r="E9" s="1934"/>
      <c r="F9" s="1934"/>
      <c r="G9" s="1934"/>
      <c r="H9" s="1934"/>
      <c r="K9" s="59" t="s">
        <v>917</v>
      </c>
      <c r="L9" s="1933" t="s">
        <v>918</v>
      </c>
      <c r="M9" s="1934"/>
      <c r="N9" s="1934"/>
      <c r="O9" s="1934"/>
      <c r="P9" s="1934"/>
      <c r="Q9" s="1935"/>
      <c r="R9" s="1941"/>
      <c r="S9" s="1948"/>
      <c r="T9" s="1949"/>
      <c r="U9" s="1950"/>
    </row>
    <row r="10" spans="2:21" ht="15.75">
      <c r="B10" s="60" t="s">
        <v>919</v>
      </c>
      <c r="C10" s="1937" t="s">
        <v>920</v>
      </c>
      <c r="D10" s="1938"/>
      <c r="E10" s="1938"/>
      <c r="F10" s="1938"/>
      <c r="G10" s="1938"/>
      <c r="H10" s="1938"/>
      <c r="K10" s="60" t="s">
        <v>919</v>
      </c>
      <c r="L10" s="1937" t="s">
        <v>920</v>
      </c>
      <c r="M10" s="1938"/>
      <c r="N10" s="1938"/>
      <c r="O10" s="1938"/>
      <c r="P10" s="1938"/>
      <c r="Q10" s="1939"/>
      <c r="R10" s="1941"/>
      <c r="S10" s="1951"/>
      <c r="T10" s="1952"/>
      <c r="U10" s="1953"/>
    </row>
    <row r="11" spans="2:21" ht="15.75">
      <c r="B11" s="61" t="s">
        <v>921</v>
      </c>
      <c r="C11" s="62" t="s">
        <v>922</v>
      </c>
      <c r="D11" s="62" t="s">
        <v>923</v>
      </c>
      <c r="E11" s="62" t="s">
        <v>924</v>
      </c>
      <c r="F11" s="62" t="s">
        <v>772</v>
      </c>
      <c r="G11" s="63" t="s">
        <v>925</v>
      </c>
      <c r="H11" s="1750"/>
      <c r="K11" s="66"/>
      <c r="L11" s="71"/>
      <c r="M11" s="1936" t="s">
        <v>926</v>
      </c>
      <c r="N11" s="1936"/>
      <c r="O11" s="1936"/>
      <c r="P11" s="1936"/>
      <c r="Q11" s="1936" t="s">
        <v>927</v>
      </c>
      <c r="R11" s="1936"/>
      <c r="S11" s="1936"/>
      <c r="T11" s="1936"/>
    </row>
    <row r="12" spans="2:21" ht="26.25">
      <c r="B12" s="56" t="s">
        <v>778</v>
      </c>
      <c r="C12" s="53">
        <v>88</v>
      </c>
      <c r="D12" s="53">
        <v>1.1599999999999999</v>
      </c>
      <c r="E12" s="64">
        <v>5.3600000000000002E-2</v>
      </c>
      <c r="F12" s="53">
        <v>1.5</v>
      </c>
      <c r="G12" s="65">
        <v>0.1022</v>
      </c>
      <c r="H12" s="66"/>
      <c r="K12" s="72" t="s">
        <v>921</v>
      </c>
      <c r="L12" s="73" t="s">
        <v>922</v>
      </c>
      <c r="M12" s="73" t="s">
        <v>928</v>
      </c>
      <c r="N12" s="73" t="s">
        <v>524</v>
      </c>
      <c r="O12" s="73" t="s">
        <v>525</v>
      </c>
      <c r="P12" s="74" t="s">
        <v>929</v>
      </c>
      <c r="Q12" s="73" t="s">
        <v>928</v>
      </c>
      <c r="R12" s="73" t="s">
        <v>524</v>
      </c>
      <c r="S12" s="73" t="s">
        <v>525</v>
      </c>
      <c r="T12" s="74" t="s">
        <v>929</v>
      </c>
    </row>
    <row r="13" spans="2:21" ht="15.75">
      <c r="B13" s="57" t="s">
        <v>780</v>
      </c>
      <c r="C13" s="54">
        <v>67</v>
      </c>
      <c r="D13" s="54">
        <v>1.95</v>
      </c>
      <c r="E13" s="67">
        <v>6.6400000000000001E-2</v>
      </c>
      <c r="F13" s="54">
        <v>2.08</v>
      </c>
      <c r="G13" s="68">
        <v>8.8999999999999996E-2</v>
      </c>
      <c r="H13" s="66"/>
      <c r="K13" s="75" t="s">
        <v>778</v>
      </c>
      <c r="L13" s="76">
        <v>88</v>
      </c>
      <c r="M13" s="76">
        <v>10.210000000000001</v>
      </c>
      <c r="N13" s="76">
        <v>10.38</v>
      </c>
      <c r="O13" s="76">
        <v>14.29</v>
      </c>
      <c r="P13" s="77">
        <v>18.68</v>
      </c>
      <c r="Q13" s="78">
        <v>11.31</v>
      </c>
      <c r="R13" s="78">
        <v>11.52</v>
      </c>
      <c r="S13" s="78">
        <v>14.65</v>
      </c>
      <c r="T13" s="79">
        <v>19.16</v>
      </c>
    </row>
    <row r="14" spans="2:21" ht="15.75">
      <c r="B14" s="56" t="s">
        <v>782</v>
      </c>
      <c r="C14" s="53">
        <v>33</v>
      </c>
      <c r="D14" s="53">
        <v>0.69</v>
      </c>
      <c r="E14" s="64">
        <v>8.7599999999999997E-2</v>
      </c>
      <c r="F14" s="53">
        <v>1.1499999999999999</v>
      </c>
      <c r="G14" s="65">
        <v>9.2399999999999996E-2</v>
      </c>
      <c r="H14" s="66"/>
      <c r="K14" s="47" t="s">
        <v>780</v>
      </c>
      <c r="L14" s="48">
        <v>67</v>
      </c>
      <c r="M14" s="48">
        <v>10.75</v>
      </c>
      <c r="N14" s="48">
        <v>16.760000000000002</v>
      </c>
      <c r="O14" s="48">
        <v>23.25</v>
      </c>
      <c r="P14" s="80">
        <v>29.43</v>
      </c>
      <c r="Q14" s="48">
        <v>11.73</v>
      </c>
      <c r="R14" s="48">
        <v>19.239999999999998</v>
      </c>
      <c r="S14" s="48">
        <v>23.33</v>
      </c>
      <c r="T14" s="80">
        <v>29.53</v>
      </c>
    </row>
    <row r="15" spans="2:21" ht="15.75">
      <c r="B15" s="57" t="s">
        <v>784</v>
      </c>
      <c r="C15" s="54">
        <v>107</v>
      </c>
      <c r="D15" s="54">
        <v>2.93</v>
      </c>
      <c r="E15" s="67">
        <v>0.10349999999999999</v>
      </c>
      <c r="F15" s="54">
        <v>3.28</v>
      </c>
      <c r="G15" s="68">
        <v>0.2137</v>
      </c>
      <c r="H15" s="66"/>
      <c r="K15" s="47" t="s">
        <v>782</v>
      </c>
      <c r="L15" s="48">
        <v>33</v>
      </c>
      <c r="M15" s="48">
        <v>7.81</v>
      </c>
      <c r="N15" s="48">
        <v>7.83</v>
      </c>
      <c r="O15" s="48">
        <v>12.34</v>
      </c>
      <c r="P15" s="80">
        <v>15.13</v>
      </c>
      <c r="Q15" s="48">
        <v>7.8</v>
      </c>
      <c r="R15" s="48">
        <v>7.82</v>
      </c>
      <c r="S15" s="48">
        <v>12.4</v>
      </c>
      <c r="T15" s="80">
        <v>15.2</v>
      </c>
    </row>
    <row r="16" spans="2:21" ht="15.75">
      <c r="B16" s="56" t="s">
        <v>786</v>
      </c>
      <c r="C16" s="53">
        <v>32</v>
      </c>
      <c r="D16" s="53">
        <v>0.39</v>
      </c>
      <c r="E16" s="64">
        <v>6.3399999999999998E-2</v>
      </c>
      <c r="F16" s="53">
        <v>0.81</v>
      </c>
      <c r="G16" s="65">
        <v>9.0399999999999994E-2</v>
      </c>
      <c r="H16" s="66"/>
      <c r="K16" s="47" t="s">
        <v>784</v>
      </c>
      <c r="L16" s="48">
        <v>107</v>
      </c>
      <c r="M16" s="48">
        <v>13.13</v>
      </c>
      <c r="N16" s="48">
        <v>13.33</v>
      </c>
      <c r="O16" s="48">
        <v>15.32</v>
      </c>
      <c r="P16" s="80">
        <v>20.87</v>
      </c>
      <c r="Q16" s="48">
        <v>12.38</v>
      </c>
      <c r="R16" s="48">
        <v>12.56</v>
      </c>
      <c r="S16" s="48">
        <v>15.35</v>
      </c>
      <c r="T16" s="80">
        <v>20.91</v>
      </c>
    </row>
    <row r="17" spans="2:20" ht="15.75">
      <c r="B17" s="57" t="s">
        <v>788</v>
      </c>
      <c r="C17" s="54">
        <v>60</v>
      </c>
      <c r="D17" s="54">
        <v>0.31</v>
      </c>
      <c r="E17" s="67">
        <v>2.4799999999999999E-2</v>
      </c>
      <c r="F17" s="54">
        <v>0.52</v>
      </c>
      <c r="G17" s="68">
        <v>5.3800000000000001E-2</v>
      </c>
      <c r="H17" s="66"/>
      <c r="K17" s="47" t="s">
        <v>786</v>
      </c>
      <c r="L17" s="48">
        <v>32</v>
      </c>
      <c r="M17" s="48">
        <v>4.8499999999999996</v>
      </c>
      <c r="N17" s="48">
        <v>6.7</v>
      </c>
      <c r="O17" s="48">
        <v>8.92</v>
      </c>
      <c r="P17" s="80">
        <v>11.8</v>
      </c>
      <c r="Q17" s="48">
        <v>4.2</v>
      </c>
      <c r="R17" s="48">
        <v>5.5</v>
      </c>
      <c r="S17" s="48">
        <v>8.99</v>
      </c>
      <c r="T17" s="80">
        <v>11.88</v>
      </c>
    </row>
    <row r="18" spans="2:20" ht="15.75">
      <c r="B18" s="56" t="s">
        <v>790</v>
      </c>
      <c r="C18" s="53">
        <v>114</v>
      </c>
      <c r="D18" s="53" t="s">
        <v>149</v>
      </c>
      <c r="E18" s="53" t="s">
        <v>149</v>
      </c>
      <c r="F18" s="53" t="s">
        <v>149</v>
      </c>
      <c r="G18" s="1751" t="s">
        <v>149</v>
      </c>
      <c r="H18" s="66"/>
      <c r="K18" s="47" t="s">
        <v>788</v>
      </c>
      <c r="L18" s="48">
        <v>60</v>
      </c>
      <c r="M18" s="48">
        <v>3.3</v>
      </c>
      <c r="N18" s="48">
        <v>5.31</v>
      </c>
      <c r="O18" s="48">
        <v>9.6999999999999993</v>
      </c>
      <c r="P18" s="80">
        <v>13.07</v>
      </c>
      <c r="Q18" s="48">
        <v>3.36</v>
      </c>
      <c r="R18" s="48">
        <v>5.44</v>
      </c>
      <c r="S18" s="48">
        <v>9.73</v>
      </c>
      <c r="T18" s="80">
        <v>13.12</v>
      </c>
    </row>
    <row r="19" spans="2:20" ht="15.75">
      <c r="B19" s="57" t="s">
        <v>792</v>
      </c>
      <c r="C19" s="54">
        <v>73</v>
      </c>
      <c r="D19" s="54" t="s">
        <v>149</v>
      </c>
      <c r="E19" s="54" t="s">
        <v>149</v>
      </c>
      <c r="F19" s="54" t="s">
        <v>149</v>
      </c>
      <c r="G19" s="1752" t="s">
        <v>149</v>
      </c>
      <c r="H19" s="66"/>
      <c r="K19" s="47" t="s">
        <v>790</v>
      </c>
      <c r="L19" s="48">
        <v>114</v>
      </c>
      <c r="M19" s="48" t="s">
        <v>149</v>
      </c>
      <c r="N19" s="48" t="s">
        <v>149</v>
      </c>
      <c r="O19" s="48" t="s">
        <v>149</v>
      </c>
      <c r="P19" s="80" t="s">
        <v>149</v>
      </c>
      <c r="Q19" s="48" t="s">
        <v>149</v>
      </c>
      <c r="R19" s="48" t="s">
        <v>149</v>
      </c>
      <c r="S19" s="48" t="s">
        <v>149</v>
      </c>
      <c r="T19" s="80" t="s">
        <v>149</v>
      </c>
    </row>
    <row r="20" spans="2:20" ht="15.75">
      <c r="B20" s="56" t="s">
        <v>794</v>
      </c>
      <c r="C20" s="53">
        <v>50</v>
      </c>
      <c r="D20" s="53">
        <v>1.54</v>
      </c>
      <c r="E20" s="64">
        <v>4.8300000000000003E-2</v>
      </c>
      <c r="F20" s="53">
        <v>2.38</v>
      </c>
      <c r="G20" s="65">
        <v>0.19539999999999999</v>
      </c>
      <c r="H20" s="66"/>
      <c r="K20" s="47" t="s">
        <v>792</v>
      </c>
      <c r="L20" s="48">
        <v>73</v>
      </c>
      <c r="M20" s="48" t="s">
        <v>149</v>
      </c>
      <c r="N20" s="48" t="s">
        <v>149</v>
      </c>
      <c r="O20" s="48" t="s">
        <v>149</v>
      </c>
      <c r="P20" s="80" t="s">
        <v>149</v>
      </c>
      <c r="Q20" s="48" t="s">
        <v>149</v>
      </c>
      <c r="R20" s="48" t="s">
        <v>149</v>
      </c>
      <c r="S20" s="48" t="s">
        <v>149</v>
      </c>
      <c r="T20" s="80" t="s">
        <v>149</v>
      </c>
    </row>
    <row r="21" spans="2:20" ht="15.75">
      <c r="B21" s="57" t="s">
        <v>796</v>
      </c>
      <c r="C21" s="54">
        <v>15</v>
      </c>
      <c r="D21" s="54">
        <v>1.54</v>
      </c>
      <c r="E21" s="67">
        <v>7.9500000000000001E-2</v>
      </c>
      <c r="F21" s="54">
        <v>1.96</v>
      </c>
      <c r="G21" s="68">
        <v>0.11409999999999999</v>
      </c>
      <c r="H21" s="66"/>
      <c r="K21" s="47" t="s">
        <v>794</v>
      </c>
      <c r="L21" s="48">
        <v>50</v>
      </c>
      <c r="M21" s="48">
        <v>9.56</v>
      </c>
      <c r="N21" s="48">
        <v>9.69</v>
      </c>
      <c r="O21" s="48">
        <v>12.19</v>
      </c>
      <c r="P21" s="80">
        <v>16.329999999999998</v>
      </c>
      <c r="Q21" s="48">
        <v>9.57</v>
      </c>
      <c r="R21" s="48">
        <v>9.6999999999999993</v>
      </c>
      <c r="S21" s="48">
        <v>12.2</v>
      </c>
      <c r="T21" s="80">
        <v>16.34</v>
      </c>
    </row>
    <row r="22" spans="2:20" ht="15.75">
      <c r="B22" s="56" t="s">
        <v>798</v>
      </c>
      <c r="C22" s="53">
        <v>21</v>
      </c>
      <c r="D22" s="53">
        <v>0.7</v>
      </c>
      <c r="E22" s="64">
        <v>6.6199999999999995E-2</v>
      </c>
      <c r="F22" s="53">
        <v>0.87</v>
      </c>
      <c r="G22" s="65">
        <v>9.9699999999999997E-2</v>
      </c>
      <c r="H22" s="66"/>
      <c r="K22" s="47" t="s">
        <v>796</v>
      </c>
      <c r="L22" s="48">
        <v>15</v>
      </c>
      <c r="M22" s="48">
        <v>13.46</v>
      </c>
      <c r="N22" s="48">
        <v>13.5</v>
      </c>
      <c r="O22" s="48">
        <v>17.16</v>
      </c>
      <c r="P22" s="80">
        <v>22.8</v>
      </c>
      <c r="Q22" s="48">
        <v>13.15</v>
      </c>
      <c r="R22" s="48">
        <v>13.19</v>
      </c>
      <c r="S22" s="48">
        <v>17.16</v>
      </c>
      <c r="T22" s="80">
        <v>22.8</v>
      </c>
    </row>
    <row r="23" spans="2:20" ht="15.75">
      <c r="B23" s="57" t="s">
        <v>800</v>
      </c>
      <c r="C23" s="54">
        <v>75</v>
      </c>
      <c r="D23" s="54" t="s">
        <v>149</v>
      </c>
      <c r="E23" s="54" t="s">
        <v>149</v>
      </c>
      <c r="F23" s="54" t="s">
        <v>149</v>
      </c>
      <c r="G23" s="1752" t="s">
        <v>149</v>
      </c>
      <c r="H23" s="66"/>
      <c r="K23" s="47" t="s">
        <v>798</v>
      </c>
      <c r="L23" s="48">
        <v>21</v>
      </c>
      <c r="M23" s="48">
        <v>6.02</v>
      </c>
      <c r="N23" s="48">
        <v>6.02</v>
      </c>
      <c r="O23" s="48">
        <v>7.63</v>
      </c>
      <c r="P23" s="80">
        <v>9.1999999999999993</v>
      </c>
      <c r="Q23" s="48">
        <v>7.86</v>
      </c>
      <c r="R23" s="48">
        <v>7.87</v>
      </c>
      <c r="S23" s="48">
        <v>8.75</v>
      </c>
      <c r="T23" s="80">
        <v>10.54</v>
      </c>
    </row>
    <row r="24" spans="2:20" ht="15.75">
      <c r="B24" s="56" t="s">
        <v>802</v>
      </c>
      <c r="C24" s="53">
        <v>88</v>
      </c>
      <c r="D24" s="53">
        <v>1.84</v>
      </c>
      <c r="E24" s="64">
        <v>7.5499999999999998E-2</v>
      </c>
      <c r="F24" s="53">
        <v>2.11</v>
      </c>
      <c r="G24" s="65">
        <v>0.1202</v>
      </c>
      <c r="H24" s="66"/>
      <c r="K24" s="47" t="s">
        <v>800</v>
      </c>
      <c r="L24" s="48">
        <v>75</v>
      </c>
      <c r="M24" s="48">
        <v>14.06</v>
      </c>
      <c r="N24" s="48">
        <v>26.01</v>
      </c>
      <c r="O24" s="48">
        <v>27.13</v>
      </c>
      <c r="P24" s="80" t="s">
        <v>149</v>
      </c>
      <c r="Q24" s="48" t="s">
        <v>149</v>
      </c>
      <c r="R24" s="48" t="s">
        <v>149</v>
      </c>
      <c r="S24" s="48">
        <v>118.37</v>
      </c>
      <c r="T24" s="80" t="s">
        <v>149</v>
      </c>
    </row>
    <row r="25" spans="2:20" ht="15.75">
      <c r="B25" s="57" t="s">
        <v>804</v>
      </c>
      <c r="C25" s="54">
        <v>183</v>
      </c>
      <c r="D25" s="54">
        <v>1.28</v>
      </c>
      <c r="E25" s="67">
        <v>4.1700000000000001E-2</v>
      </c>
      <c r="F25" s="54">
        <v>1.56</v>
      </c>
      <c r="G25" s="68">
        <v>8.5699999999999998E-2</v>
      </c>
      <c r="H25" s="66"/>
      <c r="K25" s="47" t="s">
        <v>802</v>
      </c>
      <c r="L25" s="48">
        <v>88</v>
      </c>
      <c r="M25" s="48">
        <v>12.06</v>
      </c>
      <c r="N25" s="48">
        <v>13.43</v>
      </c>
      <c r="O25" s="48">
        <v>17.38</v>
      </c>
      <c r="P25" s="80">
        <v>22.12</v>
      </c>
      <c r="Q25" s="48">
        <v>12.45</v>
      </c>
      <c r="R25" s="48">
        <v>13.9</v>
      </c>
      <c r="S25" s="48">
        <v>17.57</v>
      </c>
      <c r="T25" s="80">
        <v>22.36</v>
      </c>
    </row>
    <row r="26" spans="2:20" ht="15.75">
      <c r="B26" s="56" t="s">
        <v>806</v>
      </c>
      <c r="C26" s="53">
        <v>3</v>
      </c>
      <c r="D26" s="53">
        <v>0.56000000000000005</v>
      </c>
      <c r="E26" s="64">
        <v>-7.0199999999999999E-2</v>
      </c>
      <c r="F26" s="53">
        <v>1.97</v>
      </c>
      <c r="G26" s="65">
        <v>5.7500000000000002E-2</v>
      </c>
      <c r="H26" s="66"/>
      <c r="K26" s="47" t="s">
        <v>804</v>
      </c>
      <c r="L26" s="48">
        <v>183</v>
      </c>
      <c r="M26" s="48">
        <v>12.99</v>
      </c>
      <c r="N26" s="48">
        <v>13.66</v>
      </c>
      <c r="O26" s="48">
        <v>18.09</v>
      </c>
      <c r="P26" s="80">
        <v>24.46</v>
      </c>
      <c r="Q26" s="48">
        <v>13.26</v>
      </c>
      <c r="R26" s="48">
        <v>13.96</v>
      </c>
      <c r="S26" s="48">
        <v>18.16</v>
      </c>
      <c r="T26" s="80">
        <v>24.55</v>
      </c>
    </row>
    <row r="27" spans="2:20" ht="15.75">
      <c r="B27" s="57" t="s">
        <v>808</v>
      </c>
      <c r="C27" s="54">
        <v>62</v>
      </c>
      <c r="D27" s="54">
        <v>1.07</v>
      </c>
      <c r="E27" s="67">
        <v>5.2699999999999997E-2</v>
      </c>
      <c r="F27" s="54">
        <v>1.58</v>
      </c>
      <c r="G27" s="68">
        <v>3.5400000000000001E-2</v>
      </c>
      <c r="H27" s="66"/>
      <c r="K27" s="47" t="s">
        <v>806</v>
      </c>
      <c r="L27" s="48">
        <v>3</v>
      </c>
      <c r="M27" s="48">
        <v>6.83</v>
      </c>
      <c r="N27" s="48">
        <v>6.83</v>
      </c>
      <c r="O27" s="48">
        <v>34.32</v>
      </c>
      <c r="P27" s="80">
        <v>50.6</v>
      </c>
      <c r="Q27" s="48">
        <v>7.25</v>
      </c>
      <c r="R27" s="48">
        <v>7.25</v>
      </c>
      <c r="S27" s="48">
        <v>34.32</v>
      </c>
      <c r="T27" s="80">
        <v>50.6</v>
      </c>
    </row>
    <row r="28" spans="2:20" ht="15.75">
      <c r="B28" s="56" t="s">
        <v>810</v>
      </c>
      <c r="C28" s="53">
        <v>7</v>
      </c>
      <c r="D28" s="53">
        <v>0.53</v>
      </c>
      <c r="E28" s="64">
        <v>1.7399999999999999E-2</v>
      </c>
      <c r="F28" s="53">
        <v>0.85</v>
      </c>
      <c r="G28" s="65">
        <v>3.6700000000000003E-2</v>
      </c>
      <c r="H28" s="66"/>
      <c r="K28" s="47" t="s">
        <v>808</v>
      </c>
      <c r="L28" s="48">
        <v>62</v>
      </c>
      <c r="M28" s="48">
        <v>11.62</v>
      </c>
      <c r="N28" s="48">
        <v>12.87</v>
      </c>
      <c r="O28" s="48">
        <v>35.57</v>
      </c>
      <c r="P28" s="80">
        <v>48.3</v>
      </c>
      <c r="Q28" s="48">
        <v>14.36</v>
      </c>
      <c r="R28" s="48">
        <v>15.89</v>
      </c>
      <c r="S28" s="48">
        <v>44.6</v>
      </c>
      <c r="T28" s="80">
        <v>60.57</v>
      </c>
    </row>
    <row r="29" spans="2:20" ht="15.75">
      <c r="B29" s="57" t="s">
        <v>812</v>
      </c>
      <c r="C29" s="54">
        <v>98</v>
      </c>
      <c r="D29" s="54">
        <v>2.11</v>
      </c>
      <c r="E29" s="67">
        <v>5.3100000000000001E-2</v>
      </c>
      <c r="F29" s="54">
        <v>2.4500000000000002</v>
      </c>
      <c r="G29" s="68">
        <v>0.1033</v>
      </c>
      <c r="H29" s="66"/>
      <c r="K29" s="47" t="s">
        <v>810</v>
      </c>
      <c r="L29" s="48">
        <v>7</v>
      </c>
      <c r="M29" s="48">
        <v>6.99</v>
      </c>
      <c r="N29" s="48">
        <v>9.11</v>
      </c>
      <c r="O29" s="48">
        <v>22.96</v>
      </c>
      <c r="P29" s="80">
        <v>43.73</v>
      </c>
      <c r="Q29" s="48">
        <v>6.28</v>
      </c>
      <c r="R29" s="48">
        <v>7.93</v>
      </c>
      <c r="S29" s="48">
        <v>23.12</v>
      </c>
      <c r="T29" s="80">
        <v>44.02</v>
      </c>
    </row>
    <row r="30" spans="2:20" ht="15.75">
      <c r="B30" s="56" t="s">
        <v>814</v>
      </c>
      <c r="C30" s="53">
        <v>14</v>
      </c>
      <c r="D30" s="53">
        <v>1.18</v>
      </c>
      <c r="E30" s="64">
        <v>5.1499999999999997E-2</v>
      </c>
      <c r="F30" s="53">
        <v>1.0900000000000001</v>
      </c>
      <c r="G30" s="65">
        <v>0.188</v>
      </c>
      <c r="H30" s="66"/>
      <c r="K30" s="47" t="s">
        <v>812</v>
      </c>
      <c r="L30" s="48">
        <v>98</v>
      </c>
      <c r="M30" s="48">
        <v>12.67</v>
      </c>
      <c r="N30" s="48">
        <v>14.45</v>
      </c>
      <c r="O30" s="48">
        <v>23.26</v>
      </c>
      <c r="P30" s="80">
        <v>31.31</v>
      </c>
      <c r="Q30" s="48">
        <v>13.3</v>
      </c>
      <c r="R30" s="48">
        <v>15.23</v>
      </c>
      <c r="S30" s="48">
        <v>23.73</v>
      </c>
      <c r="T30" s="80">
        <v>31.94</v>
      </c>
    </row>
    <row r="31" spans="2:20" ht="15.75">
      <c r="B31" s="57" t="s">
        <v>815</v>
      </c>
      <c r="C31" s="54">
        <v>213</v>
      </c>
      <c r="D31" s="54">
        <v>1.48</v>
      </c>
      <c r="E31" s="67">
        <v>3.5700000000000003E-2</v>
      </c>
      <c r="F31" s="54">
        <v>1.57</v>
      </c>
      <c r="G31" s="68">
        <v>0.09</v>
      </c>
      <c r="H31" s="66"/>
      <c r="K31" s="47" t="s">
        <v>814</v>
      </c>
      <c r="L31" s="48">
        <v>14</v>
      </c>
      <c r="M31" s="48">
        <v>1.71</v>
      </c>
      <c r="N31" s="48">
        <v>1.73</v>
      </c>
      <c r="O31" s="48">
        <v>1.93</v>
      </c>
      <c r="P31" s="80">
        <v>2.09</v>
      </c>
      <c r="Q31" s="48">
        <v>5.91</v>
      </c>
      <c r="R31" s="48">
        <v>6.02</v>
      </c>
      <c r="S31" s="48">
        <v>5.81</v>
      </c>
      <c r="T31" s="80">
        <v>6.28</v>
      </c>
    </row>
    <row r="32" spans="2:20" ht="15.75">
      <c r="B32" s="56" t="s">
        <v>817</v>
      </c>
      <c r="C32" s="53">
        <v>42</v>
      </c>
      <c r="D32" s="53">
        <v>2.2400000000000002</v>
      </c>
      <c r="E32" s="64">
        <v>6.1499999999999999E-2</v>
      </c>
      <c r="F32" s="53">
        <v>2.15</v>
      </c>
      <c r="G32" s="65">
        <v>0.10489999999999999</v>
      </c>
      <c r="H32" s="66"/>
      <c r="K32" s="47" t="s">
        <v>815</v>
      </c>
      <c r="L32" s="48">
        <v>213</v>
      </c>
      <c r="M32" s="48">
        <v>12.95</v>
      </c>
      <c r="N32" s="48">
        <v>14.08</v>
      </c>
      <c r="O32" s="48">
        <v>17.36</v>
      </c>
      <c r="P32" s="80">
        <v>23.02</v>
      </c>
      <c r="Q32" s="48">
        <v>13.54</v>
      </c>
      <c r="R32" s="48">
        <v>14.77</v>
      </c>
      <c r="S32" s="48">
        <v>17.420000000000002</v>
      </c>
      <c r="T32" s="80">
        <v>23.1</v>
      </c>
    </row>
    <row r="33" spans="2:20" ht="15.75">
      <c r="B33" s="57" t="s">
        <v>819</v>
      </c>
      <c r="C33" s="54">
        <v>118</v>
      </c>
      <c r="D33" s="54">
        <v>0.87</v>
      </c>
      <c r="E33" s="67">
        <v>6.5000000000000002E-2</v>
      </c>
      <c r="F33" s="54">
        <v>1.21</v>
      </c>
      <c r="G33" s="68">
        <v>0.107</v>
      </c>
      <c r="H33" s="66"/>
      <c r="K33" s="47" t="s">
        <v>817</v>
      </c>
      <c r="L33" s="48">
        <v>42</v>
      </c>
      <c r="M33" s="48">
        <v>8.3000000000000007</v>
      </c>
      <c r="N33" s="48">
        <v>12.14</v>
      </c>
      <c r="O33" s="48">
        <v>16.940000000000001</v>
      </c>
      <c r="P33" s="80">
        <v>18.920000000000002</v>
      </c>
      <c r="Q33" s="48">
        <v>11.22</v>
      </c>
      <c r="R33" s="48">
        <v>17.37</v>
      </c>
      <c r="S33" s="48">
        <v>20.48</v>
      </c>
      <c r="T33" s="80">
        <v>22.88</v>
      </c>
    </row>
    <row r="34" spans="2:20" ht="15.75">
      <c r="B34" s="56" t="s">
        <v>821</v>
      </c>
      <c r="C34" s="53">
        <v>72</v>
      </c>
      <c r="D34" s="53">
        <v>1.35</v>
      </c>
      <c r="E34" s="64">
        <v>0.19070000000000001</v>
      </c>
      <c r="F34" s="53">
        <v>1.7</v>
      </c>
      <c r="G34" s="65">
        <v>0.2092</v>
      </c>
      <c r="H34" s="66"/>
      <c r="K34" s="47" t="s">
        <v>819</v>
      </c>
      <c r="L34" s="48">
        <v>118</v>
      </c>
      <c r="M34" s="48">
        <v>6.96</v>
      </c>
      <c r="N34" s="48">
        <v>8.4</v>
      </c>
      <c r="O34" s="48">
        <v>11.24</v>
      </c>
      <c r="P34" s="80">
        <v>14.95</v>
      </c>
      <c r="Q34" s="48">
        <v>7</v>
      </c>
      <c r="R34" s="48">
        <v>8.4600000000000009</v>
      </c>
      <c r="S34" s="48">
        <v>11.31</v>
      </c>
      <c r="T34" s="80">
        <v>15.04</v>
      </c>
    </row>
    <row r="35" spans="2:20" ht="15.75">
      <c r="B35" s="57" t="s">
        <v>823</v>
      </c>
      <c r="C35" s="54">
        <v>219</v>
      </c>
      <c r="D35" s="54">
        <v>5.79</v>
      </c>
      <c r="E35" s="67">
        <v>4.8599999999999997E-2</v>
      </c>
      <c r="F35" s="54">
        <v>6.18</v>
      </c>
      <c r="G35" s="68">
        <v>-0.13880000000000001</v>
      </c>
      <c r="H35" s="66"/>
      <c r="K35" s="47" t="s">
        <v>821</v>
      </c>
      <c r="L35" s="48">
        <v>72</v>
      </c>
      <c r="M35" s="48">
        <v>6.02</v>
      </c>
      <c r="N35" s="48">
        <v>6.82</v>
      </c>
      <c r="O35" s="48">
        <v>7.75</v>
      </c>
      <c r="P35" s="80">
        <v>8.3800000000000008</v>
      </c>
      <c r="Q35" s="48">
        <v>7.7</v>
      </c>
      <c r="R35" s="48">
        <v>8.98</v>
      </c>
      <c r="S35" s="48">
        <v>8.11</v>
      </c>
      <c r="T35" s="80">
        <v>8.77</v>
      </c>
    </row>
    <row r="36" spans="2:20" ht="15.75">
      <c r="B36" s="56" t="s">
        <v>825</v>
      </c>
      <c r="C36" s="53">
        <v>123</v>
      </c>
      <c r="D36" s="53">
        <v>3.33</v>
      </c>
      <c r="E36" s="64">
        <v>0.14599999999999999</v>
      </c>
      <c r="F36" s="53">
        <v>3.78</v>
      </c>
      <c r="G36" s="65">
        <v>0.25519999999999998</v>
      </c>
      <c r="H36" s="66"/>
      <c r="K36" s="47" t="s">
        <v>823</v>
      </c>
      <c r="L36" s="48">
        <v>219</v>
      </c>
      <c r="M36" s="48">
        <v>4.45</v>
      </c>
      <c r="N36" s="48">
        <v>13.61</v>
      </c>
      <c r="O36" s="48" t="s">
        <v>149</v>
      </c>
      <c r="P36" s="80" t="s">
        <v>149</v>
      </c>
      <c r="Q36" s="48" t="s">
        <v>149</v>
      </c>
      <c r="R36" s="48" t="s">
        <v>149</v>
      </c>
      <c r="S36" s="48" t="s">
        <v>149</v>
      </c>
      <c r="T36" s="80" t="s">
        <v>149</v>
      </c>
    </row>
    <row r="37" spans="2:20" ht="15.75">
      <c r="B37" s="57" t="s">
        <v>827</v>
      </c>
      <c r="C37" s="54">
        <v>20</v>
      </c>
      <c r="D37" s="54">
        <v>1.83</v>
      </c>
      <c r="E37" s="67">
        <v>7.5800000000000006E-2</v>
      </c>
      <c r="F37" s="54">
        <v>2.23</v>
      </c>
      <c r="G37" s="68">
        <v>0.12239999999999999</v>
      </c>
      <c r="H37" s="66"/>
      <c r="K37" s="47" t="s">
        <v>825</v>
      </c>
      <c r="L37" s="48">
        <v>123</v>
      </c>
      <c r="M37" s="48">
        <v>7.57</v>
      </c>
      <c r="N37" s="48">
        <v>11.79</v>
      </c>
      <c r="O37" s="48">
        <v>14.69</v>
      </c>
      <c r="P37" s="80">
        <v>17.190000000000001</v>
      </c>
      <c r="Q37" s="48">
        <v>7.96</v>
      </c>
      <c r="R37" s="48">
        <v>12.7</v>
      </c>
      <c r="S37" s="48">
        <v>14.8</v>
      </c>
      <c r="T37" s="80">
        <v>17.309999999999999</v>
      </c>
    </row>
    <row r="38" spans="2:20" ht="15.75">
      <c r="B38" s="56" t="s">
        <v>828</v>
      </c>
      <c r="C38" s="53">
        <v>151</v>
      </c>
      <c r="D38" s="53">
        <v>2.2599999999999998</v>
      </c>
      <c r="E38" s="64">
        <v>6.9199999999999998E-2</v>
      </c>
      <c r="F38" s="53">
        <v>2.44</v>
      </c>
      <c r="G38" s="65">
        <v>9.6199999999999994E-2</v>
      </c>
      <c r="H38" s="66"/>
      <c r="K38" s="47" t="s">
        <v>827</v>
      </c>
      <c r="L38" s="48">
        <v>20</v>
      </c>
      <c r="M38" s="48">
        <v>10.96</v>
      </c>
      <c r="N38" s="48">
        <v>14.84</v>
      </c>
      <c r="O38" s="48">
        <v>18.079999999999998</v>
      </c>
      <c r="P38" s="80">
        <v>24.16</v>
      </c>
      <c r="Q38" s="48">
        <v>11.05</v>
      </c>
      <c r="R38" s="48">
        <v>14.98</v>
      </c>
      <c r="S38" s="48">
        <v>18.18</v>
      </c>
      <c r="T38" s="80">
        <v>24.29</v>
      </c>
    </row>
    <row r="39" spans="2:20" ht="15.75">
      <c r="B39" s="57" t="s">
        <v>829</v>
      </c>
      <c r="C39" s="54">
        <v>20</v>
      </c>
      <c r="D39" s="54">
        <v>3.29</v>
      </c>
      <c r="E39" s="67">
        <v>0.11550000000000001</v>
      </c>
      <c r="F39" s="54">
        <v>3.42</v>
      </c>
      <c r="G39" s="68">
        <v>0.1492</v>
      </c>
      <c r="H39" s="66"/>
      <c r="K39" s="47" t="s">
        <v>828</v>
      </c>
      <c r="L39" s="48">
        <v>151</v>
      </c>
      <c r="M39" s="48">
        <v>14.59</v>
      </c>
      <c r="N39" s="48">
        <v>18.559999999999999</v>
      </c>
      <c r="O39" s="48">
        <v>24.91</v>
      </c>
      <c r="P39" s="80">
        <v>31.82</v>
      </c>
      <c r="Q39" s="48">
        <v>16.100000000000001</v>
      </c>
      <c r="R39" s="48">
        <v>20.97</v>
      </c>
      <c r="S39" s="48">
        <v>25.35</v>
      </c>
      <c r="T39" s="80">
        <v>32.39</v>
      </c>
    </row>
    <row r="40" spans="2:20" ht="15.75">
      <c r="B40" s="56" t="s">
        <v>830</v>
      </c>
      <c r="C40" s="53">
        <v>151</v>
      </c>
      <c r="D40" s="53">
        <v>2.2799999999999998</v>
      </c>
      <c r="E40" s="64">
        <v>0.10589999999999999</v>
      </c>
      <c r="F40" s="53">
        <v>2.52</v>
      </c>
      <c r="G40" s="65">
        <v>0.13750000000000001</v>
      </c>
      <c r="H40" s="66"/>
      <c r="K40" s="47" t="s">
        <v>829</v>
      </c>
      <c r="L40" s="48">
        <v>20</v>
      </c>
      <c r="M40" s="48">
        <v>11.79</v>
      </c>
      <c r="N40" s="48">
        <v>18.47</v>
      </c>
      <c r="O40" s="48">
        <v>22.91</v>
      </c>
      <c r="P40" s="80">
        <v>24.45</v>
      </c>
      <c r="Q40" s="48">
        <v>13.45</v>
      </c>
      <c r="R40" s="48">
        <v>22.89</v>
      </c>
      <c r="S40" s="48">
        <v>22.93</v>
      </c>
      <c r="T40" s="80">
        <v>24.48</v>
      </c>
    </row>
    <row r="41" spans="2:20" ht="15.75">
      <c r="B41" s="57" t="s">
        <v>831</v>
      </c>
      <c r="C41" s="54">
        <v>158</v>
      </c>
      <c r="D41" s="54">
        <v>0.5</v>
      </c>
      <c r="E41" s="67">
        <v>3.78E-2</v>
      </c>
      <c r="F41" s="54">
        <v>0.7</v>
      </c>
      <c r="G41" s="68">
        <v>5.7700000000000001E-2</v>
      </c>
      <c r="H41" s="66"/>
      <c r="K41" s="47" t="s">
        <v>830</v>
      </c>
      <c r="L41" s="48">
        <v>151</v>
      </c>
      <c r="M41" s="48">
        <v>9.35</v>
      </c>
      <c r="N41" s="48">
        <v>13.09</v>
      </c>
      <c r="O41" s="48">
        <v>18.079999999999998</v>
      </c>
      <c r="P41" s="80">
        <v>20.63</v>
      </c>
      <c r="Q41" s="48">
        <v>10.26</v>
      </c>
      <c r="R41" s="48">
        <v>14.86</v>
      </c>
      <c r="S41" s="48">
        <v>18.32</v>
      </c>
      <c r="T41" s="80">
        <v>20.91</v>
      </c>
    </row>
    <row r="42" spans="2:20" ht="15.75">
      <c r="B42" s="56" t="s">
        <v>832</v>
      </c>
      <c r="C42" s="53">
        <v>201</v>
      </c>
      <c r="D42" s="53">
        <v>2.14</v>
      </c>
      <c r="E42" s="64">
        <v>5.2900000000000003E-2</v>
      </c>
      <c r="F42" s="53">
        <v>2.36</v>
      </c>
      <c r="G42" s="65">
        <v>4.48E-2</v>
      </c>
      <c r="H42" s="66"/>
      <c r="K42" s="47" t="s">
        <v>831</v>
      </c>
      <c r="L42" s="48">
        <v>158</v>
      </c>
      <c r="M42" s="48">
        <v>7.97</v>
      </c>
      <c r="N42" s="48">
        <v>8.02</v>
      </c>
      <c r="O42" s="48">
        <v>12.01</v>
      </c>
      <c r="P42" s="80">
        <v>16.12</v>
      </c>
      <c r="Q42" s="48">
        <v>8.5</v>
      </c>
      <c r="R42" s="48">
        <v>8.56</v>
      </c>
      <c r="S42" s="48">
        <v>12.15</v>
      </c>
      <c r="T42" s="80">
        <v>16.3</v>
      </c>
    </row>
    <row r="43" spans="2:20" ht="15.75">
      <c r="B43" s="57" t="s">
        <v>833</v>
      </c>
      <c r="C43" s="54">
        <v>51</v>
      </c>
      <c r="D43" s="54">
        <v>0.66</v>
      </c>
      <c r="E43" s="67">
        <v>5.0900000000000001E-2</v>
      </c>
      <c r="F43" s="54">
        <v>0.99</v>
      </c>
      <c r="G43" s="68">
        <v>6.9099999999999995E-2</v>
      </c>
      <c r="H43" s="66"/>
      <c r="K43" s="47" t="s">
        <v>832</v>
      </c>
      <c r="L43" s="48">
        <v>201</v>
      </c>
      <c r="M43" s="48">
        <v>2.56</v>
      </c>
      <c r="N43" s="48">
        <v>2.71</v>
      </c>
      <c r="O43" s="48">
        <v>49.16</v>
      </c>
      <c r="P43" s="80">
        <v>76.62</v>
      </c>
      <c r="Q43" s="48">
        <v>20.04</v>
      </c>
      <c r="R43" s="48">
        <v>33.450000000000003</v>
      </c>
      <c r="S43" s="48">
        <v>52.74</v>
      </c>
      <c r="T43" s="80">
        <v>82.2</v>
      </c>
    </row>
    <row r="44" spans="2:20" ht="15.75">
      <c r="B44" s="56" t="s">
        <v>834</v>
      </c>
      <c r="C44" s="53">
        <v>48</v>
      </c>
      <c r="D44" s="53">
        <v>0.67</v>
      </c>
      <c r="E44" s="64">
        <v>6.4500000000000002E-2</v>
      </c>
      <c r="F44" s="53">
        <v>1.29</v>
      </c>
      <c r="G44" s="65">
        <v>9.5100000000000004E-2</v>
      </c>
      <c r="H44" s="66"/>
      <c r="K44" s="47" t="s">
        <v>833</v>
      </c>
      <c r="L44" s="48">
        <v>51</v>
      </c>
      <c r="M44" s="48">
        <v>8.25</v>
      </c>
      <c r="N44" s="48">
        <v>8.33</v>
      </c>
      <c r="O44" s="48">
        <v>13.7</v>
      </c>
      <c r="P44" s="80">
        <v>17.95</v>
      </c>
      <c r="Q44" s="48">
        <v>9.32</v>
      </c>
      <c r="R44" s="48">
        <v>9.41</v>
      </c>
      <c r="S44" s="48">
        <v>14.41</v>
      </c>
      <c r="T44" s="80">
        <v>18.88</v>
      </c>
    </row>
    <row r="45" spans="2:20" ht="15.75">
      <c r="B45" s="57" t="s">
        <v>835</v>
      </c>
      <c r="C45" s="54">
        <v>147</v>
      </c>
      <c r="D45" s="54">
        <v>1.97</v>
      </c>
      <c r="E45" s="67">
        <v>0.2959</v>
      </c>
      <c r="F45" s="54">
        <v>6.6</v>
      </c>
      <c r="G45" s="68">
        <v>7.4399999999999994E-2</v>
      </c>
      <c r="H45" s="66"/>
      <c r="K45" s="47" t="s">
        <v>834</v>
      </c>
      <c r="L45" s="48">
        <v>48</v>
      </c>
      <c r="M45" s="48">
        <v>7.99</v>
      </c>
      <c r="N45" s="48">
        <v>10.26</v>
      </c>
      <c r="O45" s="48">
        <v>13.4</v>
      </c>
      <c r="P45" s="80">
        <v>16.5</v>
      </c>
      <c r="Q45" s="48">
        <v>7.32</v>
      </c>
      <c r="R45" s="48">
        <v>9.16</v>
      </c>
      <c r="S45" s="48">
        <v>13.58</v>
      </c>
      <c r="T45" s="80">
        <v>16.71</v>
      </c>
    </row>
    <row r="46" spans="2:20" ht="15.75">
      <c r="B46" s="56" t="s">
        <v>836</v>
      </c>
      <c r="C46" s="53">
        <v>178</v>
      </c>
      <c r="D46" s="53">
        <v>1.3</v>
      </c>
      <c r="E46" s="64">
        <v>6.9500000000000006E-2</v>
      </c>
      <c r="F46" s="53">
        <v>1.67</v>
      </c>
      <c r="G46" s="65">
        <v>0.1094</v>
      </c>
      <c r="H46" s="66"/>
      <c r="K46" s="47" t="s">
        <v>835</v>
      </c>
      <c r="L46" s="48">
        <v>147</v>
      </c>
      <c r="M46" s="48">
        <v>15.46</v>
      </c>
      <c r="N46" s="48">
        <v>16.22</v>
      </c>
      <c r="O46" s="48">
        <v>18.260000000000002</v>
      </c>
      <c r="P46" s="80">
        <v>24.46</v>
      </c>
      <c r="Q46" s="48">
        <v>76</v>
      </c>
      <c r="R46" s="48">
        <v>79.73</v>
      </c>
      <c r="S46" s="48">
        <v>88.79</v>
      </c>
      <c r="T46" s="80">
        <v>118.95</v>
      </c>
    </row>
    <row r="47" spans="2:20" ht="15.75">
      <c r="B47" s="57" t="s">
        <v>837</v>
      </c>
      <c r="C47" s="54">
        <v>12</v>
      </c>
      <c r="D47" s="54">
        <v>0.1</v>
      </c>
      <c r="E47" s="67">
        <v>0</v>
      </c>
      <c r="F47" s="54">
        <v>0.21</v>
      </c>
      <c r="G47" s="68">
        <v>1.0200000000000001E-2</v>
      </c>
      <c r="H47" s="66"/>
      <c r="K47" s="47" t="s">
        <v>836</v>
      </c>
      <c r="L47" s="48">
        <v>178</v>
      </c>
      <c r="M47" s="48">
        <v>11.05</v>
      </c>
      <c r="N47" s="48">
        <v>11.78</v>
      </c>
      <c r="O47" s="48">
        <v>15.18</v>
      </c>
      <c r="P47" s="80">
        <v>19.399999999999999</v>
      </c>
      <c r="Q47" s="48">
        <v>10.7</v>
      </c>
      <c r="R47" s="48">
        <v>11.38</v>
      </c>
      <c r="S47" s="48">
        <v>15.3</v>
      </c>
      <c r="T47" s="80">
        <v>19.559999999999999</v>
      </c>
    </row>
    <row r="48" spans="2:20" ht="15.75">
      <c r="B48" s="56" t="s">
        <v>838</v>
      </c>
      <c r="C48" s="53">
        <v>52</v>
      </c>
      <c r="D48" s="53">
        <v>0.41</v>
      </c>
      <c r="E48" s="64">
        <v>-1.2999999999999999E-3</v>
      </c>
      <c r="F48" s="53">
        <v>0.68</v>
      </c>
      <c r="G48" s="65">
        <v>2.9499999999999998E-2</v>
      </c>
      <c r="H48" s="66"/>
      <c r="K48" s="47" t="s">
        <v>837</v>
      </c>
      <c r="L48" s="48">
        <v>12</v>
      </c>
      <c r="M48" s="48">
        <v>7.89</v>
      </c>
      <c r="N48" s="48">
        <v>8.2200000000000006</v>
      </c>
      <c r="O48" s="48">
        <v>20.49</v>
      </c>
      <c r="P48" s="80">
        <v>25.4</v>
      </c>
      <c r="Q48" s="48">
        <v>7.85</v>
      </c>
      <c r="R48" s="48">
        <v>8.18</v>
      </c>
      <c r="S48" s="48">
        <v>20.7</v>
      </c>
      <c r="T48" s="80">
        <v>25.66</v>
      </c>
    </row>
    <row r="49" spans="2:20" ht="15.75">
      <c r="B49" s="57" t="s">
        <v>839</v>
      </c>
      <c r="C49" s="54">
        <v>63</v>
      </c>
      <c r="D49" s="54">
        <v>1.9</v>
      </c>
      <c r="E49" s="67">
        <v>8.2900000000000001E-2</v>
      </c>
      <c r="F49" s="54">
        <v>3.54</v>
      </c>
      <c r="G49" s="68">
        <v>0.19189999999999999</v>
      </c>
      <c r="H49" s="66"/>
      <c r="K49" s="47" t="s">
        <v>838</v>
      </c>
      <c r="L49" s="48">
        <v>52</v>
      </c>
      <c r="M49" s="48">
        <v>7.87</v>
      </c>
      <c r="N49" s="48">
        <v>10.41</v>
      </c>
      <c r="O49" s="48">
        <v>21.22</v>
      </c>
      <c r="P49" s="80">
        <v>30.46</v>
      </c>
      <c r="Q49" s="48">
        <v>7.5</v>
      </c>
      <c r="R49" s="48">
        <v>9.5399999999999991</v>
      </c>
      <c r="S49" s="48">
        <v>23.01</v>
      </c>
      <c r="T49" s="80">
        <v>33.03</v>
      </c>
    </row>
    <row r="50" spans="2:20" ht="15.75">
      <c r="B50" s="56" t="s">
        <v>840</v>
      </c>
      <c r="C50" s="53">
        <v>172</v>
      </c>
      <c r="D50" s="53">
        <v>2.96</v>
      </c>
      <c r="E50" s="64">
        <v>7.8899999999999998E-2</v>
      </c>
      <c r="F50" s="53">
        <v>3.52</v>
      </c>
      <c r="G50" s="65">
        <v>0.1318</v>
      </c>
      <c r="H50" s="66"/>
      <c r="K50" s="47" t="s">
        <v>839</v>
      </c>
      <c r="L50" s="48">
        <v>63</v>
      </c>
      <c r="M50" s="48">
        <v>10.42</v>
      </c>
      <c r="N50" s="48">
        <v>10.76</v>
      </c>
      <c r="O50" s="48">
        <v>18.010000000000002</v>
      </c>
      <c r="P50" s="80">
        <v>27.17</v>
      </c>
      <c r="Q50" s="48">
        <v>10.87</v>
      </c>
      <c r="R50" s="48">
        <v>11.23</v>
      </c>
      <c r="S50" s="48">
        <v>18.440000000000001</v>
      </c>
      <c r="T50" s="80">
        <v>27.81</v>
      </c>
    </row>
    <row r="51" spans="2:20" ht="15.75">
      <c r="B51" s="57" t="s">
        <v>841</v>
      </c>
      <c r="C51" s="54">
        <v>43</v>
      </c>
      <c r="D51" s="54">
        <v>0.73</v>
      </c>
      <c r="E51" s="67">
        <v>1.2800000000000001E-2</v>
      </c>
      <c r="F51" s="54">
        <v>1.1399999999999999</v>
      </c>
      <c r="G51" s="68">
        <v>6.2700000000000006E-2</v>
      </c>
      <c r="H51" s="66"/>
      <c r="K51" s="47" t="s">
        <v>840</v>
      </c>
      <c r="L51" s="48">
        <v>172</v>
      </c>
      <c r="M51" s="48">
        <v>12.4</v>
      </c>
      <c r="N51" s="48">
        <v>17.350000000000001</v>
      </c>
      <c r="O51" s="48">
        <v>26.01</v>
      </c>
      <c r="P51" s="80">
        <v>31.74</v>
      </c>
      <c r="Q51" s="48">
        <v>13.3</v>
      </c>
      <c r="R51" s="48">
        <v>18.96</v>
      </c>
      <c r="S51" s="48">
        <v>26.7</v>
      </c>
      <c r="T51" s="80">
        <v>32.58</v>
      </c>
    </row>
    <row r="52" spans="2:20" ht="15.75">
      <c r="B52" s="56" t="s">
        <v>842</v>
      </c>
      <c r="C52" s="53">
        <v>94</v>
      </c>
      <c r="D52" s="53">
        <v>3.26</v>
      </c>
      <c r="E52" s="64">
        <v>5.3699999999999998E-2</v>
      </c>
      <c r="F52" s="53">
        <v>3.64</v>
      </c>
      <c r="G52" s="65">
        <v>0.12039999999999999</v>
      </c>
      <c r="H52" s="66"/>
      <c r="K52" s="47" t="s">
        <v>841</v>
      </c>
      <c r="L52" s="48">
        <v>43</v>
      </c>
      <c r="M52" s="48">
        <v>10.54</v>
      </c>
      <c r="N52" s="48">
        <v>12.04</v>
      </c>
      <c r="O52" s="48">
        <v>18.04</v>
      </c>
      <c r="P52" s="80">
        <v>27.1</v>
      </c>
      <c r="Q52" s="48">
        <v>11.31</v>
      </c>
      <c r="R52" s="48">
        <v>13.04</v>
      </c>
      <c r="S52" s="48">
        <v>18.14</v>
      </c>
      <c r="T52" s="80">
        <v>27.25</v>
      </c>
    </row>
    <row r="53" spans="2:20" ht="15.75">
      <c r="B53" s="57" t="s">
        <v>843</v>
      </c>
      <c r="C53" s="54">
        <v>38</v>
      </c>
      <c r="D53" s="54">
        <v>1.07</v>
      </c>
      <c r="E53" s="67">
        <v>6.3600000000000004E-2</v>
      </c>
      <c r="F53" s="54">
        <v>1.1200000000000001</v>
      </c>
      <c r="G53" s="68">
        <v>0.1002</v>
      </c>
      <c r="H53" s="66"/>
      <c r="K53" s="47" t="s">
        <v>842</v>
      </c>
      <c r="L53" s="48">
        <v>94</v>
      </c>
      <c r="M53" s="48">
        <v>14.87</v>
      </c>
      <c r="N53" s="48">
        <v>17.53</v>
      </c>
      <c r="O53" s="48">
        <v>29.27</v>
      </c>
      <c r="P53" s="80">
        <v>37.15</v>
      </c>
      <c r="Q53" s="48">
        <v>15.87</v>
      </c>
      <c r="R53" s="48">
        <v>18.829999999999998</v>
      </c>
      <c r="S53" s="48">
        <v>30.25</v>
      </c>
      <c r="T53" s="80">
        <v>38.39</v>
      </c>
    </row>
    <row r="54" spans="2:20" ht="15.75">
      <c r="B54" s="56" t="s">
        <v>844</v>
      </c>
      <c r="C54" s="53">
        <v>28</v>
      </c>
      <c r="D54" s="53">
        <v>0.44</v>
      </c>
      <c r="E54" s="64">
        <v>5.6500000000000002E-2</v>
      </c>
      <c r="F54" s="53">
        <v>1.42</v>
      </c>
      <c r="G54" s="65">
        <v>4.7899999999999998E-2</v>
      </c>
      <c r="H54" s="66"/>
      <c r="K54" s="47" t="s">
        <v>843</v>
      </c>
      <c r="L54" s="48">
        <v>38</v>
      </c>
      <c r="M54" s="48">
        <v>9.9600000000000009</v>
      </c>
      <c r="N54" s="48">
        <v>10</v>
      </c>
      <c r="O54" s="48">
        <v>10.78</v>
      </c>
      <c r="P54" s="80">
        <v>14.54</v>
      </c>
      <c r="Q54" s="48">
        <v>9.9600000000000009</v>
      </c>
      <c r="R54" s="48">
        <v>10</v>
      </c>
      <c r="S54" s="48">
        <v>11.2</v>
      </c>
      <c r="T54" s="80">
        <v>15.11</v>
      </c>
    </row>
    <row r="55" spans="2:20" ht="15.75">
      <c r="B55" s="57" t="s">
        <v>845</v>
      </c>
      <c r="C55" s="54">
        <v>106</v>
      </c>
      <c r="D55" s="54">
        <v>1.89</v>
      </c>
      <c r="E55" s="67">
        <v>5.0099999999999999E-2</v>
      </c>
      <c r="F55" s="54">
        <v>2.35</v>
      </c>
      <c r="G55" s="68">
        <v>0.1293</v>
      </c>
      <c r="H55" s="66"/>
      <c r="K55" s="47" t="s">
        <v>844</v>
      </c>
      <c r="L55" s="48">
        <v>28</v>
      </c>
      <c r="M55" s="48">
        <v>15.34</v>
      </c>
      <c r="N55" s="48">
        <v>15.34</v>
      </c>
      <c r="O55" s="48">
        <v>29.64</v>
      </c>
      <c r="P55" s="80">
        <v>34.909999999999997</v>
      </c>
      <c r="Q55" s="48">
        <v>15.2</v>
      </c>
      <c r="R55" s="48">
        <v>15.2</v>
      </c>
      <c r="S55" s="48">
        <v>29.72</v>
      </c>
      <c r="T55" s="80">
        <v>35.01</v>
      </c>
    </row>
    <row r="56" spans="2:20" ht="15.75">
      <c r="B56" s="56" t="s">
        <v>846</v>
      </c>
      <c r="C56" s="53">
        <v>69</v>
      </c>
      <c r="D56" s="53">
        <v>2.61</v>
      </c>
      <c r="E56" s="64">
        <v>0.11409999999999999</v>
      </c>
      <c r="F56" s="53">
        <v>2.95</v>
      </c>
      <c r="G56" s="65">
        <v>0.17499999999999999</v>
      </c>
      <c r="H56" s="66"/>
      <c r="K56" s="47" t="s">
        <v>845</v>
      </c>
      <c r="L56" s="48">
        <v>106</v>
      </c>
      <c r="M56" s="48">
        <v>10.73</v>
      </c>
      <c r="N56" s="48">
        <v>12.35</v>
      </c>
      <c r="O56" s="48">
        <v>17.809999999999999</v>
      </c>
      <c r="P56" s="80">
        <v>22.9</v>
      </c>
      <c r="Q56" s="48">
        <v>11.8</v>
      </c>
      <c r="R56" s="48">
        <v>13.76</v>
      </c>
      <c r="S56" s="48">
        <v>18.14</v>
      </c>
      <c r="T56" s="80">
        <v>23.33</v>
      </c>
    </row>
    <row r="57" spans="2:20" ht="15.75">
      <c r="B57" s="57" t="s">
        <v>847</v>
      </c>
      <c r="C57" s="54">
        <v>5</v>
      </c>
      <c r="D57" s="54">
        <v>0.41</v>
      </c>
      <c r="E57" s="67">
        <v>4.5900000000000003E-2</v>
      </c>
      <c r="F57" s="54">
        <v>0.8</v>
      </c>
      <c r="G57" s="68">
        <v>9.2899999999999996E-2</v>
      </c>
      <c r="H57" s="66"/>
      <c r="K57" s="47" t="s">
        <v>846</v>
      </c>
      <c r="L57" s="48">
        <v>69</v>
      </c>
      <c r="M57" s="48">
        <v>13.45</v>
      </c>
      <c r="N57" s="48">
        <v>14.9</v>
      </c>
      <c r="O57" s="48">
        <v>16.82</v>
      </c>
      <c r="P57" s="80">
        <v>22.78</v>
      </c>
      <c r="Q57" s="48">
        <v>13.78</v>
      </c>
      <c r="R57" s="48">
        <v>15.31</v>
      </c>
      <c r="S57" s="48">
        <v>16.89</v>
      </c>
      <c r="T57" s="80">
        <v>22.87</v>
      </c>
    </row>
    <row r="58" spans="2:20" ht="15.75">
      <c r="B58" s="56" t="s">
        <v>848</v>
      </c>
      <c r="C58" s="53">
        <v>37</v>
      </c>
      <c r="D58" s="53">
        <v>0.93</v>
      </c>
      <c r="E58" s="64">
        <v>6.9400000000000003E-2</v>
      </c>
      <c r="F58" s="53">
        <v>1.07</v>
      </c>
      <c r="G58" s="65">
        <v>0.14480000000000001</v>
      </c>
      <c r="H58" s="66"/>
      <c r="K58" s="47" t="s">
        <v>847</v>
      </c>
      <c r="L58" s="48">
        <v>5</v>
      </c>
      <c r="M58" s="48">
        <v>6.18</v>
      </c>
      <c r="N58" s="48">
        <v>6.18</v>
      </c>
      <c r="O58" s="48">
        <v>8.6</v>
      </c>
      <c r="P58" s="80">
        <v>12.16</v>
      </c>
      <c r="Q58" s="48">
        <v>5.97</v>
      </c>
      <c r="R58" s="48">
        <v>5.97</v>
      </c>
      <c r="S58" s="48">
        <v>8.61</v>
      </c>
      <c r="T58" s="80">
        <v>12.18</v>
      </c>
    </row>
    <row r="59" spans="2:20" ht="15.75">
      <c r="B59" s="57" t="s">
        <v>849</v>
      </c>
      <c r="C59" s="54">
        <v>16</v>
      </c>
      <c r="D59" s="54">
        <v>0.8</v>
      </c>
      <c r="E59" s="67">
        <v>4.5400000000000003E-2</v>
      </c>
      <c r="F59" s="54">
        <v>1.75</v>
      </c>
      <c r="G59" s="68">
        <v>0.1605</v>
      </c>
      <c r="H59" s="66"/>
      <c r="K59" s="47" t="s">
        <v>848</v>
      </c>
      <c r="L59" s="48">
        <v>37</v>
      </c>
      <c r="M59" s="48">
        <v>6.47</v>
      </c>
      <c r="N59" s="48">
        <v>6.47</v>
      </c>
      <c r="O59" s="48">
        <v>6.07</v>
      </c>
      <c r="P59" s="80">
        <v>7.92</v>
      </c>
      <c r="Q59" s="48">
        <v>8.52</v>
      </c>
      <c r="R59" s="48">
        <v>8.52</v>
      </c>
      <c r="S59" s="48">
        <v>7.41</v>
      </c>
      <c r="T59" s="80">
        <v>9.67</v>
      </c>
    </row>
    <row r="60" spans="2:20" ht="15.75">
      <c r="B60" s="56" t="s">
        <v>850</v>
      </c>
      <c r="C60" s="53">
        <v>19</v>
      </c>
      <c r="D60" s="53">
        <v>1.88</v>
      </c>
      <c r="E60" s="64">
        <v>0.1618</v>
      </c>
      <c r="F60" s="53">
        <v>2.14</v>
      </c>
      <c r="G60" s="65">
        <v>0.19439999999999999</v>
      </c>
      <c r="H60" s="66"/>
      <c r="K60" s="47" t="s">
        <v>849</v>
      </c>
      <c r="L60" s="48">
        <v>16</v>
      </c>
      <c r="M60" s="48">
        <v>9.77</v>
      </c>
      <c r="N60" s="48">
        <v>9.77</v>
      </c>
      <c r="O60" s="48">
        <v>10.36</v>
      </c>
      <c r="P60" s="80">
        <v>12.29</v>
      </c>
      <c r="Q60" s="48">
        <v>11.91</v>
      </c>
      <c r="R60" s="48">
        <v>11.91</v>
      </c>
      <c r="S60" s="48">
        <v>10.9</v>
      </c>
      <c r="T60" s="80">
        <v>12.92</v>
      </c>
    </row>
    <row r="61" spans="2:20" ht="15.75">
      <c r="B61" s="57" t="s">
        <v>851</v>
      </c>
      <c r="C61" s="54">
        <v>354</v>
      </c>
      <c r="D61" s="54">
        <v>2.7</v>
      </c>
      <c r="E61" s="67">
        <v>0.17019999999999999</v>
      </c>
      <c r="F61" s="54">
        <v>2.85</v>
      </c>
      <c r="G61" s="68">
        <v>0.19400000000000001</v>
      </c>
      <c r="H61" s="66"/>
      <c r="K61" s="47" t="s">
        <v>850</v>
      </c>
      <c r="L61" s="48">
        <v>19</v>
      </c>
      <c r="M61" s="48">
        <v>10.36</v>
      </c>
      <c r="N61" s="48">
        <v>10.36</v>
      </c>
      <c r="O61" s="48">
        <v>11</v>
      </c>
      <c r="P61" s="80">
        <v>12.56</v>
      </c>
      <c r="Q61" s="48">
        <v>12.67</v>
      </c>
      <c r="R61" s="48">
        <v>12.67</v>
      </c>
      <c r="S61" s="48">
        <v>11</v>
      </c>
      <c r="T61" s="80">
        <v>12.56</v>
      </c>
    </row>
    <row r="62" spans="2:20" ht="15.75">
      <c r="B62" s="56" t="s">
        <v>852</v>
      </c>
      <c r="C62" s="53">
        <v>215</v>
      </c>
      <c r="D62" s="53">
        <v>1.73</v>
      </c>
      <c r="E62" s="64">
        <v>8.0100000000000005E-2</v>
      </c>
      <c r="F62" s="53">
        <v>1.84</v>
      </c>
      <c r="G62" s="65">
        <v>0.1138</v>
      </c>
      <c r="H62" s="66"/>
      <c r="K62" s="47" t="s">
        <v>851</v>
      </c>
      <c r="L62" s="48">
        <v>354</v>
      </c>
      <c r="M62" s="48">
        <v>11.66</v>
      </c>
      <c r="N62" s="48">
        <v>11.7</v>
      </c>
      <c r="O62" s="48">
        <v>11.34</v>
      </c>
      <c r="P62" s="80">
        <v>13.24</v>
      </c>
      <c r="Q62" s="48">
        <v>16.98</v>
      </c>
      <c r="R62" s="48">
        <v>17.05</v>
      </c>
      <c r="S62" s="48">
        <v>14.7</v>
      </c>
      <c r="T62" s="80">
        <v>17.149999999999999</v>
      </c>
    </row>
    <row r="63" spans="2:20" ht="15.75">
      <c r="B63" s="57" t="s">
        <v>853</v>
      </c>
      <c r="C63" s="54">
        <v>117</v>
      </c>
      <c r="D63" s="54">
        <v>0.63</v>
      </c>
      <c r="E63" s="67">
        <v>2.41E-2</v>
      </c>
      <c r="F63" s="54">
        <v>0.78</v>
      </c>
      <c r="G63" s="68">
        <v>8.6999999999999994E-2</v>
      </c>
      <c r="H63" s="66"/>
      <c r="K63" s="47" t="s">
        <v>852</v>
      </c>
      <c r="L63" s="48">
        <v>215</v>
      </c>
      <c r="M63" s="48">
        <v>10.5</v>
      </c>
      <c r="N63" s="48">
        <v>12.56</v>
      </c>
      <c r="O63" s="48">
        <v>16.04</v>
      </c>
      <c r="P63" s="80">
        <v>21.03</v>
      </c>
      <c r="Q63" s="48">
        <v>10.67</v>
      </c>
      <c r="R63" s="48">
        <v>12.8</v>
      </c>
      <c r="S63" s="48">
        <v>16.16</v>
      </c>
      <c r="T63" s="80">
        <v>21.19</v>
      </c>
    </row>
    <row r="64" spans="2:20" ht="15.75">
      <c r="B64" s="56" t="s">
        <v>854</v>
      </c>
      <c r="C64" s="53">
        <v>20</v>
      </c>
      <c r="D64" s="53">
        <v>0.8</v>
      </c>
      <c r="E64" s="64">
        <v>8.0399999999999999E-2</v>
      </c>
      <c r="F64" s="53">
        <v>0.87</v>
      </c>
      <c r="G64" s="65">
        <v>9.5799999999999996E-2</v>
      </c>
      <c r="H64" s="66"/>
      <c r="K64" s="47" t="s">
        <v>853</v>
      </c>
      <c r="L64" s="48">
        <v>117</v>
      </c>
      <c r="M64" s="48">
        <v>5.61</v>
      </c>
      <c r="N64" s="48">
        <v>5.67</v>
      </c>
      <c r="O64" s="48">
        <v>8.94</v>
      </c>
      <c r="P64" s="80">
        <v>12.65</v>
      </c>
      <c r="Q64" s="48">
        <v>5.46</v>
      </c>
      <c r="R64" s="48">
        <v>5.51</v>
      </c>
      <c r="S64" s="48">
        <v>9.01</v>
      </c>
      <c r="T64" s="80">
        <v>12.76</v>
      </c>
    </row>
    <row r="65" spans="2:20" ht="15.75">
      <c r="B65" s="57" t="s">
        <v>855</v>
      </c>
      <c r="C65" s="54">
        <v>12</v>
      </c>
      <c r="D65" s="54">
        <v>0.52</v>
      </c>
      <c r="E65" s="67">
        <v>5.1499999999999997E-2</v>
      </c>
      <c r="F65" s="54">
        <v>0.68</v>
      </c>
      <c r="G65" s="68">
        <v>0.1149</v>
      </c>
      <c r="H65" s="66"/>
      <c r="K65" s="47" t="s">
        <v>854</v>
      </c>
      <c r="L65" s="48">
        <v>20</v>
      </c>
      <c r="M65" s="48">
        <v>6.56</v>
      </c>
      <c r="N65" s="48">
        <v>6.9</v>
      </c>
      <c r="O65" s="48">
        <v>9</v>
      </c>
      <c r="P65" s="80">
        <v>11.62</v>
      </c>
      <c r="Q65" s="48">
        <v>6.15</v>
      </c>
      <c r="R65" s="48">
        <v>6.45</v>
      </c>
      <c r="S65" s="48">
        <v>9.08</v>
      </c>
      <c r="T65" s="80">
        <v>11.72</v>
      </c>
    </row>
    <row r="66" spans="2:20" ht="15.75">
      <c r="B66" s="56" t="s">
        <v>856</v>
      </c>
      <c r="C66" s="53">
        <v>82</v>
      </c>
      <c r="D66" s="53">
        <v>1.02</v>
      </c>
      <c r="E66" s="64">
        <v>4.2099999999999999E-2</v>
      </c>
      <c r="F66" s="53">
        <v>1.59</v>
      </c>
      <c r="G66" s="65">
        <v>0.38879999999999998</v>
      </c>
      <c r="H66" s="66"/>
      <c r="K66" s="47" t="s">
        <v>855</v>
      </c>
      <c r="L66" s="48">
        <v>12</v>
      </c>
      <c r="M66" s="48">
        <v>3.75</v>
      </c>
      <c r="N66" s="48">
        <v>3.81</v>
      </c>
      <c r="O66" s="48">
        <v>5.96</v>
      </c>
      <c r="P66" s="80">
        <v>10.66</v>
      </c>
      <c r="Q66" s="48">
        <v>3.24</v>
      </c>
      <c r="R66" s="48">
        <v>3.28</v>
      </c>
      <c r="S66" s="48">
        <v>5.96</v>
      </c>
      <c r="T66" s="80">
        <v>10.66</v>
      </c>
    </row>
    <row r="67" spans="2:20" ht="15.75">
      <c r="B67" s="57" t="s">
        <v>857</v>
      </c>
      <c r="C67" s="54">
        <v>29</v>
      </c>
      <c r="D67" s="54">
        <v>1.47</v>
      </c>
      <c r="E67" s="67">
        <v>0.2833</v>
      </c>
      <c r="F67" s="54">
        <v>2.38</v>
      </c>
      <c r="G67" s="68">
        <v>0.26939999999999997</v>
      </c>
      <c r="H67" s="66"/>
      <c r="K67" s="47" t="s">
        <v>856</v>
      </c>
      <c r="L67" s="48">
        <v>82</v>
      </c>
      <c r="M67" s="48">
        <v>2.34</v>
      </c>
      <c r="N67" s="48">
        <v>2.34</v>
      </c>
      <c r="O67" s="48">
        <v>4.01</v>
      </c>
      <c r="P67" s="80">
        <v>7.98</v>
      </c>
      <c r="Q67" s="48">
        <v>2.33</v>
      </c>
      <c r="R67" s="48">
        <v>2.33</v>
      </c>
      <c r="S67" s="48">
        <v>4.09</v>
      </c>
      <c r="T67" s="80">
        <v>8.1300000000000008</v>
      </c>
    </row>
    <row r="68" spans="2:20" ht="15.75">
      <c r="B68" s="56" t="s">
        <v>858</v>
      </c>
      <c r="C68" s="53">
        <v>60</v>
      </c>
      <c r="D68" s="53">
        <v>0.36</v>
      </c>
      <c r="E68" s="64">
        <v>3.4099999999999998E-2</v>
      </c>
      <c r="F68" s="53">
        <v>0.46</v>
      </c>
      <c r="G68" s="65">
        <v>7.1999999999999995E-2</v>
      </c>
      <c r="H68" s="66"/>
      <c r="K68" s="47" t="s">
        <v>857</v>
      </c>
      <c r="L68" s="48">
        <v>29</v>
      </c>
      <c r="M68" s="48">
        <v>6.36</v>
      </c>
      <c r="N68" s="48">
        <v>6.4</v>
      </c>
      <c r="O68" s="48">
        <v>8.81</v>
      </c>
      <c r="P68" s="80">
        <v>9.15</v>
      </c>
      <c r="Q68" s="48">
        <v>6.3</v>
      </c>
      <c r="R68" s="48">
        <v>6.35</v>
      </c>
      <c r="S68" s="48">
        <v>8.82</v>
      </c>
      <c r="T68" s="80">
        <v>9.16</v>
      </c>
    </row>
    <row r="69" spans="2:20" ht="15.75">
      <c r="B69" s="57" t="s">
        <v>859</v>
      </c>
      <c r="C69" s="54">
        <v>44</v>
      </c>
      <c r="D69" s="54">
        <v>1.0900000000000001</v>
      </c>
      <c r="E69" s="67">
        <v>3.8399999999999997E-2</v>
      </c>
      <c r="F69" s="54">
        <v>1.61</v>
      </c>
      <c r="G69" s="68">
        <v>8.2799999999999999E-2</v>
      </c>
      <c r="H69" s="66"/>
      <c r="K69" s="47" t="s">
        <v>858</v>
      </c>
      <c r="L69" s="48">
        <v>60</v>
      </c>
      <c r="M69" s="48">
        <v>4.1100000000000003</v>
      </c>
      <c r="N69" s="48">
        <v>4.1900000000000004</v>
      </c>
      <c r="O69" s="48">
        <v>6.22</v>
      </c>
      <c r="P69" s="80">
        <v>9.2100000000000009</v>
      </c>
      <c r="Q69" s="48">
        <v>3.15</v>
      </c>
      <c r="R69" s="48">
        <v>3.19</v>
      </c>
      <c r="S69" s="48">
        <v>6.32</v>
      </c>
      <c r="T69" s="80">
        <v>9.35</v>
      </c>
    </row>
    <row r="70" spans="2:20" ht="15.75">
      <c r="B70" s="56" t="s">
        <v>860</v>
      </c>
      <c r="C70" s="53">
        <v>37</v>
      </c>
      <c r="D70" s="53">
        <v>1.1200000000000001</v>
      </c>
      <c r="E70" s="64">
        <v>4.4299999999999999E-2</v>
      </c>
      <c r="F70" s="53">
        <v>1.43</v>
      </c>
      <c r="G70" s="65">
        <v>9.4600000000000004E-2</v>
      </c>
      <c r="H70" s="66"/>
      <c r="K70" s="47" t="s">
        <v>859</v>
      </c>
      <c r="L70" s="48">
        <v>44</v>
      </c>
      <c r="M70" s="48">
        <v>10.59</v>
      </c>
      <c r="N70" s="48">
        <v>10.86</v>
      </c>
      <c r="O70" s="48">
        <v>19.329999999999998</v>
      </c>
      <c r="P70" s="80">
        <v>26.48</v>
      </c>
      <c r="Q70" s="48">
        <v>10.92</v>
      </c>
      <c r="R70" s="48">
        <v>11.2</v>
      </c>
      <c r="S70" s="48">
        <v>19.420000000000002</v>
      </c>
      <c r="T70" s="80">
        <v>26.6</v>
      </c>
    </row>
    <row r="71" spans="2:20" ht="15.75">
      <c r="B71" s="57" t="s">
        <v>861</v>
      </c>
      <c r="C71" s="54">
        <v>71</v>
      </c>
      <c r="D71" s="54">
        <v>0.82</v>
      </c>
      <c r="E71" s="67">
        <v>5.7599999999999998E-2</v>
      </c>
      <c r="F71" s="54">
        <v>1.38</v>
      </c>
      <c r="G71" s="68">
        <v>0.13139999999999999</v>
      </c>
      <c r="H71" s="66"/>
      <c r="K71" s="47" t="s">
        <v>860</v>
      </c>
      <c r="L71" s="48">
        <v>37</v>
      </c>
      <c r="M71" s="48">
        <v>9.4600000000000009</v>
      </c>
      <c r="N71" s="48">
        <v>9.8000000000000007</v>
      </c>
      <c r="O71" s="48">
        <v>15.12</v>
      </c>
      <c r="P71" s="80">
        <v>18.03</v>
      </c>
      <c r="Q71" s="48">
        <v>10.06</v>
      </c>
      <c r="R71" s="48">
        <v>10.45</v>
      </c>
      <c r="S71" s="48">
        <v>15.15</v>
      </c>
      <c r="T71" s="80">
        <v>18.07</v>
      </c>
    </row>
    <row r="72" spans="2:20" ht="15.75">
      <c r="B72" s="56" t="s">
        <v>862</v>
      </c>
      <c r="C72" s="53">
        <v>42</v>
      </c>
      <c r="D72" s="53">
        <v>1.75</v>
      </c>
      <c r="E72" s="64">
        <v>-5.0200000000000002E-2</v>
      </c>
      <c r="F72" s="53">
        <v>2.04</v>
      </c>
      <c r="G72" s="65">
        <v>0.104</v>
      </c>
      <c r="H72" s="66"/>
      <c r="K72" s="47" t="s">
        <v>861</v>
      </c>
      <c r="L72" s="48">
        <v>71</v>
      </c>
      <c r="M72" s="48">
        <v>7.11</v>
      </c>
      <c r="N72" s="48">
        <v>7.16</v>
      </c>
      <c r="O72" s="48">
        <v>10.34</v>
      </c>
      <c r="P72" s="80">
        <v>15.21</v>
      </c>
      <c r="Q72" s="48">
        <v>6.81</v>
      </c>
      <c r="R72" s="48">
        <v>6.86</v>
      </c>
      <c r="S72" s="48">
        <v>10.51</v>
      </c>
      <c r="T72" s="80">
        <v>15.46</v>
      </c>
    </row>
    <row r="73" spans="2:20" ht="15.75">
      <c r="B73" s="57" t="s">
        <v>863</v>
      </c>
      <c r="C73" s="54">
        <v>70</v>
      </c>
      <c r="D73" s="54">
        <v>1.01</v>
      </c>
      <c r="E73" s="67">
        <v>6.4799999999999996E-2</v>
      </c>
      <c r="F73" s="54">
        <v>1.34</v>
      </c>
      <c r="G73" s="68">
        <v>8.4699999999999998E-2</v>
      </c>
      <c r="H73" s="66"/>
      <c r="K73" s="47" t="s">
        <v>862</v>
      </c>
      <c r="L73" s="48">
        <v>42</v>
      </c>
      <c r="M73" s="48">
        <v>5.72</v>
      </c>
      <c r="N73" s="48">
        <v>5.77</v>
      </c>
      <c r="O73" s="48">
        <v>17.170000000000002</v>
      </c>
      <c r="P73" s="80">
        <v>25.35</v>
      </c>
      <c r="Q73" s="48">
        <v>6.78</v>
      </c>
      <c r="R73" s="48">
        <v>6.84</v>
      </c>
      <c r="S73" s="48">
        <v>19.600000000000001</v>
      </c>
      <c r="T73" s="80">
        <v>28.93</v>
      </c>
    </row>
    <row r="74" spans="2:20" ht="15.75">
      <c r="B74" s="56" t="s">
        <v>864</v>
      </c>
      <c r="C74" s="53">
        <v>141</v>
      </c>
      <c r="D74" s="53">
        <v>6.12</v>
      </c>
      <c r="E74" s="64">
        <v>-4.1500000000000002E-2</v>
      </c>
      <c r="F74" s="53">
        <v>11.1</v>
      </c>
      <c r="G74" s="65">
        <v>0.49690000000000001</v>
      </c>
      <c r="H74" s="66"/>
      <c r="K74" s="47" t="s">
        <v>863</v>
      </c>
      <c r="L74" s="48">
        <v>70</v>
      </c>
      <c r="M74" s="48">
        <v>8.57</v>
      </c>
      <c r="N74" s="48">
        <v>9.4499999999999993</v>
      </c>
      <c r="O74" s="48">
        <v>14.97</v>
      </c>
      <c r="P74" s="80">
        <v>21.89</v>
      </c>
      <c r="Q74" s="48">
        <v>9.5299999999999994</v>
      </c>
      <c r="R74" s="48">
        <v>10.56</v>
      </c>
      <c r="S74" s="48">
        <v>15.8</v>
      </c>
      <c r="T74" s="80">
        <v>23.09</v>
      </c>
    </row>
    <row r="75" spans="2:20" ht="15.75">
      <c r="B75" s="57" t="s">
        <v>865</v>
      </c>
      <c r="C75" s="54">
        <v>60</v>
      </c>
      <c r="D75" s="54">
        <v>1.25</v>
      </c>
      <c r="E75" s="67">
        <v>-1.8599999999999998E-2</v>
      </c>
      <c r="F75" s="54">
        <v>1.81</v>
      </c>
      <c r="G75" s="68">
        <v>2.23E-2</v>
      </c>
      <c r="H75" s="66"/>
      <c r="K75" s="47" t="s">
        <v>864</v>
      </c>
      <c r="L75" s="48">
        <v>141</v>
      </c>
      <c r="M75" s="48">
        <v>20.48</v>
      </c>
      <c r="N75" s="48">
        <v>20.48</v>
      </c>
      <c r="O75" s="48">
        <v>20.98</v>
      </c>
      <c r="P75" s="80">
        <v>22.12</v>
      </c>
      <c r="Q75" s="48">
        <v>22.97</v>
      </c>
      <c r="R75" s="48">
        <v>22.98</v>
      </c>
      <c r="S75" s="48">
        <v>22.34</v>
      </c>
      <c r="T75" s="80">
        <v>23.56</v>
      </c>
    </row>
    <row r="76" spans="2:20" ht="15.75">
      <c r="B76" s="56" t="s">
        <v>866</v>
      </c>
      <c r="C76" s="53">
        <v>42</v>
      </c>
      <c r="D76" s="53">
        <v>3.71</v>
      </c>
      <c r="E76" s="64">
        <v>-1.01E-2</v>
      </c>
      <c r="F76" s="53">
        <v>9.5500000000000007</v>
      </c>
      <c r="G76" s="65">
        <v>0.20830000000000001</v>
      </c>
      <c r="H76" s="66"/>
      <c r="K76" s="47" t="s">
        <v>865</v>
      </c>
      <c r="L76" s="48">
        <v>60</v>
      </c>
      <c r="M76" s="48">
        <v>12.53</v>
      </c>
      <c r="N76" s="48">
        <v>12.54</v>
      </c>
      <c r="O76" s="48">
        <v>42.2</v>
      </c>
      <c r="P76" s="80">
        <v>78.11</v>
      </c>
      <c r="Q76" s="48">
        <v>26.72</v>
      </c>
      <c r="R76" s="48">
        <v>26.73</v>
      </c>
      <c r="S76" s="48">
        <v>81.05</v>
      </c>
      <c r="T76" s="80">
        <v>150.02000000000001</v>
      </c>
    </row>
    <row r="77" spans="2:20" ht="15.75">
      <c r="B77" s="57" t="s">
        <v>867</v>
      </c>
      <c r="C77" s="54">
        <v>227</v>
      </c>
      <c r="D77" s="54">
        <v>3.91</v>
      </c>
      <c r="E77" s="67">
        <v>-0.16880000000000001</v>
      </c>
      <c r="F77" s="54">
        <v>8.6</v>
      </c>
      <c r="G77" s="68">
        <v>0.3352</v>
      </c>
      <c r="H77" s="66"/>
      <c r="K77" s="47" t="s">
        <v>866</v>
      </c>
      <c r="L77" s="48">
        <v>42</v>
      </c>
      <c r="M77" s="48">
        <v>30.91</v>
      </c>
      <c r="N77" s="48">
        <v>30.91</v>
      </c>
      <c r="O77" s="48">
        <v>43.53</v>
      </c>
      <c r="P77" s="80">
        <v>53.6</v>
      </c>
      <c r="Q77" s="48">
        <v>34.049999999999997</v>
      </c>
      <c r="R77" s="48">
        <v>34.049999999999997</v>
      </c>
      <c r="S77" s="48">
        <v>45.85</v>
      </c>
      <c r="T77" s="80">
        <v>56.46</v>
      </c>
    </row>
    <row r="78" spans="2:20" ht="15.75">
      <c r="B78" s="56" t="s">
        <v>868</v>
      </c>
      <c r="C78" s="53">
        <v>57</v>
      </c>
      <c r="D78" s="53">
        <v>1.68</v>
      </c>
      <c r="E78" s="64">
        <v>8.0100000000000005E-2</v>
      </c>
      <c r="F78" s="53">
        <v>2.04</v>
      </c>
      <c r="G78" s="65">
        <v>0.12759999999999999</v>
      </c>
      <c r="H78" s="66"/>
      <c r="K78" s="47" t="s">
        <v>867</v>
      </c>
      <c r="L78" s="48">
        <v>227</v>
      </c>
      <c r="M78" s="48">
        <v>22.43</v>
      </c>
      <c r="N78" s="48">
        <v>22.46</v>
      </c>
      <c r="O78" s="48">
        <v>23.6</v>
      </c>
      <c r="P78" s="80">
        <v>25.36</v>
      </c>
      <c r="Q78" s="48">
        <v>25.91</v>
      </c>
      <c r="R78" s="48">
        <v>25.93</v>
      </c>
      <c r="S78" s="48">
        <v>25.65</v>
      </c>
      <c r="T78" s="80">
        <v>27.57</v>
      </c>
    </row>
    <row r="79" spans="2:20" ht="15.75">
      <c r="B79" s="57" t="s">
        <v>869</v>
      </c>
      <c r="C79" s="54">
        <v>4</v>
      </c>
      <c r="D79" s="54">
        <v>0.88</v>
      </c>
      <c r="E79" s="67">
        <v>7.1999999999999995E-2</v>
      </c>
      <c r="F79" s="54">
        <v>0.93</v>
      </c>
      <c r="G79" s="68">
        <v>0.1041</v>
      </c>
      <c r="H79" s="66"/>
      <c r="K79" s="47" t="s">
        <v>868</v>
      </c>
      <c r="L79" s="48">
        <v>57</v>
      </c>
      <c r="M79" s="48">
        <v>10.34</v>
      </c>
      <c r="N79" s="48">
        <v>10.86</v>
      </c>
      <c r="O79" s="48">
        <v>15.71</v>
      </c>
      <c r="P79" s="80">
        <v>21.22</v>
      </c>
      <c r="Q79" s="48">
        <v>10.63</v>
      </c>
      <c r="R79" s="48">
        <v>11.17</v>
      </c>
      <c r="S79" s="48">
        <v>15.97</v>
      </c>
      <c r="T79" s="80">
        <v>21.56</v>
      </c>
    </row>
    <row r="80" spans="2:20" ht="15.75">
      <c r="B80" s="56" t="s">
        <v>870</v>
      </c>
      <c r="C80" s="53">
        <v>41</v>
      </c>
      <c r="D80" s="53">
        <v>0.83</v>
      </c>
      <c r="E80" s="64">
        <v>-1.9E-2</v>
      </c>
      <c r="F80" s="53">
        <v>1.07</v>
      </c>
      <c r="G80" s="65">
        <v>4.36E-2</v>
      </c>
      <c r="H80" s="66"/>
      <c r="K80" s="47" t="s">
        <v>869</v>
      </c>
      <c r="L80" s="48">
        <v>4</v>
      </c>
      <c r="M80" s="48">
        <v>9.98</v>
      </c>
      <c r="N80" s="48">
        <v>9.98</v>
      </c>
      <c r="O80" s="48">
        <v>8.91</v>
      </c>
      <c r="P80" s="80">
        <v>10.92</v>
      </c>
      <c r="Q80" s="48">
        <v>9.3699999999999992</v>
      </c>
      <c r="R80" s="48">
        <v>9.3699999999999992</v>
      </c>
      <c r="S80" s="48">
        <v>8.91</v>
      </c>
      <c r="T80" s="80">
        <v>10.92</v>
      </c>
    </row>
    <row r="81" spans="2:20" ht="15.75">
      <c r="B81" s="57" t="s">
        <v>871</v>
      </c>
      <c r="C81" s="54">
        <v>26</v>
      </c>
      <c r="D81" s="54">
        <v>0.3</v>
      </c>
      <c r="E81" s="67">
        <v>9.4000000000000004E-3</v>
      </c>
      <c r="F81" s="54">
        <v>0.42</v>
      </c>
      <c r="G81" s="68">
        <v>2.1899999999999999E-2</v>
      </c>
      <c r="H81" s="66"/>
      <c r="K81" s="47" t="s">
        <v>870</v>
      </c>
      <c r="L81" s="48">
        <v>41</v>
      </c>
      <c r="M81" s="48">
        <v>12.15</v>
      </c>
      <c r="N81" s="48">
        <v>13.4</v>
      </c>
      <c r="O81" s="48">
        <v>20.84</v>
      </c>
      <c r="P81" s="80">
        <v>31.26</v>
      </c>
      <c r="Q81" s="48">
        <v>15.53</v>
      </c>
      <c r="R81" s="48">
        <v>17.29</v>
      </c>
      <c r="S81" s="48">
        <v>24.44</v>
      </c>
      <c r="T81" s="80">
        <v>36.67</v>
      </c>
    </row>
    <row r="82" spans="2:20" ht="15.75">
      <c r="B82" s="56" t="s">
        <v>872</v>
      </c>
      <c r="C82" s="53">
        <v>28</v>
      </c>
      <c r="D82" s="53">
        <v>0.39</v>
      </c>
      <c r="E82" s="64">
        <v>2.1899999999999999E-2</v>
      </c>
      <c r="F82" s="53">
        <v>0.57999999999999996</v>
      </c>
      <c r="G82" s="65">
        <v>5.1499999999999997E-2</v>
      </c>
      <c r="H82" s="66"/>
      <c r="K82" s="47" t="s">
        <v>871</v>
      </c>
      <c r="L82" s="48">
        <v>26</v>
      </c>
      <c r="M82" s="48">
        <v>11.09</v>
      </c>
      <c r="N82" s="48">
        <v>11.18</v>
      </c>
      <c r="O82" s="48">
        <v>18</v>
      </c>
      <c r="P82" s="80">
        <v>24.14</v>
      </c>
      <c r="Q82" s="48">
        <v>8.1199999999999992</v>
      </c>
      <c r="R82" s="48">
        <v>8.17</v>
      </c>
      <c r="S82" s="48">
        <v>19.16</v>
      </c>
      <c r="T82" s="80">
        <v>25.71</v>
      </c>
    </row>
    <row r="83" spans="2:20" ht="15.75">
      <c r="B83" s="57" t="s">
        <v>873</v>
      </c>
      <c r="C83" s="54">
        <v>118</v>
      </c>
      <c r="D83" s="54">
        <v>0.75</v>
      </c>
      <c r="E83" s="67">
        <v>4.1300000000000003E-2</v>
      </c>
      <c r="F83" s="54">
        <v>1.19</v>
      </c>
      <c r="G83" s="68">
        <v>7.5499999999999998E-2</v>
      </c>
      <c r="H83" s="66"/>
      <c r="K83" s="47" t="s">
        <v>872</v>
      </c>
      <c r="L83" s="48">
        <v>28</v>
      </c>
      <c r="M83" s="48">
        <v>8</v>
      </c>
      <c r="N83" s="48">
        <v>8.08</v>
      </c>
      <c r="O83" s="48">
        <v>11.1</v>
      </c>
      <c r="P83" s="80">
        <v>14.67</v>
      </c>
      <c r="Q83" s="48">
        <v>8.74</v>
      </c>
      <c r="R83" s="48">
        <v>8.83</v>
      </c>
      <c r="S83" s="48">
        <v>11.35</v>
      </c>
      <c r="T83" s="80">
        <v>15.01</v>
      </c>
    </row>
    <row r="84" spans="2:20" ht="15.75">
      <c r="B84" s="56" t="s">
        <v>874</v>
      </c>
      <c r="C84" s="53">
        <v>31</v>
      </c>
      <c r="D84" s="53">
        <v>1.01</v>
      </c>
      <c r="E84" s="64">
        <v>6.54E-2</v>
      </c>
      <c r="F84" s="53">
        <v>1.29</v>
      </c>
      <c r="G84" s="65">
        <v>4.0599999999999997E-2</v>
      </c>
      <c r="H84" s="66"/>
      <c r="K84" s="47" t="s">
        <v>873</v>
      </c>
      <c r="L84" s="48">
        <v>118</v>
      </c>
      <c r="M84" s="48">
        <v>12.1</v>
      </c>
      <c r="N84" s="48">
        <v>12.14</v>
      </c>
      <c r="O84" s="48">
        <v>15.7</v>
      </c>
      <c r="P84" s="80">
        <v>19.88</v>
      </c>
      <c r="Q84" s="48">
        <v>11.58</v>
      </c>
      <c r="R84" s="48">
        <v>11.62</v>
      </c>
      <c r="S84" s="48">
        <v>15.75</v>
      </c>
      <c r="T84" s="80">
        <v>19.940000000000001</v>
      </c>
    </row>
    <row r="85" spans="2:20" ht="15.75">
      <c r="B85" s="57" t="s">
        <v>875</v>
      </c>
      <c r="C85" s="54">
        <v>33</v>
      </c>
      <c r="D85" s="54">
        <v>0.36</v>
      </c>
      <c r="E85" s="67">
        <v>9.5999999999999992E-3</v>
      </c>
      <c r="F85" s="54">
        <v>0.5</v>
      </c>
      <c r="G85" s="68">
        <v>3.5799999999999998E-2</v>
      </c>
      <c r="H85" s="66"/>
      <c r="K85" s="47" t="s">
        <v>874</v>
      </c>
      <c r="L85" s="48">
        <v>31</v>
      </c>
      <c r="M85" s="48">
        <v>20.5</v>
      </c>
      <c r="N85" s="48">
        <v>20.89</v>
      </c>
      <c r="O85" s="48">
        <v>31.2</v>
      </c>
      <c r="P85" s="80">
        <v>44.03</v>
      </c>
      <c r="Q85" s="48">
        <v>21.89</v>
      </c>
      <c r="R85" s="48">
        <v>22.33</v>
      </c>
      <c r="S85" s="48">
        <v>31.66</v>
      </c>
      <c r="T85" s="80">
        <v>44.68</v>
      </c>
    </row>
    <row r="86" spans="2:20" ht="15.75">
      <c r="B86" s="56" t="s">
        <v>876</v>
      </c>
      <c r="C86" s="53">
        <v>32</v>
      </c>
      <c r="D86" s="53">
        <v>4.74</v>
      </c>
      <c r="E86" s="64">
        <v>4.4200000000000003E-2</v>
      </c>
      <c r="F86" s="53">
        <v>10.65</v>
      </c>
      <c r="G86" s="65">
        <v>0.59340000000000004</v>
      </c>
      <c r="H86" s="66"/>
      <c r="K86" s="47" t="s">
        <v>875</v>
      </c>
      <c r="L86" s="48">
        <v>33</v>
      </c>
      <c r="M86" s="48">
        <v>8.6</v>
      </c>
      <c r="N86" s="48">
        <v>8.68</v>
      </c>
      <c r="O86" s="48">
        <v>13.8</v>
      </c>
      <c r="P86" s="80">
        <v>18.77</v>
      </c>
      <c r="Q86" s="48">
        <v>8.9</v>
      </c>
      <c r="R86" s="48">
        <v>8.99</v>
      </c>
      <c r="S86" s="48">
        <v>13.86</v>
      </c>
      <c r="T86" s="80">
        <v>18.86</v>
      </c>
    </row>
    <row r="87" spans="2:20" ht="15.75">
      <c r="B87" s="57" t="s">
        <v>877</v>
      </c>
      <c r="C87" s="54">
        <v>106</v>
      </c>
      <c r="D87" s="54">
        <v>1.17</v>
      </c>
      <c r="E87" s="67">
        <v>3.7699999999999997E-2</v>
      </c>
      <c r="F87" s="54">
        <v>1.39</v>
      </c>
      <c r="G87" s="68">
        <v>7.5499999999999998E-2</v>
      </c>
      <c r="H87" s="66"/>
      <c r="K87" s="47" t="s">
        <v>876</v>
      </c>
      <c r="L87" s="48">
        <v>32</v>
      </c>
      <c r="M87" s="48">
        <v>17.55</v>
      </c>
      <c r="N87" s="48">
        <v>17.55</v>
      </c>
      <c r="O87" s="48">
        <v>17.059999999999999</v>
      </c>
      <c r="P87" s="80">
        <v>18.37</v>
      </c>
      <c r="Q87" s="48">
        <v>18.88</v>
      </c>
      <c r="R87" s="48">
        <v>18.88</v>
      </c>
      <c r="S87" s="48">
        <v>17.95</v>
      </c>
      <c r="T87" s="80">
        <v>19.32</v>
      </c>
    </row>
    <row r="88" spans="2:20" ht="15.75">
      <c r="B88" s="56" t="s">
        <v>878</v>
      </c>
      <c r="C88" s="53">
        <v>9</v>
      </c>
      <c r="D88" s="53">
        <v>0.76</v>
      </c>
      <c r="E88" s="64">
        <v>6.3600000000000004E-2</v>
      </c>
      <c r="F88" s="53">
        <v>1</v>
      </c>
      <c r="G88" s="65">
        <v>0.1159</v>
      </c>
      <c r="H88" s="66"/>
      <c r="K88" s="47" t="s">
        <v>877</v>
      </c>
      <c r="L88" s="48">
        <v>106</v>
      </c>
      <c r="M88" s="48">
        <v>12.8</v>
      </c>
      <c r="N88" s="48">
        <v>13.02</v>
      </c>
      <c r="O88" s="48">
        <v>17.91</v>
      </c>
      <c r="P88" s="80">
        <v>24.28</v>
      </c>
      <c r="Q88" s="48">
        <v>15.13</v>
      </c>
      <c r="R88" s="48">
        <v>15.44</v>
      </c>
      <c r="S88" s="48">
        <v>18.41</v>
      </c>
      <c r="T88" s="80">
        <v>24.95</v>
      </c>
    </row>
    <row r="89" spans="2:20" ht="15.75">
      <c r="B89" s="57" t="s">
        <v>879</v>
      </c>
      <c r="C89" s="54">
        <v>37</v>
      </c>
      <c r="D89" s="54">
        <v>2.4500000000000002</v>
      </c>
      <c r="E89" s="67">
        <v>9.2700000000000005E-2</v>
      </c>
      <c r="F89" s="54">
        <v>2.74</v>
      </c>
      <c r="G89" s="68">
        <v>0.18629999999999999</v>
      </c>
      <c r="H89" s="66"/>
      <c r="K89" s="47" t="s">
        <v>878</v>
      </c>
      <c r="L89" s="48">
        <v>9</v>
      </c>
      <c r="M89" s="48">
        <v>4.78</v>
      </c>
      <c r="N89" s="48">
        <v>5.59</v>
      </c>
      <c r="O89" s="48">
        <v>8.6300000000000008</v>
      </c>
      <c r="P89" s="80">
        <v>10.94</v>
      </c>
      <c r="Q89" s="48">
        <v>4.72</v>
      </c>
      <c r="R89" s="48">
        <v>5.51</v>
      </c>
      <c r="S89" s="48">
        <v>8.6300000000000008</v>
      </c>
      <c r="T89" s="80">
        <v>10.94</v>
      </c>
    </row>
    <row r="90" spans="2:20" ht="15.75">
      <c r="B90" s="56" t="s">
        <v>880</v>
      </c>
      <c r="C90" s="53">
        <v>22</v>
      </c>
      <c r="D90" s="53">
        <v>8.16</v>
      </c>
      <c r="E90" s="64">
        <v>0.2266</v>
      </c>
      <c r="F90" s="53">
        <v>8.17</v>
      </c>
      <c r="G90" s="65">
        <v>0.2636</v>
      </c>
      <c r="H90" s="66"/>
      <c r="K90" s="47" t="s">
        <v>879</v>
      </c>
      <c r="L90" s="48">
        <v>37</v>
      </c>
      <c r="M90" s="48">
        <v>5.74</v>
      </c>
      <c r="N90" s="48">
        <v>9.06</v>
      </c>
      <c r="O90" s="48">
        <v>13.99</v>
      </c>
      <c r="P90" s="80">
        <v>16.690000000000001</v>
      </c>
      <c r="Q90" s="48">
        <v>5.43</v>
      </c>
      <c r="R90" s="48">
        <v>8.09</v>
      </c>
      <c r="S90" s="48">
        <v>14.7</v>
      </c>
      <c r="T90" s="80">
        <v>17.53</v>
      </c>
    </row>
    <row r="91" spans="2:20" ht="15.75">
      <c r="B91" s="57" t="s">
        <v>881</v>
      </c>
      <c r="C91" s="54">
        <v>62</v>
      </c>
      <c r="D91" s="54">
        <v>0.78</v>
      </c>
      <c r="E91" s="67">
        <v>9.2499999999999999E-2</v>
      </c>
      <c r="F91" s="54">
        <v>1.02</v>
      </c>
      <c r="G91" s="68">
        <v>0.1022</v>
      </c>
      <c r="H91" s="66"/>
      <c r="K91" s="47" t="s">
        <v>880</v>
      </c>
      <c r="L91" s="48">
        <v>22</v>
      </c>
      <c r="M91" s="48">
        <v>17.920000000000002</v>
      </c>
      <c r="N91" s="48">
        <v>26.39</v>
      </c>
      <c r="O91" s="48">
        <v>30.88</v>
      </c>
      <c r="P91" s="80">
        <v>37.15</v>
      </c>
      <c r="Q91" s="48">
        <v>17.239999999999998</v>
      </c>
      <c r="R91" s="48">
        <v>24.9</v>
      </c>
      <c r="S91" s="48">
        <v>30.99</v>
      </c>
      <c r="T91" s="80">
        <v>37.28</v>
      </c>
    </row>
    <row r="92" spans="2:20" ht="15.75">
      <c r="B92" s="56" t="s">
        <v>882</v>
      </c>
      <c r="C92" s="53">
        <v>8</v>
      </c>
      <c r="D92" s="53">
        <v>2.27</v>
      </c>
      <c r="E92" s="64">
        <v>4.2500000000000003E-2</v>
      </c>
      <c r="F92" s="53">
        <v>2.4900000000000002</v>
      </c>
      <c r="G92" s="65">
        <v>9.4700000000000006E-2</v>
      </c>
      <c r="H92" s="66"/>
      <c r="K92" s="47" t="s">
        <v>881</v>
      </c>
      <c r="L92" s="48">
        <v>62</v>
      </c>
      <c r="M92" s="48">
        <v>6.68</v>
      </c>
      <c r="N92" s="48">
        <v>6.72</v>
      </c>
      <c r="O92" s="48">
        <v>9.9600000000000009</v>
      </c>
      <c r="P92" s="80">
        <v>11</v>
      </c>
      <c r="Q92" s="48">
        <v>6.36</v>
      </c>
      <c r="R92" s="48">
        <v>6.4</v>
      </c>
      <c r="S92" s="48">
        <v>9.99</v>
      </c>
      <c r="T92" s="80">
        <v>11.03</v>
      </c>
    </row>
    <row r="93" spans="2:20" ht="15.75">
      <c r="B93" s="57" t="s">
        <v>883</v>
      </c>
      <c r="C93" s="54">
        <v>58</v>
      </c>
      <c r="D93" s="54">
        <v>2.5499999999999998</v>
      </c>
      <c r="E93" s="67">
        <v>-6.4999999999999997E-3</v>
      </c>
      <c r="F93" s="54">
        <v>2.5299999999999998</v>
      </c>
      <c r="G93" s="68">
        <v>0.11700000000000001</v>
      </c>
      <c r="H93" s="66"/>
      <c r="K93" s="47" t="s">
        <v>882</v>
      </c>
      <c r="L93" s="48">
        <v>8</v>
      </c>
      <c r="M93" s="48">
        <v>20.37</v>
      </c>
      <c r="N93" s="48">
        <v>21.59</v>
      </c>
      <c r="O93" s="48">
        <v>26.31</v>
      </c>
      <c r="P93" s="80">
        <v>35.46</v>
      </c>
      <c r="Q93" s="48">
        <v>20.010000000000002</v>
      </c>
      <c r="R93" s="48">
        <v>21.18</v>
      </c>
      <c r="S93" s="48">
        <v>26.32</v>
      </c>
      <c r="T93" s="80">
        <v>35.47</v>
      </c>
    </row>
    <row r="94" spans="2:20" ht="15.75">
      <c r="B94" s="56" t="s">
        <v>884</v>
      </c>
      <c r="C94" s="53">
        <v>24</v>
      </c>
      <c r="D94" s="53">
        <v>1.64</v>
      </c>
      <c r="E94" s="64">
        <v>4.1000000000000002E-2</v>
      </c>
      <c r="F94" s="53">
        <v>2.2999999999999998</v>
      </c>
      <c r="G94" s="65">
        <v>0.1066</v>
      </c>
      <c r="H94" s="66"/>
      <c r="K94" s="47" t="s">
        <v>883</v>
      </c>
      <c r="L94" s="48">
        <v>58</v>
      </c>
      <c r="M94" s="48">
        <v>9.1</v>
      </c>
      <c r="N94" s="48">
        <v>13.82</v>
      </c>
      <c r="O94" s="48">
        <v>21.01</v>
      </c>
      <c r="P94" s="80">
        <v>31.24</v>
      </c>
      <c r="Q94" s="48">
        <v>10.039999999999999</v>
      </c>
      <c r="R94" s="48">
        <v>15.84</v>
      </c>
      <c r="S94" s="48">
        <v>21.64</v>
      </c>
      <c r="T94" s="80">
        <v>32.18</v>
      </c>
    </row>
    <row r="95" spans="2:20" ht="15.75">
      <c r="B95" s="57" t="s">
        <v>885</v>
      </c>
      <c r="C95" s="54">
        <v>311</v>
      </c>
      <c r="D95" s="54">
        <v>5.68</v>
      </c>
      <c r="E95" s="67">
        <v>6.0299999999999999E-2</v>
      </c>
      <c r="F95" s="54">
        <v>5.74</v>
      </c>
      <c r="G95" s="68">
        <v>0.1716</v>
      </c>
      <c r="H95" s="66"/>
      <c r="K95" s="47" t="s">
        <v>884</v>
      </c>
      <c r="L95" s="48">
        <v>24</v>
      </c>
      <c r="M95" s="48">
        <v>8.5500000000000007</v>
      </c>
      <c r="N95" s="48">
        <v>10.01</v>
      </c>
      <c r="O95" s="48">
        <v>21.46</v>
      </c>
      <c r="P95" s="80">
        <v>29.38</v>
      </c>
      <c r="Q95" s="48">
        <v>9.01</v>
      </c>
      <c r="R95" s="48">
        <v>10.62</v>
      </c>
      <c r="S95" s="48">
        <v>21.61</v>
      </c>
      <c r="T95" s="80">
        <v>29.59</v>
      </c>
    </row>
    <row r="96" spans="2:20" ht="15.75">
      <c r="B96" s="56" t="s">
        <v>886</v>
      </c>
      <c r="C96" s="53">
        <v>59</v>
      </c>
      <c r="D96" s="53">
        <v>0.28999999999999998</v>
      </c>
      <c r="E96" s="64">
        <v>-1.32E-2</v>
      </c>
      <c r="F96" s="53">
        <v>0.36</v>
      </c>
      <c r="G96" s="65">
        <v>1.3299999999999999E-2</v>
      </c>
      <c r="H96" s="66"/>
      <c r="K96" s="47" t="s">
        <v>885</v>
      </c>
      <c r="L96" s="48">
        <v>311</v>
      </c>
      <c r="M96" s="48">
        <v>14.9</v>
      </c>
      <c r="N96" s="48">
        <v>26.51</v>
      </c>
      <c r="O96" s="48">
        <v>31.86</v>
      </c>
      <c r="P96" s="80">
        <v>47.54</v>
      </c>
      <c r="Q96" s="48">
        <v>17.12</v>
      </c>
      <c r="R96" s="48">
        <v>32.83</v>
      </c>
      <c r="S96" s="48">
        <v>33.47</v>
      </c>
      <c r="T96" s="80">
        <v>49.93</v>
      </c>
    </row>
    <row r="97" spans="2:20" ht="15.75">
      <c r="B97" s="57" t="s">
        <v>887</v>
      </c>
      <c r="C97" s="54">
        <v>11</v>
      </c>
      <c r="D97" s="54">
        <v>0.76</v>
      </c>
      <c r="E97" s="67">
        <v>7.4700000000000003E-2</v>
      </c>
      <c r="F97" s="54">
        <v>1.86</v>
      </c>
      <c r="G97" s="68">
        <v>0.13780000000000001</v>
      </c>
      <c r="H97" s="66"/>
      <c r="K97" s="47" t="s">
        <v>886</v>
      </c>
      <c r="L97" s="48">
        <v>59</v>
      </c>
      <c r="M97" s="48">
        <v>5.15</v>
      </c>
      <c r="N97" s="48">
        <v>5.88</v>
      </c>
      <c r="O97" s="48">
        <v>25.78</v>
      </c>
      <c r="P97" s="80">
        <v>41.09</v>
      </c>
      <c r="Q97" s="48">
        <v>4.1900000000000004</v>
      </c>
      <c r="R97" s="48">
        <v>4.63</v>
      </c>
      <c r="S97" s="48">
        <v>27.19</v>
      </c>
      <c r="T97" s="80">
        <v>43.34</v>
      </c>
    </row>
    <row r="98" spans="2:20" ht="15.75">
      <c r="B98" s="56" t="s">
        <v>888</v>
      </c>
      <c r="C98" s="53">
        <v>52</v>
      </c>
      <c r="D98" s="53">
        <v>1.1100000000000001</v>
      </c>
      <c r="E98" s="64">
        <v>1E-3</v>
      </c>
      <c r="F98" s="53">
        <v>1.06</v>
      </c>
      <c r="G98" s="65">
        <v>8.43E-2</v>
      </c>
      <c r="H98" s="66"/>
      <c r="K98" s="47" t="s">
        <v>887</v>
      </c>
      <c r="L98" s="48">
        <v>11</v>
      </c>
      <c r="M98" s="48">
        <v>7.08</v>
      </c>
      <c r="N98" s="48">
        <v>7.09</v>
      </c>
      <c r="O98" s="48">
        <v>13.43</v>
      </c>
      <c r="P98" s="80">
        <v>17.149999999999999</v>
      </c>
      <c r="Q98" s="48">
        <v>7.43</v>
      </c>
      <c r="R98" s="48">
        <v>7.44</v>
      </c>
      <c r="S98" s="48">
        <v>13.49</v>
      </c>
      <c r="T98" s="80">
        <v>17.23</v>
      </c>
    </row>
    <row r="99" spans="2:20" ht="15.75">
      <c r="B99" s="57" t="s">
        <v>889</v>
      </c>
      <c r="C99" s="54">
        <v>63</v>
      </c>
      <c r="D99" s="54">
        <v>1.08</v>
      </c>
      <c r="E99" s="67">
        <v>3.9100000000000003E-2</v>
      </c>
      <c r="F99" s="54">
        <v>2.12</v>
      </c>
      <c r="G99" s="68">
        <v>0.1573</v>
      </c>
      <c r="H99" s="66"/>
      <c r="K99" s="47" t="s">
        <v>888</v>
      </c>
      <c r="L99" s="48">
        <v>52</v>
      </c>
      <c r="M99" s="48">
        <v>3.28</v>
      </c>
      <c r="N99" s="48">
        <v>8.93</v>
      </c>
      <c r="O99" s="48">
        <v>12.73</v>
      </c>
      <c r="P99" s="80">
        <v>16.57</v>
      </c>
      <c r="Q99" s="48">
        <v>3.25</v>
      </c>
      <c r="R99" s="48">
        <v>8.92</v>
      </c>
      <c r="S99" s="48">
        <v>12.59</v>
      </c>
      <c r="T99" s="80">
        <v>16.38</v>
      </c>
    </row>
    <row r="100" spans="2:20" ht="15.75">
      <c r="B100" s="56" t="s">
        <v>890</v>
      </c>
      <c r="C100" s="53">
        <v>6</v>
      </c>
      <c r="D100" s="53">
        <v>1.82</v>
      </c>
      <c r="E100" s="64">
        <v>-0.22459999999999999</v>
      </c>
      <c r="F100" s="53">
        <v>2.73</v>
      </c>
      <c r="G100" s="65">
        <v>0.31680000000000003</v>
      </c>
      <c r="H100" s="66"/>
      <c r="K100" s="47" t="s">
        <v>889</v>
      </c>
      <c r="L100" s="48">
        <v>63</v>
      </c>
      <c r="M100" s="48">
        <v>6.5</v>
      </c>
      <c r="N100" s="48">
        <v>6.65</v>
      </c>
      <c r="O100" s="48">
        <v>13.1</v>
      </c>
      <c r="P100" s="80">
        <v>17.29</v>
      </c>
      <c r="Q100" s="48">
        <v>6.93</v>
      </c>
      <c r="R100" s="48">
        <v>7.11</v>
      </c>
      <c r="S100" s="48">
        <v>13.46</v>
      </c>
      <c r="T100" s="80">
        <v>17.75</v>
      </c>
    </row>
    <row r="101" spans="2:20" ht="15.75">
      <c r="B101" s="57" t="s">
        <v>513</v>
      </c>
      <c r="C101" s="54">
        <v>55</v>
      </c>
      <c r="D101" s="54">
        <v>0.63</v>
      </c>
      <c r="E101" s="67">
        <v>4.4999999999999998E-2</v>
      </c>
      <c r="F101" s="54">
        <v>1.03</v>
      </c>
      <c r="G101" s="68">
        <v>6.8699999999999997E-2</v>
      </c>
      <c r="H101" s="66"/>
      <c r="K101" s="47" t="s">
        <v>890</v>
      </c>
      <c r="L101" s="48">
        <v>6</v>
      </c>
      <c r="M101" s="48">
        <v>7.28</v>
      </c>
      <c r="N101" s="48">
        <v>7.44</v>
      </c>
      <c r="O101" s="48">
        <v>8.61</v>
      </c>
      <c r="P101" s="80">
        <v>8.8699999999999992</v>
      </c>
      <c r="Q101" s="48">
        <v>7.03</v>
      </c>
      <c r="R101" s="48">
        <v>7.18</v>
      </c>
      <c r="S101" s="48">
        <v>8.61</v>
      </c>
      <c r="T101" s="80">
        <v>8.8699999999999992</v>
      </c>
    </row>
    <row r="102" spans="2:20" ht="15.75">
      <c r="B102" s="56" t="s">
        <v>891</v>
      </c>
      <c r="C102" s="53">
        <v>8</v>
      </c>
      <c r="D102" s="53">
        <v>1.1599999999999999</v>
      </c>
      <c r="E102" s="64">
        <v>1.8200000000000001E-2</v>
      </c>
      <c r="F102" s="53">
        <v>1.55</v>
      </c>
      <c r="G102" s="65">
        <v>7.3099999999999998E-2</v>
      </c>
      <c r="H102" s="66"/>
      <c r="K102" s="47" t="s">
        <v>513</v>
      </c>
      <c r="L102" s="48">
        <v>55</v>
      </c>
      <c r="M102" s="48">
        <v>10.78</v>
      </c>
      <c r="N102" s="48">
        <v>10.93</v>
      </c>
      <c r="O102" s="48">
        <v>14.86</v>
      </c>
      <c r="P102" s="80">
        <v>20.05</v>
      </c>
      <c r="Q102" s="48">
        <v>11.15</v>
      </c>
      <c r="R102" s="48">
        <v>11.31</v>
      </c>
      <c r="S102" s="48">
        <v>14.95</v>
      </c>
      <c r="T102" s="80">
        <v>20.170000000000002</v>
      </c>
    </row>
    <row r="103" spans="2:20" ht="15.75">
      <c r="B103" s="57" t="s">
        <v>512</v>
      </c>
      <c r="C103" s="54">
        <v>7</v>
      </c>
      <c r="D103" s="54">
        <v>0.43</v>
      </c>
      <c r="E103" s="67">
        <v>4.2500000000000003E-2</v>
      </c>
      <c r="F103" s="54">
        <v>0.69</v>
      </c>
      <c r="G103" s="68">
        <v>5.45E-2</v>
      </c>
      <c r="H103" s="66"/>
      <c r="K103" s="47" t="s">
        <v>891</v>
      </c>
      <c r="L103" s="48">
        <v>8</v>
      </c>
      <c r="M103" s="48">
        <v>5.33</v>
      </c>
      <c r="N103" s="48">
        <v>5.33</v>
      </c>
      <c r="O103" s="48">
        <v>11.67</v>
      </c>
      <c r="P103" s="80">
        <v>14.78</v>
      </c>
      <c r="Q103" s="48">
        <v>13.87</v>
      </c>
      <c r="R103" s="48">
        <v>13.87</v>
      </c>
      <c r="S103" s="48">
        <v>21.24</v>
      </c>
      <c r="T103" s="80">
        <v>26.9</v>
      </c>
    </row>
    <row r="104" spans="2:20" ht="15.75">
      <c r="B104" s="56" t="s">
        <v>892</v>
      </c>
      <c r="C104" s="53">
        <v>18</v>
      </c>
      <c r="D104" s="53">
        <v>0.56000000000000005</v>
      </c>
      <c r="E104" s="64">
        <v>4.6600000000000003E-2</v>
      </c>
      <c r="F104" s="53">
        <v>1.1000000000000001</v>
      </c>
      <c r="G104" s="65">
        <v>0.1139</v>
      </c>
      <c r="H104" s="66"/>
      <c r="K104" s="47" t="s">
        <v>512</v>
      </c>
      <c r="L104" s="48">
        <v>7</v>
      </c>
      <c r="M104" s="48">
        <v>8.6</v>
      </c>
      <c r="N104" s="48">
        <v>8.6</v>
      </c>
      <c r="O104" s="48">
        <v>12.66</v>
      </c>
      <c r="P104" s="80">
        <v>16.93</v>
      </c>
      <c r="Q104" s="48">
        <v>8.1199999999999992</v>
      </c>
      <c r="R104" s="48">
        <v>8.1199999999999992</v>
      </c>
      <c r="S104" s="48">
        <v>12.66</v>
      </c>
      <c r="T104" s="80">
        <v>16.93</v>
      </c>
    </row>
    <row r="105" spans="2:20" ht="15.75">
      <c r="B105" s="57" t="s">
        <v>893</v>
      </c>
      <c r="C105" s="54">
        <v>11</v>
      </c>
      <c r="D105" s="54">
        <v>2.71</v>
      </c>
      <c r="E105" s="67">
        <v>5.6300000000000003E-2</v>
      </c>
      <c r="F105" s="54">
        <v>6.34</v>
      </c>
      <c r="G105" s="68">
        <v>0.21890000000000001</v>
      </c>
      <c r="H105" s="66"/>
      <c r="K105" s="47" t="s">
        <v>892</v>
      </c>
      <c r="L105" s="48">
        <v>18</v>
      </c>
      <c r="M105" s="48">
        <v>6.6</v>
      </c>
      <c r="N105" s="48">
        <v>6.66</v>
      </c>
      <c r="O105" s="48">
        <v>9.68</v>
      </c>
      <c r="P105" s="80">
        <v>12.23</v>
      </c>
      <c r="Q105" s="48">
        <v>5.86</v>
      </c>
      <c r="R105" s="48">
        <v>5.91</v>
      </c>
      <c r="S105" s="48">
        <v>9.69</v>
      </c>
      <c r="T105" s="80">
        <v>12.24</v>
      </c>
    </row>
    <row r="106" spans="2:20" ht="15.75">
      <c r="B106" s="56" t="s">
        <v>894</v>
      </c>
      <c r="C106" s="53">
        <v>6776</v>
      </c>
      <c r="D106" s="53">
        <v>1.29</v>
      </c>
      <c r="E106" s="64">
        <v>7.5800000000000006E-2</v>
      </c>
      <c r="F106" s="53">
        <v>2.0099999999999998</v>
      </c>
      <c r="G106" s="65">
        <v>0.1095</v>
      </c>
      <c r="H106" s="1753"/>
      <c r="K106" s="47" t="s">
        <v>893</v>
      </c>
      <c r="L106" s="48">
        <v>11</v>
      </c>
      <c r="M106" s="48">
        <v>15.69</v>
      </c>
      <c r="N106" s="48">
        <v>15.85</v>
      </c>
      <c r="O106" s="48">
        <v>28.93</v>
      </c>
      <c r="P106" s="80">
        <v>38.130000000000003</v>
      </c>
      <c r="Q106" s="48">
        <v>17.899999999999999</v>
      </c>
      <c r="R106" s="48">
        <v>18.11</v>
      </c>
      <c r="S106" s="48">
        <v>28.94</v>
      </c>
      <c r="T106" s="80">
        <v>38.14</v>
      </c>
    </row>
    <row r="107" spans="2:20" ht="15.75">
      <c r="B107" s="69" t="s">
        <v>895</v>
      </c>
      <c r="C107" s="55">
        <v>5941</v>
      </c>
      <c r="D107" s="55">
        <v>1.17</v>
      </c>
      <c r="E107" s="70">
        <v>5.3499999999999999E-2</v>
      </c>
      <c r="F107" s="55">
        <v>1.52</v>
      </c>
      <c r="G107" s="67">
        <v>0.1065</v>
      </c>
      <c r="H107" s="1753"/>
      <c r="K107" s="47" t="s">
        <v>894</v>
      </c>
      <c r="L107" s="48">
        <v>6776</v>
      </c>
      <c r="M107" s="48">
        <v>8.3699999999999992</v>
      </c>
      <c r="N107" s="48">
        <v>9.52</v>
      </c>
      <c r="O107" s="48">
        <v>13.43</v>
      </c>
      <c r="P107" s="80">
        <v>17.649999999999999</v>
      </c>
      <c r="Q107" s="48">
        <v>11.74</v>
      </c>
      <c r="R107" s="48">
        <v>13.4</v>
      </c>
      <c r="S107" s="48">
        <v>18.399999999999999</v>
      </c>
      <c r="T107" s="80">
        <v>24.18</v>
      </c>
    </row>
    <row r="108" spans="2:20">
      <c r="K108" s="83" t="s">
        <v>895</v>
      </c>
      <c r="L108" s="48">
        <v>5941</v>
      </c>
      <c r="M108" s="48">
        <v>8.31</v>
      </c>
      <c r="N108" s="48">
        <v>9.5399999999999991</v>
      </c>
      <c r="O108" s="48">
        <v>13.93</v>
      </c>
      <c r="P108" s="48">
        <v>18.41</v>
      </c>
      <c r="Q108" s="48">
        <v>8.65</v>
      </c>
      <c r="R108" s="48">
        <v>9.9700000000000006</v>
      </c>
      <c r="S108" s="48">
        <v>14.24</v>
      </c>
      <c r="T108" s="48">
        <v>18.82</v>
      </c>
    </row>
    <row r="109" spans="2:20" ht="15.75">
      <c r="K109" s="84" t="s">
        <v>895</v>
      </c>
      <c r="L109" s="85">
        <v>6149</v>
      </c>
      <c r="M109" s="85">
        <v>8.27</v>
      </c>
      <c r="N109" s="85">
        <v>9.41</v>
      </c>
      <c r="O109" s="85">
        <v>12.99</v>
      </c>
      <c r="P109" s="85">
        <v>17.34</v>
      </c>
      <c r="Q109" s="85">
        <v>8.7799999999999994</v>
      </c>
      <c r="R109" s="85">
        <v>10.029999999999999</v>
      </c>
      <c r="S109" s="85">
        <v>13.38</v>
      </c>
      <c r="T109" s="85">
        <v>17.86</v>
      </c>
    </row>
  </sheetData>
  <mergeCells count="21">
    <mergeCell ref="G6:H6"/>
    <mergeCell ref="L4:Q4"/>
    <mergeCell ref="L5:Q5"/>
    <mergeCell ref="L6:O6"/>
    <mergeCell ref="P6:Q6"/>
    <mergeCell ref="L7:Q7"/>
    <mergeCell ref="C7:H7"/>
    <mergeCell ref="C8:H8"/>
    <mergeCell ref="M11:P11"/>
    <mergeCell ref="Q11:T11"/>
    <mergeCell ref="C9:H9"/>
    <mergeCell ref="C10:H10"/>
    <mergeCell ref="L8:Q8"/>
    <mergeCell ref="L9:Q9"/>
    <mergeCell ref="L10:Q10"/>
    <mergeCell ref="R4:R10"/>
    <mergeCell ref="S4:U4"/>
    <mergeCell ref="S5:U10"/>
    <mergeCell ref="C4:H4"/>
    <mergeCell ref="C5:H5"/>
    <mergeCell ref="C6:F6"/>
  </mergeCells>
  <hyperlinks>
    <hyperlink ref="C5" r:id="rId1" display="mailto:adamodar@stern.nyu.edu?subject=Data%20on%20website" xr:uid="{42D353FA-2D67-4B52-B8E1-EC73329DB774}"/>
    <hyperlink ref="C7" r:id="rId2" display="http://www.damodaran.com/" xr:uid="{060DAA71-C108-49F2-89BD-3E30B3D25374}"/>
    <hyperlink ref="C8" r:id="rId3" display="http://www.stern.nyu.edu/~adamodar/New_Home_Page/data.html" xr:uid="{A3182893-4B6E-4993-9BA3-ABCBDF245FAE}"/>
    <hyperlink ref="C9" r:id="rId4" display="http://www.stern.nyu.edu/~adamodar/pc/datasets/indname.xls" xr:uid="{7ED20CC1-4B46-4A07-85B6-26893D802519}"/>
    <hyperlink ref="C10" r:id="rId5" display="http://www.stern.nyu.edu/~adamodar/New_Home_Page/datafile/variable.htm" xr:uid="{6CB51D64-FF2E-42D2-85DF-7B9EBAE590D2}"/>
    <hyperlink ref="R4" r:id="rId6" display="https://youtu.be/P87WFfCMvYI?si=HuU1ji5YwZiTrVaU" xr:uid="{D40DADE0-AEC2-417B-A0A8-735CD5F996BC}"/>
    <hyperlink ref="L5" r:id="rId7" display="mailto:adamodar@stern.nyu.edu?subject=Data%20on%20website" xr:uid="{0A115D8C-00B3-4BE6-AD12-74C36FB098D8}"/>
    <hyperlink ref="L7" r:id="rId8" display="http://www.damodaran.com/" xr:uid="{34D3F755-8ACE-4281-A768-2278E01A1772}"/>
    <hyperlink ref="L8" r:id="rId9" display="http://www.stern.nyu.edu/~adamodar/New_Home_Page/data.html" xr:uid="{7F39D522-7E75-4B81-80A7-25A0B2103BC6}"/>
    <hyperlink ref="L9" r:id="rId10" display="http://www.stern.nyu.edu/~adamodar/pc/datasets/indname.xls" xr:uid="{45FBAA96-DCEA-41A4-A566-964B0EE4C88E}"/>
    <hyperlink ref="L10" r:id="rId11" display="http://www.stern.nyu.edu/~adamodar/New_Home_Page/datafile/variable.htm" xr:uid="{95BC04C6-D886-4BCA-A799-B2DB03F35EA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7E18-EACA-4BFA-9A36-FBABB35DCF99}">
  <sheetPr codeName="Sheet14">
    <tabColor theme="1"/>
  </sheetPr>
  <dimension ref="B2:I41"/>
  <sheetViews>
    <sheetView workbookViewId="0"/>
  </sheetViews>
  <sheetFormatPr defaultColWidth="8.7109375" defaultRowHeight="12.75"/>
  <cols>
    <col min="3" max="3" width="48.140625" bestFit="1" customWidth="1"/>
    <col min="4" max="4" width="40.7109375" customWidth="1"/>
  </cols>
  <sheetData>
    <row r="2" spans="2:9" ht="18.75">
      <c r="B2" s="109" t="str">
        <f>Übersicht!C29</f>
        <v>Kroll Multiples</v>
      </c>
    </row>
    <row r="3" spans="2:9">
      <c r="B3" s="108" t="s">
        <v>930</v>
      </c>
    </row>
    <row r="5" spans="2:9" ht="15.75" thickBot="1">
      <c r="B5" s="45" t="s">
        <v>763</v>
      </c>
      <c r="C5" s="46"/>
      <c r="D5" s="46"/>
      <c r="E5" s="46"/>
      <c r="F5" s="46"/>
      <c r="G5" s="46"/>
      <c r="H5" s="46"/>
      <c r="I5" s="46"/>
    </row>
    <row r="6" spans="2:9" ht="16.5" thickBot="1">
      <c r="B6" s="35" t="s">
        <v>765</v>
      </c>
      <c r="C6" s="90">
        <v>45078</v>
      </c>
      <c r="D6" s="35"/>
      <c r="E6" s="35"/>
      <c r="F6" s="35"/>
      <c r="G6" s="35"/>
      <c r="H6" s="35"/>
      <c r="I6" s="35"/>
    </row>
    <row r="7" spans="2:9" ht="15.75">
      <c r="B7" s="49"/>
      <c r="C7" s="49" t="s">
        <v>582</v>
      </c>
      <c r="D7" s="50"/>
      <c r="E7" s="51" t="s">
        <v>772</v>
      </c>
      <c r="F7" s="50"/>
      <c r="G7" s="52" t="s">
        <v>524</v>
      </c>
      <c r="H7" s="50"/>
      <c r="I7" s="50" t="s">
        <v>525</v>
      </c>
    </row>
    <row r="8" spans="2:9">
      <c r="B8">
        <v>1</v>
      </c>
      <c r="C8" s="93" t="s">
        <v>931</v>
      </c>
      <c r="E8" s="98">
        <v>1.9</v>
      </c>
      <c r="G8" s="94">
        <v>7</v>
      </c>
      <c r="I8" s="14" t="s">
        <v>149</v>
      </c>
    </row>
    <row r="9" spans="2:9">
      <c r="B9">
        <v>2</v>
      </c>
      <c r="C9" s="91" t="s">
        <v>932</v>
      </c>
      <c r="E9" s="92">
        <v>1.8</v>
      </c>
      <c r="G9" s="92">
        <v>7.3</v>
      </c>
      <c r="I9" s="14" t="s">
        <v>149</v>
      </c>
    </row>
    <row r="10" spans="2:9">
      <c r="B10">
        <v>3</v>
      </c>
      <c r="C10" s="93" t="s">
        <v>933</v>
      </c>
      <c r="E10" s="94">
        <v>1.9</v>
      </c>
      <c r="G10" s="94">
        <v>5.9</v>
      </c>
      <c r="I10" s="14" t="s">
        <v>149</v>
      </c>
    </row>
    <row r="11" spans="2:9">
      <c r="B11">
        <v>4</v>
      </c>
      <c r="C11" s="91" t="s">
        <v>934</v>
      </c>
      <c r="E11" s="92">
        <v>1.1000000000000001</v>
      </c>
      <c r="G11" s="92">
        <v>8.4</v>
      </c>
      <c r="I11" s="14" t="s">
        <v>149</v>
      </c>
    </row>
    <row r="12" spans="2:9">
      <c r="B12">
        <v>5</v>
      </c>
      <c r="C12" s="93" t="s">
        <v>935</v>
      </c>
      <c r="E12" s="94">
        <v>0.7</v>
      </c>
      <c r="G12" s="94">
        <v>5.7</v>
      </c>
      <c r="I12" s="14" t="s">
        <v>149</v>
      </c>
    </row>
    <row r="13" spans="2:9">
      <c r="B13">
        <v>6</v>
      </c>
      <c r="C13" s="91" t="s">
        <v>936</v>
      </c>
      <c r="E13" s="92">
        <v>1.4</v>
      </c>
      <c r="G13" s="92">
        <v>9.1</v>
      </c>
      <c r="I13" s="14" t="s">
        <v>149</v>
      </c>
    </row>
    <row r="14" spans="2:9">
      <c r="B14">
        <v>7</v>
      </c>
      <c r="C14" s="93" t="s">
        <v>937</v>
      </c>
      <c r="E14" s="94">
        <v>1.8</v>
      </c>
      <c r="G14" s="94">
        <v>10</v>
      </c>
      <c r="I14" s="14" t="s">
        <v>149</v>
      </c>
    </row>
    <row r="15" spans="2:9">
      <c r="B15">
        <v>8</v>
      </c>
      <c r="C15" s="96" t="s">
        <v>938</v>
      </c>
      <c r="E15" s="92">
        <v>0.8</v>
      </c>
      <c r="G15" s="92">
        <v>7.7</v>
      </c>
      <c r="I15" s="14" t="s">
        <v>149</v>
      </c>
    </row>
    <row r="16" spans="2:9">
      <c r="B16">
        <v>9</v>
      </c>
      <c r="C16" s="93" t="s">
        <v>939</v>
      </c>
      <c r="E16" s="94">
        <v>1.3</v>
      </c>
      <c r="G16" s="94">
        <v>9.8000000000000007</v>
      </c>
      <c r="I16" s="14" t="s">
        <v>149</v>
      </c>
    </row>
    <row r="17" spans="2:9">
      <c r="B17">
        <v>10</v>
      </c>
      <c r="C17" s="96" t="s">
        <v>940</v>
      </c>
      <c r="E17" s="92">
        <v>0.5</v>
      </c>
      <c r="G17" s="92">
        <v>6.4</v>
      </c>
      <c r="I17" s="14" t="s">
        <v>149</v>
      </c>
    </row>
    <row r="18" spans="2:9">
      <c r="B18">
        <v>11</v>
      </c>
      <c r="C18" s="93" t="s">
        <v>941</v>
      </c>
      <c r="E18" s="94">
        <v>1.5</v>
      </c>
      <c r="G18" s="94">
        <v>9.6999999999999993</v>
      </c>
      <c r="I18" s="14" t="s">
        <v>149</v>
      </c>
    </row>
    <row r="19" spans="2:9">
      <c r="B19">
        <v>12</v>
      </c>
      <c r="C19" s="91" t="s">
        <v>942</v>
      </c>
      <c r="E19" s="92">
        <v>2.4</v>
      </c>
      <c r="G19" s="92">
        <v>13</v>
      </c>
      <c r="I19" s="14" t="s">
        <v>149</v>
      </c>
    </row>
    <row r="20" spans="2:9">
      <c r="B20">
        <v>13</v>
      </c>
      <c r="C20" s="93" t="s">
        <v>943</v>
      </c>
      <c r="E20" s="94">
        <v>1.1000000000000001</v>
      </c>
      <c r="G20" s="94">
        <v>3.3</v>
      </c>
      <c r="I20" s="14" t="s">
        <v>149</v>
      </c>
    </row>
    <row r="21" spans="2:9">
      <c r="B21">
        <v>14</v>
      </c>
      <c r="C21" s="91" t="s">
        <v>944</v>
      </c>
      <c r="E21" s="92">
        <v>3.4</v>
      </c>
      <c r="G21" s="92">
        <v>14</v>
      </c>
      <c r="I21" s="14" t="s">
        <v>149</v>
      </c>
    </row>
    <row r="22" spans="2:9">
      <c r="B22">
        <v>15</v>
      </c>
      <c r="C22" s="93" t="s">
        <v>945</v>
      </c>
      <c r="E22" s="94">
        <v>2.6</v>
      </c>
      <c r="G22" s="94">
        <v>13.7</v>
      </c>
      <c r="I22" s="14" t="s">
        <v>149</v>
      </c>
    </row>
    <row r="23" spans="2:9">
      <c r="B23">
        <v>16</v>
      </c>
      <c r="C23" s="91" t="s">
        <v>946</v>
      </c>
      <c r="E23" s="92">
        <v>3.9</v>
      </c>
      <c r="G23" s="92">
        <v>15.4</v>
      </c>
      <c r="I23" s="14" t="s">
        <v>149</v>
      </c>
    </row>
    <row r="24" spans="2:9">
      <c r="B24">
        <v>17</v>
      </c>
      <c r="C24" s="93" t="s">
        <v>947</v>
      </c>
      <c r="E24" s="94">
        <v>1.2</v>
      </c>
      <c r="G24" s="94">
        <v>9</v>
      </c>
      <c r="I24" s="14" t="s">
        <v>149</v>
      </c>
    </row>
    <row r="25" spans="2:9">
      <c r="B25">
        <v>18</v>
      </c>
      <c r="C25" s="91" t="s">
        <v>948</v>
      </c>
      <c r="E25" s="92">
        <v>1.2</v>
      </c>
      <c r="G25" s="92">
        <v>9.8000000000000007</v>
      </c>
      <c r="I25" s="14" t="s">
        <v>149</v>
      </c>
    </row>
    <row r="26" spans="2:9">
      <c r="B26">
        <v>19</v>
      </c>
      <c r="C26" s="93" t="s">
        <v>949</v>
      </c>
      <c r="E26" s="94">
        <v>1</v>
      </c>
      <c r="G26" s="94">
        <v>8.9</v>
      </c>
      <c r="I26" s="14" t="s">
        <v>149</v>
      </c>
    </row>
    <row r="27" spans="2:9">
      <c r="B27">
        <v>20</v>
      </c>
      <c r="C27" s="91" t="s">
        <v>513</v>
      </c>
      <c r="E27" s="92">
        <v>1</v>
      </c>
      <c r="G27" s="92">
        <v>4.4000000000000004</v>
      </c>
      <c r="I27" s="14" t="s">
        <v>149</v>
      </c>
    </row>
    <row r="28" spans="2:9">
      <c r="B28">
        <v>21</v>
      </c>
      <c r="C28" s="93" t="s">
        <v>950</v>
      </c>
      <c r="E28" s="94">
        <v>2.2000000000000002</v>
      </c>
      <c r="G28" s="94">
        <v>14.1</v>
      </c>
      <c r="I28" s="14" t="s">
        <v>149</v>
      </c>
    </row>
    <row r="29" spans="2:9">
      <c r="B29">
        <v>22</v>
      </c>
      <c r="C29" s="91" t="s">
        <v>951</v>
      </c>
      <c r="E29" s="92">
        <v>3.1</v>
      </c>
      <c r="G29" s="92">
        <v>11.9</v>
      </c>
      <c r="I29" s="14" t="s">
        <v>149</v>
      </c>
    </row>
    <row r="30" spans="2:9">
      <c r="B30">
        <v>23</v>
      </c>
      <c r="C30" s="93" t="s">
        <v>952</v>
      </c>
      <c r="E30" s="94">
        <v>1.9</v>
      </c>
      <c r="G30" s="94">
        <v>14.1</v>
      </c>
      <c r="I30" s="14" t="s">
        <v>149</v>
      </c>
    </row>
    <row r="31" spans="2:9">
      <c r="B31">
        <v>24</v>
      </c>
      <c r="C31" s="91" t="s">
        <v>953</v>
      </c>
      <c r="E31" s="92">
        <v>1.9</v>
      </c>
      <c r="G31" s="92">
        <v>14.3</v>
      </c>
      <c r="I31" s="14" t="s">
        <v>149</v>
      </c>
    </row>
    <row r="32" spans="2:9">
      <c r="B32">
        <v>25</v>
      </c>
      <c r="C32" s="93" t="s">
        <v>954</v>
      </c>
      <c r="E32" s="94">
        <v>0.9</v>
      </c>
      <c r="G32" s="94">
        <v>5.9</v>
      </c>
      <c r="I32" s="14" t="s">
        <v>149</v>
      </c>
    </row>
    <row r="33" spans="2:9">
      <c r="B33">
        <v>26</v>
      </c>
      <c r="C33" s="91" t="s">
        <v>955</v>
      </c>
      <c r="E33" s="92">
        <v>12.4</v>
      </c>
      <c r="G33" s="92">
        <v>19.899999999999999</v>
      </c>
      <c r="I33" s="14" t="s">
        <v>149</v>
      </c>
    </row>
    <row r="34" spans="2:9">
      <c r="B34">
        <v>27</v>
      </c>
      <c r="C34" s="93" t="s">
        <v>956</v>
      </c>
      <c r="E34" s="94">
        <v>2.7</v>
      </c>
      <c r="G34" s="94">
        <v>9.4</v>
      </c>
      <c r="I34" s="14" t="s">
        <v>149</v>
      </c>
    </row>
    <row r="35" spans="2:9">
      <c r="B35">
        <v>28</v>
      </c>
      <c r="C35" s="96" t="s">
        <v>957</v>
      </c>
      <c r="E35" s="92">
        <v>1.3</v>
      </c>
      <c r="G35" s="92">
        <v>8.3000000000000007</v>
      </c>
      <c r="I35" s="14" t="s">
        <v>149</v>
      </c>
    </row>
    <row r="36" spans="2:9">
      <c r="B36">
        <v>29</v>
      </c>
      <c r="C36" s="95" t="s">
        <v>958</v>
      </c>
      <c r="E36" s="94">
        <v>7.8</v>
      </c>
      <c r="G36" s="94">
        <v>14.7</v>
      </c>
      <c r="I36" s="14" t="s">
        <v>149</v>
      </c>
    </row>
    <row r="37" spans="2:9">
      <c r="B37">
        <v>30</v>
      </c>
      <c r="C37" s="97" t="s">
        <v>818</v>
      </c>
      <c r="E37" t="s">
        <v>149</v>
      </c>
      <c r="G37" s="14" t="s">
        <v>149</v>
      </c>
      <c r="I37" s="14" t="s">
        <v>149</v>
      </c>
    </row>
    <row r="38" spans="2:9">
      <c r="C38" s="91"/>
      <c r="E38" s="92"/>
      <c r="G38" s="92"/>
      <c r="I38" s="14"/>
    </row>
    <row r="39" spans="2:9">
      <c r="C39" s="95"/>
      <c r="E39" s="94"/>
      <c r="G39" s="94"/>
      <c r="I39" s="14"/>
    </row>
    <row r="40" spans="2:9">
      <c r="C40" s="91"/>
      <c r="E40" s="92"/>
      <c r="G40" s="92"/>
      <c r="I40" s="14"/>
    </row>
    <row r="41" spans="2:9">
      <c r="C41" s="97"/>
      <c r="G41" s="14"/>
      <c r="I41" s="14"/>
    </row>
  </sheetData>
  <hyperlinks>
    <hyperlink ref="B3" r:id="rId1" xr:uid="{1329AC88-4896-426A-AC0B-B1637B5CB0A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EDE15-9C3B-4BD6-A5D1-8EED828D1DB5}">
  <sheetPr codeName="Sheet3">
    <tabColor theme="1"/>
  </sheetPr>
  <dimension ref="B2:I24"/>
  <sheetViews>
    <sheetView workbookViewId="0"/>
  </sheetViews>
  <sheetFormatPr defaultColWidth="8.7109375" defaultRowHeight="12.75"/>
  <cols>
    <col min="3" max="3" width="27.140625" bestFit="1" customWidth="1"/>
  </cols>
  <sheetData>
    <row r="2" spans="2:9" ht="18.75">
      <c r="B2" s="109" t="str">
        <f>Übersicht!C30</f>
        <v>DUB Multiples</v>
      </c>
    </row>
    <row r="3" spans="2:9">
      <c r="B3" s="108" t="s">
        <v>959</v>
      </c>
    </row>
    <row r="4" spans="2:9" ht="15.75" thickBot="1">
      <c r="B4" s="45" t="s">
        <v>53</v>
      </c>
      <c r="C4" s="46"/>
      <c r="D4" s="46"/>
      <c r="E4" s="46"/>
      <c r="F4" s="46"/>
      <c r="G4" s="46"/>
    </row>
    <row r="5" spans="2:9" ht="16.5" thickBot="1">
      <c r="B5" s="35" t="s">
        <v>765</v>
      </c>
      <c r="C5" s="90" t="s">
        <v>960</v>
      </c>
      <c r="D5" s="1251" t="s">
        <v>525</v>
      </c>
      <c r="E5" s="35"/>
      <c r="F5" s="35"/>
      <c r="G5" s="35"/>
    </row>
    <row r="6" spans="2:9" ht="15.75">
      <c r="B6" s="49"/>
      <c r="C6" s="49" t="s">
        <v>582</v>
      </c>
      <c r="D6" s="51" t="s">
        <v>773</v>
      </c>
      <c r="E6" s="51" t="s">
        <v>774</v>
      </c>
      <c r="F6" s="52" t="s">
        <v>775</v>
      </c>
      <c r="G6" s="50"/>
    </row>
    <row r="7" spans="2:9">
      <c r="B7">
        <v>1</v>
      </c>
      <c r="C7" t="s">
        <v>961</v>
      </c>
      <c r="D7">
        <v>4.4000000000000004</v>
      </c>
      <c r="E7">
        <v>7.4</v>
      </c>
      <c r="F7">
        <v>5.9</v>
      </c>
      <c r="I7" s="1749"/>
    </row>
    <row r="8" spans="2:9">
      <c r="B8">
        <v>2</v>
      </c>
      <c r="C8" t="s">
        <v>962</v>
      </c>
      <c r="D8">
        <v>3.9</v>
      </c>
      <c r="E8">
        <v>9.1999999999999993</v>
      </c>
      <c r="F8">
        <v>6.6</v>
      </c>
      <c r="I8" s="1749"/>
    </row>
    <row r="9" spans="2:9">
      <c r="B9">
        <v>3</v>
      </c>
      <c r="C9" t="s">
        <v>963</v>
      </c>
      <c r="D9">
        <v>5</v>
      </c>
      <c r="E9">
        <v>8.5</v>
      </c>
      <c r="F9">
        <v>6.8</v>
      </c>
      <c r="I9" s="1749"/>
    </row>
    <row r="10" spans="2:9">
      <c r="B10">
        <v>4</v>
      </c>
      <c r="C10" t="s">
        <v>964</v>
      </c>
      <c r="D10">
        <v>4</v>
      </c>
      <c r="E10">
        <v>7.8</v>
      </c>
      <c r="F10">
        <v>5.9</v>
      </c>
      <c r="I10" s="1749"/>
    </row>
    <row r="11" spans="2:9">
      <c r="B11">
        <v>5</v>
      </c>
      <c r="C11" t="s">
        <v>791</v>
      </c>
      <c r="D11">
        <v>4</v>
      </c>
      <c r="E11">
        <v>5.7</v>
      </c>
      <c r="F11">
        <v>4.9000000000000004</v>
      </c>
      <c r="I11" s="1749"/>
    </row>
    <row r="12" spans="2:9">
      <c r="B12">
        <v>6</v>
      </c>
      <c r="C12" t="s">
        <v>965</v>
      </c>
      <c r="D12">
        <v>4.0999999999999996</v>
      </c>
      <c r="E12">
        <v>7.5</v>
      </c>
      <c r="F12">
        <v>5.8</v>
      </c>
      <c r="I12" s="1749"/>
    </row>
    <row r="13" spans="2:9">
      <c r="B13">
        <v>7</v>
      </c>
      <c r="C13" t="s">
        <v>795</v>
      </c>
      <c r="D13">
        <v>4.3</v>
      </c>
      <c r="E13">
        <v>8.4</v>
      </c>
      <c r="F13">
        <v>6.4</v>
      </c>
      <c r="I13" s="1749"/>
    </row>
    <row r="14" spans="2:9">
      <c r="B14">
        <v>8</v>
      </c>
      <c r="C14" t="s">
        <v>797</v>
      </c>
      <c r="D14">
        <v>3.5</v>
      </c>
      <c r="E14">
        <v>7.2</v>
      </c>
      <c r="F14">
        <v>5.3</v>
      </c>
      <c r="I14" s="1749"/>
    </row>
    <row r="15" spans="2:9">
      <c r="B15">
        <v>9</v>
      </c>
      <c r="C15" t="s">
        <v>801</v>
      </c>
      <c r="D15">
        <v>4.8</v>
      </c>
      <c r="E15">
        <v>6.8</v>
      </c>
      <c r="F15">
        <v>5.8</v>
      </c>
      <c r="I15" s="1749"/>
    </row>
    <row r="16" spans="2:9">
      <c r="B16">
        <v>10</v>
      </c>
      <c r="C16" t="s">
        <v>966</v>
      </c>
      <c r="D16">
        <v>5</v>
      </c>
      <c r="E16">
        <v>8</v>
      </c>
      <c r="F16">
        <v>6.5</v>
      </c>
      <c r="I16" s="1749"/>
    </row>
    <row r="17" spans="2:9">
      <c r="B17">
        <v>11</v>
      </c>
      <c r="C17" t="s">
        <v>967</v>
      </c>
      <c r="D17">
        <v>4.5</v>
      </c>
      <c r="E17">
        <v>8.6</v>
      </c>
      <c r="F17">
        <v>6.6</v>
      </c>
      <c r="I17" s="1749"/>
    </row>
    <row r="18" spans="2:9">
      <c r="B18">
        <v>12</v>
      </c>
      <c r="C18" t="s">
        <v>809</v>
      </c>
      <c r="D18">
        <v>4.9000000000000004</v>
      </c>
      <c r="E18">
        <v>6.4</v>
      </c>
      <c r="F18">
        <v>5.6</v>
      </c>
      <c r="I18" s="1749"/>
    </row>
    <row r="19" spans="2:9">
      <c r="B19">
        <v>13</v>
      </c>
      <c r="C19" t="s">
        <v>968</v>
      </c>
      <c r="D19">
        <v>3.5</v>
      </c>
      <c r="E19">
        <v>5.5</v>
      </c>
      <c r="F19">
        <v>4.5</v>
      </c>
      <c r="I19" s="1749"/>
    </row>
    <row r="20" spans="2:9">
      <c r="B20">
        <v>14</v>
      </c>
      <c r="C20" t="s">
        <v>514</v>
      </c>
      <c r="D20">
        <v>3.7</v>
      </c>
      <c r="E20">
        <v>5.6</v>
      </c>
      <c r="F20">
        <v>4.7</v>
      </c>
      <c r="I20" s="1749"/>
    </row>
    <row r="21" spans="2:9">
      <c r="B21">
        <v>15</v>
      </c>
      <c r="C21" t="s">
        <v>969</v>
      </c>
      <c r="D21">
        <v>4.8</v>
      </c>
      <c r="E21">
        <v>7</v>
      </c>
      <c r="F21">
        <v>5.9</v>
      </c>
      <c r="I21" s="1749"/>
    </row>
    <row r="22" spans="2:9">
      <c r="B22">
        <v>16</v>
      </c>
      <c r="C22" t="s">
        <v>970</v>
      </c>
      <c r="D22">
        <v>4.7</v>
      </c>
      <c r="E22">
        <v>6.5</v>
      </c>
      <c r="F22">
        <v>5.6</v>
      </c>
      <c r="I22" s="1749"/>
    </row>
    <row r="23" spans="2:9">
      <c r="B23">
        <v>17</v>
      </c>
      <c r="C23" s="97" t="s">
        <v>818</v>
      </c>
      <c r="D23" t="s">
        <v>149</v>
      </c>
      <c r="E23" s="14" t="s">
        <v>149</v>
      </c>
      <c r="F23" s="14" t="s">
        <v>149</v>
      </c>
      <c r="G23" s="14"/>
    </row>
    <row r="24" spans="2:9">
      <c r="B24" s="14" t="s">
        <v>774</v>
      </c>
      <c r="D24" s="1730">
        <f>AVERAGE(D7:D22)</f>
        <v>4.3187500000000005</v>
      </c>
      <c r="E24" s="1730">
        <f>AVERAGE(E7:E22)</f>
        <v>7.2562499999999996</v>
      </c>
      <c r="F24" s="1730">
        <f>AVERAGE(F7:F22)</f>
        <v>5.7999999999999989</v>
      </c>
    </row>
  </sheetData>
  <hyperlinks>
    <hyperlink ref="B3" r:id="rId1" display="https://www.dub.de/unternehmenswert-berechnen/kmu-multiples/" xr:uid="{C1D93844-7BDA-45CB-B891-67001DD7C8B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B6C03-E36A-493C-815B-C4F67990AD64}">
  <sheetPr codeName="Sheet9">
    <tabColor theme="1"/>
  </sheetPr>
  <dimension ref="A1:G288"/>
  <sheetViews>
    <sheetView workbookViewId="0"/>
  </sheetViews>
  <sheetFormatPr defaultColWidth="9.140625" defaultRowHeight="12.75"/>
  <cols>
    <col min="1" max="1" width="5.7109375" style="12" customWidth="1"/>
    <col min="2" max="2" width="78.7109375" style="12" bestFit="1" customWidth="1"/>
    <col min="3" max="3" width="9.140625" style="12"/>
    <col min="4" max="7" width="78.7109375" style="749" bestFit="1" customWidth="1"/>
    <col min="8" max="16384" width="9.140625" style="12"/>
  </cols>
  <sheetData>
    <row r="1" spans="1:7" ht="15" customHeight="1"/>
    <row r="2" spans="1:7" ht="18.75">
      <c r="B2" s="109" t="s">
        <v>54</v>
      </c>
    </row>
    <row r="4" spans="1:7" ht="13.5" thickBot="1">
      <c r="A4" s="750"/>
      <c r="B4" s="751" t="s">
        <v>971</v>
      </c>
      <c r="D4" s="752" t="s">
        <v>972</v>
      </c>
      <c r="E4" s="752" t="s">
        <v>87</v>
      </c>
      <c r="F4" s="752" t="s">
        <v>972</v>
      </c>
      <c r="G4" s="752" t="s">
        <v>87</v>
      </c>
    </row>
    <row r="5" spans="1:7" ht="13.5" thickBot="1">
      <c r="A5" s="750"/>
      <c r="B5" s="750"/>
      <c r="D5" s="753"/>
      <c r="E5" s="753"/>
      <c r="F5" s="753"/>
      <c r="G5" s="753"/>
    </row>
    <row r="6" spans="1:7">
      <c r="A6" s="750"/>
      <c r="B6" s="754" t="str">
        <f>IF(OR(ISBLANK(D6), ISBLANK(E6), ISBLANK(F6), ISBLANK(G6)), " ",
   IF(Eckdaten!$C$10="Gesamtkostenverfahren",
      IF(Eckdaten!$C$15="Deutsch", D6, E6),
      IF(Eckdaten!$C$10="Umsatzkostenverfahren",
         IF(Eckdaten!$C$15="Deutsch", F6, G6),
         "")))</f>
        <v>Income Statement/ P&amp;L (Total cost)</v>
      </c>
      <c r="D6" s="755" t="s">
        <v>973</v>
      </c>
      <c r="E6" s="755" t="s">
        <v>974</v>
      </c>
      <c r="F6" s="755" t="s">
        <v>975</v>
      </c>
      <c r="G6" s="755" t="s">
        <v>976</v>
      </c>
    </row>
    <row r="7" spans="1:7">
      <c r="A7" s="750"/>
      <c r="B7" s="756" t="str">
        <f>IF(OR(ISBLANK(D7), ISBLANK(E7), ISBLANK(F7), ISBLANK(G7)), " ",
   IF(Eckdaten!$C$10="Gesamtkostenverfahren",
      IF(Eckdaten!$C$15="Deutsch", D7, E7),
      IF(Eckdaten!$C$10="Umsatzkostenverfahren",
         IF(Eckdaten!$C$15="Deutsch", F7, G7),
         "")))</f>
        <v xml:space="preserve"> </v>
      </c>
      <c r="D7" s="753"/>
      <c r="E7" s="753"/>
      <c r="F7" s="753"/>
      <c r="G7" s="753"/>
    </row>
    <row r="8" spans="1:7">
      <c r="A8" s="750"/>
      <c r="B8" s="756" t="str">
        <f>IF(OR(ISBLANK(D8), ISBLANK(E8), ISBLANK(F8), ISBLANK(G8)), " ",
   IF(Eckdaten!$C$10="Gesamtkostenverfahren",
      IF(Eckdaten!$C$15="Deutsch", D8, E8),
      IF(Eckdaten!$C$10="Umsatzkostenverfahren",
         IF(Eckdaten!$C$15="Deutsch", F8, G8),
         "")))</f>
        <v xml:space="preserve"> </v>
      </c>
      <c r="D8" s="753"/>
      <c r="E8" s="753"/>
      <c r="F8" s="753"/>
      <c r="G8" s="753"/>
    </row>
    <row r="9" spans="1:7">
      <c r="A9" s="750"/>
      <c r="B9" s="756" t="str">
        <f>IF(OR(ISBLANK(D9), ISBLANK(E9), ISBLANK(F9), ISBLANK(G9)), " ",
   IF(Eckdaten!$C$10="Gesamtkostenverfahren",
      IF(Eckdaten!$C$15="Deutsch", D9, E9),
      IF(Eckdaten!$C$10="Umsatzkostenverfahren",
         IF(Eckdaten!$C$15="Deutsch", F9, G9),
         "")))</f>
        <v>Revenue</v>
      </c>
      <c r="D9" s="757" t="s">
        <v>205</v>
      </c>
      <c r="E9" s="757" t="s">
        <v>977</v>
      </c>
      <c r="F9" s="757" t="s">
        <v>205</v>
      </c>
      <c r="G9" s="757" t="s">
        <v>977</v>
      </c>
    </row>
    <row r="10" spans="1:7">
      <c r="A10" s="750"/>
      <c r="B10" s="756" t="str">
        <f>IF(OR(ISBLANK(D10), ISBLANK(E10), ISBLANK(F10), ISBLANK(G10)), " ",
   IF(Eckdaten!$C$10="Gesamtkostenverfahren",
      IF(Eckdaten!$C$15="Deutsch", D10, E10),
      IF(Eckdaten!$C$10="Umsatzkostenverfahren",
         IF(Eckdaten!$C$15="Deutsch", F10, G10),
         "")))</f>
        <v>Other Income (loss)</v>
      </c>
      <c r="D10" s="757" t="s">
        <v>978</v>
      </c>
      <c r="E10" s="757" t="s">
        <v>979</v>
      </c>
      <c r="F10" s="757" t="s">
        <v>978</v>
      </c>
      <c r="G10" s="757" t="s">
        <v>979</v>
      </c>
    </row>
    <row r="11" spans="1:7">
      <c r="A11" s="750"/>
      <c r="B11" s="756" t="str">
        <f>IF(OR(ISBLANK(D11), ISBLANK(E11), ISBLANK(F11), ISBLANK(G11)), " ",
   IF(Eckdaten!$C$10="Gesamtkostenverfahren",
      IF(Eckdaten!$C$15="Deutsch", D11, E11),
      IF(Eckdaten!$C$10="Umsatzkostenverfahren",
         IF(Eckdaten!$C$15="Deutsch", F11, G11),
         "")))</f>
        <v>Change in Inventory</v>
      </c>
      <c r="D11" s="758" t="s">
        <v>980</v>
      </c>
      <c r="E11" s="758" t="s">
        <v>981</v>
      </c>
      <c r="F11" s="758" t="str">
        <f>" "</f>
        <v xml:space="preserve"> </v>
      </c>
      <c r="G11" s="758" t="str">
        <f>" "</f>
        <v xml:space="preserve"> </v>
      </c>
    </row>
    <row r="12" spans="1:7">
      <c r="A12" s="750"/>
      <c r="B12" s="756" t="str">
        <f>IF(OR(ISBLANK(D12), ISBLANK(E12), ISBLANK(F12), ISBLANK(G12)), " ",
   IF(Eckdaten!$C$10="Gesamtkostenverfahren",
      IF(Eckdaten!$C$15="Deutsch", D12, E12),
      IF(Eckdaten!$C$10="Umsatzkostenverfahren",
         IF(Eckdaten!$C$15="Deutsch", F12, G12),
         "")))</f>
        <v>Adjustments (Total Turnover)</v>
      </c>
      <c r="D12" s="759" t="s">
        <v>982</v>
      </c>
      <c r="E12" s="759" t="s">
        <v>983</v>
      </c>
      <c r="F12" s="759" t="s">
        <v>982</v>
      </c>
      <c r="G12" s="759" t="s">
        <v>983</v>
      </c>
    </row>
    <row r="13" spans="1:7">
      <c r="A13" s="750"/>
      <c r="B13" s="756" t="str">
        <f>IF(OR(ISBLANK(D13), ISBLANK(E13), ISBLANK(F13), ISBLANK(G13)), " ",
   IF(Eckdaten!$C$10="Gesamtkostenverfahren",
      IF(Eckdaten!$C$15="Deutsch", D13, E13),
      IF(Eckdaten!$C$10="Umsatzkostenverfahren",
         IF(Eckdaten!$C$15="Deutsch", F13, G13),
         "")))</f>
        <v xml:space="preserve"> </v>
      </c>
      <c r="D13" s="760"/>
      <c r="E13" s="760"/>
      <c r="F13" s="760"/>
      <c r="G13" s="760"/>
    </row>
    <row r="14" spans="1:7">
      <c r="A14" s="750"/>
      <c r="B14" s="756" t="str">
        <f>IF(OR(ISBLANK(D14), ISBLANK(E14), ISBLANK(F14), ISBLANK(G14)), " ",
   IF(Eckdaten!$C$10="Gesamtkostenverfahren",
      IF(Eckdaten!$C$15="Deutsch", D14, E14),
      IF(Eckdaten!$C$10="Umsatzkostenverfahren",
         IF(Eckdaten!$C$15="Deutsch", F14, G14),
         "")))</f>
        <v>Total Turnover (adjusted)</v>
      </c>
      <c r="D14" s="760" t="s">
        <v>984</v>
      </c>
      <c r="E14" s="760" t="s">
        <v>985</v>
      </c>
      <c r="F14" s="760" t="s">
        <v>984</v>
      </c>
      <c r="G14" s="760" t="s">
        <v>985</v>
      </c>
    </row>
    <row r="15" spans="1:7">
      <c r="A15" s="750"/>
      <c r="B15" s="756" t="str">
        <f>IF(OR(ISBLANK(D15), ISBLANK(E15), ISBLANK(F15), ISBLANK(G15)), " ",
   IF(Eckdaten!$C$10="Gesamtkostenverfahren",
      IF(Eckdaten!$C$15="Deutsch", D15, E15),
      IF(Eckdaten!$C$10="Umsatzkostenverfahren",
         IF(Eckdaten!$C$15="Deutsch", F15, G15),
         "")))</f>
        <v>Total Turnover (reported)</v>
      </c>
      <c r="D15" s="761" t="s">
        <v>986</v>
      </c>
      <c r="E15" s="761" t="s">
        <v>987</v>
      </c>
      <c r="F15" s="761" t="s">
        <v>986</v>
      </c>
      <c r="G15" s="761" t="s">
        <v>987</v>
      </c>
    </row>
    <row r="16" spans="1:7">
      <c r="A16" s="750"/>
      <c r="B16" s="756" t="str">
        <f>IF(OR(ISBLANK(D16), ISBLANK(E16), ISBLANK(F16), ISBLANK(G16)), " ",
   IF(Eckdaten!$C$10="Gesamtkostenverfahren",
      IF(Eckdaten!$C$15="Deutsch", D16, E16),
      IF(Eckdaten!$C$10="Umsatzkostenverfahren",
         IF(Eckdaten!$C$15="Deutsch", F16, G16),
         "")))</f>
        <v>Total Turnover Growth</v>
      </c>
      <c r="D16" s="762" t="str">
        <f>"Wachstum der "&amp;D15</f>
        <v>Wachstum der Gesamtleistung (reported)</v>
      </c>
      <c r="E16" s="762" t="s">
        <v>988</v>
      </c>
      <c r="F16" s="762" t="str">
        <f>"Wachstum der "&amp;F15</f>
        <v>Wachstum der Gesamtleistung (reported)</v>
      </c>
      <c r="G16" s="762" t="s">
        <v>988</v>
      </c>
    </row>
    <row r="17" spans="1:7">
      <c r="A17" s="750"/>
      <c r="B17" s="756" t="str">
        <f>IF(OR(ISBLANK(D17), ISBLANK(E17), ISBLANK(F17), ISBLANK(G17)), " ",
   IF(Eckdaten!$C$10="Gesamtkostenverfahren",
      IF(Eckdaten!$C$15="Deutsch", D17, E17),
      IF(Eckdaten!$C$10="Umsatzkostenverfahren",
         IF(Eckdaten!$C$15="Deutsch", F17, G17),
         "")))</f>
        <v xml:space="preserve"> </v>
      </c>
      <c r="D17" s="760"/>
      <c r="E17" s="760"/>
      <c r="F17" s="760"/>
      <c r="G17" s="760"/>
    </row>
    <row r="18" spans="1:7">
      <c r="A18" s="750"/>
      <c r="B18" s="756" t="str">
        <f>IF(OR(ISBLANK(D18), ISBLANK(E18), ISBLANK(F18), ISBLANK(G18)), " ",
   IF(Eckdaten!$C$10="Gesamtkostenverfahren",
      IF(Eckdaten!$C$15="Deutsch", D18, E18),
      IF(Eckdaten!$C$10="Umsatzkostenverfahren",
         IF(Eckdaten!$C$15="Deutsch", F18, G18),
         "")))</f>
        <v>Cost of Material</v>
      </c>
      <c r="D18" s="757" t="s">
        <v>989</v>
      </c>
      <c r="E18" s="757" t="s">
        <v>990</v>
      </c>
      <c r="F18" s="757" t="s">
        <v>991</v>
      </c>
      <c r="G18" s="757" t="s">
        <v>992</v>
      </c>
    </row>
    <row r="19" spans="1:7">
      <c r="A19" s="750"/>
      <c r="B19" s="756" t="str">
        <f>IF(OR(ISBLANK(D19), ISBLANK(E19), ISBLANK(F19), ISBLANK(G19)), " ",
   IF(Eckdaten!$C$10="Gesamtkostenverfahren",
      IF(Eckdaten!$C$15="Deutsch", D19, E19),
      IF(Eckdaten!$C$10="Umsatzkostenverfahren",
         IF(Eckdaten!$C$15="Deutsch", F19, G19),
         "")))</f>
        <v>Cost of Material</v>
      </c>
      <c r="D19" s="759" t="str">
        <f>D18</f>
        <v>Materialaufwand</v>
      </c>
      <c r="E19" s="759" t="s">
        <v>990</v>
      </c>
      <c r="F19" s="759" t="str">
        <f>F18</f>
        <v>Umsatzkosten</v>
      </c>
      <c r="G19" s="759" t="s">
        <v>992</v>
      </c>
    </row>
    <row r="20" spans="1:7">
      <c r="A20" s="750"/>
      <c r="B20" s="756" t="str">
        <f>IF(OR(ISBLANK(D20), ISBLANK(E20), ISBLANK(F20), ISBLANK(G20)), " ",
   IF(Eckdaten!$C$10="Gesamtkostenverfahren",
      IF(Eckdaten!$C$15="Deutsch", D20, E20),
      IF(Eckdaten!$C$10="Umsatzkostenverfahren",
         IF(Eckdaten!$C$15="Deutsch", F20, G20),
         "")))</f>
        <v>a) Cost of raw materials, consumables &amp; supplies &amp; purchased goods</v>
      </c>
      <c r="D20" s="763" t="s">
        <v>993</v>
      </c>
      <c r="E20" s="763" t="s">
        <v>994</v>
      </c>
      <c r="F20" s="763" t="s">
        <v>995</v>
      </c>
      <c r="G20" s="763" t="s">
        <v>996</v>
      </c>
    </row>
    <row r="21" spans="1:7">
      <c r="A21" s="750"/>
      <c r="B21" s="756" t="str">
        <f>IF(OR(ISBLANK(D21), ISBLANK(E21), ISBLANK(F21), ISBLANK(G21)), " ",
   IF(Eckdaten!$C$10="Gesamtkostenverfahren",
      IF(Eckdaten!$C$15="Deutsch", D21, E21),
      IF(Eckdaten!$C$10="Umsatzkostenverfahren",
         IF(Eckdaten!$C$15="Deutsch", F21, G21),
         "")))</f>
        <v>b) Expenses for purchased services</v>
      </c>
      <c r="D21" s="763" t="s">
        <v>997</v>
      </c>
      <c r="E21" s="763" t="s">
        <v>998</v>
      </c>
      <c r="F21" s="763" t="s">
        <v>999</v>
      </c>
      <c r="G21" s="763" t="s">
        <v>1000</v>
      </c>
    </row>
    <row r="22" spans="1:7">
      <c r="A22" s="750"/>
      <c r="B22" s="756" t="str">
        <f>IF(OR(ISBLANK(D22), ISBLANK(E22), ISBLANK(F22), ISBLANK(G22)), " ",
   IF(Eckdaten!$C$10="Gesamtkostenverfahren",
      IF(Eckdaten!$C$15="Deutsch", D22, E22),
      IF(Eckdaten!$C$10="Umsatzkostenverfahren",
         IF(Eckdaten!$C$15="Deutsch", F22, G22),
         "")))</f>
        <v>Adjustments (Cost of Material)</v>
      </c>
      <c r="D22" s="764" t="s">
        <v>1001</v>
      </c>
      <c r="E22" s="764" t="s">
        <v>1002</v>
      </c>
      <c r="F22" s="764" t="s">
        <v>1003</v>
      </c>
      <c r="G22" s="764" t="s">
        <v>1004</v>
      </c>
    </row>
    <row r="23" spans="1:7">
      <c r="A23" s="750"/>
      <c r="B23" s="756" t="str">
        <f>IF(OR(ISBLANK(D23), ISBLANK(E23), ISBLANK(F23), ISBLANK(G23)), " ",
   IF(Eckdaten!$C$10="Gesamtkostenverfahren",
      IF(Eckdaten!$C$15="Deutsch", D23, E23),
      IF(Eckdaten!$C$10="Umsatzkostenverfahren",
         IF(Eckdaten!$C$15="Deutsch", F23, G23),
         "")))</f>
        <v xml:space="preserve"> </v>
      </c>
      <c r="D23" s="760"/>
      <c r="E23" s="760"/>
      <c r="F23" s="760"/>
      <c r="G23" s="760"/>
    </row>
    <row r="24" spans="1:7">
      <c r="A24" s="750"/>
      <c r="B24" s="756" t="str">
        <f>IF(OR(ISBLANK(D24), ISBLANK(E24), ISBLANK(F24), ISBLANK(G24)), " ",
   IF(Eckdaten!$C$10="Gesamtkostenverfahren",
      IF(Eckdaten!$C$15="Deutsch", D24, E24),
      IF(Eckdaten!$C$10="Umsatzkostenverfahren",
         IF(Eckdaten!$C$15="Deutsch", F24, G24),
         "")))</f>
        <v>Gross Profit (adjusted)</v>
      </c>
      <c r="D24" s="761" t="s">
        <v>1005</v>
      </c>
      <c r="E24" s="761" t="s">
        <v>1006</v>
      </c>
      <c r="F24" s="761" t="s">
        <v>1007</v>
      </c>
      <c r="G24" s="761" t="s">
        <v>1008</v>
      </c>
    </row>
    <row r="25" spans="1:7">
      <c r="A25" s="750"/>
      <c r="B25" s="756" t="str">
        <f>IF(OR(ISBLANK(D25), ISBLANK(E25), ISBLANK(F25), ISBLANK(G25)), " ",
   IF(Eckdaten!$C$10="Gesamtkostenverfahren",
      IF(Eckdaten!$C$15="Deutsch", D25, E25),
      IF(Eckdaten!$C$10="Umsatzkostenverfahren",
         IF(Eckdaten!$C$15="Deutsch", F25, G25),
         "")))</f>
        <v>Gross Profit Margin</v>
      </c>
      <c r="D25" s="762" t="str">
        <f>D24&amp;"-Marge"</f>
        <v>Rohergebnis (bereinigt)-Marge</v>
      </c>
      <c r="E25" s="762" t="s">
        <v>1009</v>
      </c>
      <c r="F25" s="762" t="str">
        <f>F24&amp;"-Marge"</f>
        <v>Bruttoergebnis vom Umsatz (bereinigt)-Marge</v>
      </c>
      <c r="G25" s="762" t="s">
        <v>1010</v>
      </c>
    </row>
    <row r="26" spans="1:7">
      <c r="A26" s="750"/>
      <c r="B26" s="756" t="str">
        <f>IF(OR(ISBLANK(D26), ISBLANK(E26), ISBLANK(F26), ISBLANK(G26)), " ",
   IF(Eckdaten!$C$10="Gesamtkostenverfahren",
      IF(Eckdaten!$C$15="Deutsch", D26, E26),
      IF(Eckdaten!$C$10="Umsatzkostenverfahren",
         IF(Eckdaten!$C$15="Deutsch", F26, G26),
         "")))</f>
        <v>Gross Profit (reported)</v>
      </c>
      <c r="D26" s="761" t="s">
        <v>1011</v>
      </c>
      <c r="E26" s="761" t="s">
        <v>1012</v>
      </c>
      <c r="F26" s="761" t="s">
        <v>1013</v>
      </c>
      <c r="G26" s="761" t="s">
        <v>1014</v>
      </c>
    </row>
    <row r="27" spans="1:7">
      <c r="A27" s="750"/>
      <c r="B27" s="756" t="str">
        <f>IF(OR(ISBLANK(D27), ISBLANK(E27), ISBLANK(F27), ISBLANK(G27)), " ",
   IF(Eckdaten!$C$10="Gesamtkostenverfahren",
      IF(Eckdaten!$C$15="Deutsch", D27, E27),
      IF(Eckdaten!$C$10="Umsatzkostenverfahren",
         IF(Eckdaten!$C$15="Deutsch", F27, G27),
         "")))</f>
        <v>Personnel Expenses</v>
      </c>
      <c r="D27" s="757" t="s">
        <v>1015</v>
      </c>
      <c r="E27" s="757" t="s">
        <v>1016</v>
      </c>
      <c r="F27" s="757" t="s">
        <v>1017</v>
      </c>
      <c r="G27" s="757" t="s">
        <v>1018</v>
      </c>
    </row>
    <row r="28" spans="1:7">
      <c r="A28" s="750"/>
      <c r="B28" s="756" t="str">
        <f>IF(OR(ISBLANK(D28), ISBLANK(E28), ISBLANK(F28), ISBLANK(G28)), " ",
   IF(Eckdaten!$C$10="Gesamtkostenverfahren",
      IF(Eckdaten!$C$15="Deutsch", D28, E28),
      IF(Eckdaten!$C$10="Umsatzkostenverfahren",
         IF(Eckdaten!$C$15="Deutsch", F28, G28),
         "")))</f>
        <v>Personnel Expenses</v>
      </c>
      <c r="D28" s="759" t="str">
        <f>D27</f>
        <v>Personalaufwand</v>
      </c>
      <c r="E28" s="759" t="s">
        <v>1016</v>
      </c>
      <c r="F28" s="759" t="str">
        <f>F27</f>
        <v>Vertriebskosten &amp; allgemeine Verwaltungskosten</v>
      </c>
      <c r="G28" s="759" t="s">
        <v>1018</v>
      </c>
    </row>
    <row r="29" spans="1:7">
      <c r="A29" s="750"/>
      <c r="B29" s="756" t="str">
        <f>IF(OR(ISBLANK(D29), ISBLANK(E29), ISBLANK(F29), ISBLANK(G29)), " ",
   IF(Eckdaten!$C$10="Gesamtkostenverfahren",
      IF(Eckdaten!$C$15="Deutsch", D29, E29),
      IF(Eckdaten!$C$10="Umsatzkostenverfahren",
         IF(Eckdaten!$C$15="Deutsch", F29, G29),
         "")))</f>
        <v>a) Wages and Salaries</v>
      </c>
      <c r="D29" s="763" t="s">
        <v>1019</v>
      </c>
      <c r="E29" s="763" t="s">
        <v>1020</v>
      </c>
      <c r="F29" s="763" t="s">
        <v>1021</v>
      </c>
      <c r="G29" s="763" t="s">
        <v>1022</v>
      </c>
    </row>
    <row r="30" spans="1:7">
      <c r="A30" s="750"/>
      <c r="B30" s="756" t="str">
        <f>IF(OR(ISBLANK(D30), ISBLANK(E30), ISBLANK(F30), ISBLANK(G30)), " ",
   IF(Eckdaten!$C$10="Gesamtkostenverfahren",
      IF(Eckdaten!$C$15="Deutsch", D30, E30),
      IF(Eckdaten!$C$10="Umsatzkostenverfahren",
         IF(Eckdaten!$C$15="Deutsch", F30, G30),
         "")))</f>
        <v>b) Social security contributions and pension costs</v>
      </c>
      <c r="D30" s="765" t="s">
        <v>1023</v>
      </c>
      <c r="E30" s="765" t="s">
        <v>1024</v>
      </c>
      <c r="F30" s="765" t="s">
        <v>1025</v>
      </c>
      <c r="G30" s="765" t="s">
        <v>1026</v>
      </c>
    </row>
    <row r="31" spans="1:7">
      <c r="A31" s="750"/>
      <c r="B31" s="756" t="str">
        <f>IF(OR(ISBLANK(D31), ISBLANK(E31), ISBLANK(F31), ISBLANK(G31)), " ",
   IF(Eckdaten!$C$10="Gesamtkostenverfahren",
      IF(Eckdaten!$C$15="Deutsch", D31, E31),
      IF(Eckdaten!$C$10="Umsatzkostenverfahren",
         IF(Eckdaten!$C$15="Deutsch", F31, G31),
         "")))</f>
        <v>Adjustments (Personnel Expenses)</v>
      </c>
      <c r="D31" s="759" t="s">
        <v>1027</v>
      </c>
      <c r="E31" s="759" t="s">
        <v>1028</v>
      </c>
      <c r="F31" s="759" t="s">
        <v>1029</v>
      </c>
      <c r="G31" s="759" t="s">
        <v>1030</v>
      </c>
    </row>
    <row r="32" spans="1:7">
      <c r="A32" s="750"/>
      <c r="B32" s="756" t="str">
        <f>IF(OR(ISBLANK(D32), ISBLANK(E32)), "", IF(Eckdaten!$C$15="Deutsch", D32, E32))</f>
        <v/>
      </c>
      <c r="D32" s="757"/>
      <c r="E32" s="757"/>
      <c r="F32" s="757"/>
      <c r="G32" s="757"/>
    </row>
    <row r="33" spans="1:7">
      <c r="A33" s="750"/>
      <c r="B33" s="756" t="str">
        <f>IF(OR(ISBLANK(D33), ISBLANK(E33)), "", IF(Eckdaten!$C$15="Deutsch", D33, E33))</f>
        <v>Other Operating Income</v>
      </c>
      <c r="D33" s="757" t="s">
        <v>1031</v>
      </c>
      <c r="E33" s="757" t="s">
        <v>1032</v>
      </c>
      <c r="F33" s="757" t="s">
        <v>1031</v>
      </c>
      <c r="G33" s="757" t="s">
        <v>1032</v>
      </c>
    </row>
    <row r="34" spans="1:7">
      <c r="A34" s="750"/>
      <c r="B34" s="756" t="str">
        <f>IF(OR(ISBLANK(D34), ISBLANK(E34)), "", IF(Eckdaten!$C$15="Deutsch", D34, E34))</f>
        <v>Other Operating Income</v>
      </c>
      <c r="D34" s="766" t="str">
        <f>D33</f>
        <v>Sonstige betriebliche Erträge</v>
      </c>
      <c r="E34" s="766" t="s">
        <v>1032</v>
      </c>
      <c r="F34" s="766" t="str">
        <f>F33</f>
        <v>Sonstige betriebliche Erträge</v>
      </c>
      <c r="G34" s="766" t="s">
        <v>1032</v>
      </c>
    </row>
    <row r="35" spans="1:7">
      <c r="A35" s="750"/>
      <c r="B35" s="756" t="str">
        <f>IF(OR(ISBLANK(D35), ISBLANK(E35)), "", IF(Eckdaten!$C$15="Deutsch", D35, E35))</f>
        <v>Other Operating Income</v>
      </c>
      <c r="D35" s="759" t="str">
        <f>D34</f>
        <v>Sonstige betriebliche Erträge</v>
      </c>
      <c r="E35" s="759" t="s">
        <v>1032</v>
      </c>
      <c r="F35" s="759" t="str">
        <f>F34</f>
        <v>Sonstige betriebliche Erträge</v>
      </c>
      <c r="G35" s="759" t="s">
        <v>1032</v>
      </c>
    </row>
    <row r="36" spans="1:7">
      <c r="A36" s="750"/>
      <c r="B36" s="756" t="str">
        <f>IF(OR(ISBLANK(D36), ISBLANK(E36)), "", IF(Eckdaten!$C$15="Deutsch", D36, E36))</f>
        <v>Adjustments (Other Operating Income)</v>
      </c>
      <c r="D36" s="764" t="s">
        <v>1033</v>
      </c>
      <c r="E36" s="764" t="s">
        <v>1034</v>
      </c>
      <c r="F36" s="764" t="s">
        <v>1033</v>
      </c>
      <c r="G36" s="764" t="s">
        <v>1034</v>
      </c>
    </row>
    <row r="37" spans="1:7">
      <c r="A37" s="750"/>
      <c r="B37" s="756" t="str">
        <f>IF(OR(ISBLANK(D37), ISBLANK(E37)), "", IF(Eckdaten!$C$15="Deutsch", D37, E37))</f>
        <v/>
      </c>
      <c r="D37" s="760"/>
      <c r="E37" s="760"/>
      <c r="F37" s="760"/>
      <c r="G37" s="760"/>
    </row>
    <row r="38" spans="1:7">
      <c r="A38" s="750"/>
      <c r="B38" s="756" t="str">
        <f>IF(OR(ISBLANK(D38), ISBLANK(E38)), "", IF(Eckdaten!$C$15="Deutsch", D38, E38))</f>
        <v>Other Operating Expenses</v>
      </c>
      <c r="D38" s="758" t="s">
        <v>1035</v>
      </c>
      <c r="E38" s="758" t="s">
        <v>1036</v>
      </c>
      <c r="F38" s="758" t="s">
        <v>1035</v>
      </c>
      <c r="G38" s="758" t="s">
        <v>1036</v>
      </c>
    </row>
    <row r="39" spans="1:7">
      <c r="A39" s="750"/>
      <c r="B39" s="756" t="str">
        <f>IF(OR(ISBLANK(D39), ISBLANK(E39)), "", IF(Eckdaten!$C$15="Deutsch", D39, E39))</f>
        <v>Other Operating Expenses</v>
      </c>
      <c r="D39" s="757" t="s">
        <v>1035</v>
      </c>
      <c r="E39" s="757" t="s">
        <v>1036</v>
      </c>
      <c r="F39" s="757" t="s">
        <v>1035</v>
      </c>
      <c r="G39" s="757" t="s">
        <v>1036</v>
      </c>
    </row>
    <row r="40" spans="1:7">
      <c r="A40" s="750"/>
      <c r="B40" s="756" t="str">
        <f>IF(OR(ISBLANK(D40), ISBLANK(E40)), "", IF(Eckdaten!$C$15="Deutsch", D40, E40))</f>
        <v>Other Operating Expenses</v>
      </c>
      <c r="D40" s="767" t="str">
        <f>D38</f>
        <v>Sonstige betriebliche Aufwendungen</v>
      </c>
      <c r="E40" s="767" t="s">
        <v>1036</v>
      </c>
      <c r="F40" s="767" t="str">
        <f>F38</f>
        <v>Sonstige betriebliche Aufwendungen</v>
      </c>
      <c r="G40" s="767" t="s">
        <v>1036</v>
      </c>
    </row>
    <row r="41" spans="1:7">
      <c r="A41" s="750"/>
      <c r="B41" s="756" t="str">
        <f>IF(OR(ISBLANK(D41), ISBLANK(E41)), "", IF(Eckdaten!$C$15="Deutsch", D41, E41))</f>
        <v>Adjustments (Other Operating Expenses)</v>
      </c>
      <c r="D41" s="759" t="s">
        <v>1037</v>
      </c>
      <c r="E41" s="759" t="s">
        <v>1038</v>
      </c>
      <c r="F41" s="759" t="s">
        <v>1037</v>
      </c>
      <c r="G41" s="759" t="s">
        <v>1038</v>
      </c>
    </row>
    <row r="42" spans="1:7">
      <c r="A42" s="750"/>
      <c r="B42" s="756" t="str">
        <f>IF(OR(ISBLANK(D42), ISBLANK(E42)), "", IF(Eckdaten!$C$15="Deutsch", D42, E42))</f>
        <v/>
      </c>
      <c r="D42" s="762"/>
      <c r="E42" s="762"/>
      <c r="F42" s="762"/>
      <c r="G42" s="762"/>
    </row>
    <row r="43" spans="1:7">
      <c r="A43" s="750"/>
      <c r="B43" s="756" t="str">
        <f>IF(OR(ISBLANK(D43), ISBLANK(E43)), "", IF(Eckdaten!$C$15="Deutsch", D43, E43))</f>
        <v>EBITDA (adjusted)</v>
      </c>
      <c r="D43" s="761" t="s">
        <v>1039</v>
      </c>
      <c r="E43" s="761" t="s">
        <v>1040</v>
      </c>
      <c r="F43" s="761" t="s">
        <v>1039</v>
      </c>
      <c r="G43" s="761" t="s">
        <v>1040</v>
      </c>
    </row>
    <row r="44" spans="1:7">
      <c r="A44" s="750"/>
      <c r="B44" s="756" t="str">
        <f>IF(OR(ISBLANK(D44), ISBLANK(E44)), "", IF(Eckdaten!$C$15="Deutsch", D44, E44))</f>
        <v>EBITDA (adjusted) Margin</v>
      </c>
      <c r="D44" s="762" t="s">
        <v>1041</v>
      </c>
      <c r="E44" s="762" t="s">
        <v>1042</v>
      </c>
      <c r="F44" s="762" t="s">
        <v>1041</v>
      </c>
      <c r="G44" s="762" t="s">
        <v>1042</v>
      </c>
    </row>
    <row r="45" spans="1:7">
      <c r="A45" s="750"/>
      <c r="B45" s="756" t="str">
        <f>IF(OR(ISBLANK(D45), ISBLANK(E45)), "", IF(Eckdaten!$C$15="Deutsch", D45, E45))</f>
        <v/>
      </c>
      <c r="D45" s="760"/>
      <c r="E45" s="760"/>
      <c r="F45" s="760"/>
      <c r="G45" s="760"/>
    </row>
    <row r="46" spans="1:7">
      <c r="A46" s="750"/>
      <c r="B46" s="756" t="str">
        <f>IF(OR(ISBLANK(D46), ISBLANK(E46)), "", IF(Eckdaten!$C$15="Deutsch", D46, E46))</f>
        <v>Depreciation and Amortization</v>
      </c>
      <c r="D46" s="757" t="s">
        <v>222</v>
      </c>
      <c r="E46" s="757" t="s">
        <v>1043</v>
      </c>
      <c r="F46" s="757" t="s">
        <v>222</v>
      </c>
      <c r="G46" s="757" t="s">
        <v>1043</v>
      </c>
    </row>
    <row r="47" spans="1:7">
      <c r="A47" s="750"/>
      <c r="B47" s="756" t="str">
        <f>IF(OR(ISBLANK(D47), ISBLANK(E47)), "", IF(Eckdaten!$C$15="Deutsch", D47, E47))</f>
        <v>Depreciation and Amortization</v>
      </c>
      <c r="D47" s="764" t="str">
        <f>D46</f>
        <v>Abschreibungen</v>
      </c>
      <c r="E47" s="764" t="s">
        <v>1043</v>
      </c>
      <c r="F47" s="764" t="str">
        <f>F46</f>
        <v>Abschreibungen</v>
      </c>
      <c r="G47" s="764" t="s">
        <v>1043</v>
      </c>
    </row>
    <row r="48" spans="1:7">
      <c r="A48" s="750"/>
      <c r="B48" s="756" t="str">
        <f>IF(OR(ISBLANK(D48), ISBLANK(E48)), "", IF(Eckdaten!$C$15="Deutsch", D48, E48))</f>
        <v>a) Intangibles</v>
      </c>
      <c r="D48" s="763" t="s">
        <v>1044</v>
      </c>
      <c r="E48" s="763" t="s">
        <v>1045</v>
      </c>
      <c r="F48" s="763" t="s">
        <v>1044</v>
      </c>
      <c r="G48" s="763" t="s">
        <v>1045</v>
      </c>
    </row>
    <row r="49" spans="1:7">
      <c r="A49" s="750"/>
      <c r="B49" s="756" t="str">
        <f>IF(OR(ISBLANK(D49), ISBLANK(E49)), "", IF(Eckdaten!$C$15="Deutsch", D49, E49))</f>
        <v>b) PP&amp;E/Current Assets</v>
      </c>
      <c r="D49" s="763" t="s">
        <v>1046</v>
      </c>
      <c r="E49" s="763" t="s">
        <v>1047</v>
      </c>
      <c r="F49" s="763" t="s">
        <v>1046</v>
      </c>
      <c r="G49" s="763" t="s">
        <v>1047</v>
      </c>
    </row>
    <row r="50" spans="1:7">
      <c r="A50" s="750"/>
      <c r="B50" s="756" t="str">
        <f>IF(OR(ISBLANK(D50), ISBLANK(E50)), "", IF(Eckdaten!$C$15="Deutsch", D50, E50))</f>
        <v>Adjustments (Depreciation and Amortization)</v>
      </c>
      <c r="D50" s="759" t="s">
        <v>1048</v>
      </c>
      <c r="E50" s="759" t="s">
        <v>1049</v>
      </c>
      <c r="F50" s="759" t="s">
        <v>1048</v>
      </c>
      <c r="G50" s="759" t="s">
        <v>1049</v>
      </c>
    </row>
    <row r="51" spans="1:7">
      <c r="A51" s="750"/>
      <c r="B51" s="756" t="str">
        <f>IF(OR(ISBLANK(D51), ISBLANK(E51)), "", IF(Eckdaten!$C$15="Deutsch", D51, E51))</f>
        <v/>
      </c>
      <c r="D51" s="760"/>
      <c r="E51" s="760"/>
      <c r="F51" s="760"/>
      <c r="G51" s="760"/>
    </row>
    <row r="52" spans="1:7">
      <c r="A52" s="750"/>
      <c r="B52" s="756" t="str">
        <f>IF(OR(ISBLANK(D52), ISBLANK(E52)), "", IF(Eckdaten!$C$15="Deutsch", D52, E52))</f>
        <v>EBIT (adjusted)</v>
      </c>
      <c r="D52" s="761" t="s">
        <v>1050</v>
      </c>
      <c r="E52" s="761" t="s">
        <v>1051</v>
      </c>
      <c r="F52" s="761" t="s">
        <v>1050</v>
      </c>
      <c r="G52" s="761" t="s">
        <v>1051</v>
      </c>
    </row>
    <row r="53" spans="1:7">
      <c r="A53" s="750"/>
      <c r="B53" s="756" t="str">
        <f>IF(OR(ISBLANK(D53), ISBLANK(E53)), "", IF(Eckdaten!$C$15="Deutsch", D53, E53))</f>
        <v>EBIT (adjusted) Margin</v>
      </c>
      <c r="D53" s="762" t="s">
        <v>1052</v>
      </c>
      <c r="E53" s="762" t="s">
        <v>1053</v>
      </c>
      <c r="F53" s="762" t="s">
        <v>1052</v>
      </c>
      <c r="G53" s="762" t="s">
        <v>1053</v>
      </c>
    </row>
    <row r="54" spans="1:7">
      <c r="A54" s="750"/>
      <c r="B54" s="756" t="str">
        <f>IF(OR(ISBLANK(D54), ISBLANK(E54)), "", IF(Eckdaten!$C$15="Deutsch", D54, E54))</f>
        <v/>
      </c>
      <c r="D54" s="768"/>
      <c r="E54" s="768"/>
      <c r="F54" s="768"/>
      <c r="G54" s="768"/>
    </row>
    <row r="55" spans="1:7">
      <c r="A55" s="750"/>
      <c r="B55" s="756" t="str">
        <f>IF(OR(ISBLANK(D55), ISBLANK(E55)), "", IF(Eckdaten!$C$15="Deutsch", D55, E55))</f>
        <v>Financial Result</v>
      </c>
      <c r="D55" s="757" t="s">
        <v>678</v>
      </c>
      <c r="E55" s="757" t="s">
        <v>1054</v>
      </c>
      <c r="F55" s="757" t="s">
        <v>678</v>
      </c>
      <c r="G55" s="757" t="s">
        <v>1054</v>
      </c>
    </row>
    <row r="56" spans="1:7">
      <c r="A56" s="750"/>
      <c r="B56" s="756" t="str">
        <f>IF(OR(ISBLANK(D56), ISBLANK(E56)), "", IF(Eckdaten!$C$15="Deutsch", D56, E56))</f>
        <v>Financial Result</v>
      </c>
      <c r="D56" s="764" t="str">
        <f>D55</f>
        <v>Finanzergebnis</v>
      </c>
      <c r="E56" s="764" t="s">
        <v>1054</v>
      </c>
      <c r="F56" s="764" t="str">
        <f>F55</f>
        <v>Finanzergebnis</v>
      </c>
      <c r="G56" s="764" t="s">
        <v>1054</v>
      </c>
    </row>
    <row r="57" spans="1:7">
      <c r="A57" s="750"/>
      <c r="B57" s="756" t="str">
        <f>IF(OR(ISBLANK(D57), ISBLANK(E57)), "", IF(Eckdaten!$C$15="Deutsch", D57, E57))</f>
        <v>Other Interest and similar Income</v>
      </c>
      <c r="D57" s="763" t="s">
        <v>1055</v>
      </c>
      <c r="E57" s="763" t="s">
        <v>1056</v>
      </c>
      <c r="F57" s="763" t="s">
        <v>1055</v>
      </c>
      <c r="G57" s="763" t="s">
        <v>1056</v>
      </c>
    </row>
    <row r="58" spans="1:7">
      <c r="A58" s="750"/>
      <c r="B58" s="756" t="str">
        <f>IF(OR(ISBLANK(D58), ISBLANK(E58)), "", IF(Eckdaten!$C$15="Deutsch", D58, E58))</f>
        <v>Interest and similar Expenses</v>
      </c>
      <c r="D58" s="765" t="s">
        <v>1057</v>
      </c>
      <c r="E58" s="765" t="s">
        <v>1058</v>
      </c>
      <c r="F58" s="765" t="s">
        <v>1057</v>
      </c>
      <c r="G58" s="765" t="s">
        <v>1058</v>
      </c>
    </row>
    <row r="59" spans="1:7">
      <c r="A59" s="750"/>
      <c r="B59" s="756" t="str">
        <f>IF(OR(ISBLANK(D59), ISBLANK(E59)), "", IF(Eckdaten!$C$15="Deutsch", D59, E59))</f>
        <v>Adjustments (Financial Result)</v>
      </c>
      <c r="D59" s="759" t="s">
        <v>1059</v>
      </c>
      <c r="E59" s="759" t="s">
        <v>1060</v>
      </c>
      <c r="F59" s="759" t="s">
        <v>1059</v>
      </c>
      <c r="G59" s="759" t="s">
        <v>1060</v>
      </c>
    </row>
    <row r="60" spans="1:7">
      <c r="A60" s="750"/>
      <c r="B60" s="756" t="str">
        <f>IF(OR(ISBLANK(D60), ISBLANK(E60)), "", IF(Eckdaten!$C$15="Deutsch", D60, E60))</f>
        <v/>
      </c>
      <c r="D60" s="757"/>
      <c r="E60" s="757"/>
      <c r="F60" s="757"/>
      <c r="G60" s="757"/>
    </row>
    <row r="61" spans="1:7">
      <c r="A61" s="750"/>
      <c r="B61" s="756" t="str">
        <f>IF(OR(ISBLANK(D61), ISBLANK(E61)), "", IF(Eckdaten!$C$15="Deutsch", D61, E61))</f>
        <v>Depreciation of current assets and amortisation of financial assets</v>
      </c>
      <c r="D61" s="757" t="s">
        <v>1061</v>
      </c>
      <c r="E61" s="757" t="s">
        <v>1062</v>
      </c>
      <c r="F61" s="757" t="s">
        <v>1061</v>
      </c>
      <c r="G61" s="757" t="s">
        <v>1062</v>
      </c>
    </row>
    <row r="62" spans="1:7">
      <c r="A62" s="750"/>
      <c r="B62" s="756" t="str">
        <f>IF(OR(ISBLANK(D62), ISBLANK(E62)), "", IF(Eckdaten!$C$15="Deutsch", D62, E62))</f>
        <v>Depreciation of current assets and amortisation of financial assets</v>
      </c>
      <c r="D62" s="764" t="s">
        <v>1061</v>
      </c>
      <c r="E62" s="764" t="s">
        <v>1062</v>
      </c>
      <c r="F62" s="764" t="s">
        <v>1061</v>
      </c>
      <c r="G62" s="764" t="s">
        <v>1062</v>
      </c>
    </row>
    <row r="63" spans="1:7">
      <c r="A63" s="750"/>
      <c r="B63" s="756" t="str">
        <f>IF(OR(ISBLANK(D63), ISBLANK(E63)), "", IF(Eckdaten!$C$15="Deutsch", D63, E63))</f>
        <v>Depreciation of current assets and amortisation of financial assets</v>
      </c>
      <c r="D63" s="757" t="s">
        <v>1061</v>
      </c>
      <c r="E63" s="757" t="s">
        <v>1062</v>
      </c>
      <c r="F63" s="757" t="s">
        <v>1061</v>
      </c>
      <c r="G63" s="757" t="s">
        <v>1062</v>
      </c>
    </row>
    <row r="64" spans="1:7">
      <c r="A64" s="750"/>
      <c r="B64" s="756" t="str">
        <f>IF(OR(ISBLANK(D64), ISBLANK(E64)), "", IF(Eckdaten!$C$15="Deutsch", D64, E64))</f>
        <v>Adjustments (Depreciation of current assets and amortisation of financial assets)</v>
      </c>
      <c r="D64" s="764" t="s">
        <v>1063</v>
      </c>
      <c r="E64" s="764" t="s">
        <v>1064</v>
      </c>
      <c r="F64" s="764" t="s">
        <v>1063</v>
      </c>
      <c r="G64" s="764" t="s">
        <v>1064</v>
      </c>
    </row>
    <row r="65" spans="1:7">
      <c r="A65" s="750"/>
      <c r="B65" s="756" t="str">
        <f>IF(OR(ISBLANK(D65), ISBLANK(E65)), "", IF(Eckdaten!$C$15="Deutsch", D65, E65))</f>
        <v/>
      </c>
      <c r="D65" s="757"/>
      <c r="E65" s="757"/>
      <c r="F65" s="757"/>
      <c r="G65" s="757"/>
    </row>
    <row r="66" spans="1:7">
      <c r="A66" s="750"/>
      <c r="B66" s="756" t="str">
        <f>IF(OR(ISBLANK(D66), ISBLANK(E66)), "", IF(Eckdaten!$C$15="Deutsch", D66, E66))</f>
        <v>Extraordinary Items</v>
      </c>
      <c r="D66" s="757" t="s">
        <v>1065</v>
      </c>
      <c r="E66" s="757" t="s">
        <v>1066</v>
      </c>
      <c r="F66" s="757" t="s">
        <v>1065</v>
      </c>
      <c r="G66" s="757" t="s">
        <v>1066</v>
      </c>
    </row>
    <row r="67" spans="1:7">
      <c r="A67" s="750"/>
      <c r="B67" s="756" t="str">
        <f>IF(OR(ISBLANK(D67), ISBLANK(E67)), "", IF(Eckdaten!$C$15="Deutsch", D67, E67))</f>
        <v>Extraordinary Items</v>
      </c>
      <c r="D67" s="766" t="str">
        <f>D66</f>
        <v>Außerordentliches Ergebnis</v>
      </c>
      <c r="E67" s="766" t="s">
        <v>1066</v>
      </c>
      <c r="F67" s="766" t="str">
        <f>F66</f>
        <v>Außerordentliches Ergebnis</v>
      </c>
      <c r="G67" s="766" t="s">
        <v>1066</v>
      </c>
    </row>
    <row r="68" spans="1:7">
      <c r="A68" s="750"/>
      <c r="B68" s="756" t="str">
        <f>IF(OR(ISBLANK(D68), ISBLANK(E68)), "", IF(Eckdaten!$C$15="Deutsch", D68, E68))</f>
        <v>Extraordinary Items</v>
      </c>
      <c r="D68" s="759" t="str">
        <f>D66</f>
        <v>Außerordentliches Ergebnis</v>
      </c>
      <c r="E68" s="759" t="s">
        <v>1066</v>
      </c>
      <c r="F68" s="759" t="str">
        <f>F66</f>
        <v>Außerordentliches Ergebnis</v>
      </c>
      <c r="G68" s="759" t="s">
        <v>1066</v>
      </c>
    </row>
    <row r="69" spans="1:7">
      <c r="A69" s="750"/>
      <c r="B69" s="756" t="str">
        <f>IF(OR(ISBLANK(D69), ISBLANK(E69)), "", IF(Eckdaten!$C$15="Deutsch", D69, E69))</f>
        <v>Adjustments (Extraordinary Items)</v>
      </c>
      <c r="D69" s="764" t="s">
        <v>1067</v>
      </c>
      <c r="E69" s="764" t="s">
        <v>1068</v>
      </c>
      <c r="F69" s="764" t="s">
        <v>1067</v>
      </c>
      <c r="G69" s="764" t="s">
        <v>1068</v>
      </c>
    </row>
    <row r="70" spans="1:7">
      <c r="A70" s="750"/>
      <c r="B70" s="756" t="str">
        <f>IF(OR(ISBLANK(D70), ISBLANK(E70)), "", IF(Eckdaten!$C$15="Deutsch", D70, E70))</f>
        <v/>
      </c>
      <c r="D70" s="759"/>
      <c r="E70" s="759"/>
      <c r="F70" s="759"/>
      <c r="G70" s="759"/>
    </row>
    <row r="71" spans="1:7">
      <c r="A71" s="750"/>
      <c r="B71" s="756" t="str">
        <f>IF(OR(ISBLANK(D71), ISBLANK(E71)), "", IF(Eckdaten!$C$15="Deutsch", D71, E71))</f>
        <v>EBT (adjusted)</v>
      </c>
      <c r="D71" s="761" t="s">
        <v>1069</v>
      </c>
      <c r="E71" s="761" t="s">
        <v>1070</v>
      </c>
      <c r="F71" s="761" t="s">
        <v>1069</v>
      </c>
      <c r="G71" s="761" t="s">
        <v>1070</v>
      </c>
    </row>
    <row r="72" spans="1:7">
      <c r="B72" s="756" t="str">
        <f>IF(OR(ISBLANK(D72), ISBLANK(E72)), "", IF(Eckdaten!$C$15="Deutsch", D72, E72))</f>
        <v>EBT (adjusted)</v>
      </c>
      <c r="D72" s="762" t="str">
        <f>D71</f>
        <v>EBT (bereinigt)</v>
      </c>
      <c r="E72" s="762" t="s">
        <v>1070</v>
      </c>
      <c r="F72" s="762" t="str">
        <f>F71</f>
        <v>EBT (bereinigt)</v>
      </c>
      <c r="G72" s="762" t="s">
        <v>1070</v>
      </c>
    </row>
    <row r="73" spans="1:7">
      <c r="B73" s="756" t="str">
        <f>IF(OR(ISBLANK(D73), ISBLANK(E73)), "", IF(Eckdaten!$C$15="Deutsch", D73, E73))</f>
        <v/>
      </c>
      <c r="D73" s="760"/>
      <c r="E73" s="760"/>
      <c r="F73" s="760"/>
      <c r="G73" s="760"/>
    </row>
    <row r="74" spans="1:7">
      <c r="B74" s="756" t="str">
        <f>IF(OR(ISBLANK(D74), ISBLANK(E74)), "", IF(Eckdaten!$C$15="Deutsch", D74, E74))</f>
        <v>Taxes on income and earnings + other taxes</v>
      </c>
      <c r="D74" s="758" t="s">
        <v>1071</v>
      </c>
      <c r="E74" s="758" t="s">
        <v>1072</v>
      </c>
      <c r="F74" s="758" t="s">
        <v>1071</v>
      </c>
      <c r="G74" s="758" t="s">
        <v>1072</v>
      </c>
    </row>
    <row r="75" spans="1:7">
      <c r="B75" s="756" t="str">
        <f>IF(OR(ISBLANK(D75), ISBLANK(E75)), "", IF(Eckdaten!$C$15="Deutsch", D75, E75))</f>
        <v>Taxes on income and earnings + other taxes</v>
      </c>
      <c r="D75" s="759" t="str">
        <f>D74</f>
        <v>Steuern vom Einkommen und Ertrag + sonstige Steuern</v>
      </c>
      <c r="E75" s="759" t="s">
        <v>1072</v>
      </c>
      <c r="F75" s="759" t="str">
        <f>F74</f>
        <v>Steuern vom Einkommen und Ertrag + sonstige Steuern</v>
      </c>
      <c r="G75" s="759" t="s">
        <v>1072</v>
      </c>
    </row>
    <row r="76" spans="1:7">
      <c r="B76" s="756" t="str">
        <f>IF(OR(ISBLANK(D76), ISBLANK(E76)), "", IF(Eckdaten!$C$15="Deutsch", D76, E76))</f>
        <v xml:space="preserve">Taxes on Income and Earnings  </v>
      </c>
      <c r="D76" s="763" t="s">
        <v>1073</v>
      </c>
      <c r="E76" s="763" t="s">
        <v>1074</v>
      </c>
      <c r="F76" s="763" t="s">
        <v>1073</v>
      </c>
      <c r="G76" s="763" t="s">
        <v>1074</v>
      </c>
    </row>
    <row r="77" spans="1:7">
      <c r="B77" s="756" t="str">
        <f>IF(OR(ISBLANK(D77), ISBLANK(E77)), "", IF(Eckdaten!$C$15="Deutsch", D77, E77))</f>
        <v>other taxes</v>
      </c>
      <c r="D77" s="765" t="s">
        <v>1075</v>
      </c>
      <c r="E77" s="765" t="s">
        <v>1076</v>
      </c>
      <c r="F77" s="765" t="s">
        <v>1075</v>
      </c>
      <c r="G77" s="765" t="s">
        <v>1076</v>
      </c>
    </row>
    <row r="78" spans="1:7">
      <c r="B78" s="756" t="str">
        <f>IF(OR(ISBLANK(D78), ISBLANK(E78)), "", IF(Eckdaten!$C$15="Deutsch", D78, E78))</f>
        <v>Adjustments (Taxes)</v>
      </c>
      <c r="D78" s="763" t="s">
        <v>1077</v>
      </c>
      <c r="E78" s="763" t="s">
        <v>1078</v>
      </c>
      <c r="F78" s="763" t="s">
        <v>1079</v>
      </c>
      <c r="G78" s="763" t="s">
        <v>1080</v>
      </c>
    </row>
    <row r="79" spans="1:7">
      <c r="B79" s="756" t="str">
        <f>IF(OR(ISBLANK(D79), ISBLANK(E79)), "", IF(Eckdaten!$C$15="Deutsch", D79, E79))</f>
        <v/>
      </c>
      <c r="D79" s="760"/>
      <c r="E79" s="760"/>
      <c r="F79" s="760"/>
      <c r="G79" s="760"/>
    </row>
    <row r="80" spans="1:7" ht="13.5" thickBot="1">
      <c r="B80" s="756" t="str">
        <f>IF(OR(ISBLANK(D80), ISBLANK(E80)), "", IF(Eckdaten!$C$15="Deutsch", D80, E80))</f>
        <v>Net Profit (loss) (adjusted)</v>
      </c>
      <c r="D80" s="769" t="s">
        <v>1081</v>
      </c>
      <c r="E80" s="769" t="s">
        <v>1082</v>
      </c>
      <c r="F80" s="769" t="s">
        <v>1081</v>
      </c>
      <c r="G80" s="769" t="s">
        <v>1082</v>
      </c>
    </row>
    <row r="81" spans="2:7" ht="13.5" thickTop="1">
      <c r="B81" s="756" t="str">
        <f>IF(OR(ISBLANK(D81), ISBLANK(E81)), "", IF(Eckdaten!$C$15="Deutsch", D81, E81))</f>
        <v>Return on Sales (adjusted)</v>
      </c>
      <c r="D81" s="762" t="s">
        <v>1083</v>
      </c>
      <c r="E81" s="762" t="s">
        <v>1084</v>
      </c>
      <c r="F81" s="762" t="s">
        <v>1083</v>
      </c>
      <c r="G81" s="762" t="s">
        <v>1084</v>
      </c>
    </row>
    <row r="82" spans="2:7">
      <c r="B82" s="756" t="str">
        <f>IF(OR(ISBLANK(D82), ISBLANK(E82)), "", IF(Eckdaten!$C$15="Deutsch", D82, E82))</f>
        <v/>
      </c>
      <c r="D82" s="762"/>
      <c r="E82" s="762"/>
      <c r="F82" s="762"/>
      <c r="G82" s="762"/>
    </row>
    <row r="83" spans="2:7">
      <c r="B83" s="756" t="str">
        <f>IF(OR(ISBLANK(D83), ISBLANK(E83)), "", IF(Eckdaten!$C$15="Deutsch", D83, E83))</f>
        <v>Assets</v>
      </c>
      <c r="D83" s="755" t="s">
        <v>19</v>
      </c>
      <c r="E83" s="755" t="s">
        <v>1085</v>
      </c>
      <c r="F83" s="755"/>
      <c r="G83" s="755"/>
    </row>
    <row r="84" spans="2:7">
      <c r="B84" s="756" t="str">
        <f>IF(OR(ISBLANK(D84), ISBLANK(E84)), "", IF(Eckdaten!$C$15="Deutsch", D84, E84))</f>
        <v>A. Fixed Assets</v>
      </c>
      <c r="D84" s="770" t="s">
        <v>1086</v>
      </c>
      <c r="E84" s="770" t="s">
        <v>1087</v>
      </c>
      <c r="F84" s="770"/>
      <c r="G84" s="770"/>
    </row>
    <row r="85" spans="2:7">
      <c r="B85" s="756" t="str">
        <f>IF(OR(ISBLANK(D85), ISBLANK(E85)), "", IF(Eckdaten!$C$15="Deutsch", D85, E85))</f>
        <v/>
      </c>
      <c r="D85" s="771"/>
      <c r="E85" s="771"/>
      <c r="F85" s="771"/>
      <c r="G85" s="771"/>
    </row>
    <row r="86" spans="2:7">
      <c r="B86" s="756" t="str">
        <f>IF(OR(ISBLANK(D86), ISBLANK(E86)), "", IF(Eckdaten!$C$15="Deutsch", D86, E86))</f>
        <v>I. Intangibles</v>
      </c>
      <c r="D86" s="772" t="s">
        <v>1088</v>
      </c>
      <c r="E86" s="772" t="s">
        <v>1089</v>
      </c>
      <c r="F86" s="772"/>
      <c r="G86" s="772"/>
    </row>
    <row r="87" spans="2:7">
      <c r="B87" s="756" t="str">
        <f>IF(OR(ISBLANK(D87), ISBLANK(E87)), "", IF(Eckdaten!$C$15="Deutsch", D87, E87))</f>
        <v>1. Self-created and acquired rights and licences</v>
      </c>
      <c r="D87" s="773" t="s">
        <v>1090</v>
      </c>
      <c r="E87" s="773" t="s">
        <v>1091</v>
      </c>
      <c r="F87" s="773"/>
      <c r="G87" s="773"/>
    </row>
    <row r="88" spans="2:7">
      <c r="B88" s="756" t="str">
        <f>IF(OR(ISBLANK(D88), ISBLANK(E88)), "", IF(Eckdaten!$C$15="Deutsch", D88, E88))</f>
        <v>2. Goodwill</v>
      </c>
      <c r="D88" s="773" t="s">
        <v>1092</v>
      </c>
      <c r="E88" s="773" t="s">
        <v>1093</v>
      </c>
      <c r="F88" s="773"/>
      <c r="G88" s="773"/>
    </row>
    <row r="89" spans="2:7">
      <c r="B89" s="756" t="str">
        <f>IF(OR(ISBLANK(D89), ISBLANK(E89)), "", IF(Eckdaten!$C$15="Deutsch", D89, E89))</f>
        <v>3. Prepaid Expenses</v>
      </c>
      <c r="D89" s="773" t="s">
        <v>1094</v>
      </c>
      <c r="E89" s="773" t="s">
        <v>1095</v>
      </c>
      <c r="F89" s="773"/>
      <c r="G89" s="773"/>
    </row>
    <row r="90" spans="2:7">
      <c r="B90" s="756" t="str">
        <f>IF(OR(ISBLANK(D90), ISBLANK(E90)), "", IF(Eckdaten!$C$15="Deutsch", D90, E90))</f>
        <v/>
      </c>
      <c r="D90" s="774"/>
      <c r="E90" s="774"/>
      <c r="F90" s="774"/>
      <c r="G90" s="774"/>
    </row>
    <row r="91" spans="2:7">
      <c r="B91" s="756" t="str">
        <f>IF(OR(ISBLANK(D91), ISBLANK(E91)), "", IF(Eckdaten!$C$15="Deutsch", D91, E91))</f>
        <v>II. PP&amp;E</v>
      </c>
      <c r="D91" s="772" t="s">
        <v>1096</v>
      </c>
      <c r="E91" s="772" t="s">
        <v>1097</v>
      </c>
      <c r="F91" s="772"/>
      <c r="G91" s="772"/>
    </row>
    <row r="92" spans="2:7">
      <c r="B92" s="756" t="str">
        <f>IF(OR(ISBLANK(D92), ISBLANK(E92)), "", IF(Eckdaten!$C$15="Deutsch", D92, E92))</f>
        <v>1. Buildings on Third-Party Property</v>
      </c>
      <c r="D92" s="773" t="s">
        <v>1098</v>
      </c>
      <c r="E92" s="773" t="s">
        <v>1099</v>
      </c>
      <c r="F92" s="773"/>
      <c r="G92" s="773"/>
    </row>
    <row r="93" spans="2:7">
      <c r="B93" s="756" t="str">
        <f>IF(OR(ISBLANK(D93), ISBLANK(E93)), "", IF(Eckdaten!$C$15="Deutsch", D93, E93))</f>
        <v>2. Technical Equipment and Machinery</v>
      </c>
      <c r="D93" s="773" t="s">
        <v>1100</v>
      </c>
      <c r="E93" s="773" t="s">
        <v>1101</v>
      </c>
      <c r="F93" s="773"/>
      <c r="G93" s="773"/>
    </row>
    <row r="94" spans="2:7">
      <c r="B94" s="756" t="str">
        <f>IF(OR(ISBLANK(D94), ISBLANK(E94)), "", IF(Eckdaten!$C$15="Deutsch", D94, E94))</f>
        <v>3. Other equipment, operating and office equipment</v>
      </c>
      <c r="D94" s="773" t="s">
        <v>1102</v>
      </c>
      <c r="E94" s="773" t="s">
        <v>1103</v>
      </c>
      <c r="F94" s="773"/>
      <c r="G94" s="773"/>
    </row>
    <row r="95" spans="2:7">
      <c r="B95" s="756" t="str">
        <f>IF(OR(ISBLANK(D95), ISBLANK(E95)), "", IF(Eckdaten!$C$15="Deutsch", D95, E95))</f>
        <v>4. Advance payments made and assets under construction</v>
      </c>
      <c r="D95" s="773" t="s">
        <v>1104</v>
      </c>
      <c r="E95" s="773" t="s">
        <v>1105</v>
      </c>
      <c r="F95" s="773"/>
      <c r="G95" s="773"/>
    </row>
    <row r="96" spans="2:7">
      <c r="B96" s="756" t="str">
        <f>IF(OR(ISBLANK(D96), ISBLANK(E96)), "", IF(Eckdaten!$C$15="Deutsch", D96, E96))</f>
        <v/>
      </c>
      <c r="D96" s="772"/>
      <c r="E96" s="772"/>
      <c r="F96" s="772"/>
      <c r="G96" s="772"/>
    </row>
    <row r="97" spans="2:7">
      <c r="B97" s="756" t="str">
        <f>IF(OR(ISBLANK(D97), ISBLANK(E97)), "", IF(Eckdaten!$C$15="Deutsch", D97, E97))</f>
        <v>III. Financial Assets</v>
      </c>
      <c r="D97" s="772" t="s">
        <v>1106</v>
      </c>
      <c r="E97" s="772" t="s">
        <v>1107</v>
      </c>
      <c r="F97" s="772"/>
      <c r="G97" s="772"/>
    </row>
    <row r="98" spans="2:7">
      <c r="B98" s="756" t="str">
        <f>IF(OR(ISBLANK(D98), ISBLANK(E98)), "", IF(Eckdaten!$C$15="Deutsch", D98, E98))</f>
        <v>1. Shares in Affiliated Businesses</v>
      </c>
      <c r="D98" s="773" t="s">
        <v>1108</v>
      </c>
      <c r="E98" s="773" t="s">
        <v>1109</v>
      </c>
      <c r="F98" s="773"/>
      <c r="G98" s="773"/>
    </row>
    <row r="99" spans="2:7">
      <c r="B99" s="756" t="str">
        <f>IF(OR(ISBLANK(D99), ISBLANK(E99)), "", IF(Eckdaten!$C$15="Deutsch", D99, E99))</f>
        <v>2. Loans</v>
      </c>
      <c r="D99" s="773" t="s">
        <v>1110</v>
      </c>
      <c r="E99" s="773" t="s">
        <v>1111</v>
      </c>
      <c r="F99" s="773"/>
      <c r="G99" s="773"/>
    </row>
    <row r="100" spans="2:7">
      <c r="B100" s="756" t="str">
        <f>IF(OR(ISBLANK(D100), ISBLANK(E100)), "", IF(Eckdaten!$C$15="Deutsch", D100, E100))</f>
        <v>3. Participations</v>
      </c>
      <c r="D100" s="773" t="s">
        <v>1112</v>
      </c>
      <c r="E100" s="773" t="s">
        <v>1113</v>
      </c>
      <c r="F100" s="773"/>
      <c r="G100" s="773"/>
    </row>
    <row r="101" spans="2:7">
      <c r="B101" s="756" t="str">
        <f>IF(OR(ISBLANK(D101), ISBLANK(E101)), "", IF(Eckdaten!$C$15="Deutsch", D101, E101))</f>
        <v>4. Other Financial Assets (Fixed Assets)</v>
      </c>
      <c r="D101" s="773" t="s">
        <v>1114</v>
      </c>
      <c r="E101" s="773" t="s">
        <v>1115</v>
      </c>
      <c r="F101" s="773"/>
      <c r="G101" s="773"/>
    </row>
    <row r="102" spans="2:7">
      <c r="B102" s="756" t="str">
        <f>IF(OR(ISBLANK(D102), ISBLANK(E102)), "", IF(Eckdaten!$C$15="Deutsch", D102, E102))</f>
        <v/>
      </c>
      <c r="D102" s="775"/>
      <c r="E102" s="775"/>
      <c r="F102" s="775"/>
      <c r="G102" s="775"/>
    </row>
    <row r="103" spans="2:7">
      <c r="B103" s="756" t="str">
        <f>IF(OR(ISBLANK(D103), ISBLANK(E103)), "", IF(Eckdaten!$C$15="Deutsch", D103, E103))</f>
        <v>B. Current Assets</v>
      </c>
      <c r="D103" s="770" t="s">
        <v>1116</v>
      </c>
      <c r="E103" s="770" t="s">
        <v>1117</v>
      </c>
      <c r="F103" s="770"/>
      <c r="G103" s="770"/>
    </row>
    <row r="104" spans="2:7">
      <c r="B104" s="756" t="str">
        <f>IF(OR(ISBLANK(D104), ISBLANK(E104)), "", IF(Eckdaten!$C$15="Deutsch", D104, E104))</f>
        <v/>
      </c>
      <c r="D104" s="775"/>
      <c r="E104" s="775"/>
      <c r="F104" s="775"/>
      <c r="G104" s="775"/>
    </row>
    <row r="105" spans="2:7">
      <c r="B105" s="756" t="str">
        <f>IF(OR(ISBLANK(D105), ISBLANK(E105)), "", IF(Eckdaten!$C$15="Deutsch", D105, E105))</f>
        <v>I. Inventories</v>
      </c>
      <c r="D105" s="772" t="s">
        <v>1118</v>
      </c>
      <c r="E105" s="772" t="s">
        <v>1119</v>
      </c>
      <c r="F105" s="772"/>
      <c r="G105" s="772"/>
    </row>
    <row r="106" spans="2:7">
      <c r="B106" s="756" t="str">
        <f>IF(OR(ISBLANK(D106), ISBLANK(E106)), "", IF(Eckdaten!$C$15="Deutsch", D106, E106))</f>
        <v>1. Raw Materials and Supplies</v>
      </c>
      <c r="D106" s="773" t="s">
        <v>1120</v>
      </c>
      <c r="E106" s="773" t="s">
        <v>1121</v>
      </c>
      <c r="F106" s="773"/>
      <c r="G106" s="773"/>
    </row>
    <row r="107" spans="2:7">
      <c r="B107" s="756" t="str">
        <f>IF(OR(ISBLANK(D107), ISBLANK(E107)), "", IF(Eckdaten!$C$15="Deutsch", D107, E107))</f>
        <v>2. Unfinished Goods and Services</v>
      </c>
      <c r="D107" s="773" t="s">
        <v>1122</v>
      </c>
      <c r="E107" s="773" t="s">
        <v>1123</v>
      </c>
      <c r="F107" s="773"/>
      <c r="G107" s="773"/>
    </row>
    <row r="108" spans="2:7">
      <c r="B108" s="756" t="str">
        <f>IF(OR(ISBLANK(D108), ISBLANK(E108)), "", IF(Eckdaten!$C$15="Deutsch", D108, E108))</f>
        <v>3. Finished products and Goods</v>
      </c>
      <c r="D108" s="773" t="s">
        <v>1124</v>
      </c>
      <c r="E108" s="773" t="s">
        <v>1125</v>
      </c>
      <c r="F108" s="773"/>
      <c r="G108" s="773"/>
    </row>
    <row r="109" spans="2:7">
      <c r="B109" s="756" t="str">
        <f>IF(OR(ISBLANK(D109), ISBLANK(E109)), "", IF(Eckdaten!$C$15="Deutsch", D109, E109))</f>
        <v>4. Advance Payments Made</v>
      </c>
      <c r="D109" s="773" t="s">
        <v>1126</v>
      </c>
      <c r="E109" s="773" t="s">
        <v>1127</v>
      </c>
      <c r="F109" s="773"/>
      <c r="G109" s="773"/>
    </row>
    <row r="110" spans="2:7">
      <c r="B110" s="756" t="str">
        <f>IF(OR(ISBLANK(D110), ISBLANK(E110)), "", IF(Eckdaten!$C$15="Deutsch", D110, E110))</f>
        <v/>
      </c>
      <c r="D110" s="775"/>
      <c r="E110" s="775"/>
      <c r="F110" s="775"/>
      <c r="G110" s="775"/>
    </row>
    <row r="111" spans="2:7">
      <c r="B111" s="756" t="str">
        <f>IF(OR(ISBLANK(D111), ISBLANK(E111)), "", IF(Eckdaten!$C$15="Deutsch", D111, E111))</f>
        <v>II. Receivables and other assets</v>
      </c>
      <c r="D111" s="772" t="s">
        <v>1128</v>
      </c>
      <c r="E111" s="772" t="s">
        <v>1129</v>
      </c>
      <c r="F111" s="772"/>
      <c r="G111" s="772"/>
    </row>
    <row r="112" spans="2:7">
      <c r="B112" s="756" t="str">
        <f>IF(OR(ISBLANK(D112), ISBLANK(E112)), "", IF(Eckdaten!$C$15="Deutsch", D112, E112))</f>
        <v>1. Trade Receivables</v>
      </c>
      <c r="D112" s="773" t="s">
        <v>1130</v>
      </c>
      <c r="E112" s="773" t="s">
        <v>1131</v>
      </c>
      <c r="F112" s="773"/>
      <c r="G112" s="773"/>
    </row>
    <row r="113" spans="2:7">
      <c r="B113" s="756" t="str">
        <f>IF(OR(ISBLANK(D113), ISBLANK(E113)), "", IF(Eckdaten!$C$15="Deutsch", D113, E113))</f>
        <v>2. Receivables from Affiliated Businesses</v>
      </c>
      <c r="D113" s="773" t="s">
        <v>1132</v>
      </c>
      <c r="E113" s="773" t="s">
        <v>1133</v>
      </c>
      <c r="F113" s="773"/>
      <c r="G113" s="773"/>
    </row>
    <row r="114" spans="2:7">
      <c r="B114" s="756" t="str">
        <f>IF(OR(ISBLANK(D114), ISBLANK(E114)), "", IF(Eckdaten!$C$15="Deutsch", D114, E114))</f>
        <v>3. Other Assets</v>
      </c>
      <c r="D114" s="773" t="s">
        <v>1134</v>
      </c>
      <c r="E114" s="773" t="s">
        <v>1135</v>
      </c>
      <c r="F114" s="773"/>
      <c r="G114" s="773"/>
    </row>
    <row r="115" spans="2:7">
      <c r="B115" s="756" t="str">
        <f>IF(OR(ISBLANK(D115), ISBLANK(E115)), "", IF(Eckdaten!$C$15="Deutsch", D115, E115))</f>
        <v/>
      </c>
      <c r="D115" s="775"/>
      <c r="E115" s="775"/>
      <c r="F115" s="775"/>
      <c r="G115" s="775"/>
    </row>
    <row r="116" spans="2:7">
      <c r="B116" s="756" t="str">
        <f>IF(OR(ISBLANK(D116), ISBLANK(E116)), "", IF(Eckdaten!$C$15="Deutsch", D116, E116))</f>
        <v>III. Securities</v>
      </c>
      <c r="D116" s="772" t="s">
        <v>1136</v>
      </c>
      <c r="E116" s="772" t="s">
        <v>1137</v>
      </c>
      <c r="F116" s="772"/>
      <c r="G116" s="772"/>
    </row>
    <row r="117" spans="2:7">
      <c r="B117" s="756" t="str">
        <f>IF(OR(ISBLANK(D117), ISBLANK(E117)), "", IF(Eckdaten!$C$15="Deutsch", D117, E117))</f>
        <v/>
      </c>
      <c r="D117" s="772"/>
      <c r="E117" s="772"/>
      <c r="F117" s="772"/>
      <c r="G117" s="772"/>
    </row>
    <row r="118" spans="2:7">
      <c r="B118" s="756" t="str">
        <f>IF(OR(ISBLANK(D118), ISBLANK(E118)), "", IF(Eckdaten!$C$15="Deutsch", D118, E118))</f>
        <v>IV. Cash in Hand, Bank Balances</v>
      </c>
      <c r="D118" s="772" t="s">
        <v>1138</v>
      </c>
      <c r="E118" s="772" t="s">
        <v>1139</v>
      </c>
      <c r="F118" s="772"/>
      <c r="G118" s="772"/>
    </row>
    <row r="119" spans="2:7">
      <c r="B119" s="756" t="str">
        <f>IF(OR(ISBLANK(D119), ISBLANK(E119)), "", IF(Eckdaten!$C$15="Deutsch", D119, E119))</f>
        <v/>
      </c>
      <c r="D119" s="775"/>
      <c r="E119" s="775"/>
      <c r="F119" s="775"/>
      <c r="G119" s="775"/>
    </row>
    <row r="120" spans="2:7">
      <c r="B120" s="756" t="str">
        <f>IF(OR(ISBLANK(D120), ISBLANK(E120)), "", IF(Eckdaten!$C$15="Deutsch", D120, E120))</f>
        <v>C. Prepaid expenses / Accrued income</v>
      </c>
      <c r="D120" s="770" t="s">
        <v>1140</v>
      </c>
      <c r="E120" s="770" t="s">
        <v>1141</v>
      </c>
      <c r="F120" s="770"/>
      <c r="G120" s="770"/>
    </row>
    <row r="121" spans="2:7">
      <c r="B121" s="756" t="str">
        <f>IF(OR(ISBLANK(D121), ISBLANK(E121)), "", IF(Eckdaten!$C$15="Deutsch", D121, E121))</f>
        <v>D. Deferred tax assets</v>
      </c>
      <c r="D121" s="771" t="s">
        <v>1142</v>
      </c>
      <c r="E121" s="771" t="s">
        <v>1143</v>
      </c>
      <c r="F121" s="771"/>
      <c r="G121" s="771"/>
    </row>
    <row r="122" spans="2:7">
      <c r="B122" s="756" t="str">
        <f>IF(OR(ISBLANK(D122), ISBLANK(E122)), "", IF(Eckdaten!$C$15="Deutsch", D122, E122))</f>
        <v/>
      </c>
      <c r="D122" s="771"/>
      <c r="E122" s="771"/>
      <c r="F122" s="771"/>
      <c r="G122" s="771"/>
    </row>
    <row r="123" spans="2:7" ht="13.5" thickBot="1">
      <c r="B123" s="756" t="str">
        <f>IF(OR(ISBLANK(D123), ISBLANK(E123)), "", IF(Eckdaten!$C$15="Deutsch", D123, E123))</f>
        <v>Total Assets</v>
      </c>
      <c r="D123" s="776" t="s">
        <v>1144</v>
      </c>
      <c r="E123" s="776" t="s">
        <v>435</v>
      </c>
      <c r="F123" s="776"/>
      <c r="G123" s="776"/>
    </row>
    <row r="124" spans="2:7" ht="13.5" thickTop="1">
      <c r="B124" s="756" t="str">
        <f>IF(OR(ISBLANK(D124), ISBLANK(E124)), "", IF(Eckdaten!$C$15="Deutsch", D124, E124))</f>
        <v/>
      </c>
    </row>
    <row r="125" spans="2:7">
      <c r="B125" s="756" t="str">
        <f>IF(OR(ISBLANK(D125), ISBLANK(E125)), "", IF(Eckdaten!$C$15="Deutsch", D125, E125))</f>
        <v>Liabilities and Shareholders' Equity</v>
      </c>
      <c r="D125" s="755" t="s">
        <v>21</v>
      </c>
      <c r="E125" s="755" t="s">
        <v>1145</v>
      </c>
      <c r="F125" s="755"/>
      <c r="G125" s="755"/>
    </row>
    <row r="126" spans="2:7">
      <c r="B126" s="756" t="str">
        <f>IF(OR(ISBLANK(D126), ISBLANK(E126)), "", IF(Eckdaten!$C$15="Deutsch", D126, E126))</f>
        <v>A. Equity</v>
      </c>
      <c r="D126" s="777" t="s">
        <v>1146</v>
      </c>
      <c r="E126" s="777" t="s">
        <v>1147</v>
      </c>
      <c r="F126" s="777"/>
      <c r="G126" s="777"/>
    </row>
    <row r="127" spans="2:7">
      <c r="B127" s="756" t="str">
        <f>IF(OR(ISBLANK(D127), ISBLANK(E127)), "", IF(Eckdaten!$C$15="Deutsch", D127, E127))</f>
        <v/>
      </c>
      <c r="D127" s="778"/>
      <c r="E127" s="778"/>
      <c r="F127" s="778"/>
      <c r="G127" s="778"/>
    </row>
    <row r="128" spans="2:7">
      <c r="B128" s="756" t="str">
        <f>IF(OR(ISBLANK(D128), ISBLANK(E128)), "", IF(Eckdaten!$C$15="Deutsch", D128, E128))</f>
        <v>I. Common Stock</v>
      </c>
      <c r="D128" s="772" t="s">
        <v>1148</v>
      </c>
      <c r="E128" s="772" t="s">
        <v>1149</v>
      </c>
      <c r="F128" s="772"/>
      <c r="G128" s="772"/>
    </row>
    <row r="129" spans="2:7">
      <c r="B129" s="756" t="str">
        <f>IF(OR(ISBLANK(D129), ISBLANK(E129)), "", IF(Eckdaten!$C$15="Deutsch", D129, E129))</f>
        <v>II. Additional Paid-In Capital</v>
      </c>
      <c r="D129" s="772" t="s">
        <v>1150</v>
      </c>
      <c r="E129" s="772" t="s">
        <v>1151</v>
      </c>
      <c r="F129" s="772"/>
      <c r="G129" s="772"/>
    </row>
    <row r="130" spans="2:7">
      <c r="B130" s="756" t="str">
        <f>IF(OR(ISBLANK(D130), ISBLANK(E130)), "", IF(Eckdaten!$C$15="Deutsch", D130, E130))</f>
        <v>III. Retained earnings/loss carried forward</v>
      </c>
      <c r="D130" s="772" t="s">
        <v>1152</v>
      </c>
      <c r="E130" s="772" t="s">
        <v>1153</v>
      </c>
      <c r="F130" s="772"/>
      <c r="G130" s="772"/>
    </row>
    <row r="131" spans="2:7">
      <c r="B131" s="756" t="str">
        <f>IF(OR(ISBLANK(D131), ISBLANK(E131)), "", IF(Eckdaten!$C$15="Deutsch", D131, E131))</f>
        <v>IV. Net Profit</v>
      </c>
      <c r="D131" s="772" t="s">
        <v>1154</v>
      </c>
      <c r="E131" s="772" t="s">
        <v>1155</v>
      </c>
      <c r="F131" s="772"/>
      <c r="G131" s="772"/>
    </row>
    <row r="132" spans="2:7">
      <c r="B132" s="756" t="str">
        <f>IF(OR(ISBLANK(D132), ISBLANK(E132)), "", IF(Eckdaten!$C$15="Deutsch", D132, E132))</f>
        <v/>
      </c>
      <c r="D132" s="774"/>
      <c r="E132" s="774"/>
      <c r="F132" s="774"/>
      <c r="G132" s="774"/>
    </row>
    <row r="133" spans="2:7">
      <c r="B133" s="756" t="str">
        <f>IF(OR(ISBLANK(D133), ISBLANK(E133)), "", IF(Eckdaten!$C$15="Deutsch", D133, E133))</f>
        <v>B. Provisions</v>
      </c>
      <c r="D133" s="777" t="s">
        <v>1156</v>
      </c>
      <c r="E133" s="777" t="s">
        <v>1157</v>
      </c>
      <c r="F133" s="777"/>
      <c r="G133" s="777"/>
    </row>
    <row r="134" spans="2:7">
      <c r="B134" s="756" t="str">
        <f>IF(OR(ISBLANK(D134), ISBLANK(E134)), "", IF(Eckdaten!$C$15="Deutsch", D134, E134))</f>
        <v/>
      </c>
      <c r="D134" s="778"/>
      <c r="E134" s="778"/>
      <c r="F134" s="778"/>
      <c r="G134" s="778"/>
    </row>
    <row r="135" spans="2:7">
      <c r="B135" s="756" t="str">
        <f>IF(OR(ISBLANK(D135), ISBLANK(E135)), "", IF(Eckdaten!$C$15="Deutsch", D135, E135))</f>
        <v>1. Provisions for pensions and similar obligations</v>
      </c>
      <c r="D135" s="772" t="s">
        <v>1158</v>
      </c>
      <c r="E135" s="772" t="s">
        <v>1159</v>
      </c>
      <c r="F135" s="772"/>
      <c r="G135" s="772"/>
    </row>
    <row r="136" spans="2:7">
      <c r="B136" s="756" t="str">
        <f>IF(OR(ISBLANK(D136), ISBLANK(E136)), "", IF(Eckdaten!$C$15="Deutsch", D136, E136))</f>
        <v>2. Tax Provisions</v>
      </c>
      <c r="D136" s="772" t="s">
        <v>1160</v>
      </c>
      <c r="E136" s="772" t="s">
        <v>1161</v>
      </c>
      <c r="F136" s="772"/>
      <c r="G136" s="772"/>
    </row>
    <row r="137" spans="2:7">
      <c r="B137" s="756" t="str">
        <f>IF(OR(ISBLANK(D137), ISBLANK(E137)), "", IF(Eckdaten!$C$15="Deutsch", D137, E137))</f>
        <v>3. Other Provisions</v>
      </c>
      <c r="D137" s="772" t="s">
        <v>1162</v>
      </c>
      <c r="E137" s="772" t="s">
        <v>1163</v>
      </c>
      <c r="F137" s="772"/>
      <c r="G137" s="772"/>
    </row>
    <row r="138" spans="2:7">
      <c r="B138" s="756" t="str">
        <f>IF(OR(ISBLANK(D138), ISBLANK(E138)), "", IF(Eckdaten!$C$15="Deutsch", D138, E138))</f>
        <v/>
      </c>
      <c r="D138" s="774"/>
      <c r="E138" s="774"/>
      <c r="F138" s="774"/>
      <c r="G138" s="774"/>
    </row>
    <row r="139" spans="2:7">
      <c r="B139" s="756" t="str">
        <f>IF(OR(ISBLANK(D139), ISBLANK(E139)), "", IF(Eckdaten!$C$15="Deutsch", D139, E139))</f>
        <v>C. Liabilities</v>
      </c>
      <c r="D139" s="777" t="s">
        <v>1164</v>
      </c>
      <c r="E139" s="777" t="s">
        <v>1165</v>
      </c>
      <c r="F139" s="777"/>
      <c r="G139" s="777"/>
    </row>
    <row r="140" spans="2:7">
      <c r="B140" s="756" t="str">
        <f>IF(OR(ISBLANK(D140), ISBLANK(E140)), "", IF(Eckdaten!$C$15="Deutsch", D140, E140))</f>
        <v/>
      </c>
      <c r="D140" s="778"/>
      <c r="E140" s="778"/>
      <c r="F140" s="778"/>
      <c r="G140" s="778"/>
    </row>
    <row r="141" spans="2:7">
      <c r="B141" s="756" t="str">
        <f>IF(OR(ISBLANK(D141), ISBLANK(E141)), "", IF(Eckdaten!$C$15="Deutsch", D141, E141))</f>
        <v>1. Bonds</v>
      </c>
      <c r="D141" s="772" t="s">
        <v>1166</v>
      </c>
      <c r="E141" s="772" t="s">
        <v>1167</v>
      </c>
      <c r="F141" s="772"/>
      <c r="G141" s="772"/>
    </row>
    <row r="142" spans="2:7">
      <c r="B142" s="756" t="str">
        <f>IF(OR(ISBLANK(D142), ISBLANK(E142)), "", IF(Eckdaten!$C$15="Deutsch", D142, E142))</f>
        <v>2. Liabilities to Credit Institutions</v>
      </c>
      <c r="D142" s="772" t="s">
        <v>1168</v>
      </c>
      <c r="E142" s="772" t="s">
        <v>1169</v>
      </c>
      <c r="F142" s="772"/>
      <c r="G142" s="772"/>
    </row>
    <row r="143" spans="2:7">
      <c r="B143" s="756" t="str">
        <f>IF(OR(ISBLANK(D143), ISBLANK(E143)), "", IF(Eckdaten!$C$15="Deutsch", D143, E143))</f>
        <v>3. Unearned Revenue</v>
      </c>
      <c r="D143" s="772" t="s">
        <v>1170</v>
      </c>
      <c r="E143" s="772" t="s">
        <v>1171</v>
      </c>
      <c r="F143" s="772"/>
      <c r="G143" s="772"/>
    </row>
    <row r="144" spans="2:7">
      <c r="B144" s="756" t="str">
        <f>IF(OR(ISBLANK(D144), ISBLANK(E144)), "", IF(Eckdaten!$C$15="Deutsch", D144, E144))</f>
        <v>4. Liabilities from trade payables</v>
      </c>
      <c r="D144" s="772" t="s">
        <v>1172</v>
      </c>
      <c r="E144" s="772" t="s">
        <v>1173</v>
      </c>
      <c r="F144" s="772"/>
      <c r="G144" s="772"/>
    </row>
    <row r="145" spans="2:7">
      <c r="B145" s="756" t="str">
        <f>IF(OR(ISBLANK(D145), ISBLANK(E145)), "", IF(Eckdaten!$C$15="Deutsch", D145, E145))</f>
        <v>5. Liabilities to affiliated companies/shareholders Companies/ shareholders</v>
      </c>
      <c r="D145" s="772" t="s">
        <v>1174</v>
      </c>
      <c r="E145" s="772" t="s">
        <v>1175</v>
      </c>
      <c r="F145" s="772"/>
      <c r="G145" s="772"/>
    </row>
    <row r="146" spans="2:7">
      <c r="B146" s="756" t="str">
        <f>IF(OR(ISBLANK(D146), ISBLANK(E146)), "", IF(Eckdaten!$C$15="Deutsch", D146, E146))</f>
        <v>6. Other Liabilities</v>
      </c>
      <c r="D146" s="772" t="s">
        <v>1176</v>
      </c>
      <c r="E146" s="772" t="s">
        <v>1177</v>
      </c>
      <c r="F146" s="772"/>
      <c r="G146" s="772"/>
    </row>
    <row r="147" spans="2:7">
      <c r="B147" s="756" t="str">
        <f>IF(OR(ISBLANK(D147), ISBLANK(E147)), "", IF(Eckdaten!$C$15="Deutsch", D147, E147))</f>
        <v/>
      </c>
      <c r="D147" s="774"/>
      <c r="E147" s="774"/>
      <c r="F147" s="774"/>
      <c r="G147" s="774"/>
    </row>
    <row r="148" spans="2:7">
      <c r="B148" s="756" t="str">
        <f>IF(OR(ISBLANK(D148), ISBLANK(E148)), "", IF(Eckdaten!$C$15="Deutsch", D148, E148))</f>
        <v>D. Accrued expenses / Deferred income</v>
      </c>
      <c r="D148" s="777" t="s">
        <v>1178</v>
      </c>
      <c r="E148" s="777" t="s">
        <v>1179</v>
      </c>
      <c r="F148" s="777"/>
      <c r="G148" s="777"/>
    </row>
    <row r="149" spans="2:7">
      <c r="B149" s="756" t="str">
        <f>IF(OR(ISBLANK(D149), ISBLANK(E149)), "", IF(Eckdaten!$C$15="Deutsch", D149, E149))</f>
        <v>E. Deferred Tax Liabilities</v>
      </c>
      <c r="D149" s="778" t="s">
        <v>1180</v>
      </c>
      <c r="E149" s="778" t="s">
        <v>1181</v>
      </c>
      <c r="F149" s="778"/>
      <c r="G149" s="778"/>
    </row>
    <row r="150" spans="2:7">
      <c r="B150" s="756" t="str">
        <f>IF(OR(ISBLANK(D150), ISBLANK(E150)), "", IF(Eckdaten!$C$15="Deutsch", D150, E150))</f>
        <v/>
      </c>
      <c r="D150" s="778"/>
      <c r="E150" s="778"/>
      <c r="F150" s="778"/>
      <c r="G150" s="778"/>
    </row>
    <row r="151" spans="2:7" ht="13.5" thickBot="1">
      <c r="B151" s="756" t="str">
        <f>IF(OR(ISBLANK(D151), ISBLANK(E151)), "", IF(Eckdaten!$C$15="Deutsch", D151, E151))</f>
        <v>Total Liabilities and Shareholders's Equity</v>
      </c>
      <c r="D151" s="779" t="s">
        <v>1182</v>
      </c>
      <c r="E151" s="779" t="s">
        <v>1183</v>
      </c>
      <c r="F151" s="779"/>
      <c r="G151" s="779"/>
    </row>
    <row r="152" spans="2:7" ht="13.5" thickTop="1">
      <c r="B152" s="756" t="str">
        <f>IF(OR(ISBLANK(D152), ISBLANK(E152)), "", IF(Eckdaten!$C$15="Deutsch", D152, E152))</f>
        <v/>
      </c>
    </row>
    <row r="153" spans="2:7">
      <c r="B153" s="756" t="str">
        <f>IF(OR(ISBLANK(D153), ISBLANK(E153)), "", IF(Eckdaten!$C$15="Deutsch", D153, E153))</f>
        <v>Statement of Cash Flows</v>
      </c>
      <c r="D153" s="755" t="s">
        <v>1184</v>
      </c>
      <c r="E153" s="755" t="s">
        <v>1185</v>
      </c>
      <c r="F153" s="755"/>
      <c r="G153" s="755"/>
    </row>
    <row r="154" spans="2:7">
      <c r="B154" s="756" t="str">
        <f>IF(OR(ISBLANK(D154), ISBLANK(E154)), "", IF(Eckdaten!$C$15="Deutsch", D154, E154))</f>
        <v/>
      </c>
      <c r="D154" s="780"/>
      <c r="E154" s="780"/>
      <c r="F154" s="780"/>
      <c r="G154" s="780"/>
    </row>
    <row r="155" spans="2:7">
      <c r="B155" s="756" t="str">
        <f>IF(OR(ISBLANK(D155), ISBLANK(E155)), "", IF(Eckdaten!$C$15="Deutsch", D155, E155))</f>
        <v>Net profit / loss for the year</v>
      </c>
      <c r="D155" s="781" t="s">
        <v>1186</v>
      </c>
      <c r="E155" s="781" t="s">
        <v>1187</v>
      </c>
      <c r="F155" s="781"/>
      <c r="G155" s="781"/>
    </row>
    <row r="156" spans="2:7">
      <c r="B156" s="756" t="str">
        <f>IF(OR(ISBLANK(D156), ISBLANK(E156)), "", IF(Eckdaten!$C$15="Deutsch", D156, E156))</f>
        <v>Liabilities and Stockholders' Equity</v>
      </c>
      <c r="D156" s="782" t="s">
        <v>21</v>
      </c>
      <c r="E156" s="782" t="s">
        <v>1188</v>
      </c>
      <c r="F156" s="782"/>
      <c r="G156" s="782"/>
    </row>
    <row r="157" spans="2:7">
      <c r="B157" s="756" t="str">
        <f>IF(OR(ISBLANK(D157), ISBLANK(E157)), "", IF(Eckdaten!$C$15="Deutsch", D157, E157))</f>
        <v>Increase (+) / decrease (-) in provisions for pensions and similar obligations</v>
      </c>
      <c r="D157" s="780" t="s">
        <v>1189</v>
      </c>
      <c r="E157" s="780" t="s">
        <v>1190</v>
      </c>
      <c r="F157" s="780"/>
      <c r="G157" s="780"/>
    </row>
    <row r="158" spans="2:7">
      <c r="B158" s="756" t="str">
        <f>IF(OR(ISBLANK(D158), ISBLANK(E158)), "", IF(Eckdaten!$C$15="Deutsch", D158, E158))</f>
        <v>Increase (+) / decrease (-) in tax provisions</v>
      </c>
      <c r="D158" s="780" t="s">
        <v>1191</v>
      </c>
      <c r="E158" s="780" t="s">
        <v>1192</v>
      </c>
      <c r="F158" s="780"/>
      <c r="G158" s="780"/>
    </row>
    <row r="159" spans="2:7">
      <c r="B159" s="756" t="str">
        <f>IF(OR(ISBLANK(D159), ISBLANK(E159)), "", IF(Eckdaten!$C$15="Deutsch", D159, E159))</f>
        <v>Increase (+) / decrease (-) in other provisions</v>
      </c>
      <c r="D159" s="780" t="s">
        <v>1193</v>
      </c>
      <c r="E159" s="780" t="s">
        <v>1194</v>
      </c>
      <c r="F159" s="780"/>
      <c r="G159" s="780"/>
    </row>
    <row r="160" spans="2:7">
      <c r="B160" s="756" t="str">
        <f>IF(OR(ISBLANK(D160), ISBLANK(E160)), "", IF(Eckdaten!$C$15="Deutsch", D160, E160))</f>
        <v>Increase (+) / decrease (-) in other liabilities</v>
      </c>
      <c r="D160" s="780" t="s">
        <v>1195</v>
      </c>
      <c r="E160" s="780" t="s">
        <v>1196</v>
      </c>
      <c r="F160" s="780"/>
      <c r="G160" s="780"/>
    </row>
    <row r="161" spans="2:7">
      <c r="B161" s="756" t="str">
        <f>IF(OR(ISBLANK(D161), ISBLANK(E161)), "", IF(Eckdaten!$C$15="Deutsch", D161, E161))</f>
        <v>Increase (+) / decrease (-) in accrued expenses and deferred income</v>
      </c>
      <c r="D161" s="780" t="s">
        <v>1197</v>
      </c>
      <c r="E161" s="780" t="s">
        <v>1198</v>
      </c>
      <c r="F161" s="780"/>
      <c r="G161" s="780"/>
    </row>
    <row r="162" spans="2:7">
      <c r="B162" s="756" t="str">
        <f>IF(OR(ISBLANK(D162), ISBLANK(E162)), "", IF(Eckdaten!$C$15="Deutsch", D162, E162))</f>
        <v>Increase (+) / decrease (-) in deferred tax liabilities</v>
      </c>
      <c r="D162" s="780" t="s">
        <v>1199</v>
      </c>
      <c r="E162" s="780" t="s">
        <v>1200</v>
      </c>
      <c r="F162" s="780"/>
      <c r="G162" s="780"/>
    </row>
    <row r="163" spans="2:7">
      <c r="B163" s="756" t="str">
        <f>IF(OR(ISBLANK(D163), ISBLANK(E163)), "", IF(Eckdaten!$C$15="Deutsch", D163, E163))</f>
        <v>Working Capital</v>
      </c>
      <c r="D163" s="753" t="s">
        <v>1201</v>
      </c>
      <c r="E163" s="753" t="s">
        <v>1202</v>
      </c>
      <c r="F163" s="753"/>
      <c r="G163" s="753"/>
    </row>
    <row r="164" spans="2:7">
      <c r="B164" s="756" t="str">
        <f>IF(OR(ISBLANK(D164), ISBLANK(E164)), "", IF(Eckdaten!$C$15="Deutsch", D164, E164))</f>
        <v>Increase (-) / decrease (+) in working capital</v>
      </c>
      <c r="D164" s="780" t="s">
        <v>1203</v>
      </c>
      <c r="E164" s="780" t="s">
        <v>1204</v>
      </c>
      <c r="F164" s="780"/>
      <c r="G164" s="780"/>
    </row>
    <row r="165" spans="2:7">
      <c r="B165" s="756" t="str">
        <f>IF(OR(ISBLANK(D165), ISBLANK(E165)), "", IF(Eckdaten!$C$15="Deutsch", D165, E165))</f>
        <v>Assets</v>
      </c>
      <c r="D165" s="782" t="s">
        <v>19</v>
      </c>
      <c r="E165" s="782" t="s">
        <v>1085</v>
      </c>
      <c r="F165" s="782"/>
      <c r="G165" s="782"/>
    </row>
    <row r="166" spans="2:7">
      <c r="B166" s="756" t="str">
        <f>IF(OR(ISBLANK(D166), ISBLANK(E166)), "", IF(Eckdaten!$C$15="Deutsch", D166, E166))</f>
        <v>Depreciation (+) / write-ups (-) on non-financial assets</v>
      </c>
      <c r="D166" s="780" t="s">
        <v>1205</v>
      </c>
      <c r="E166" s="780" t="s">
        <v>1206</v>
      </c>
      <c r="F166" s="780"/>
      <c r="G166" s="780"/>
    </row>
    <row r="167" spans="2:7">
      <c r="B167" s="756" t="str">
        <f>IF(OR(ISBLANK(D167), ISBLANK(E167)), "", IF(Eckdaten!$C$15="Deutsch", D167, E167))</f>
        <v>Increase (-) / decrease (+) in other assets</v>
      </c>
      <c r="D167" s="780" t="s">
        <v>1207</v>
      </c>
      <c r="E167" s="780" t="s">
        <v>1208</v>
      </c>
      <c r="F167" s="780"/>
      <c r="G167" s="780"/>
    </row>
    <row r="168" spans="2:7">
      <c r="B168" s="756" t="str">
        <f>IF(OR(ISBLANK(D168), ISBLANK(E168)), "", IF(Eckdaten!$C$15="Deutsch", D168, E168))</f>
        <v>Increase (-) / decrease (+) in prepaid expenses and deferred charges</v>
      </c>
      <c r="D168" s="780" t="s">
        <v>1209</v>
      </c>
      <c r="E168" s="780" t="s">
        <v>1210</v>
      </c>
      <c r="F168" s="780"/>
      <c r="G168" s="780"/>
    </row>
    <row r="169" spans="2:7">
      <c r="B169" s="756" t="str">
        <f>IF(OR(ISBLANK(D169), ISBLANK(E169)), "", IF(Eckdaten!$C$15="Deutsch", D169, E169))</f>
        <v>Increase (-) / decrease (+) in deferred tax assets</v>
      </c>
      <c r="D169" s="780" t="s">
        <v>1211</v>
      </c>
      <c r="E169" s="780" t="s">
        <v>1212</v>
      </c>
      <c r="F169" s="780"/>
      <c r="G169" s="780"/>
    </row>
    <row r="170" spans="2:7">
      <c r="B170" s="756" t="str">
        <f>IF(OR(ISBLANK(D170), ISBLANK(E170)), "", IF(Eckdaten!$C$15="Deutsch", D170, E170))</f>
        <v>Cash Flow I from operating activities</v>
      </c>
      <c r="D170" s="783" t="s">
        <v>1213</v>
      </c>
      <c r="E170" s="783" t="s">
        <v>1214</v>
      </c>
      <c r="F170" s="783"/>
      <c r="G170" s="783"/>
    </row>
    <row r="171" spans="2:7">
      <c r="B171" s="756" t="str">
        <f>IF(OR(ISBLANK(D171), ISBLANK(E171)), "", IF(Eckdaten!$C$15="Deutsch", D171, E171))</f>
        <v/>
      </c>
      <c r="D171" s="780"/>
      <c r="E171" s="780"/>
      <c r="F171" s="780"/>
      <c r="G171" s="780"/>
    </row>
    <row r="172" spans="2:7">
      <c r="B172" s="756" t="str">
        <f>IF(OR(ISBLANK(D172), ISBLANK(E172)), "", IF(Eckdaten!$C$15="Deutsch", D172, E172))</f>
        <v xml:space="preserve">Cash outflows for investments/disposals/transfers to intangible assets </v>
      </c>
      <c r="D172" s="780" t="s">
        <v>1215</v>
      </c>
      <c r="E172" s="780" t="s">
        <v>1216</v>
      </c>
      <c r="F172" s="780"/>
      <c r="G172" s="780"/>
    </row>
    <row r="173" spans="2:7">
      <c r="B173" s="756" t="str">
        <f>IF(OR(ISBLANK(D173), ISBLANK(E173)), "", IF(Eckdaten!$C$15="Deutsch", D173, E173))</f>
        <v>Cash outflows for investments/disposals/transfers to property, plant and equipment</v>
      </c>
      <c r="D173" s="780" t="s">
        <v>1217</v>
      </c>
      <c r="E173" s="780" t="s">
        <v>1218</v>
      </c>
      <c r="F173" s="780"/>
      <c r="G173" s="780"/>
    </row>
    <row r="174" spans="2:7">
      <c r="B174" s="756" t="str">
        <f>IF(OR(ISBLANK(D174), ISBLANK(E174)), "", IF(Eckdaten!$C$15="Deutsch", D174, E174))</f>
        <v>Cash outflows for investments/disposals in financial assets</v>
      </c>
      <c r="D174" s="780" t="s">
        <v>1219</v>
      </c>
      <c r="E174" s="780" t="s">
        <v>1220</v>
      </c>
      <c r="F174" s="780"/>
      <c r="G174" s="780"/>
    </row>
    <row r="175" spans="2:7">
      <c r="B175" s="756" t="str">
        <f>IF(OR(ISBLANK(D175), ISBLANK(E175)), "", IF(Eckdaten!$C$15="Deutsch", D175, E175))</f>
        <v>Cash Flow II from investing activities</v>
      </c>
      <c r="D175" s="783" t="s">
        <v>1221</v>
      </c>
      <c r="E175" s="783" t="s">
        <v>1222</v>
      </c>
      <c r="F175" s="783"/>
      <c r="G175" s="783"/>
    </row>
    <row r="176" spans="2:7">
      <c r="B176" s="756" t="str">
        <f>IF(OR(ISBLANK(D176), ISBLANK(E176)), "", IF(Eckdaten!$C$15="Deutsch", D176, E176))</f>
        <v/>
      </c>
      <c r="D176" s="780"/>
      <c r="E176" s="780"/>
      <c r="F176" s="780"/>
      <c r="G176" s="780"/>
    </row>
    <row r="177" spans="2:7">
      <c r="B177" s="756" t="str">
        <f>IF(OR(ISBLANK(D177), ISBLANK(E177)), "", IF(Eckdaten!$C$15="Deutsch", D177, E177))</f>
        <v>Liabilities and Stockholders' Equity</v>
      </c>
      <c r="D177" s="784" t="s">
        <v>21</v>
      </c>
      <c r="E177" s="784" t="s">
        <v>1188</v>
      </c>
      <c r="F177" s="784"/>
      <c r="G177" s="784"/>
    </row>
    <row r="178" spans="2:7">
      <c r="B178" s="756" t="str">
        <f>IF(OR(ISBLANK(D178), ISBLANK(E178)), "", IF(Eckdaten!$C$15="Deutsch", D178, E178))</f>
        <v>Increase (+) / decrease (-) in liabilities to affiliated companies</v>
      </c>
      <c r="D178" s="780" t="s">
        <v>1223</v>
      </c>
      <c r="E178" s="780" t="s">
        <v>1224</v>
      </c>
      <c r="F178" s="780"/>
      <c r="G178" s="780"/>
    </row>
    <row r="179" spans="2:7">
      <c r="B179" s="756" t="str">
        <f>IF(OR(ISBLANK(D179), ISBLANK(E179)), "", IF(Eckdaten!$C$15="Deutsch", D179, E179))</f>
        <v>Increase (+) / decrease (-) in liabilities to credit institutions</v>
      </c>
      <c r="D179" s="780" t="s">
        <v>1225</v>
      </c>
      <c r="E179" s="780" t="s">
        <v>1226</v>
      </c>
      <c r="F179" s="780"/>
      <c r="G179" s="780"/>
    </row>
    <row r="180" spans="2:7">
      <c r="B180" s="756" t="str">
        <f>IF(OR(ISBLANK(D180), ISBLANK(E180)), "", IF(Eckdaten!$C$15="Deutsch", D180, E180))</f>
        <v>Increase (+) / decrease (-) in capital reserves</v>
      </c>
      <c r="D180" s="780" t="s">
        <v>1227</v>
      </c>
      <c r="E180" s="780" t="s">
        <v>1228</v>
      </c>
      <c r="F180" s="780"/>
      <c r="G180" s="780"/>
    </row>
    <row r="181" spans="2:7">
      <c r="B181" s="756" t="str">
        <f>IF(OR(ISBLANK(D181), ISBLANK(E181)), "", IF(Eckdaten!$C$15="Deutsch", D181, E181))</f>
        <v>Increase (+) / decrease (-) in common stock</v>
      </c>
      <c r="D181" s="780" t="s">
        <v>1229</v>
      </c>
      <c r="E181" s="780" t="s">
        <v>1230</v>
      </c>
      <c r="F181" s="780"/>
      <c r="G181" s="780"/>
    </row>
    <row r="182" spans="2:7">
      <c r="B182" s="756" t="str">
        <f>IF(OR(ISBLANK(D182), ISBLANK(E182)), "", IF(Eckdaten!$C$15="Deutsch", D182, E182))</f>
        <v>Increase (+) / decrease (-) in bonds</v>
      </c>
      <c r="D182" s="780" t="s">
        <v>1231</v>
      </c>
      <c r="E182" s="780" t="s">
        <v>1232</v>
      </c>
      <c r="F182" s="780"/>
      <c r="G182" s="780"/>
    </row>
    <row r="183" spans="2:7">
      <c r="B183" s="756" t="str">
        <f>IF(OR(ISBLANK(D183), ISBLANK(E183)), "", IF(Eckdaten!$C$15="Deutsch", D183, E183))</f>
        <v>Assets</v>
      </c>
      <c r="D183" s="782" t="s">
        <v>19</v>
      </c>
      <c r="E183" s="782" t="s">
        <v>1085</v>
      </c>
      <c r="F183" s="782"/>
      <c r="G183" s="782"/>
    </row>
    <row r="184" spans="2:7">
      <c r="B184" s="756" t="str">
        <f>IF(OR(ISBLANK(D184), ISBLANK(E184)), "", IF(Eckdaten!$C$15="Deutsch", D184, E184))</f>
        <v>Increase (-) / decrease (+) in receivables from affiliated companies</v>
      </c>
      <c r="D184" s="780" t="s">
        <v>1233</v>
      </c>
      <c r="E184" s="780" t="s">
        <v>1234</v>
      </c>
      <c r="F184" s="780"/>
      <c r="G184" s="780"/>
    </row>
    <row r="185" spans="2:7">
      <c r="B185" s="756" t="str">
        <f>IF(OR(ISBLANK(D185), ISBLANK(E185)), "", IF(Eckdaten!$C$15="Deutsch", D185, E185))</f>
        <v>Increase (-) / decrease (+) in securities</v>
      </c>
      <c r="D185" s="780" t="s">
        <v>1235</v>
      </c>
      <c r="E185" s="780" t="s">
        <v>1236</v>
      </c>
      <c r="F185" s="780"/>
      <c r="G185" s="780"/>
    </row>
    <row r="186" spans="2:7">
      <c r="B186" s="756" t="str">
        <f>IF(OR(ISBLANK(D186), ISBLANK(E186)), "", IF(Eckdaten!$C$15="Deutsch", D186, E186))</f>
        <v>Cash Flow III from financing activities</v>
      </c>
      <c r="D186" s="783" t="s">
        <v>1237</v>
      </c>
      <c r="E186" s="783" t="s">
        <v>1238</v>
      </c>
      <c r="F186" s="783"/>
      <c r="G186" s="783"/>
    </row>
    <row r="187" spans="2:7">
      <c r="B187" s="756" t="str">
        <f>IF(OR(ISBLANK(D187), ISBLANK(E187)), "", IF(Eckdaten!$C$15="Deutsch", D187, E187))</f>
        <v/>
      </c>
      <c r="D187" s="785"/>
      <c r="E187" s="785"/>
      <c r="F187" s="785"/>
      <c r="G187" s="785"/>
    </row>
    <row r="188" spans="2:7" ht="13.5" thickBot="1">
      <c r="B188" s="756" t="str">
        <f>IF(OR(ISBLANK(D188), ISBLANK(E188)), "", IF(Eckdaten!$C$15="Deutsch", D188, E188))</f>
        <v>Total Cash Flow (levered) (Change in liquid funds/ Cash balance)</v>
      </c>
      <c r="D188" s="786" t="s">
        <v>1239</v>
      </c>
      <c r="E188" s="786" t="s">
        <v>1240</v>
      </c>
      <c r="F188" s="786"/>
      <c r="G188" s="786"/>
    </row>
    <row r="189" spans="2:7" ht="13.5" thickTop="1">
      <c r="B189" s="756" t="str">
        <f>IF(OR(ISBLANK(D189), ISBLANK(E189)), "", IF(Eckdaten!$C$15="Deutsch", D189, E189))</f>
        <v/>
      </c>
    </row>
    <row r="190" spans="2:7">
      <c r="B190" s="756" t="str">
        <f>IF(OR(ISBLANK(D190), ISBLANK(E190)), "", IF(Eckdaten!$C$15="Deutsch", D190, E190))</f>
        <v>Working Capital (WC)</v>
      </c>
      <c r="D190" s="755" t="s">
        <v>1241</v>
      </c>
      <c r="E190" s="755" t="s">
        <v>1241</v>
      </c>
      <c r="F190" s="755"/>
      <c r="G190" s="755"/>
    </row>
    <row r="191" spans="2:7">
      <c r="B191" s="756" t="str">
        <f>IF(OR(ISBLANK(D191), ISBLANK(E191)), "", IF(Eckdaten!$C$15="Deutsch", D191, E191))</f>
        <v>( + ) Inventories</v>
      </c>
      <c r="D191" s="780" t="s">
        <v>1242</v>
      </c>
      <c r="E191" s="780" t="s">
        <v>1243</v>
      </c>
      <c r="F191" s="780"/>
      <c r="G191" s="780"/>
    </row>
    <row r="192" spans="2:7">
      <c r="B192" s="756" t="str">
        <f>IF(OR(ISBLANK(D192), ISBLANK(E192)), "", IF(Eckdaten!$C$15="Deutsch", D192, E192))</f>
        <v>( + ) Trade receivables</v>
      </c>
      <c r="D192" s="780" t="s">
        <v>1244</v>
      </c>
      <c r="E192" s="780" t="s">
        <v>1245</v>
      </c>
      <c r="F192" s="780"/>
      <c r="G192" s="780"/>
    </row>
    <row r="193" spans="2:7">
      <c r="B193" s="756" t="str">
        <f>IF(OR(ISBLANK(D193), ISBLANK(E193)), "", IF(Eckdaten!$C$15="Deutsch", D193, E193))</f>
        <v/>
      </c>
      <c r="D193" s="780"/>
      <c r="E193" s="780"/>
      <c r="F193" s="780"/>
      <c r="G193" s="780"/>
    </row>
    <row r="194" spans="2:7">
      <c r="B194" s="756" t="str">
        <f>IF(OR(ISBLANK(D194), ISBLANK(E194)), "", IF(Eckdaten!$C$15="Deutsch", D194, E194))</f>
        <v>( - ) Trade Payables</v>
      </c>
      <c r="D194" s="780" t="s">
        <v>1246</v>
      </c>
      <c r="E194" s="780" t="s">
        <v>1247</v>
      </c>
      <c r="F194" s="780"/>
      <c r="G194" s="780"/>
    </row>
    <row r="195" spans="2:7">
      <c r="B195" s="756" t="str">
        <f>IF(OR(ISBLANK(D195), ISBLANK(E195)), "", IF(Eckdaten!$C$15="Deutsch", D195, E195))</f>
        <v>( - )  NWC adjustments</v>
      </c>
      <c r="D195" s="780" t="s">
        <v>1248</v>
      </c>
      <c r="E195" s="780" t="s">
        <v>1249</v>
      </c>
      <c r="F195" s="780"/>
      <c r="G195" s="780"/>
    </row>
    <row r="196" spans="2:7">
      <c r="B196" s="756" t="str">
        <f>IF(OR(ISBLANK(D196), ISBLANK(E196)), "", IF(Eckdaten!$C$15="Deutsch", D196, E196))</f>
        <v/>
      </c>
      <c r="D196" s="787"/>
      <c r="E196" s="787"/>
      <c r="F196" s="787"/>
      <c r="G196" s="787"/>
    </row>
    <row r="197" spans="2:7">
      <c r="B197" s="756" t="str">
        <f>IF(OR(ISBLANK(D197), ISBLANK(E197)), "", IF(Eckdaten!$C$15="Deutsch", D197, E197))</f>
        <v>Net Working Capital</v>
      </c>
      <c r="D197" s="788" t="s">
        <v>1250</v>
      </c>
      <c r="E197" s="788" t="s">
        <v>1250</v>
      </c>
      <c r="F197" s="788"/>
      <c r="G197" s="788"/>
    </row>
    <row r="198" spans="2:7" ht="13.5" thickBot="1">
      <c r="B198" s="756" t="str">
        <f>IF(OR(ISBLANK(D198), ISBLANK(E198)), "", IF(Eckdaten!$C$15="Deutsch", D198, E198))</f>
        <v>∆ Working Capital (Increase (-)/ Decrease (+))</v>
      </c>
      <c r="D198" s="789" t="s">
        <v>1251</v>
      </c>
      <c r="E198" s="789" t="s">
        <v>1252</v>
      </c>
      <c r="F198" s="789"/>
      <c r="G198" s="789"/>
    </row>
    <row r="199" spans="2:7" ht="13.5" thickTop="1">
      <c r="B199" s="756" t="str">
        <f>IF(OR(ISBLANK(D199), ISBLANK(E199)), "", IF(Eckdaten!$C$15="Deutsch", D199, E199))</f>
        <v/>
      </c>
      <c r="D199" s="753"/>
      <c r="E199" s="753"/>
      <c r="F199" s="753"/>
      <c r="G199" s="753"/>
    </row>
    <row r="200" spans="2:7">
      <c r="B200" s="756" t="str">
        <f>IF(OR(ISBLANK(D200), ISBLANK(E200)), "", IF(Eckdaten!$C$15="Deutsch", D200, E200))</f>
        <v>Average working capital (financial year: FC, A0, A-1)</v>
      </c>
      <c r="D200" s="753" t="s">
        <v>1253</v>
      </c>
      <c r="E200" s="753" t="s">
        <v>1254</v>
      </c>
      <c r="F200" s="753"/>
      <c r="G200" s="753"/>
    </row>
    <row r="201" spans="2:7">
      <c r="B201" s="756" t="str">
        <f>IF(OR(ISBLANK(D201), ISBLANK(E201)), "", IF(Eckdaten!$C$15="Deutsch", D201, E201))</f>
        <v/>
      </c>
      <c r="D201" s="753"/>
      <c r="E201" s="753"/>
      <c r="F201" s="753"/>
      <c r="G201" s="753"/>
    </row>
    <row r="202" spans="2:7">
      <c r="B202" s="756" t="str">
        <f>IF(OR(ISBLANK(D202), ISBLANK(E202)), "", IF(Eckdaten!$C$15="Deutsch", D202, E202))</f>
        <v>WC (Max)</v>
      </c>
      <c r="D202" s="780" t="s">
        <v>1255</v>
      </c>
      <c r="E202" s="780" t="s">
        <v>1255</v>
      </c>
      <c r="F202" s="780"/>
      <c r="G202" s="780"/>
    </row>
    <row r="203" spans="2:7">
      <c r="B203" s="756" t="str">
        <f>IF(OR(ISBLANK(D203), ISBLANK(E203)), "", IF(Eckdaten!$C$15="Deutsch", D203, E203))</f>
        <v>WC (Min)</v>
      </c>
      <c r="D203" s="780" t="s">
        <v>1256</v>
      </c>
      <c r="E203" s="780" t="s">
        <v>1256</v>
      </c>
      <c r="F203" s="780"/>
      <c r="G203" s="780"/>
    </row>
    <row r="204" spans="2:7">
      <c r="B204" s="756" t="str">
        <f>IF(OR(ISBLANK(D204), ISBLANK(E204)), "", IF(Eckdaten!$C$15="Deutsch", D204, E204))</f>
        <v>WC (Mean)</v>
      </c>
      <c r="D204" s="780" t="s">
        <v>1257</v>
      </c>
      <c r="E204" s="780" t="s">
        <v>1258</v>
      </c>
      <c r="F204" s="780"/>
      <c r="G204" s="780"/>
    </row>
    <row r="205" spans="2:7">
      <c r="B205" s="756" t="str">
        <f>IF(OR(ISBLANK(D205), ISBLANK(E205)), "", IF(Eckdaten!$C$15="Deutsch", D205, E205))</f>
        <v>WC (Standard Deviation)</v>
      </c>
      <c r="D205" s="780" t="s">
        <v>1259</v>
      </c>
      <c r="E205" s="780" t="s">
        <v>1259</v>
      </c>
      <c r="F205" s="780"/>
      <c r="G205" s="780"/>
    </row>
    <row r="206" spans="2:7">
      <c r="B206" s="756" t="str">
        <f>IF(OR(ISBLANK(D206), ISBLANK(E206)), "", IF(Eckdaten!$C$15="Deutsch", D206, E206))</f>
        <v>TWC in % of total turnover</v>
      </c>
      <c r="D206" s="780" t="s">
        <v>1260</v>
      </c>
      <c r="E206" s="780" t="s">
        <v>1261</v>
      </c>
      <c r="F206" s="780"/>
      <c r="G206" s="780"/>
    </row>
    <row r="207" spans="2:7">
      <c r="B207" s="756" t="str">
        <f>IF(OR(ISBLANK(D207), ISBLANK(E207)), "", IF(Eckdaten!$C$15="Deutsch", D207, E207))</f>
        <v/>
      </c>
      <c r="D207" s="780"/>
      <c r="E207" s="780"/>
      <c r="F207" s="780"/>
      <c r="G207" s="780"/>
    </row>
    <row r="208" spans="2:7">
      <c r="B208" s="756" t="str">
        <f>IF(OR(ISBLANK(D208), ISBLANK(E208)), "", IF(Eckdaten!$C$15="Deutsch", D208, E208))</f>
        <v>Analysis of net working capital</v>
      </c>
      <c r="D208" s="753" t="s">
        <v>1262</v>
      </c>
      <c r="E208" s="753" t="s">
        <v>1263</v>
      </c>
      <c r="F208" s="753"/>
      <c r="G208" s="753"/>
    </row>
    <row r="209" spans="2:7">
      <c r="B209" s="756" t="str">
        <f>IF(OR(ISBLANK(D209), ISBLANK(E209)), "", IF(Eckdaten!$C$15="Deutsch", D209, E209))</f>
        <v/>
      </c>
      <c r="D209" s="780"/>
      <c r="E209" s="780"/>
      <c r="F209" s="780"/>
      <c r="G209" s="780"/>
    </row>
    <row r="210" spans="2:7">
      <c r="B210" s="756" t="str">
        <f>IF(OR(ISBLANK(D210), ISBLANK(E210)), "", IF(Eckdaten!$C$15="Deutsch", D210, E210))</f>
        <v>Total Turnover</v>
      </c>
      <c r="D210" s="780" t="s">
        <v>208</v>
      </c>
      <c r="E210" s="780" t="s">
        <v>675</v>
      </c>
      <c r="F210" s="780"/>
      <c r="G210" s="780"/>
    </row>
    <row r="211" spans="2:7">
      <c r="B211" s="756" t="str">
        <f>IF(OR(ISBLANK(D211), ISBLANK(E211)), "", IF(Eckdaten!$C$15="Deutsch", D211, E211))</f>
        <v>Cost of Materials</v>
      </c>
      <c r="D211" s="780" t="s">
        <v>989</v>
      </c>
      <c r="E211" s="780" t="s">
        <v>1264</v>
      </c>
      <c r="F211" s="780"/>
      <c r="G211" s="780"/>
    </row>
    <row r="212" spans="2:7">
      <c r="B212" s="756" t="str">
        <f>IF(OR(ISBLANK(D212), ISBLANK(E212)), "", IF(Eckdaten!$C$15="Deutsch", D212, E212))</f>
        <v/>
      </c>
      <c r="D212" s="780"/>
      <c r="E212" s="780"/>
      <c r="F212" s="780"/>
      <c r="G212" s="780"/>
    </row>
    <row r="213" spans="2:7">
      <c r="B213" s="756" t="str">
        <f>IF(OR(ISBLANK(D213), ISBLANK(E213)), "", IF(Eckdaten!$C$15="Deutsch", D213, E213))</f>
        <v>Stockholding, in days (Days Inventory Held)</v>
      </c>
      <c r="D213" s="780" t="s">
        <v>1265</v>
      </c>
      <c r="E213" s="780" t="s">
        <v>1266</v>
      </c>
      <c r="F213" s="780"/>
      <c r="G213" s="780"/>
    </row>
    <row r="214" spans="2:7">
      <c r="B214" s="756" t="str">
        <f>IF(OR(ISBLANK(D214), ISBLANK(E214)), "", IF(Eckdaten!$C$15="Deutsch", D214, E214))</f>
        <v>Accounts payable target, in days (Days Payables Outstanding)</v>
      </c>
      <c r="D214" s="780" t="s">
        <v>1267</v>
      </c>
      <c r="E214" s="780" t="s">
        <v>1268</v>
      </c>
      <c r="F214" s="780"/>
      <c r="G214" s="780"/>
    </row>
    <row r="215" spans="2:7">
      <c r="B215" s="756" t="str">
        <f>IF(OR(ISBLANK(D215), ISBLANK(E215)), "", IF(Eckdaten!$C$15="Deutsch", D215, E215))</f>
        <v>Debtor target, in days (Days Sales Outstanding)</v>
      </c>
      <c r="D215" s="780" t="s">
        <v>1269</v>
      </c>
      <c r="E215" s="780" t="s">
        <v>1270</v>
      </c>
      <c r="F215" s="780"/>
      <c r="G215" s="780"/>
    </row>
    <row r="216" spans="2:7">
      <c r="B216" s="756" t="str">
        <f>IF(OR(ISBLANK(D216), ISBLANK(E216)), "", IF(Eckdaten!$C$15="Deutsch", D216, E216))</f>
        <v>Interim financing required, in days (Cash Conversion Cycle)</v>
      </c>
      <c r="D216" s="780" t="s">
        <v>1271</v>
      </c>
      <c r="E216" s="780" t="s">
        <v>1272</v>
      </c>
      <c r="F216" s="780"/>
      <c r="G216" s="780"/>
    </row>
    <row r="217" spans="2:7">
      <c r="B217" s="756" t="str">
        <f>IF(OR(ISBLANK(D217), ISBLANK(E217)), "", IF(Eckdaten!$C$15="Deutsch", D217, E217))</f>
        <v/>
      </c>
    </row>
    <row r="218" spans="2:7">
      <c r="B218" s="756" t="str">
        <f>IF(OR(ISBLANK(D218), ISBLANK(E218)), "", IF(Eckdaten!$C$15="Deutsch", D218, E218))</f>
        <v>Other</v>
      </c>
      <c r="D218" s="755" t="s">
        <v>1273</v>
      </c>
      <c r="E218" s="755" t="s">
        <v>1274</v>
      </c>
      <c r="F218" s="755"/>
      <c r="G218" s="755"/>
    </row>
    <row r="219" spans="2:7">
      <c r="B219" s="756" t="str">
        <f>IF(OR(ISBLANK(D219), ISBLANK(E219)), "", IF(Eckdaten!$C$15="Deutsch", D219, E219))</f>
        <v>(in % of total turnover)</v>
      </c>
      <c r="D219" s="790" t="s">
        <v>177</v>
      </c>
      <c r="E219" s="790" t="s">
        <v>1275</v>
      </c>
      <c r="F219" s="790"/>
      <c r="G219" s="790"/>
    </row>
    <row r="220" spans="2:7">
      <c r="B220" s="756" t="str">
        <f>IF(OR(ISBLANK(D220), ISBLANK(E220)), "", IF(Eckdaten!$C$15="Deutsch", D220, E220))</f>
        <v>Comments</v>
      </c>
      <c r="D220" s="780" t="s">
        <v>1276</v>
      </c>
      <c r="E220" s="780" t="s">
        <v>1277</v>
      </c>
      <c r="F220" s="780"/>
      <c r="G220" s="780"/>
    </row>
    <row r="221" spans="2:7">
      <c r="B221" s="756" t="str">
        <f>IF(OR(ISBLANK(D221), ISBLANK(E221)), "", IF(Eckdaten!$C$15="Deutsch", D221, E221))</f>
        <v>Check</v>
      </c>
      <c r="D221" s="780" t="s">
        <v>1278</v>
      </c>
      <c r="E221" s="780" t="s">
        <v>182</v>
      </c>
      <c r="F221" s="780"/>
      <c r="G221" s="780"/>
    </row>
    <row r="222" spans="2:7">
      <c r="B222" s="756" t="str">
        <f>IF(OR(ISBLANK(D222), ISBLANK(E222)), "", IF(Eckdaten!$C$15="Deutsch", D222, E222))</f>
        <v>Income Statement</v>
      </c>
      <c r="D222" s="780" t="s">
        <v>1279</v>
      </c>
      <c r="E222" s="780" t="s">
        <v>1280</v>
      </c>
      <c r="F222" s="780"/>
      <c r="G222" s="780"/>
    </row>
    <row r="223" spans="2:7">
      <c r="B223" s="756" t="str">
        <f>IF(OR(ISBLANK(D223), ISBLANK(E223)), "", IF(Eckdaten!$C$15="Deutsch", D223, E223))</f>
        <v>Balance Sheet</v>
      </c>
      <c r="D223" s="780" t="s">
        <v>1281</v>
      </c>
      <c r="E223" s="780" t="s">
        <v>1282</v>
      </c>
      <c r="F223" s="780"/>
      <c r="G223" s="780"/>
    </row>
    <row r="224" spans="2:7">
      <c r="B224" s="756" t="str">
        <f>IF(OR(ISBLANK(D224), ISBLANK(E224)), "", IF(Eckdaten!$C$15="Deutsch", D224, E224))</f>
        <v>Planning assumptions (P&amp;L)</v>
      </c>
      <c r="D224" s="780" t="s">
        <v>1283</v>
      </c>
      <c r="E224" s="780" t="s">
        <v>1284</v>
      </c>
      <c r="F224" s="780"/>
      <c r="G224" s="780"/>
    </row>
    <row r="225" spans="2:7">
      <c r="B225" s="756" t="str">
        <f>IF(OR(ISBLANK(D225), ISBLANK(E225)), "", IF(Eckdaten!$C$15="Deutsch", D225, E225))</f>
        <v>Total turnover</v>
      </c>
      <c r="D225" s="749" t="s">
        <v>208</v>
      </c>
      <c r="E225" s="749" t="s">
        <v>1285</v>
      </c>
    </row>
    <row r="226" spans="2:7">
      <c r="B226" s="756" t="str">
        <f>IF(OR(ISBLANK(D226), ISBLANK(E226)), "", IF(Eckdaten!$C$15="Deutsch", D226, E226))</f>
        <v>Profit &amp; Loss Planning</v>
      </c>
      <c r="D226" s="749" t="s">
        <v>1286</v>
      </c>
      <c r="E226" s="749" t="s">
        <v>1287</v>
      </c>
    </row>
    <row r="227" spans="2:7">
      <c r="B227" s="756" t="str">
        <f>IF(OR(ISBLANK(D227), ISBLANK(E227)), "", IF(Eckdaten!$C$15="Deutsch", D227, E227))</f>
        <v>Revenue Planning</v>
      </c>
      <c r="D227" s="780" t="s">
        <v>1288</v>
      </c>
      <c r="E227" s="780" t="s">
        <v>1289</v>
      </c>
      <c r="F227" s="780"/>
      <c r="G227" s="780"/>
    </row>
    <row r="228" spans="2:7">
      <c r="B228" s="756" t="str">
        <f>IF(OR(ISBLANK(D228), ISBLANK(E228)), "", IF(Eckdaten!$C$15="Deutsch", D228, E228))</f>
        <v>Interest calculation</v>
      </c>
      <c r="D228" s="749" t="s">
        <v>1290</v>
      </c>
      <c r="E228" s="749" t="s">
        <v>1291</v>
      </c>
    </row>
    <row r="229" spans="2:7">
      <c r="B229" s="756" t="str">
        <f>IF(OR(ISBLANK(D229), ISBLANK(E229)), "", IF(Eckdaten!$C$15="Deutsch", D229, E229))</f>
        <v>Interest bearing liabilities</v>
      </c>
      <c r="D229" s="749" t="s">
        <v>1292</v>
      </c>
      <c r="E229" s="749" t="s">
        <v>1293</v>
      </c>
    </row>
    <row r="230" spans="2:7">
      <c r="B230" s="756" t="str">
        <f>IF(OR(ISBLANK(D230), ISBLANK(E230)), "", IF(Eckdaten!$C$15="Deutsch", D230, E230))</f>
        <v>(in % int. bearing liab.)</v>
      </c>
      <c r="D230" s="780" t="s">
        <v>1294</v>
      </c>
      <c r="E230" s="780" t="s">
        <v>1295</v>
      </c>
      <c r="F230" s="780"/>
      <c r="G230" s="780"/>
    </row>
    <row r="231" spans="2:7">
      <c r="B231" s="756" t="str">
        <f>IF(OR(ISBLANK(D231), ISBLANK(E231)), "", IF(Eckdaten!$C$15="Deutsch", D231, E231))</f>
        <v>(in % of total Debt)</v>
      </c>
      <c r="D231" s="780" t="s">
        <v>1296</v>
      </c>
      <c r="E231" s="780" t="s">
        <v>1297</v>
      </c>
      <c r="F231" s="780"/>
      <c r="G231" s="780"/>
    </row>
    <row r="232" spans="2:7">
      <c r="B232" s="756" t="str">
        <f>IF(OR(ISBLANK(D232), ISBLANK(E232)), "", IF(Eckdaten!$C$15="Deutsch", D232, E232))</f>
        <v>Financial income calculation</v>
      </c>
      <c r="D232" s="749" t="s">
        <v>1298</v>
      </c>
      <c r="E232" s="749" t="s">
        <v>1299</v>
      </c>
    </row>
    <row r="233" spans="2:7">
      <c r="B233" s="756" t="str">
        <f>IF(OR(ISBLANK(D233), ISBLANK(E233)), "", IF(Eckdaten!$C$15="Deutsch", D233, E233))</f>
        <v>Financial assets</v>
      </c>
      <c r="D233" s="749" t="s">
        <v>1300</v>
      </c>
      <c r="E233" s="749" t="s">
        <v>1301</v>
      </c>
    </row>
    <row r="234" spans="2:7">
      <c r="B234" s="756" t="str">
        <f>IF(OR(ISBLANK(D236), ISBLANK(E234)), "", IF(Eckdaten!$C$15="Deutsch", D236, E234))</f>
        <v>(in % of EBT)</v>
      </c>
      <c r="D234" s="749" t="s">
        <v>1302</v>
      </c>
      <c r="E234" s="749" t="s">
        <v>248</v>
      </c>
    </row>
    <row r="235" spans="2:7">
      <c r="B235" s="756" t="str">
        <f>IF(OR(ISBLANK(D235), ISBLANK(E235)), "", IF(Eckdaten!$C$15="Deutsch", D235, E235))</f>
        <v>(in % of financial assets)</v>
      </c>
      <c r="D235" s="780" t="s">
        <v>1303</v>
      </c>
      <c r="E235" s="780" t="s">
        <v>1304</v>
      </c>
      <c r="F235" s="780"/>
      <c r="G235" s="780"/>
    </row>
    <row r="236" spans="2:7">
      <c r="B236" s="756" t="str">
        <f>IF(OR(ISBLANK(D236), ISBLANK(E236)), "", IF(Eckdaten!$C$15="Deutsch", D236, E236))</f>
        <v>Planning  of Assets</v>
      </c>
      <c r="D236" s="749" t="s">
        <v>1305</v>
      </c>
      <c r="E236" s="749" t="s">
        <v>1306</v>
      </c>
    </row>
    <row r="237" spans="2:7">
      <c r="B237" s="756" t="str">
        <f>IF(OR(ISBLANK(D237), ISBLANK(E237)), "", IF(Eckdaten!$C$15="Deutsch", D237, E237))</f>
        <v>Total Depreciation</v>
      </c>
      <c r="D237" s="780" t="s">
        <v>1307</v>
      </c>
      <c r="E237" s="780" t="s">
        <v>1308</v>
      </c>
      <c r="F237" s="780"/>
      <c r="G237" s="780"/>
    </row>
    <row r="238" spans="2:7">
      <c r="B238" s="756" t="str">
        <f>IF(OR(ISBLANK(D238), ISBLANK(E238)), "", IF(Eckdaten!$C$15="Deutsch", D238, E238))</f>
        <v>Control (comparison with P&amp;L)</v>
      </c>
      <c r="D238" s="749" t="s">
        <v>1309</v>
      </c>
      <c r="E238" s="749" t="s">
        <v>1310</v>
      </c>
    </row>
    <row r="239" spans="2:7">
      <c r="B239" s="756" t="str">
        <f>IF(OR(ISBLANK(D239), ISBLANK(E239)), "", IF(Eckdaten!$C$15="Deutsch", D239, E239))</f>
        <v>Gross investments (without transfer/disposal)</v>
      </c>
      <c r="D239" s="749" t="s">
        <v>1311</v>
      </c>
      <c r="E239" s="749" t="s">
        <v>1312</v>
      </c>
    </row>
    <row r="240" spans="2:7">
      <c r="B240" s="756" t="str">
        <f>IF(OR(ISBLANK(D240), ISBLANK(E240)), "", IF(Eckdaten!$C$15="Deutsch", D240, E240))</f>
        <v>CapEx/ net investments</v>
      </c>
      <c r="D240" s="749" t="s">
        <v>1313</v>
      </c>
      <c r="E240" s="749" t="s">
        <v>1314</v>
      </c>
    </row>
    <row r="241" spans="2:7">
      <c r="B241" s="756" t="str">
        <f>IF(OR(ISBLANK(D241), ISBLANK(E241)), "", IF(Eckdaten!$C$15="Deutsch", D241, E241))</f>
        <v>Planning balance sheet - asset side</v>
      </c>
      <c r="D241" s="749" t="s">
        <v>1315</v>
      </c>
      <c r="E241" s="749" t="s">
        <v>1316</v>
      </c>
    </row>
    <row r="242" spans="2:7">
      <c r="B242" s="756" t="str">
        <f>IF(OR(ISBLANK(D242), ISBLANK(E242)), "", IF(Eckdaten!$C$15="Deutsch", D242, E242))</f>
        <v>Planning balance sheet - liabilities side</v>
      </c>
      <c r="D242" s="749" t="s">
        <v>1317</v>
      </c>
      <c r="E242" s="749" t="s">
        <v>1318</v>
      </c>
    </row>
    <row r="243" spans="2:7">
      <c r="B243" s="756" t="str">
        <f>IF(OR(ISBLANK(D243), ISBLANK(E243)), "", IF(Eckdaten!$C$15="Deutsch", D243, E243))</f>
        <v>in % of</v>
      </c>
      <c r="D243" s="780" t="s">
        <v>1319</v>
      </c>
      <c r="E243" s="780" t="s">
        <v>1320</v>
      </c>
      <c r="F243" s="780"/>
      <c r="G243" s="780"/>
    </row>
    <row r="244" spans="2:7">
      <c r="B244" s="756" t="str">
        <f>IF(OR(ISBLANK(D244), ISBLANK(E244)), "", IF(Eckdaten!$C$15="Deutsch", D244, E244))</f>
        <v>Adjustments</v>
      </c>
      <c r="D244" s="780" t="s">
        <v>1321</v>
      </c>
      <c r="E244" s="780" t="s">
        <v>1322</v>
      </c>
      <c r="F244" s="780"/>
      <c r="G244" s="780"/>
    </row>
    <row r="245" spans="2:7">
      <c r="B245" s="756" t="str">
        <f>IF(OR(ISBLANK(D245), ISBLANK(E245)), "", IF(Eckdaten!$C$15="Deutsch", D245, E245))</f>
        <v>Cost Planning</v>
      </c>
      <c r="D245" s="780" t="s">
        <v>1323</v>
      </c>
      <c r="E245" s="780" t="s">
        <v>1324</v>
      </c>
      <c r="F245" s="780"/>
      <c r="G245" s="780"/>
    </row>
    <row r="246" spans="2:7">
      <c r="B246" s="756" t="str">
        <f>IF(OR(ISBLANK(D246), ISBLANK(E246)), "", IF(Eckdaten!$C$15="Deutsch", D246, E246))</f>
        <v>(+/-) Operating Capital (offsetting WC as at the reporting date)</v>
      </c>
      <c r="D246" s="749" t="s">
        <v>1325</v>
      </c>
      <c r="E246" s="749" t="s">
        <v>1326</v>
      </c>
    </row>
    <row r="247" spans="2:7">
      <c r="B247" s="756" t="str">
        <f>IF(OR(ISBLANK(D247), ISBLANK(E247)), "", IF(Eckdaten!$C$15="Deutsch", D247, E247))</f>
        <v>Net Profit (loss) (reported)</v>
      </c>
      <c r="D247" s="780" t="s">
        <v>1327</v>
      </c>
      <c r="E247" s="780" t="s">
        <v>1328</v>
      </c>
      <c r="F247" s="780"/>
      <c r="G247" s="780"/>
    </row>
    <row r="248" spans="2:7">
      <c r="B248" s="756" t="str">
        <f>IF(OR(ISBLANK(D248), ISBLANK(E248)), "", IF(Eckdaten!$C$15="Deutsch", D248, E248))</f>
        <v>Structure of Assets</v>
      </c>
      <c r="D248" s="780" t="s">
        <v>1329</v>
      </c>
      <c r="E248" s="780" t="s">
        <v>1330</v>
      </c>
      <c r="F248" s="780"/>
      <c r="G248" s="780"/>
    </row>
    <row r="249" spans="2:7">
      <c r="B249" s="756" t="str">
        <f>IF(OR(ISBLANK(D249), ISBLANK(E249)), "", IF(Eckdaten!$C$15="Deutsch", D249, E249))</f>
        <v>Structure of Liabilities</v>
      </c>
      <c r="D249" s="780" t="s">
        <v>1331</v>
      </c>
      <c r="E249" s="780" t="s">
        <v>1332</v>
      </c>
      <c r="F249" s="780"/>
      <c r="G249" s="780"/>
    </row>
    <row r="250" spans="2:7">
      <c r="B250" s="756" t="str">
        <f>IF(OR(ISBLANK(D250), ISBLANK(E250)), "", IF(Eckdaten!$C$15="Deutsch", D250, E250))</f>
        <v>Capex Overview</v>
      </c>
      <c r="D250" s="780" t="s">
        <v>1333</v>
      </c>
      <c r="E250" s="780" t="s">
        <v>1334</v>
      </c>
      <c r="F250" s="780"/>
      <c r="G250" s="780"/>
    </row>
    <row r="251" spans="2:7">
      <c r="B251" s="756" t="str">
        <f>IF(OR(ISBLANK(D251), ISBLANK(E251)), "", IF(Eckdaten!$C$15="Deutsch", D251, E251))</f>
        <v>Net Working Capital Overview</v>
      </c>
      <c r="D251" s="780" t="s">
        <v>1335</v>
      </c>
      <c r="E251" s="780" t="s">
        <v>1336</v>
      </c>
      <c r="F251" s="780"/>
      <c r="G251" s="780"/>
    </row>
    <row r="252" spans="2:7">
      <c r="B252" s="756" t="str">
        <f>IF(OR(ISBLANK(D252), ISBLANK(E252)), "", IF(Eckdaten!$C$15="Deutsch", D252, E252))</f>
        <v>(in % of EBIT (adjusted))</v>
      </c>
      <c r="D252" s="780" t="s">
        <v>1337</v>
      </c>
      <c r="E252" s="780" t="s">
        <v>1338</v>
      </c>
      <c r="F252" s="780"/>
      <c r="G252" s="780"/>
    </row>
    <row r="253" spans="2:7">
      <c r="B253" s="756" t="str">
        <f>IF(OR(ISBLANK(D253), ISBLANK(E253)), "", IF(Eckdaten!$C$15="Deutsch", D253, E253))</f>
        <v>P&amp;L Planning Type</v>
      </c>
      <c r="D253" s="780" t="s">
        <v>1339</v>
      </c>
      <c r="E253" s="780" t="s">
        <v>1340</v>
      </c>
      <c r="F253" s="780"/>
      <c r="G253" s="780"/>
    </row>
    <row r="254" spans="2:7">
      <c r="B254" s="756" t="str">
        <f>IF(OR(ISBLANK(D254), ISBLANK(E254)), "", IF(Eckdaten!$C$15="Deutsch", D254, E254))</f>
        <v/>
      </c>
      <c r="D254" s="780" t="s">
        <v>1341</v>
      </c>
      <c r="E254" s="780"/>
      <c r="F254" s="780"/>
      <c r="G254" s="780"/>
    </row>
    <row r="255" spans="2:7">
      <c r="B255" s="756" t="str">
        <f>IF(OR(ISBLANK(D255), ISBLANK(E255)), "", IF(Eckdaten!$C$15="Deutsch", D255, E255))</f>
        <v/>
      </c>
    </row>
    <row r="256" spans="2:7">
      <c r="B256" s="756" t="str">
        <f>IF(OR(ISBLANK(D256), ISBLANK(E256)), "", IF(Eckdaten!$C$15="Deutsch", D256, E256))</f>
        <v>%YOY Growth</v>
      </c>
      <c r="D256" s="780" t="s">
        <v>1342</v>
      </c>
      <c r="E256" s="780" t="s">
        <v>1343</v>
      </c>
      <c r="F256" s="780"/>
      <c r="G256" s="780"/>
    </row>
    <row r="257" spans="2:7">
      <c r="B257" s="756" t="str">
        <f>IF(OR(ISBLANK(D257), ISBLANK(E257)), "", IF(Eckdaten!$C$15="Deutsch", D257, E257))</f>
        <v>Debt-equity ratio &amp; interest cover</v>
      </c>
      <c r="D257" s="780" t="s">
        <v>1344</v>
      </c>
      <c r="E257" s="780" t="s">
        <v>1345</v>
      </c>
      <c r="F257" s="780"/>
      <c r="G257" s="780"/>
    </row>
    <row r="258" spans="2:7">
      <c r="B258" s="756" t="str">
        <f>IF(OR(ISBLANK(D258), ISBLANK(E258)), "", IF(Eckdaten!$C$15="Deutsch", D258, E258))</f>
        <v>Cash and cash equivalents</v>
      </c>
      <c r="D258" s="780" t="s">
        <v>1346</v>
      </c>
      <c r="E258" s="780" t="s">
        <v>1347</v>
      </c>
      <c r="F258" s="780"/>
      <c r="G258" s="780"/>
    </row>
    <row r="259" spans="2:7">
      <c r="B259" s="756" t="str">
        <f>IF(OR(ISBLANK(D259), ISBLANK(E259)), "", IF(Eckdaten!$C$15="Deutsch", D259, E259))</f>
        <v>Bank debt</v>
      </c>
      <c r="D259" s="780" t="s">
        <v>1348</v>
      </c>
      <c r="E259" s="780" t="s">
        <v>1349</v>
      </c>
      <c r="F259" s="780"/>
      <c r="G259" s="780"/>
    </row>
    <row r="260" spans="2:7">
      <c r="B260" s="756" t="str">
        <f>IF(OR(ISBLANK(D260), ISBLANK(E260)), "", IF(Eckdaten!$C$15="Deutsch", D260, E260))</f>
        <v>Net bank debt</v>
      </c>
      <c r="D260" s="780" t="s">
        <v>1350</v>
      </c>
      <c r="E260" s="780" t="s">
        <v>1351</v>
      </c>
      <c r="F260" s="780"/>
      <c r="G260" s="780"/>
    </row>
    <row r="261" spans="2:7">
      <c r="B261" s="756" t="str">
        <f>IF(OR(ISBLANK(D261), ISBLANK(E261)), "", IF(Eckdaten!$C$15="Deutsch", D261, E261))</f>
        <v>Other interest-bearing liabilities</v>
      </c>
      <c r="D261" s="780" t="s">
        <v>1352</v>
      </c>
      <c r="E261" s="780" t="s">
        <v>1353</v>
      </c>
      <c r="F261" s="780"/>
      <c r="G261" s="780"/>
    </row>
    <row r="262" spans="2:7">
      <c r="B262" s="756" t="str">
        <f>IF(OR(ISBLANK(D262), ISBLANK(E262)), "", IF(Eckdaten!$C$15="Deutsch", D262, E262))</f>
        <v>Total debt</v>
      </c>
      <c r="D262" s="780" t="s">
        <v>1354</v>
      </c>
      <c r="E262" s="780" t="s">
        <v>1355</v>
      </c>
      <c r="F262" s="780"/>
      <c r="G262" s="780"/>
    </row>
    <row r="263" spans="2:7">
      <c r="B263" s="756"/>
      <c r="D263" s="780"/>
      <c r="E263" s="780"/>
      <c r="F263" s="780"/>
      <c r="G263" s="780"/>
    </row>
    <row r="264" spans="2:7">
      <c r="B264" s="756"/>
      <c r="D264" s="780"/>
      <c r="E264" s="780"/>
      <c r="F264" s="780"/>
      <c r="G264" s="780"/>
    </row>
    <row r="265" spans="2:7">
      <c r="B265" s="756" t="str">
        <f>IF(OR(ISBLANK(D265), ISBLANK(E265)), "", IF(Eckdaten!$C$15="Deutsch", D265, E265))</f>
        <v>Net debt</v>
      </c>
      <c r="D265" s="780" t="s">
        <v>155</v>
      </c>
      <c r="E265" s="780" t="s">
        <v>1356</v>
      </c>
      <c r="F265" s="780"/>
      <c r="G265" s="780"/>
    </row>
    <row r="266" spans="2:7">
      <c r="B266" s="756" t="str">
        <f>IF(OR(ISBLANK(D266), ISBLANK(E266)), "", IF(Eckdaten!$C$15="Deutsch", D266, E266))</f>
        <v>Interest expense</v>
      </c>
      <c r="D266" s="780" t="s">
        <v>228</v>
      </c>
      <c r="E266" s="780" t="s">
        <v>1357</v>
      </c>
      <c r="F266" s="780"/>
      <c r="G266" s="780"/>
    </row>
    <row r="267" spans="2:7">
      <c r="B267" s="756" t="str">
        <f>IF(OR(ISBLANK(D267), ISBLANK(E267)), "", IF(Eckdaten!$C$15="Deutsch", D267, E267))</f>
        <v>Financial result</v>
      </c>
      <c r="D267" s="780" t="s">
        <v>678</v>
      </c>
      <c r="E267" s="780" t="s">
        <v>1358</v>
      </c>
      <c r="F267" s="780"/>
      <c r="G267" s="780"/>
    </row>
    <row r="268" spans="2:7">
      <c r="B268" s="756" t="str">
        <f>IF(OR(ISBLANK(D268), ISBLANK(E268)), "", IF(Eckdaten!$C$15="Deutsch", D268, E268))</f>
        <v/>
      </c>
      <c r="D268" s="780"/>
      <c r="E268" s="780"/>
      <c r="F268" s="780"/>
      <c r="G268" s="780"/>
    </row>
    <row r="269" spans="2:7">
      <c r="B269" s="756" t="str">
        <f>IF(OR(ISBLANK(D269), ISBLANK(E269)), "", IF(Eckdaten!$C$15="Deutsch", D269, E269))</f>
        <v>Equity ratio</v>
      </c>
      <c r="D269" s="780" t="s">
        <v>1359</v>
      </c>
      <c r="E269" s="780" t="s">
        <v>1360</v>
      </c>
      <c r="F269" s="780"/>
      <c r="G269" s="780"/>
    </row>
    <row r="270" spans="2:7">
      <c r="B270" s="756" t="str">
        <f>IF(OR(ISBLANK(D270), ISBLANK(E270)), "", IF(Eckdaten!$C$15="Deutsch", D270, E270))</f>
        <v>Equity ratio</v>
      </c>
      <c r="D270" s="780" t="s">
        <v>1359</v>
      </c>
      <c r="E270" s="780" t="s">
        <v>1360</v>
      </c>
      <c r="F270" s="780"/>
      <c r="G270" s="780"/>
    </row>
    <row r="271" spans="2:7">
      <c r="B271" s="756" t="str">
        <f>IF(OR(ISBLANK(D271), ISBLANK(E271)), "", IF(Eckdaten!$C$15="Deutsch", D271, E271))</f>
        <v>Leverage</v>
      </c>
      <c r="D271" s="780" t="s">
        <v>1361</v>
      </c>
      <c r="E271" s="780" t="s">
        <v>1361</v>
      </c>
      <c r="F271" s="780"/>
      <c r="G271" s="780"/>
    </row>
    <row r="272" spans="2:7">
      <c r="B272" s="756" t="str">
        <f>IF(OR(ISBLANK(D272), ISBLANK(E272)), "", IF(Eckdaten!$C$15="Deutsch", D272, E272))</f>
        <v>Bank debt / EBITDA</v>
      </c>
      <c r="D272" s="780" t="s">
        <v>1362</v>
      </c>
      <c r="E272" s="780" t="s">
        <v>1363</v>
      </c>
      <c r="F272" s="780"/>
      <c r="G272" s="780"/>
    </row>
    <row r="273" spans="2:7">
      <c r="B273" s="756" t="str">
        <f>IF(OR(ISBLANK(D273), ISBLANK(E273)), "", IF(Eckdaten!$C$15="Deutsch", D273, E273))</f>
        <v>Net bank debt / EBITDA</v>
      </c>
      <c r="D273" s="780" t="s">
        <v>1364</v>
      </c>
      <c r="E273" s="780" t="s">
        <v>1365</v>
      </c>
      <c r="F273" s="780"/>
      <c r="G273" s="780"/>
    </row>
    <row r="274" spans="2:7">
      <c r="B274" s="756" t="str">
        <f>IF(OR(ISBLANK(D274), ISBLANK(E274)), "", IF(Eckdaten!$C$15="Deutsch", D274, E274))</f>
        <v>Other interest-bearing liabilities / EBITDA</v>
      </c>
      <c r="D274" s="780" t="s">
        <v>1366</v>
      </c>
      <c r="E274" s="780" t="s">
        <v>1367</v>
      </c>
      <c r="F274" s="780"/>
      <c r="G274" s="780"/>
    </row>
    <row r="275" spans="2:7">
      <c r="B275" s="756" t="str">
        <f>IF(OR(ISBLANK(D275), ISBLANK(E275)), "", IF(Eckdaten!$C$15="Deutsch", D275, E275))</f>
        <v>Net Debt / EBITDA</v>
      </c>
      <c r="D275" s="780" t="s">
        <v>1368</v>
      </c>
      <c r="E275" s="780" t="s">
        <v>1368</v>
      </c>
      <c r="F275" s="780"/>
      <c r="G275" s="780"/>
    </row>
    <row r="276" spans="2:7">
      <c r="B276" s="756" t="str">
        <f>IF(OR(ISBLANK(D276), ISBLANK(E276)), "", IF(Eckdaten!$C$15="Deutsch", D276, E276))</f>
        <v>Total debt / EBITDA</v>
      </c>
      <c r="D276" s="780" t="s">
        <v>1369</v>
      </c>
      <c r="E276" s="780" t="s">
        <v>1370</v>
      </c>
      <c r="F276" s="780"/>
      <c r="G276" s="780"/>
    </row>
    <row r="277" spans="2:7">
      <c r="B277" s="756" t="str">
        <f>IF(OR(ISBLANK(D277), ISBLANK(E277)), "", IF(Eckdaten!$C$15="Deutsch", D277, E277))</f>
        <v/>
      </c>
      <c r="D277" s="780"/>
      <c r="E277" s="780"/>
      <c r="F277" s="780"/>
      <c r="G277" s="780"/>
    </row>
    <row r="278" spans="2:7">
      <c r="B278" s="756" t="str">
        <f>IF(OR(ISBLANK(D278), ISBLANK(E278)), "", IF(Eckdaten!$C$15="Deutsch", D278, E278))</f>
        <v>EBITDA / Interest expense</v>
      </c>
      <c r="D278" s="780" t="s">
        <v>1371</v>
      </c>
      <c r="E278" s="780" t="s">
        <v>1372</v>
      </c>
      <c r="F278" s="780"/>
      <c r="G278" s="780"/>
    </row>
    <row r="279" spans="2:7">
      <c r="B279" s="756" t="str">
        <f>IF(OR(ISBLANK(D279), ISBLANK(E279)), "", IF(Eckdaten!$C$15="Deutsch", D279, E279))</f>
        <v>EBITDA / Financial Result</v>
      </c>
      <c r="D279" s="780" t="s">
        <v>1373</v>
      </c>
      <c r="E279" s="780" t="s">
        <v>1374</v>
      </c>
      <c r="F279" s="780"/>
      <c r="G279" s="780"/>
    </row>
    <row r="280" spans="2:7">
      <c r="B280" s="756" t="str">
        <f>IF(OR(ISBLANK(D280), ISBLANK(E280)), "", IF(Eckdaten!$C$15="Deutsch", D280, E280))</f>
        <v>Dividend paid to the shareholder</v>
      </c>
      <c r="D280" s="780" t="s">
        <v>1375</v>
      </c>
      <c r="E280" s="780" t="s">
        <v>1376</v>
      </c>
      <c r="F280" s="780"/>
      <c r="G280" s="780"/>
    </row>
    <row r="281" spans="2:7">
      <c r="B281" s="756" t="str">
        <f>IF(OR(ISBLANK(D281), ISBLANK(E281)), "", IF(Eckdaten!$C$15="Deutsch", D281, E281))</f>
        <v/>
      </c>
    </row>
    <row r="282" spans="2:7">
      <c r="B282" s="756" t="str">
        <f>IF(OR(ISBLANK(D282), ISBLANK(E282)), "", IF(Eckdaten!$C$15="Deutsch", D282, E282))</f>
        <v/>
      </c>
    </row>
    <row r="283" spans="2:7">
      <c r="B283" s="756" t="str">
        <f>IF(OR(ISBLANK(D283), ISBLANK(E283)), "", IF(Eckdaten!$C$15="Deutsch", D283, E283))</f>
        <v/>
      </c>
    </row>
    <row r="284" spans="2:7">
      <c r="B284" s="756" t="str">
        <f>IF(OR(ISBLANK(D284), ISBLANK(E284)), "", IF(Eckdaten!$C$15="Deutsch", D284, E284))</f>
        <v/>
      </c>
    </row>
    <row r="285" spans="2:7">
      <c r="B285" s="756" t="str">
        <f>IF(OR(ISBLANK(D285), ISBLANK(E285)), "", IF(Eckdaten!$C$15="Deutsch", D285, E285))</f>
        <v/>
      </c>
    </row>
    <row r="286" spans="2:7">
      <c r="B286" s="756" t="str">
        <f>IF(OR(ISBLANK(D286), ISBLANK(E286)), "", IF(Eckdaten!$C$15="Deutsch", D286, E286))</f>
        <v/>
      </c>
    </row>
    <row r="287" spans="2:7">
      <c r="B287" s="756" t="str">
        <f>IF(OR(ISBLANK(D287), ISBLANK(E287)), "", IF(Eckdaten!$C$15="Deutsch", D287, E287))</f>
        <v/>
      </c>
    </row>
    <row r="288" spans="2:7">
      <c r="B288" s="756" t="str">
        <f>IF(OR(ISBLANK(D288), ISBLANK(E288)), "", IF(Eckdaten!$C$15="Deutsch", D288, E288))</f>
        <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839CA-0389-497D-BEF5-0FA548F0BAFD}">
  <sheetPr codeName="Sheet6">
    <tabColor theme="1"/>
  </sheetPr>
  <dimension ref="B2:G20"/>
  <sheetViews>
    <sheetView workbookViewId="0"/>
  </sheetViews>
  <sheetFormatPr defaultColWidth="8.7109375" defaultRowHeight="12.75"/>
  <cols>
    <col min="1" max="1" width="2.42578125" customWidth="1"/>
    <col min="2" max="2" width="25.42578125" bestFit="1" customWidth="1"/>
    <col min="3" max="3" width="45.140625" bestFit="1" customWidth="1"/>
    <col min="4" max="4" width="4.42578125" customWidth="1"/>
    <col min="6" max="6" width="23.42578125" bestFit="1" customWidth="1"/>
    <col min="7" max="7" width="10" bestFit="1" customWidth="1"/>
  </cols>
  <sheetData>
    <row r="2" spans="2:7" ht="18.75">
      <c r="B2" s="109" t="s">
        <v>56</v>
      </c>
    </row>
    <row r="4" spans="2:7">
      <c r="B4" s="13" t="s">
        <v>1377</v>
      </c>
      <c r="C4" s="13" t="s">
        <v>1378</v>
      </c>
      <c r="F4" s="13" t="s">
        <v>1379</v>
      </c>
    </row>
    <row r="5" spans="2:7">
      <c r="B5" s="14" t="s">
        <v>260</v>
      </c>
      <c r="C5" s="14" t="str">
        <f>Lang.!B15</f>
        <v>Total Turnover (reported)</v>
      </c>
      <c r="F5" s="14" t="s">
        <v>1380</v>
      </c>
      <c r="G5" s="99" t="e">
        <f ca="1">MultBew.!AH7</f>
        <v>#NUM!</v>
      </c>
    </row>
    <row r="6" spans="2:7">
      <c r="B6" s="14" t="s">
        <v>259</v>
      </c>
      <c r="C6" s="14" t="str">
        <f>Lang.!B18</f>
        <v>Cost of Material</v>
      </c>
      <c r="F6" s="14" t="s">
        <v>1381</v>
      </c>
      <c r="G6" s="99">
        <f>MultBew.!AH11</f>
        <v>20817235.716315392</v>
      </c>
    </row>
    <row r="7" spans="2:7">
      <c r="B7" s="14" t="s">
        <v>263</v>
      </c>
      <c r="C7" s="14" t="str">
        <f>Lang.!B27</f>
        <v>Personnel Expenses</v>
      </c>
      <c r="F7" s="14" t="s">
        <v>1382</v>
      </c>
      <c r="G7" s="99">
        <f>MultBew.!AH17</f>
        <v>20631376.189387631</v>
      </c>
    </row>
    <row r="8" spans="2:7">
      <c r="B8" s="14" t="s">
        <v>1383</v>
      </c>
      <c r="C8" s="14" t="str">
        <f>Lang.!B43</f>
        <v>EBITDA (adjusted)</v>
      </c>
      <c r="F8" s="14" t="s">
        <v>1384</v>
      </c>
      <c r="G8" s="99" t="e">
        <f ca="1">MultBew.!AH8</f>
        <v>#NUM!</v>
      </c>
    </row>
    <row r="9" spans="2:7">
      <c r="B9" s="14" t="s">
        <v>1385</v>
      </c>
      <c r="C9" s="14" t="str">
        <f>Lang.!B46</f>
        <v>Depreciation and Amortization</v>
      </c>
      <c r="F9" s="14" t="s">
        <v>1386</v>
      </c>
      <c r="G9" s="99">
        <f>MultBew.!AH12</f>
        <v>3235960.2356374925</v>
      </c>
    </row>
    <row r="10" spans="2:7">
      <c r="B10" s="29" t="s">
        <v>262</v>
      </c>
      <c r="C10" t="b">
        <v>0</v>
      </c>
      <c r="F10" s="14" t="s">
        <v>1387</v>
      </c>
      <c r="G10" s="99">
        <f>MultBew.!AH18</f>
        <v>4377090.87080127</v>
      </c>
    </row>
    <row r="11" spans="2:7">
      <c r="B11" s="14"/>
      <c r="C11" s="14"/>
      <c r="F11" s="14" t="s">
        <v>1388</v>
      </c>
      <c r="G11" s="99" t="e">
        <f ca="1">MultBew.!AH9</f>
        <v>#NUM!</v>
      </c>
    </row>
    <row r="12" spans="2:7">
      <c r="B12" s="29"/>
      <c r="F12" s="14" t="s">
        <v>1389</v>
      </c>
      <c r="G12" s="99">
        <f>MultBew.!AH13</f>
        <v>6114995.8722368618</v>
      </c>
    </row>
    <row r="13" spans="2:7">
      <c r="B13" s="29"/>
      <c r="C13" s="14"/>
      <c r="F13" s="14" t="s">
        <v>1390</v>
      </c>
      <c r="G13" s="99">
        <f>MultBew.!AH19</f>
        <v>8525226.2191298585</v>
      </c>
    </row>
    <row r="14" spans="2:7">
      <c r="B14" s="29" t="s">
        <v>1391</v>
      </c>
      <c r="F14" s="14" t="s">
        <v>1392</v>
      </c>
      <c r="G14" s="99" t="e">
        <f ca="1">DCF!E44</f>
        <v>#VALUE!</v>
      </c>
    </row>
    <row r="15" spans="2:7">
      <c r="B15" s="29" t="s">
        <v>580</v>
      </c>
      <c r="F15" s="14" t="s">
        <v>1393</v>
      </c>
      <c r="G15" s="99" t="e">
        <f ca="1">DCF!G44</f>
        <v>#VALUE!</v>
      </c>
    </row>
    <row r="16" spans="2:7">
      <c r="B16" s="29" t="s">
        <v>1394</v>
      </c>
      <c r="F16" s="14" t="s">
        <v>1395</v>
      </c>
      <c r="G16" s="99" t="e">
        <f ca="1">DCF!I44</f>
        <v>#VALUE!</v>
      </c>
    </row>
    <row r="17" spans="2:7">
      <c r="B17" s="12"/>
      <c r="F17" s="14" t="s">
        <v>695</v>
      </c>
      <c r="G17" s="99" t="e">
        <f ca="1">MEDIAN(G4:G16)</f>
        <v>#NUM!</v>
      </c>
    </row>
    <row r="18" spans="2:7">
      <c r="B18" s="14">
        <f ca="1">YEAR(TODAY())+1</f>
        <v>2027</v>
      </c>
    </row>
    <row r="19" spans="2:7">
      <c r="B19" s="14">
        <f ca="1">YEAR(TODAY())</f>
        <v>2026</v>
      </c>
    </row>
    <row r="20" spans="2:7">
      <c r="B20" s="14">
        <f ca="1">YEAR(TODAY())-1</f>
        <v>2025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38B8C-88F9-440B-8DAA-FE3C22C9D413}">
  <sheetPr codeName="Tabelle19">
    <tabColor theme="1"/>
  </sheetPr>
  <dimension ref="B1:N117"/>
  <sheetViews>
    <sheetView workbookViewId="0"/>
  </sheetViews>
  <sheetFormatPr defaultColWidth="11.42578125" defaultRowHeight="12.75"/>
  <cols>
    <col min="1" max="1" width="5.7109375" customWidth="1"/>
    <col min="2" max="2" width="21.42578125" customWidth="1"/>
    <col min="9" max="9" width="12.42578125" bestFit="1" customWidth="1"/>
  </cols>
  <sheetData>
    <row r="1" spans="2:9" ht="15" customHeight="1"/>
    <row r="2" spans="2:9" ht="18.75">
      <c r="B2" s="109" t="str">
        <f>Übersicht!C33</f>
        <v>Think Cell Data Link</v>
      </c>
    </row>
    <row r="4" spans="2:9">
      <c r="B4" s="13" t="s">
        <v>1396</v>
      </c>
      <c r="H4" s="14" t="s">
        <v>1397</v>
      </c>
    </row>
    <row r="5" spans="2:9">
      <c r="B5" t="str">
        <f>FDB!B8</f>
        <v>Entity Value, in TEUR</v>
      </c>
      <c r="C5" s="14" t="s">
        <v>1398</v>
      </c>
      <c r="D5" s="14" t="s">
        <v>1399</v>
      </c>
      <c r="E5" s="14" t="s">
        <v>1399</v>
      </c>
      <c r="F5" s="14"/>
      <c r="I5" s="101"/>
    </row>
    <row r="6" spans="2:9">
      <c r="C6" s="14"/>
      <c r="D6" s="14"/>
      <c r="F6" s="14"/>
      <c r="H6" s="102" t="s">
        <v>683</v>
      </c>
      <c r="I6" s="101">
        <f ca="1">FDB!E16</f>
        <v>9052.4795684564469</v>
      </c>
    </row>
    <row r="7" spans="2:9">
      <c r="B7" t="str">
        <f>FDB!B9&amp;"          "</f>
        <v xml:space="preserve">Public Comps (Discount = 0.2 )          </v>
      </c>
      <c r="C7" s="103" t="e">
        <f ca="1">FDB!D9</f>
        <v>#DIV/0!</v>
      </c>
      <c r="D7" s="103" t="e">
        <f ca="1">FDB!F9</f>
        <v>#DIV/0!</v>
      </c>
      <c r="E7" s="103" t="e">
        <f ca="1">D7-C7</f>
        <v>#DIV/0!</v>
      </c>
      <c r="F7" s="103"/>
      <c r="H7" s="102" t="s">
        <v>1400</v>
      </c>
      <c r="I7">
        <f>('WC&amp;ND'!H46+'WC&amp;ND'!H48+'WC&amp;ND'!H45)/1000</f>
        <v>-11914.738384032455</v>
      </c>
    </row>
    <row r="8" spans="2:9">
      <c r="B8" t="str">
        <f>FDB!B10&amp;"          "</f>
        <v xml:space="preserve">Transactions (Discount = 0.2 )          </v>
      </c>
      <c r="C8" s="103">
        <f>FDB!D10</f>
        <v>4069.786757391214</v>
      </c>
      <c r="D8" s="103">
        <f>FDB!F10</f>
        <v>9979.057406764241</v>
      </c>
      <c r="E8" s="103">
        <f t="shared" ref="E8:E13" si="0">D8-C8</f>
        <v>5909.2706493730275</v>
      </c>
      <c r="F8" s="103"/>
      <c r="H8" s="102" t="s">
        <v>1401</v>
      </c>
      <c r="I8">
        <f>(SUM('WC&amp;ND'!H44:H49)-I7)/1000</f>
        <v>-12175.029461435794</v>
      </c>
    </row>
    <row r="9" spans="2:9">
      <c r="B9" t="str">
        <f>FDB!B11&amp;"          "</f>
        <v xml:space="preserve">Database (Discount = 0.1 )          </v>
      </c>
      <c r="C9" s="103">
        <f>FDB!C11</f>
        <v>5664.9089370488055</v>
      </c>
      <c r="D9" s="103">
        <f>FDB!G11</f>
        <v>8632.5486557226031</v>
      </c>
      <c r="E9" s="103">
        <f t="shared" si="0"/>
        <v>2967.6397186737977</v>
      </c>
      <c r="F9" s="103"/>
      <c r="H9" s="102" t="s">
        <v>1402</v>
      </c>
      <c r="I9" t="e">
        <f>('WC&amp;ND'!H52)/1000</f>
        <v>#VALUE!</v>
      </c>
    </row>
    <row r="10" spans="2:9">
      <c r="B10" t="str">
        <f>FDB!B12&amp;"          "</f>
        <v xml:space="preserve">DCF (Growth)          </v>
      </c>
      <c r="C10" s="103" t="e">
        <f ca="1">FDB!D12</f>
        <v>#VALUE!</v>
      </c>
      <c r="D10" s="103" t="e">
        <f ca="1">FDB!F12</f>
        <v>#VALUE!</v>
      </c>
      <c r="E10" s="103" t="e">
        <f t="shared" ca="1" si="0"/>
        <v>#VALUE!</v>
      </c>
      <c r="F10" s="103"/>
      <c r="H10" s="102" t="s">
        <v>1403</v>
      </c>
      <c r="I10" t="e">
        <f>(SUM('WC&amp;ND'!H51:H54)-I9)/1000</f>
        <v>#VALUE!</v>
      </c>
    </row>
    <row r="11" spans="2:9">
      <c r="B11" t="str">
        <f>FDB!B13&amp;"          "</f>
        <v xml:space="preserve">DCF (Multiple EBITDA)          </v>
      </c>
      <c r="C11" s="103" t="e">
        <f ca="1">FDB!D13</f>
        <v>#VALUE!</v>
      </c>
      <c r="D11" s="103" t="e">
        <f ca="1">FDB!F13</f>
        <v>#VALUE!</v>
      </c>
      <c r="E11" s="103" t="e">
        <f t="shared" ca="1" si="0"/>
        <v>#VALUE!</v>
      </c>
      <c r="F11" s="103"/>
      <c r="H11" s="102" t="s">
        <v>1404</v>
      </c>
      <c r="I11" t="e">
        <f>('WC&amp;ND'!H56)/1000</f>
        <v>#VALUE!</v>
      </c>
    </row>
    <row r="12" spans="2:9">
      <c r="B12" t="str">
        <f>FDB!B14&amp;"          "</f>
        <v xml:space="preserve">DCF (Multiple EBIT)          </v>
      </c>
      <c r="C12" s="103" t="e">
        <f ca="1">FDB!D14</f>
        <v>#VALUE!</v>
      </c>
      <c r="D12" s="103" t="e">
        <f ca="1">FDB!F14</f>
        <v>#VALUE!</v>
      </c>
      <c r="E12" s="103" t="e">
        <f t="shared" ca="1" si="0"/>
        <v>#VALUE!</v>
      </c>
      <c r="F12" s="103"/>
      <c r="H12" s="29" t="s">
        <v>603</v>
      </c>
      <c r="I12" s="101" t="e">
        <f ca="1">(SUM(I5:I11))</f>
        <v>#VALUE!</v>
      </c>
    </row>
    <row r="13" spans="2:9">
      <c r="B13" t="str">
        <f>FDB!B15&amp;"          "</f>
        <v xml:space="preserve">Ertragswertverfahren (vereinf.)          </v>
      </c>
      <c r="C13" s="103" t="e">
        <f ca="1">FDB!D15</f>
        <v>#REF!</v>
      </c>
      <c r="D13" s="103" t="e">
        <f ca="1">FDB!F15</f>
        <v>#REF!</v>
      </c>
      <c r="E13" s="103" t="e">
        <f t="shared" ca="1" si="0"/>
        <v>#REF!</v>
      </c>
      <c r="F13" s="103"/>
    </row>
    <row r="15" spans="2:9">
      <c r="B15" t="str">
        <f>FDB!B18</f>
        <v>Equity Value, in TEUR</v>
      </c>
      <c r="C15" s="14" t="s">
        <v>1398</v>
      </c>
      <c r="D15" s="14" t="s">
        <v>1399</v>
      </c>
      <c r="E15" s="14" t="s">
        <v>1399</v>
      </c>
      <c r="F15" s="14"/>
    </row>
    <row r="16" spans="2:9">
      <c r="C16" s="14"/>
      <c r="D16" s="14"/>
      <c r="F16" s="14"/>
    </row>
    <row r="17" spans="2:14">
      <c r="B17" t="str">
        <f>FDB!B19&amp;"          "</f>
        <v xml:space="preserve">Public Comps (Discount = 0.2 )          </v>
      </c>
      <c r="C17" s="103" t="str">
        <f ca="1">FDB!D19</f>
        <v>NA</v>
      </c>
      <c r="D17" s="103" t="str">
        <f ca="1">FDB!F19</f>
        <v>NA</v>
      </c>
      <c r="E17" s="103" t="e">
        <f ca="1">D17-C17</f>
        <v>#VALUE!</v>
      </c>
      <c r="F17" s="103"/>
    </row>
    <row r="18" spans="2:14">
      <c r="B18" t="str">
        <f>FDB!B20&amp;"          "</f>
        <v xml:space="preserve">Transactions (Discount = 0.2 )          </v>
      </c>
      <c r="C18" s="103" t="str">
        <f>FDB!D20</f>
        <v>NA</v>
      </c>
      <c r="D18" s="103" t="str">
        <f>FDB!F20</f>
        <v>NA</v>
      </c>
      <c r="E18" s="103" t="e">
        <f t="shared" ref="E18:E23" si="1">D18-C18</f>
        <v>#VALUE!</v>
      </c>
      <c r="F18" s="103"/>
    </row>
    <row r="19" spans="2:14">
      <c r="B19" t="str">
        <f>FDB!B21&amp;"          "</f>
        <v xml:space="preserve">Database (Discount = 0.1 )          </v>
      </c>
      <c r="C19" s="103" t="str">
        <f>FDB!C21</f>
        <v>NA</v>
      </c>
      <c r="D19" s="103" t="str">
        <f>FDB!G21</f>
        <v>NA</v>
      </c>
      <c r="E19" s="103" t="e">
        <f t="shared" si="1"/>
        <v>#VALUE!</v>
      </c>
      <c r="F19" s="103"/>
    </row>
    <row r="20" spans="2:14">
      <c r="B20" t="str">
        <f>FDB!B22&amp;"          "</f>
        <v xml:space="preserve">DCF (Growth)          </v>
      </c>
      <c r="C20" s="103" t="str">
        <f ca="1">FDB!D22</f>
        <v>NA</v>
      </c>
      <c r="D20" s="103" t="str">
        <f ca="1">FDB!F22</f>
        <v>NA</v>
      </c>
      <c r="E20" s="103" t="e">
        <f t="shared" ca="1" si="1"/>
        <v>#VALUE!</v>
      </c>
      <c r="F20" s="103"/>
      <c r="G20" s="15"/>
    </row>
    <row r="21" spans="2:14">
      <c r="B21" t="str">
        <f>FDB!B23&amp;"          "</f>
        <v xml:space="preserve">DCF (Multiple EBITDA)          </v>
      </c>
      <c r="C21" s="103" t="str">
        <f ca="1">FDB!D23</f>
        <v>NA</v>
      </c>
      <c r="D21" s="103" t="str">
        <f ca="1">FDB!F23</f>
        <v>NA</v>
      </c>
      <c r="E21" s="103" t="e">
        <f t="shared" ca="1" si="1"/>
        <v>#VALUE!</v>
      </c>
      <c r="F21" s="103"/>
    </row>
    <row r="22" spans="2:14">
      <c r="B22" t="str">
        <f>FDB!B24&amp;"          "</f>
        <v xml:space="preserve">DCF (Multiple EBIT)          </v>
      </c>
      <c r="C22" s="103" t="str">
        <f ca="1">FDB!D24</f>
        <v>NA</v>
      </c>
      <c r="D22" s="103" t="str">
        <f ca="1">FDB!F24</f>
        <v>NA</v>
      </c>
      <c r="E22" s="103" t="e">
        <f t="shared" ca="1" si="1"/>
        <v>#VALUE!</v>
      </c>
      <c r="F22" s="103"/>
    </row>
    <row r="23" spans="2:14">
      <c r="B23" t="str">
        <f>FDB!B25&amp;"          "</f>
        <v xml:space="preserve">Ertragswertverfahren (vereinf.)          </v>
      </c>
      <c r="C23" s="103" t="str">
        <f ca="1">FDB!D25</f>
        <v>NA</v>
      </c>
      <c r="D23" s="103" t="str">
        <f ca="1">FDB!F25</f>
        <v>NA</v>
      </c>
      <c r="E23" s="103" t="e">
        <f t="shared" ca="1" si="1"/>
        <v>#VALUE!</v>
      </c>
      <c r="F23" s="103"/>
    </row>
    <row r="25" spans="2:14">
      <c r="B25" s="113" t="s">
        <v>1405</v>
      </c>
    </row>
    <row r="26" spans="2:14">
      <c r="B26" s="13" t="s">
        <v>1406</v>
      </c>
      <c r="D26" s="14" t="s">
        <v>1398</v>
      </c>
      <c r="E26" s="14" t="s">
        <v>1399</v>
      </c>
      <c r="G26" s="14" t="s">
        <v>1397</v>
      </c>
    </row>
    <row r="27" spans="2:14">
      <c r="B27" t="str">
        <f>FDB!B9</f>
        <v>Public Comps (Discount = 0.2 )</v>
      </c>
      <c r="D27" t="e">
        <f ca="1">FDB!D9</f>
        <v>#DIV/0!</v>
      </c>
      <c r="E27" t="e">
        <f ca="1">FDB!F9</f>
        <v>#DIV/0!</v>
      </c>
      <c r="G27" s="14" t="s">
        <v>1407</v>
      </c>
      <c r="H27" s="102" t="s">
        <v>683</v>
      </c>
      <c r="I27" s="102" t="s">
        <v>1400</v>
      </c>
      <c r="J27" s="102" t="s">
        <v>1401</v>
      </c>
      <c r="K27" s="102" t="s">
        <v>1402</v>
      </c>
      <c r="L27" s="102" t="s">
        <v>1403</v>
      </c>
      <c r="M27" s="102" t="s">
        <v>1404</v>
      </c>
      <c r="N27" s="29" t="s">
        <v>603</v>
      </c>
    </row>
    <row r="28" spans="2:14">
      <c r="B28" t="str">
        <f>FDB!B10</f>
        <v>Transactions (Discount = 0.2 )</v>
      </c>
      <c r="D28">
        <f>FDB!D10</f>
        <v>4069.786757391214</v>
      </c>
      <c r="E28">
        <f>FDB!F10</f>
        <v>9979.057406764241</v>
      </c>
    </row>
    <row r="29" spans="2:14">
      <c r="B29" t="str">
        <f>FDB!B11</f>
        <v>Database (Discount = 0.1 )</v>
      </c>
      <c r="D29" t="str">
        <f>FDB!D11</f>
        <v>NA</v>
      </c>
      <c r="E29" t="str">
        <f>FDB!F11</f>
        <v>NA</v>
      </c>
      <c r="G29">
        <v>1</v>
      </c>
      <c r="H29" s="111" t="s">
        <v>1408</v>
      </c>
      <c r="I29">
        <f>-I7</f>
        <v>11914.738384032455</v>
      </c>
      <c r="J29">
        <f>-I8</f>
        <v>12175.029461435794</v>
      </c>
      <c r="K29" t="e">
        <f>-I9</f>
        <v>#VALUE!</v>
      </c>
      <c r="L29" t="e">
        <f>-I10</f>
        <v>#VALUE!</v>
      </c>
      <c r="M29" t="e">
        <f>-I11</f>
        <v>#VALUE!</v>
      </c>
      <c r="N29" s="101" t="e">
        <f ca="1">I12</f>
        <v>#VALUE!</v>
      </c>
    </row>
    <row r="30" spans="2:14">
      <c r="B30" t="str">
        <f>FDB!B12</f>
        <v>DCF (Growth)</v>
      </c>
      <c r="D30" t="e">
        <f ca="1">FDB!D12</f>
        <v>#VALUE!</v>
      </c>
      <c r="E30" t="e">
        <f ca="1">FDB!F12</f>
        <v>#VALUE!</v>
      </c>
    </row>
    <row r="31" spans="2:14">
      <c r="B31" t="str">
        <f>FDB!B13</f>
        <v>DCF (Multiple EBITDA)</v>
      </c>
      <c r="D31" t="e">
        <f ca="1">FDB!D13</f>
        <v>#VALUE!</v>
      </c>
      <c r="E31" t="e">
        <f ca="1">FDB!F13</f>
        <v>#VALUE!</v>
      </c>
    </row>
    <row r="32" spans="2:14">
      <c r="B32" t="str">
        <f>FDB!B14</f>
        <v>DCF (Multiple EBIT)</v>
      </c>
      <c r="D32" t="e">
        <f ca="1">FDB!D14</f>
        <v>#VALUE!</v>
      </c>
      <c r="E32" t="e">
        <f ca="1">FDB!F14</f>
        <v>#VALUE!</v>
      </c>
    </row>
    <row r="33" spans="2:12">
      <c r="B33" t="str">
        <f>FDB!B15</f>
        <v>Ertragswertverfahren (vereinf.)</v>
      </c>
      <c r="D33" t="e">
        <f ca="1">FDB!D15</f>
        <v>#REF!</v>
      </c>
      <c r="E33" t="e">
        <f ca="1">FDB!F15</f>
        <v>#REF!</v>
      </c>
    </row>
    <row r="35" spans="2:12">
      <c r="B35" s="14" t="str">
        <f>FDB!B18</f>
        <v>Equity Value, in TEUR</v>
      </c>
      <c r="C35" s="14"/>
      <c r="D35" s="14" t="s">
        <v>1398</v>
      </c>
      <c r="E35" s="14" t="s">
        <v>1399</v>
      </c>
    </row>
    <row r="36" spans="2:12">
      <c r="B36" s="14" t="str">
        <f>FDB!B19</f>
        <v>Public Comps (Discount = 0.2 )</v>
      </c>
      <c r="C36" s="14"/>
      <c r="D36" s="14" t="str">
        <f ca="1">FDB!D19</f>
        <v>NA</v>
      </c>
      <c r="E36" s="14" t="str">
        <f ca="1">FDB!F19</f>
        <v>NA</v>
      </c>
    </row>
    <row r="37" spans="2:12">
      <c r="B37" s="14" t="str">
        <f>FDB!B20</f>
        <v>Transactions (Discount = 0.2 )</v>
      </c>
      <c r="C37" s="14"/>
      <c r="D37" s="14" t="str">
        <f>FDB!D20</f>
        <v>NA</v>
      </c>
      <c r="E37" s="14" t="str">
        <f>FDB!F20</f>
        <v>NA</v>
      </c>
    </row>
    <row r="38" spans="2:12">
      <c r="B38" s="14" t="str">
        <f>FDB!B21</f>
        <v>Database (Discount = 0.1 )</v>
      </c>
      <c r="C38" s="14"/>
      <c r="D38" s="14" t="str">
        <f>FDB!D21</f>
        <v>NA</v>
      </c>
      <c r="E38" s="14" t="str">
        <f>FDB!F21</f>
        <v>NA</v>
      </c>
    </row>
    <row r="39" spans="2:12">
      <c r="B39" s="14" t="str">
        <f>FDB!B22</f>
        <v>DCF (Growth)</v>
      </c>
      <c r="C39" s="14"/>
      <c r="D39" s="14" t="str">
        <f ca="1">FDB!D22</f>
        <v>NA</v>
      </c>
      <c r="E39" s="14" t="str">
        <f ca="1">FDB!F22</f>
        <v>NA</v>
      </c>
    </row>
    <row r="40" spans="2:12">
      <c r="B40" s="14" t="str">
        <f>FDB!B23</f>
        <v>DCF (Multiple EBITDA)</v>
      </c>
      <c r="C40" s="14"/>
      <c r="D40" s="14" t="str">
        <f ca="1">FDB!D23</f>
        <v>NA</v>
      </c>
      <c r="E40" s="14" t="str">
        <f ca="1">FDB!F23</f>
        <v>NA</v>
      </c>
    </row>
    <row r="41" spans="2:12">
      <c r="B41" s="14" t="str">
        <f>FDB!B24</f>
        <v>DCF (Multiple EBIT)</v>
      </c>
      <c r="C41" s="14"/>
      <c r="D41" s="14" t="str">
        <f ca="1">FDB!D24</f>
        <v>NA</v>
      </c>
      <c r="E41" s="14" t="str">
        <f ca="1">FDB!F24</f>
        <v>NA</v>
      </c>
    </row>
    <row r="42" spans="2:12">
      <c r="B42" s="14" t="str">
        <f>FDB!B25</f>
        <v>Ertragswertverfahren (vereinf.)</v>
      </c>
      <c r="C42" s="14"/>
      <c r="D42" s="14" t="str">
        <f ca="1">FDB!D25</f>
        <v>NA</v>
      </c>
      <c r="E42" s="14" t="str">
        <f ca="1">FDB!F25</f>
        <v>NA</v>
      </c>
    </row>
    <row r="44" spans="2:12">
      <c r="B44" s="113" t="s">
        <v>1409</v>
      </c>
    </row>
    <row r="45" spans="2:12">
      <c r="C45" t="str">
        <f>FDB!D$72</f>
        <v>2022A</v>
      </c>
      <c r="D45" t="str">
        <f>FDB!E$72</f>
        <v>2023A</v>
      </c>
      <c r="E45" t="str">
        <f>FDB!F$72</f>
        <v>2024A</v>
      </c>
      <c r="F45" t="str">
        <f>FDB!G$72</f>
        <v>2025FC</v>
      </c>
      <c r="G45" t="str">
        <f>FDB!H$72</f>
        <v>2026P</v>
      </c>
      <c r="H45" t="str">
        <f>FDB!I$72</f>
        <v>2027P</v>
      </c>
      <c r="I45" t="str">
        <f>FDB!J$72</f>
        <v>2028P</v>
      </c>
      <c r="J45" t="str">
        <f>FDB!K$72</f>
        <v>2029P</v>
      </c>
      <c r="K45" t="str">
        <f>FDB!L$72</f>
        <v xml:space="preserve"> P</v>
      </c>
      <c r="L45" t="str">
        <f>FDB!M$72</f>
        <v xml:space="preserve"> P</v>
      </c>
    </row>
    <row r="47" spans="2:12">
      <c r="B47" t="str">
        <f>FDB!B74</f>
        <v>Total Turnover (reported)</v>
      </c>
      <c r="C47">
        <f>FDB!D74</f>
        <v>38216.485956758937</v>
      </c>
      <c r="D47">
        <f>FDB!E74</f>
        <v>37396.294271356783</v>
      </c>
      <c r="E47">
        <f>FDB!F74</f>
        <v>34006.908524326493</v>
      </c>
      <c r="F47">
        <f>FDB!G74</f>
        <v>34687.046694813027</v>
      </c>
      <c r="G47">
        <f>FDB!H74</f>
        <v>0</v>
      </c>
      <c r="H47">
        <f>FDB!I74</f>
        <v>0</v>
      </c>
      <c r="I47">
        <f>FDB!J74</f>
        <v>0</v>
      </c>
      <c r="J47">
        <f>FDB!K74</f>
        <v>0</v>
      </c>
      <c r="K47">
        <f>FDB!L74</f>
        <v>0</v>
      </c>
      <c r="L47">
        <f>FDB!M74</f>
        <v>0</v>
      </c>
    </row>
    <row r="48" spans="2:12">
      <c r="B48" t="str">
        <f>FDB!B76</f>
        <v>Gross Profit (adjusted)</v>
      </c>
      <c r="C48">
        <f>FDB!D76</f>
        <v>38216.485956758937</v>
      </c>
      <c r="D48">
        <f>FDB!E76</f>
        <v>37396.294271356783</v>
      </c>
      <c r="E48">
        <f>FDB!F76</f>
        <v>34006.908524326493</v>
      </c>
      <c r="F48">
        <f>FDB!G76</f>
        <v>34687.046694813027</v>
      </c>
      <c r="G48">
        <f>FDB!H76</f>
        <v>0</v>
      </c>
      <c r="H48">
        <f>FDB!I76</f>
        <v>0</v>
      </c>
      <c r="I48">
        <f>FDB!J76</f>
        <v>0</v>
      </c>
      <c r="J48">
        <f>FDB!K76</f>
        <v>0</v>
      </c>
      <c r="K48" t="str">
        <f>FDB!L76</f>
        <v/>
      </c>
      <c r="L48" t="str">
        <f>FDB!M76</f>
        <v/>
      </c>
    </row>
    <row r="49" spans="2:12">
      <c r="B49" t="str">
        <f>FDB!B77</f>
        <v>EBITDA (adjusted)</v>
      </c>
      <c r="C49">
        <f>FDB!D77</f>
        <v>2496.1454839361527</v>
      </c>
      <c r="D49">
        <f>FDB!E77</f>
        <v>1744.0484422110496</v>
      </c>
      <c r="E49">
        <f>FDB!F77</f>
        <v>551.8715319662258</v>
      </c>
      <c r="F49">
        <f>FDB!G77</f>
        <v>971.54861223384364</v>
      </c>
      <c r="G49">
        <f>FDB!H77</f>
        <v>0</v>
      </c>
      <c r="H49">
        <f>FDB!I77</f>
        <v>0</v>
      </c>
      <c r="I49">
        <f>FDB!J77</f>
        <v>0</v>
      </c>
      <c r="J49">
        <f>FDB!K77</f>
        <v>0</v>
      </c>
      <c r="K49" t="str">
        <f>FDB!L77</f>
        <v/>
      </c>
      <c r="L49" t="str">
        <f>FDB!M77</f>
        <v/>
      </c>
    </row>
    <row r="50" spans="2:12">
      <c r="B50" t="str">
        <f>FDB!B79</f>
        <v>EBITDA (adjusted) Marge</v>
      </c>
      <c r="C50">
        <f>FDB!D79</f>
        <v>6.5315934247865776E-2</v>
      </c>
      <c r="D50" t="str">
        <f>FDB!E79</f>
        <v/>
      </c>
      <c r="E50" t="str">
        <f>FDB!F79</f>
        <v/>
      </c>
      <c r="F50" t="str">
        <f>FDB!G79</f>
        <v/>
      </c>
      <c r="G50" t="str">
        <f>FDB!H79</f>
        <v/>
      </c>
      <c r="H50" t="str">
        <f>FDB!I79</f>
        <v/>
      </c>
      <c r="I50" t="str">
        <f>FDB!J79</f>
        <v/>
      </c>
      <c r="J50" t="str">
        <f>FDB!K79</f>
        <v/>
      </c>
      <c r="K50" t="str">
        <f>FDB!L79</f>
        <v/>
      </c>
      <c r="L50" t="str">
        <f>FDB!M79</f>
        <v/>
      </c>
    </row>
    <row r="51" spans="2:12">
      <c r="B51" t="str">
        <f>FDB!B80</f>
        <v>EBIT (adjusted)</v>
      </c>
      <c r="C51">
        <f>FDB!D80</f>
        <v>2496.1454839361527</v>
      </c>
      <c r="D51">
        <f>FDB!E80</f>
        <v>1744.0484422110496</v>
      </c>
      <c r="E51">
        <f>FDB!F80</f>
        <v>551.8715319662258</v>
      </c>
      <c r="F51">
        <f>FDB!G80</f>
        <v>971.54861223384364</v>
      </c>
      <c r="G51">
        <f>FDB!H80</f>
        <v>0</v>
      </c>
      <c r="H51">
        <f>FDB!I80</f>
        <v>0</v>
      </c>
      <c r="I51">
        <f>FDB!J80</f>
        <v>0</v>
      </c>
      <c r="J51">
        <f>FDB!K80</f>
        <v>0</v>
      </c>
      <c r="K51" t="str">
        <f>FDB!L80</f>
        <v/>
      </c>
      <c r="L51" t="str">
        <f>FDB!M80</f>
        <v/>
      </c>
    </row>
    <row r="52" spans="2:12">
      <c r="B52" t="str">
        <f>FDB!B82</f>
        <v>EBIT (adjusted) Marge</v>
      </c>
      <c r="C52">
        <f>FDB!D82</f>
        <v>6.5315934247865776E-2</v>
      </c>
      <c r="D52" t="str">
        <f>FDB!E82</f>
        <v/>
      </c>
      <c r="E52" t="str">
        <f>FDB!F82</f>
        <v/>
      </c>
      <c r="F52" t="str">
        <f>FDB!G82</f>
        <v/>
      </c>
      <c r="G52" t="str">
        <f>FDB!H82</f>
        <v/>
      </c>
      <c r="H52" t="str">
        <f>FDB!I82</f>
        <v/>
      </c>
      <c r="I52" t="str">
        <f>FDB!J82</f>
        <v/>
      </c>
      <c r="J52" t="str">
        <f>FDB!K82</f>
        <v/>
      </c>
      <c r="K52" t="str">
        <f>FDB!L82</f>
        <v/>
      </c>
      <c r="L52" t="str">
        <f>FDB!M82</f>
        <v/>
      </c>
    </row>
    <row r="54" spans="2:12">
      <c r="C54" t="str">
        <f>FDB!D$72</f>
        <v>2022A</v>
      </c>
      <c r="D54" t="str">
        <f>FDB!E$72</f>
        <v>2023A</v>
      </c>
      <c r="E54" t="str">
        <f>FDB!F$72</f>
        <v>2024A</v>
      </c>
      <c r="F54" t="str">
        <f>FDB!G$72</f>
        <v>2025FC</v>
      </c>
      <c r="G54" t="str">
        <f>FDB!H$72</f>
        <v>2026P</v>
      </c>
      <c r="H54" t="str">
        <f>FDB!I$72</f>
        <v>2027P</v>
      </c>
      <c r="I54" t="str">
        <f>FDB!J$72</f>
        <v>2028P</v>
      </c>
      <c r="J54" t="str">
        <f>FDB!K$72</f>
        <v>2029P</v>
      </c>
      <c r="K54" t="str">
        <f>FDB!L$72</f>
        <v xml:space="preserve"> P</v>
      </c>
      <c r="L54" t="str">
        <f>FDB!M$72</f>
        <v xml:space="preserve"> P</v>
      </c>
    </row>
    <row r="56" spans="2:12">
      <c r="B56" t="str">
        <f>FDB!B84</f>
        <v>Cost of Material (absolut)</v>
      </c>
      <c r="C56">
        <f>FDB!D84</f>
        <v>0</v>
      </c>
      <c r="D56">
        <f>FDB!E84</f>
        <v>0</v>
      </c>
      <c r="E56">
        <f>FDB!F84</f>
        <v>0</v>
      </c>
      <c r="F56">
        <f>FDB!G84</f>
        <v>0</v>
      </c>
      <c r="G56">
        <f>FDB!H84</f>
        <v>0</v>
      </c>
      <c r="H56">
        <f>FDB!I84</f>
        <v>0</v>
      </c>
      <c r="I56">
        <f>FDB!J84</f>
        <v>0</v>
      </c>
      <c r="J56">
        <f>FDB!K84</f>
        <v>0</v>
      </c>
      <c r="K56" t="str">
        <f>FDB!L84</f>
        <v/>
      </c>
      <c r="L56" t="str">
        <f>FDB!M84</f>
        <v/>
      </c>
    </row>
    <row r="57" spans="2:12">
      <c r="B57" t="str">
        <f>FDB!B85</f>
        <v>(in % of total turnover)</v>
      </c>
      <c r="C57">
        <f>FDB!D85</f>
        <v>0</v>
      </c>
      <c r="D57" t="str">
        <f>FDB!E85</f>
        <v/>
      </c>
      <c r="E57" t="str">
        <f>FDB!F85</f>
        <v/>
      </c>
      <c r="F57" t="str">
        <f>FDB!G85</f>
        <v/>
      </c>
      <c r="G57" t="str">
        <f>FDB!H85</f>
        <v/>
      </c>
      <c r="H57" t="str">
        <f>FDB!I85</f>
        <v/>
      </c>
      <c r="I57" t="str">
        <f>FDB!J85</f>
        <v/>
      </c>
      <c r="J57" t="str">
        <f>FDB!K85</f>
        <v/>
      </c>
      <c r="K57" t="str">
        <f>FDB!L85</f>
        <v/>
      </c>
      <c r="L57" t="str">
        <f>FDB!M85</f>
        <v/>
      </c>
    </row>
    <row r="59" spans="2:12">
      <c r="C59" t="str">
        <f>FDB!D$72</f>
        <v>2022A</v>
      </c>
      <c r="D59" t="str">
        <f>FDB!E$72</f>
        <v>2023A</v>
      </c>
      <c r="E59" t="str">
        <f>FDB!F$72</f>
        <v>2024A</v>
      </c>
      <c r="F59" t="str">
        <f>FDB!G$72</f>
        <v>2025FC</v>
      </c>
      <c r="G59" t="str">
        <f>FDB!H$72</f>
        <v>2026P</v>
      </c>
      <c r="H59" t="str">
        <f>FDB!I$72</f>
        <v>2027P</v>
      </c>
      <c r="I59" t="str">
        <f>FDB!J$72</f>
        <v>2028P</v>
      </c>
      <c r="J59" t="str">
        <f>FDB!K$72</f>
        <v>2029P</v>
      </c>
      <c r="K59" t="str">
        <f>FDB!L$72</f>
        <v xml:space="preserve"> P</v>
      </c>
      <c r="L59" t="str">
        <f>FDB!M$72</f>
        <v xml:space="preserve"> P</v>
      </c>
    </row>
    <row r="61" spans="2:12">
      <c r="B61" t="str">
        <f>FDB!B86</f>
        <v>Personnel Expenses (absolut)</v>
      </c>
      <c r="C61">
        <f>FDB!D86</f>
        <v>3420.6684178621945</v>
      </c>
      <c r="D61">
        <f>FDB!E86</f>
        <v>4168.5431155778897</v>
      </c>
      <c r="E61">
        <f>FDB!F86</f>
        <v>4283.5406111781258</v>
      </c>
      <c r="F61">
        <f>FDB!G86</f>
        <v>3780.1709475520111</v>
      </c>
      <c r="G61">
        <f>FDB!H86</f>
        <v>0</v>
      </c>
      <c r="H61">
        <f>FDB!I86</f>
        <v>0</v>
      </c>
      <c r="I61">
        <f>FDB!J86</f>
        <v>0</v>
      </c>
      <c r="J61">
        <f>FDB!K86</f>
        <v>0</v>
      </c>
      <c r="K61" t="str">
        <f>FDB!L86</f>
        <v/>
      </c>
      <c r="L61" t="str">
        <f>FDB!M86</f>
        <v/>
      </c>
    </row>
    <row r="62" spans="2:12">
      <c r="B62" t="str">
        <f>FDB!B87</f>
        <v>(in % of total turnover)</v>
      </c>
      <c r="C62">
        <f>FDB!D87</f>
        <v>8.9507664878780355E-2</v>
      </c>
      <c r="D62" t="str">
        <f>FDB!E87</f>
        <v/>
      </c>
      <c r="E62" t="str">
        <f>FDB!F87</f>
        <v/>
      </c>
      <c r="F62" t="str">
        <f>FDB!G87</f>
        <v/>
      </c>
      <c r="G62" t="str">
        <f>FDB!H87</f>
        <v/>
      </c>
      <c r="H62" t="str">
        <f>FDB!I87</f>
        <v/>
      </c>
      <c r="I62" t="str">
        <f>FDB!J87</f>
        <v/>
      </c>
      <c r="J62" t="str">
        <f>FDB!K87</f>
        <v/>
      </c>
      <c r="K62" t="str">
        <f>FDB!L87</f>
        <v/>
      </c>
      <c r="L62" t="str">
        <f>FDB!M87</f>
        <v/>
      </c>
    </row>
    <row r="64" spans="2:12">
      <c r="C64" t="str">
        <f>FDB!D$72</f>
        <v>2022A</v>
      </c>
      <c r="D64" t="str">
        <f>FDB!E$72</f>
        <v>2023A</v>
      </c>
      <c r="E64" t="str">
        <f>FDB!F$72</f>
        <v>2024A</v>
      </c>
      <c r="F64" t="str">
        <f>FDB!G$72</f>
        <v>2025FC</v>
      </c>
      <c r="G64" t="str">
        <f>FDB!H$72</f>
        <v>2026P</v>
      </c>
      <c r="H64" t="str">
        <f>FDB!I$72</f>
        <v>2027P</v>
      </c>
      <c r="I64" t="str">
        <f>FDB!J$72</f>
        <v>2028P</v>
      </c>
      <c r="J64" t="str">
        <f>FDB!K$72</f>
        <v>2029P</v>
      </c>
      <c r="K64" t="str">
        <f>FDB!L$72</f>
        <v xml:space="preserve"> P</v>
      </c>
      <c r="L64" t="str">
        <f>FDB!M$72</f>
        <v xml:space="preserve"> P</v>
      </c>
    </row>
    <row r="66" spans="2:12">
      <c r="B66" t="str">
        <f>FDB!$B$88</f>
        <v>Depreciation and Amortization (absolut)</v>
      </c>
      <c r="C66">
        <f>FDB!D88</f>
        <v>0</v>
      </c>
      <c r="D66">
        <f>FDB!E88</f>
        <v>0</v>
      </c>
      <c r="E66">
        <f>FDB!F88</f>
        <v>0</v>
      </c>
      <c r="F66">
        <f>FDB!G88</f>
        <v>0</v>
      </c>
      <c r="G66">
        <f>FDB!H88</f>
        <v>0</v>
      </c>
      <c r="H66">
        <f>FDB!I88</f>
        <v>0</v>
      </c>
      <c r="I66">
        <f>FDB!J88</f>
        <v>0</v>
      </c>
      <c r="J66">
        <f>FDB!K88</f>
        <v>0</v>
      </c>
      <c r="K66" t="str">
        <f>FDB!L88</f>
        <v/>
      </c>
      <c r="L66" t="str">
        <f>FDB!M88</f>
        <v/>
      </c>
    </row>
    <row r="67" spans="2:12">
      <c r="B67" s="12" t="str">
        <f>FDB!$B$89</f>
        <v>(in % of total turnover)</v>
      </c>
      <c r="C67">
        <f>FDB!D89</f>
        <v>0</v>
      </c>
      <c r="D67" t="str">
        <f>FDB!E89</f>
        <v/>
      </c>
      <c r="E67" t="str">
        <f>FDB!F89</f>
        <v/>
      </c>
      <c r="F67" t="str">
        <f>FDB!G89</f>
        <v/>
      </c>
      <c r="G67" t="str">
        <f>FDB!H89</f>
        <v/>
      </c>
      <c r="H67" t="str">
        <f>FDB!I89</f>
        <v/>
      </c>
      <c r="I67" t="str">
        <f>FDB!J89</f>
        <v/>
      </c>
      <c r="J67" t="str">
        <f>FDB!K89</f>
        <v/>
      </c>
      <c r="K67" t="str">
        <f>FDB!L89</f>
        <v/>
      </c>
      <c r="L67" t="str">
        <f>FDB!M89</f>
        <v/>
      </c>
    </row>
    <row r="69" spans="2:12">
      <c r="C69" t="str">
        <f>FDB!D$72</f>
        <v>2022A</v>
      </c>
      <c r="D69" t="str">
        <f>FDB!E$72</f>
        <v>2023A</v>
      </c>
      <c r="E69" t="str">
        <f>FDB!F$72</f>
        <v>2024A</v>
      </c>
      <c r="F69" t="str">
        <f>FDB!G$72</f>
        <v>2025FC</v>
      </c>
      <c r="G69" t="str">
        <f>FDB!H$72</f>
        <v>2026P</v>
      </c>
      <c r="H69" t="str">
        <f>FDB!I$72</f>
        <v>2027P</v>
      </c>
      <c r="I69" t="str">
        <f>FDB!J$72</f>
        <v>2028P</v>
      </c>
      <c r="J69" t="str">
        <f>FDB!K$72</f>
        <v>2029P</v>
      </c>
      <c r="K69" t="str">
        <f>FDB!L$72</f>
        <v xml:space="preserve"> P</v>
      </c>
      <c r="L69" t="str">
        <f>FDB!M$72</f>
        <v xml:space="preserve"> P</v>
      </c>
    </row>
    <row r="71" spans="2:12">
      <c r="B71" t="str">
        <f>FDB!$B$90</f>
        <v>Extraordinary Items</v>
      </c>
      <c r="C71">
        <f>FDB!D90</f>
        <v>0</v>
      </c>
      <c r="D71">
        <f>FDB!E90</f>
        <v>0</v>
      </c>
      <c r="E71">
        <f>FDB!F90</f>
        <v>0</v>
      </c>
      <c r="F71">
        <f>FDB!G90</f>
        <v>0</v>
      </c>
      <c r="G71">
        <f>FDB!H90</f>
        <v>0</v>
      </c>
      <c r="H71">
        <f>FDB!I90</f>
        <v>0</v>
      </c>
      <c r="I71">
        <f>FDB!J90</f>
        <v>0</v>
      </c>
      <c r="J71">
        <f>FDB!K90</f>
        <v>0</v>
      </c>
      <c r="K71">
        <f>FDB!L90</f>
        <v>0</v>
      </c>
      <c r="L71">
        <f>FDB!M90</f>
        <v>0</v>
      </c>
    </row>
    <row r="72" spans="2:12">
      <c r="B72" s="12" t="str">
        <f>FDB!$B$91</f>
        <v>(in % of EBIT (adjusted))</v>
      </c>
      <c r="C72">
        <f>FDB!D91</f>
        <v>0</v>
      </c>
      <c r="D72" t="str">
        <f>FDB!E91</f>
        <v/>
      </c>
      <c r="E72" t="str">
        <f>FDB!F91</f>
        <v/>
      </c>
      <c r="F72" t="str">
        <f>FDB!G91</f>
        <v/>
      </c>
      <c r="G72" t="str">
        <f>FDB!H91</f>
        <v/>
      </c>
      <c r="H72" t="str">
        <f>FDB!I91</f>
        <v/>
      </c>
      <c r="I72" t="str">
        <f>FDB!J91</f>
        <v/>
      </c>
      <c r="J72" t="str">
        <f>FDB!K91</f>
        <v/>
      </c>
      <c r="K72" t="str">
        <f>FDB!L91</f>
        <v/>
      </c>
      <c r="L72" t="str">
        <f>FDB!M91</f>
        <v/>
      </c>
    </row>
    <row r="74" spans="2:12">
      <c r="C74" t="str">
        <f>FDB!D$72</f>
        <v>2022A</v>
      </c>
      <c r="D74" t="str">
        <f>FDB!E$72</f>
        <v>2023A</v>
      </c>
      <c r="E74" t="str">
        <f>FDB!F$72</f>
        <v>2024A</v>
      </c>
      <c r="F74" t="str">
        <f>FDB!G$72</f>
        <v>2025FC</v>
      </c>
      <c r="G74" t="str">
        <f>FDB!H$72</f>
        <v>2026P</v>
      </c>
      <c r="H74" t="str">
        <f>FDB!I$72</f>
        <v>2027P</v>
      </c>
      <c r="I74" t="str">
        <f>FDB!J$72</f>
        <v>2028P</v>
      </c>
      <c r="J74" t="str">
        <f>FDB!K$72</f>
        <v>2029P</v>
      </c>
      <c r="K74" t="str">
        <f>FDB!L$72</f>
        <v xml:space="preserve"> P</v>
      </c>
      <c r="L74" t="str">
        <f>FDB!M$72</f>
        <v xml:space="preserve"> P</v>
      </c>
    </row>
    <row r="76" spans="2:12">
      <c r="B76" t="str">
        <f>FDB!$B$92</f>
        <v>Financial Result</v>
      </c>
      <c r="C76">
        <f>FDB!D92</f>
        <v>579.8225904223076</v>
      </c>
      <c r="D76">
        <f>FDB!E92</f>
        <v>774.90050251256275</v>
      </c>
      <c r="E76">
        <f>FDB!F92</f>
        <v>411.22778447929227</v>
      </c>
      <c r="F76">
        <f>FDB!G92</f>
        <v>1412.4715311677039</v>
      </c>
      <c r="G76">
        <f>FDB!H92</f>
        <v>0</v>
      </c>
      <c r="H76">
        <f>FDB!I92</f>
        <v>0</v>
      </c>
      <c r="I76">
        <f>FDB!J92</f>
        <v>0</v>
      </c>
      <c r="J76">
        <f>FDB!K92</f>
        <v>0</v>
      </c>
      <c r="K76" t="str">
        <f>FDB!L92</f>
        <v/>
      </c>
      <c r="L76" t="str">
        <f>FDB!M92</f>
        <v/>
      </c>
    </row>
    <row r="77" spans="2:12">
      <c r="B77" s="12" t="str">
        <f>FDB!$B$93</f>
        <v>(in % of EBIT (adjusted))</v>
      </c>
      <c r="C77">
        <f>FDB!D93</f>
        <v>0.23228717803258397</v>
      </c>
      <c r="D77" t="str">
        <f>FDB!E93</f>
        <v/>
      </c>
      <c r="E77" t="str">
        <f>FDB!F93</f>
        <v/>
      </c>
      <c r="F77" t="str">
        <f>FDB!G93</f>
        <v/>
      </c>
      <c r="G77" t="str">
        <f>FDB!H93</f>
        <v/>
      </c>
      <c r="H77" t="str">
        <f>FDB!I93</f>
        <v/>
      </c>
      <c r="I77" t="str">
        <f>FDB!J93</f>
        <v/>
      </c>
      <c r="J77" t="str">
        <f>FDB!K93</f>
        <v/>
      </c>
      <c r="K77" t="str">
        <f>FDB!L93</f>
        <v/>
      </c>
      <c r="L77" t="str">
        <f>FDB!M93</f>
        <v/>
      </c>
    </row>
    <row r="79" spans="2:12">
      <c r="C79" t="str">
        <f>FDB!D$72</f>
        <v>2022A</v>
      </c>
      <c r="D79" t="str">
        <f>FDB!E$72</f>
        <v>2023A</v>
      </c>
      <c r="E79" t="str">
        <f>FDB!F$72</f>
        <v>2024A</v>
      </c>
      <c r="F79" t="str">
        <f>FDB!G$72</f>
        <v>2025FC</v>
      </c>
      <c r="G79" t="str">
        <f>FDB!H$72</f>
        <v>2026P</v>
      </c>
      <c r="H79" t="str">
        <f>FDB!I$72</f>
        <v>2027P</v>
      </c>
      <c r="I79" t="str">
        <f>FDB!J$72</f>
        <v>2028P</v>
      </c>
      <c r="J79" t="str">
        <f>FDB!K$72</f>
        <v>2029P</v>
      </c>
      <c r="K79" t="str">
        <f>FDB!L$72</f>
        <v xml:space="preserve"> P</v>
      </c>
      <c r="L79" t="str">
        <f>FDB!M$72</f>
        <v xml:space="preserve"> P</v>
      </c>
    </row>
    <row r="81" spans="2:12">
      <c r="B81" s="15" t="str">
        <f>FDB!$B$95</f>
        <v>Net Profit (loss) (adjusted)</v>
      </c>
      <c r="C81">
        <f>FDB!D95</f>
        <v>1975.1371994342342</v>
      </c>
      <c r="D81">
        <f>FDB!E95</f>
        <v>1291.1993969849188</v>
      </c>
      <c r="E81">
        <f>FDB!F95</f>
        <v>359.70526739043174</v>
      </c>
      <c r="F81">
        <f>FDB!G95</f>
        <v>1184.4134470919091</v>
      </c>
      <c r="G81">
        <f>FDB!H95</f>
        <v>0</v>
      </c>
      <c r="H81">
        <f>FDB!I95</f>
        <v>0</v>
      </c>
      <c r="I81">
        <f>FDB!J95</f>
        <v>0</v>
      </c>
      <c r="J81">
        <f>FDB!K95</f>
        <v>0</v>
      </c>
      <c r="K81" t="str">
        <f>FDB!L95</f>
        <v/>
      </c>
      <c r="L81" t="str">
        <f>FDB!M95</f>
        <v/>
      </c>
    </row>
    <row r="82" spans="2:12">
      <c r="B82" s="12" t="str">
        <f>FDB!$B$97</f>
        <v>(in % of total turnover)</v>
      </c>
      <c r="C82">
        <f>FDB!D97</f>
        <v>5.1682857541351546E-2</v>
      </c>
      <c r="D82" t="str">
        <f>FDB!E97</f>
        <v/>
      </c>
      <c r="E82" t="str">
        <f>FDB!F97</f>
        <v/>
      </c>
      <c r="F82" t="str">
        <f>FDB!G97</f>
        <v/>
      </c>
      <c r="G82" t="str">
        <f>FDB!H97</f>
        <v/>
      </c>
      <c r="H82" t="str">
        <f>FDB!I97</f>
        <v/>
      </c>
      <c r="I82" t="str">
        <f>FDB!J97</f>
        <v/>
      </c>
      <c r="J82" t="str">
        <f>FDB!K97</f>
        <v/>
      </c>
      <c r="K82" t="str">
        <f>FDB!L97</f>
        <v/>
      </c>
      <c r="L82" t="str">
        <f>FDB!M97</f>
        <v/>
      </c>
    </row>
    <row r="84" spans="2:12">
      <c r="B84" s="114" t="s">
        <v>1281</v>
      </c>
    </row>
    <row r="85" spans="2:12">
      <c r="C85" t="str">
        <f>FDB!D$72</f>
        <v>2022A</v>
      </c>
      <c r="D85" t="str">
        <f>FDB!E$72</f>
        <v>2023A</v>
      </c>
      <c r="E85" t="str">
        <f>FDB!F$72</f>
        <v>2024A</v>
      </c>
      <c r="F85" t="str">
        <f>FDB!G$72</f>
        <v>2025FC</v>
      </c>
      <c r="G85" t="str">
        <f>FDB!H$72</f>
        <v>2026P</v>
      </c>
      <c r="H85" t="str">
        <f>FDB!I$72</f>
        <v>2027P</v>
      </c>
      <c r="I85" t="str">
        <f>FDB!J$72</f>
        <v>2028P</v>
      </c>
      <c r="J85" t="str">
        <f>FDB!K$72</f>
        <v>2029P</v>
      </c>
      <c r="K85" t="str">
        <f>FDB!L$72</f>
        <v xml:space="preserve"> P</v>
      </c>
      <c r="L85" t="str">
        <f>FDB!M$72</f>
        <v xml:space="preserve"> P</v>
      </c>
    </row>
    <row r="87" spans="2:12">
      <c r="B87" t="str">
        <f>FDB!B157</f>
        <v>I. Inventories</v>
      </c>
      <c r="C87">
        <f>FDB!D157</f>
        <v>144.37078197615682</v>
      </c>
      <c r="D87">
        <f>FDB!E157</f>
        <v>133.18753768844221</v>
      </c>
      <c r="E87">
        <f>FDB!F157</f>
        <v>141.27121029352634</v>
      </c>
      <c r="F87" t="str">
        <f>FDB!G157</f>
        <v/>
      </c>
      <c r="G87">
        <f>FDB!H157</f>
        <v>0</v>
      </c>
      <c r="H87">
        <f>FDB!I157</f>
        <v>0</v>
      </c>
      <c r="I87">
        <f>FDB!J157</f>
        <v>0</v>
      </c>
      <c r="J87">
        <f>FDB!K157</f>
        <v>0</v>
      </c>
      <c r="K87">
        <f>FDB!L157</f>
        <v>0</v>
      </c>
      <c r="L87">
        <f>FDB!M157</f>
        <v>0</v>
      </c>
    </row>
    <row r="88" spans="2:12">
      <c r="B88" t="str">
        <f>FDB!B158</f>
        <v>1. Raw Materials and Supplies</v>
      </c>
      <c r="C88">
        <f>FDB!D158</f>
        <v>144.37078197615682</v>
      </c>
      <c r="D88">
        <f>FDB!E158</f>
        <v>133.18753768844221</v>
      </c>
      <c r="E88">
        <f>FDB!F158</f>
        <v>141.27121029352634</v>
      </c>
      <c r="F88" t="str">
        <f>FDB!G158</f>
        <v/>
      </c>
      <c r="G88">
        <f>FDB!H158</f>
        <v>0</v>
      </c>
      <c r="H88">
        <f>FDB!I158</f>
        <v>0</v>
      </c>
      <c r="I88">
        <f>FDB!J158</f>
        <v>0</v>
      </c>
      <c r="J88">
        <f>FDB!K158</f>
        <v>0</v>
      </c>
      <c r="K88" t="str">
        <f>FDB!L158</f>
        <v/>
      </c>
      <c r="L88" t="str">
        <f>FDB!M158</f>
        <v/>
      </c>
    </row>
    <row r="89" spans="2:12">
      <c r="B89" t="str">
        <f>FDB!B159</f>
        <v>2. Unfinished Goods and Services</v>
      </c>
      <c r="C89">
        <f>FDB!D159</f>
        <v>0</v>
      </c>
      <c r="D89">
        <f>FDB!E159</f>
        <v>0</v>
      </c>
      <c r="E89">
        <f>FDB!F159</f>
        <v>0</v>
      </c>
      <c r="F89" t="str">
        <f>FDB!G159</f>
        <v/>
      </c>
      <c r="G89">
        <f>FDB!H159</f>
        <v>0</v>
      </c>
      <c r="H89">
        <f>FDB!I159</f>
        <v>0</v>
      </c>
      <c r="I89">
        <f>FDB!J159</f>
        <v>0</v>
      </c>
      <c r="J89">
        <f>FDB!K159</f>
        <v>0</v>
      </c>
      <c r="K89" t="str">
        <f>FDB!L159</f>
        <v/>
      </c>
      <c r="L89" t="str">
        <f>FDB!M159</f>
        <v/>
      </c>
    </row>
    <row r="90" spans="2:12">
      <c r="B90" t="str">
        <f>FDB!B160</f>
        <v>3. Finished products and Goods</v>
      </c>
      <c r="C90">
        <f>FDB!D160</f>
        <v>0</v>
      </c>
      <c r="D90">
        <f>FDB!E160</f>
        <v>0</v>
      </c>
      <c r="E90">
        <f>FDB!F160</f>
        <v>0</v>
      </c>
      <c r="F90" t="str">
        <f>FDB!G160</f>
        <v/>
      </c>
      <c r="G90">
        <f>FDB!H160</f>
        <v>0</v>
      </c>
      <c r="H90">
        <f>FDB!I160</f>
        <v>0</v>
      </c>
      <c r="I90">
        <f>FDB!J160</f>
        <v>0</v>
      </c>
      <c r="J90">
        <f>FDB!K160</f>
        <v>0</v>
      </c>
      <c r="K90" t="str">
        <f>FDB!L160</f>
        <v/>
      </c>
      <c r="L90" t="str">
        <f>FDB!M160</f>
        <v/>
      </c>
    </row>
    <row r="91" spans="2:12">
      <c r="B91" t="str">
        <f>FDB!B161</f>
        <v>4. Advance Payments Made</v>
      </c>
      <c r="C91">
        <f>FDB!D161</f>
        <v>0</v>
      </c>
      <c r="D91">
        <f>FDB!E161</f>
        <v>0</v>
      </c>
      <c r="E91">
        <f>FDB!F161</f>
        <v>0</v>
      </c>
      <c r="F91" t="str">
        <f>FDB!G161</f>
        <v/>
      </c>
      <c r="G91">
        <f>FDB!H161</f>
        <v>0</v>
      </c>
      <c r="H91">
        <f>FDB!I161</f>
        <v>0</v>
      </c>
      <c r="I91">
        <f>FDB!J161</f>
        <v>0</v>
      </c>
      <c r="J91">
        <f>FDB!K161</f>
        <v>0</v>
      </c>
      <c r="K91" t="str">
        <f>FDB!L161</f>
        <v/>
      </c>
      <c r="L91" t="str">
        <f>FDB!M161</f>
        <v/>
      </c>
    </row>
    <row r="93" spans="2:12">
      <c r="C93" t="str">
        <f>FDB!D$72</f>
        <v>2022A</v>
      </c>
      <c r="D93" t="str">
        <f>FDB!E$72</f>
        <v>2023A</v>
      </c>
      <c r="E93" t="str">
        <f>FDB!F$72</f>
        <v>2024A</v>
      </c>
      <c r="F93" t="str">
        <f>FDB!G$72</f>
        <v>2025FC</v>
      </c>
      <c r="G93" t="str">
        <f>FDB!H$72</f>
        <v>2026P</v>
      </c>
      <c r="H93" t="str">
        <f>FDB!I$72</f>
        <v>2027P</v>
      </c>
      <c r="I93" t="str">
        <f>FDB!J$72</f>
        <v>2028P</v>
      </c>
      <c r="J93" t="str">
        <f>FDB!K$72</f>
        <v>2029P</v>
      </c>
      <c r="K93" t="str">
        <f>FDB!L$72</f>
        <v xml:space="preserve"> P</v>
      </c>
      <c r="L93" t="str">
        <f>FDB!M$72</f>
        <v xml:space="preserve"> P</v>
      </c>
    </row>
    <row r="95" spans="2:12">
      <c r="B95" s="12" t="str">
        <f>FDB!B163</f>
        <v>Trade Working Capital</v>
      </c>
      <c r="C95">
        <f>FDB!D163</f>
        <v>3266.3429449124797</v>
      </c>
      <c r="D95" t="str">
        <f>FDB!E163</f>
        <v/>
      </c>
      <c r="E95">
        <f>FDB!F163</f>
        <v>2388.2515078407723</v>
      </c>
      <c r="F95" t="str">
        <f>FDB!G163</f>
        <v/>
      </c>
      <c r="G95">
        <f>FDB!H163</f>
        <v>0</v>
      </c>
      <c r="H95">
        <f>FDB!I163</f>
        <v>0</v>
      </c>
      <c r="I95">
        <f>FDB!J163</f>
        <v>0</v>
      </c>
      <c r="J95">
        <f>FDB!K163</f>
        <v>0</v>
      </c>
      <c r="K95" t="str">
        <f>FDB!L163</f>
        <v/>
      </c>
      <c r="L95" t="str">
        <f>FDB!M163</f>
        <v/>
      </c>
    </row>
    <row r="96" spans="2:12">
      <c r="B96" s="12" t="str">
        <f>FDB!B164</f>
        <v>( + ) Inventories</v>
      </c>
      <c r="C96">
        <f>FDB!D164</f>
        <v>144.37078197615682</v>
      </c>
      <c r="D96">
        <f>FDB!E164</f>
        <v>133.18753768844221</v>
      </c>
      <c r="E96">
        <f>FDB!F164</f>
        <v>141.27121029352634</v>
      </c>
      <c r="F96" t="str">
        <f>FDB!G164</f>
        <v/>
      </c>
      <c r="G96">
        <f>FDB!H164</f>
        <v>0</v>
      </c>
      <c r="H96">
        <f>FDB!I164</f>
        <v>0</v>
      </c>
      <c r="I96">
        <f>FDB!J164</f>
        <v>0</v>
      </c>
      <c r="J96">
        <f>FDB!K164</f>
        <v>0</v>
      </c>
      <c r="K96" t="str">
        <f>FDB!L164</f>
        <v/>
      </c>
      <c r="L96" t="str">
        <f>FDB!M164</f>
        <v/>
      </c>
    </row>
    <row r="97" spans="2:12">
      <c r="B97" s="12" t="str">
        <f>FDB!B165</f>
        <v>( + ) Trade receivables</v>
      </c>
      <c r="C97">
        <f>FDB!D165</f>
        <v>6410.4427157001419</v>
      </c>
      <c r="D97">
        <f>FDB!E165</f>
        <v>5777.0556783919601</v>
      </c>
      <c r="E97">
        <f>FDB!F165</f>
        <v>5051.4991958182545</v>
      </c>
      <c r="F97">
        <f>FDB!G165</f>
        <v>5443.1561619286913</v>
      </c>
      <c r="G97">
        <f>FDB!H165</f>
        <v>0</v>
      </c>
      <c r="H97">
        <f>FDB!I165</f>
        <v>0</v>
      </c>
      <c r="I97">
        <f>FDB!J165</f>
        <v>0</v>
      </c>
      <c r="J97">
        <f>FDB!K165</f>
        <v>0</v>
      </c>
      <c r="K97" t="str">
        <f>FDB!L165</f>
        <v/>
      </c>
      <c r="L97" t="str">
        <f>FDB!M165</f>
        <v/>
      </c>
    </row>
    <row r="98" spans="2:12">
      <c r="B98" s="12" t="str">
        <f>FDB!B166</f>
        <v>( - ) Trade Payables</v>
      </c>
      <c r="C98">
        <f>FDB!D166</f>
        <v>-3288.4705527638193</v>
      </c>
      <c r="D98" t="str">
        <f>FDB!E166</f>
        <v/>
      </c>
      <c r="E98">
        <f>FDB!F166</f>
        <v>-2804.5188982710092</v>
      </c>
      <c r="F98" t="str">
        <f>FDB!G166</f>
        <v/>
      </c>
      <c r="G98">
        <f>FDB!H166</f>
        <v>0</v>
      </c>
      <c r="H98">
        <f>FDB!I166</f>
        <v>0</v>
      </c>
      <c r="I98">
        <f>FDB!J166</f>
        <v>0</v>
      </c>
      <c r="J98">
        <f>FDB!K166</f>
        <v>0</v>
      </c>
      <c r="K98" t="str">
        <f>FDB!L166</f>
        <v/>
      </c>
      <c r="L98" t="str">
        <f>FDB!M166</f>
        <v/>
      </c>
    </row>
    <row r="99" spans="2:12">
      <c r="B99" s="12" t="str">
        <f>FDB!B167</f>
        <v>( - )  NWC adjustments</v>
      </c>
      <c r="C99">
        <f>FDB!D167</f>
        <v>0</v>
      </c>
      <c r="D99" t="str">
        <f>FDB!E167</f>
        <v/>
      </c>
      <c r="E99">
        <f>FDB!F167</f>
        <v>0</v>
      </c>
      <c r="F99">
        <f>FDB!G167</f>
        <v>0</v>
      </c>
      <c r="G99">
        <f>FDB!H167</f>
        <v>0</v>
      </c>
      <c r="H99">
        <f>FDB!I167</f>
        <v>0</v>
      </c>
      <c r="I99">
        <f>FDB!J167</f>
        <v>0</v>
      </c>
      <c r="J99">
        <f>FDB!K167</f>
        <v>0</v>
      </c>
      <c r="K99" t="str">
        <f>FDB!L167</f>
        <v/>
      </c>
      <c r="L99" t="str">
        <f>FDB!M167</f>
        <v/>
      </c>
    </row>
    <row r="101" spans="2:12">
      <c r="C101" t="str">
        <f>FDB!D$72</f>
        <v>2022A</v>
      </c>
      <c r="D101" t="str">
        <f>FDB!E$72</f>
        <v>2023A</v>
      </c>
      <c r="E101" t="str">
        <f>FDB!F$72</f>
        <v>2024A</v>
      </c>
      <c r="F101" t="str">
        <f>FDB!G$72</f>
        <v>2025FC</v>
      </c>
      <c r="G101" t="str">
        <f>FDB!H$72</f>
        <v>2026P</v>
      </c>
      <c r="H101" t="str">
        <f>FDB!I$72</f>
        <v>2027P</v>
      </c>
      <c r="I101" t="str">
        <f>FDB!J$72</f>
        <v>2028P</v>
      </c>
      <c r="J101" t="str">
        <f>FDB!K$72</f>
        <v>2029P</v>
      </c>
      <c r="K101" t="str">
        <f>FDB!L$72</f>
        <v xml:space="preserve"> P</v>
      </c>
      <c r="L101" t="str">
        <f>FDB!M$72</f>
        <v xml:space="preserve"> P</v>
      </c>
    </row>
    <row r="103" spans="2:12">
      <c r="B103" t="str">
        <f>FDB!B243</f>
        <v>Cash Conversion Cycle (CCC)</v>
      </c>
      <c r="C103" s="99" t="str">
        <f>FDB!D243</f>
        <v/>
      </c>
      <c r="D103" s="99" t="str">
        <f>FDB!E243</f>
        <v/>
      </c>
      <c r="E103" s="99" t="str">
        <f>FDB!F243</f>
        <v/>
      </c>
      <c r="F103" s="99" t="str">
        <f>FDB!G243</f>
        <v/>
      </c>
      <c r="G103" s="99" t="str">
        <f>FDB!H243</f>
        <v/>
      </c>
      <c r="H103" s="99" t="str">
        <f>FDB!I243</f>
        <v/>
      </c>
      <c r="I103" s="99" t="str">
        <f>FDB!J243</f>
        <v/>
      </c>
      <c r="J103" s="99" t="str">
        <f>FDB!K243</f>
        <v/>
      </c>
      <c r="K103" s="99" t="str">
        <f>FDB!L243</f>
        <v/>
      </c>
      <c r="L103" s="99" t="str">
        <f>FDB!M243</f>
        <v/>
      </c>
    </row>
    <row r="104" spans="2:12">
      <c r="B104" t="str">
        <f>FDB!B244</f>
        <v>DIO</v>
      </c>
      <c r="C104" s="99" t="str">
        <f>FDB!D244</f>
        <v/>
      </c>
      <c r="D104" s="99" t="str">
        <f>FDB!E244</f>
        <v/>
      </c>
      <c r="E104" s="99" t="str">
        <f>FDB!F244</f>
        <v/>
      </c>
      <c r="F104" s="99" t="str">
        <f>FDB!G244</f>
        <v/>
      </c>
      <c r="G104" s="99" t="str">
        <f>FDB!H244</f>
        <v/>
      </c>
      <c r="H104" s="99" t="str">
        <f>FDB!I244</f>
        <v/>
      </c>
      <c r="I104" s="99" t="str">
        <f>FDB!J244</f>
        <v/>
      </c>
      <c r="J104" s="99" t="str">
        <f>FDB!K244</f>
        <v/>
      </c>
      <c r="K104" s="99" t="str">
        <f>FDB!L244</f>
        <v/>
      </c>
      <c r="L104" s="99" t="str">
        <f>FDB!M244</f>
        <v/>
      </c>
    </row>
    <row r="105" spans="2:12">
      <c r="B105" t="str">
        <f>FDB!B245</f>
        <v>DPO</v>
      </c>
      <c r="C105" s="99" t="str">
        <f>FDB!D245</f>
        <v/>
      </c>
      <c r="D105" s="99" t="str">
        <f>FDB!E245</f>
        <v/>
      </c>
      <c r="E105" s="99" t="str">
        <f>FDB!F245</f>
        <v/>
      </c>
      <c r="F105" s="99" t="str">
        <f>FDB!G245</f>
        <v/>
      </c>
      <c r="G105" s="99" t="str">
        <f>FDB!H245</f>
        <v/>
      </c>
      <c r="H105" s="99" t="str">
        <f>FDB!I245</f>
        <v/>
      </c>
      <c r="I105" s="99" t="str">
        <f>FDB!J245</f>
        <v/>
      </c>
      <c r="J105" s="99" t="str">
        <f>FDB!K245</f>
        <v/>
      </c>
      <c r="K105" s="99" t="str">
        <f>FDB!L245</f>
        <v/>
      </c>
      <c r="L105" s="99" t="str">
        <f>FDB!M245</f>
        <v/>
      </c>
    </row>
    <row r="106" spans="2:12">
      <c r="B106" t="str">
        <f>FDB!B246</f>
        <v>DSO</v>
      </c>
      <c r="C106" s="99">
        <f>FDB!D246</f>
        <v>61.22518940851846</v>
      </c>
      <c r="D106" s="99">
        <f>FDB!E246</f>
        <v>56.385943144857009</v>
      </c>
      <c r="E106" s="99">
        <f>FDB!F246</f>
        <v>54.2183128805937</v>
      </c>
      <c r="F106" s="99">
        <f>FDB!G246</f>
        <v>57.276481811323059</v>
      </c>
      <c r="G106" s="99" t="str">
        <f>FDB!H246</f>
        <v/>
      </c>
      <c r="H106" s="99" t="str">
        <f>FDB!I246</f>
        <v/>
      </c>
      <c r="I106" s="99" t="str">
        <f>FDB!J246</f>
        <v/>
      </c>
      <c r="J106" s="99" t="str">
        <f>FDB!K246</f>
        <v/>
      </c>
      <c r="K106" s="99" t="str">
        <f>FDB!L246</f>
        <v/>
      </c>
      <c r="L106" s="99" t="str">
        <f>FDB!M246</f>
        <v/>
      </c>
    </row>
    <row r="108" spans="2:12">
      <c r="B108" t="str">
        <f>FDB!J193</f>
        <v>Structure of Assets 2025FC</v>
      </c>
      <c r="E108" t="str">
        <f>FDB!M193</f>
        <v>Structure of Liabilities 2025FC</v>
      </c>
    </row>
    <row r="109" spans="2:12">
      <c r="B109" t="str">
        <f>FDB!J194</f>
        <v>I. Intangibles</v>
      </c>
      <c r="C109">
        <f>FDB!K194</f>
        <v>25.962856834469594</v>
      </c>
      <c r="E109" t="str">
        <f>FDB!M194</f>
        <v>A. Equity</v>
      </c>
      <c r="F109">
        <f>FDB!N194</f>
        <v>4095.4323453629199</v>
      </c>
    </row>
    <row r="110" spans="2:12">
      <c r="B110" t="str">
        <f>FDB!J195</f>
        <v>II. PP&amp;E</v>
      </c>
      <c r="C110">
        <f>FDB!K195</f>
        <v>6649.5107461395664</v>
      </c>
      <c r="E110" t="str">
        <f>FDB!M195</f>
        <v>B. Provisions</v>
      </c>
      <c r="F110">
        <f>FDB!N195</f>
        <v>0</v>
      </c>
    </row>
    <row r="111" spans="2:12">
      <c r="B111" t="str">
        <f>FDB!J196</f>
        <v>III. Financial Assets</v>
      </c>
      <c r="C111">
        <f>FDB!K196</f>
        <v>13.165789434876199</v>
      </c>
      <c r="E111" t="str">
        <f>FDB!M196</f>
        <v>C. Liabilities</v>
      </c>
      <c r="F111" t="e">
        <f>FDB!N196</f>
        <v>#VALUE!</v>
      </c>
    </row>
    <row r="112" spans="2:12">
      <c r="B112" t="e">
        <f>FDB!J197</f>
        <v>#VALUE!</v>
      </c>
      <c r="C112" t="e">
        <f>FDB!K197</f>
        <v>#VALUE!</v>
      </c>
      <c r="E112" t="str">
        <f>FDB!M197</f>
        <v>D. Accrued expenses / Deferred income</v>
      </c>
      <c r="F112">
        <f>FDB!N197</f>
        <v>0</v>
      </c>
    </row>
    <row r="113" spans="2:6">
      <c r="B113" t="str">
        <f>FDB!J198</f>
        <v>II. Receivables and other assets</v>
      </c>
      <c r="C113">
        <f>FDB!K198</f>
        <v>7774.9955937661325</v>
      </c>
      <c r="E113" t="str">
        <f>FDB!M198</f>
        <v>E. Deferred Tax Liabilities</v>
      </c>
      <c r="F113">
        <f>FDB!N198</f>
        <v>0</v>
      </c>
    </row>
    <row r="114" spans="2:6">
      <c r="B114" t="str">
        <f>FDB!J199</f>
        <v>III. Securities</v>
      </c>
      <c r="C114">
        <f>FDB!K199</f>
        <v>0</v>
      </c>
    </row>
    <row r="115" spans="2:6">
      <c r="B115" t="e">
        <f>FDB!J200</f>
        <v>#VALUE!</v>
      </c>
      <c r="C115" t="e">
        <f>FDB!K200</f>
        <v>#VALUE!</v>
      </c>
    </row>
    <row r="116" spans="2:6">
      <c r="B116" t="str">
        <f>FDB!J201</f>
        <v>C. Prepaid expenses / Accrued income</v>
      </c>
      <c r="C116">
        <f>FDB!K201</f>
        <v>168.06439325150092</v>
      </c>
    </row>
    <row r="117" spans="2:6">
      <c r="B117" t="str">
        <f>FDB!J202</f>
        <v>II. PP&amp;E</v>
      </c>
      <c r="C117">
        <f>FDB!K202</f>
        <v>0</v>
      </c>
    </row>
  </sheetData>
  <pageMargins left="0.7" right="0.7" top="0.78740157499999996" bottom="0.78740157499999996"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38A-E06A-48A2-9CD3-8E3F1C481711}">
  <sheetPr codeName="Sheet2"/>
  <dimension ref="B1:J41"/>
  <sheetViews>
    <sheetView workbookViewId="0">
      <selection activeCell="J24" sqref="J24"/>
    </sheetView>
  </sheetViews>
  <sheetFormatPr defaultColWidth="9.140625" defaultRowHeight="12.75"/>
  <cols>
    <col min="1" max="1" width="5.7109375" style="875" customWidth="1"/>
    <col min="2" max="2" width="69" style="875" bestFit="1" customWidth="1"/>
    <col min="3" max="4" width="10" style="875" customWidth="1"/>
    <col min="5" max="8" width="14.7109375" style="875" bestFit="1" customWidth="1"/>
    <col min="9" max="9" width="9.140625" style="875"/>
    <col min="10" max="10" width="14" style="875" bestFit="1" customWidth="1"/>
    <col min="11" max="11" width="12.7109375" style="875" bestFit="1" customWidth="1"/>
    <col min="12" max="12" width="14.42578125" style="875" customWidth="1"/>
    <col min="13" max="16384" width="9.140625" style="875"/>
  </cols>
  <sheetData>
    <row r="1" spans="2:8" ht="15" customHeight="1">
      <c r="E1" s="877"/>
      <c r="F1" s="877"/>
      <c r="G1" s="877"/>
      <c r="H1" s="877"/>
    </row>
    <row r="2" spans="2:8">
      <c r="B2" s="1745" t="str">
        <f>Lang.!B6 &amp; " BWA - ALLE WERTE POSITIV EINTRAGEN"</f>
        <v>Income Statement/ P&amp;L (Total cost) BWA - ALLE WERTE POSITIV EINTRAGEN</v>
      </c>
      <c r="C2" s="1742"/>
      <c r="D2" s="1742"/>
      <c r="E2" s="1743"/>
      <c r="F2" s="1743"/>
      <c r="G2" s="1743"/>
      <c r="H2" s="1743"/>
    </row>
    <row r="3" spans="2:8">
      <c r="E3" s="877"/>
      <c r="F3" s="877"/>
      <c r="G3" s="877"/>
      <c r="H3" s="877"/>
    </row>
    <row r="4" spans="2:8" s="876" customFormat="1">
      <c r="B4" s="1727" t="str">
        <f>Lang.!B9</f>
        <v>Revenue</v>
      </c>
      <c r="C4" s="882"/>
      <c r="D4" s="882"/>
      <c r="E4" s="1740"/>
      <c r="F4" s="1740"/>
      <c r="G4" s="1740"/>
      <c r="H4" s="1740"/>
    </row>
    <row r="5" spans="2:8">
      <c r="B5" s="1727" t="str">
        <f>Lang.!B11</f>
        <v>Change in Inventory</v>
      </c>
      <c r="C5" s="882"/>
      <c r="D5" s="882"/>
      <c r="E5" s="1740"/>
      <c r="F5" s="1740"/>
      <c r="G5" s="1740"/>
      <c r="H5" s="1740"/>
    </row>
    <row r="6" spans="2:8">
      <c r="B6" s="1727" t="s">
        <v>1410</v>
      </c>
      <c r="C6" s="882"/>
      <c r="D6" s="882"/>
      <c r="E6" s="1740"/>
      <c r="F6" s="1740"/>
      <c r="G6" s="1740"/>
      <c r="H6" s="1740"/>
    </row>
    <row r="7" spans="2:8">
      <c r="B7" s="1746" t="s">
        <v>208</v>
      </c>
      <c r="C7" s="1747"/>
      <c r="D7" s="1747"/>
      <c r="E7" s="1748">
        <f>SUM(E4:E6)</f>
        <v>0</v>
      </c>
      <c r="F7" s="1748">
        <f>SUM(F4:F6)</f>
        <v>0</v>
      </c>
      <c r="G7" s="1748">
        <f>SUM(G4:G6)</f>
        <v>0</v>
      </c>
      <c r="H7" s="1748">
        <f>SUM(H4:H6)</f>
        <v>0</v>
      </c>
    </row>
    <row r="8" spans="2:8" s="876" customFormat="1">
      <c r="B8" s="1724" t="str">
        <f>Lang.!B19</f>
        <v>Cost of Material</v>
      </c>
      <c r="C8" s="879"/>
      <c r="D8" s="879"/>
      <c r="E8" s="878">
        <f>-(E9+E10)</f>
        <v>0</v>
      </c>
      <c r="F8" s="878">
        <f>-(F9+F10)</f>
        <v>0</v>
      </c>
      <c r="G8" s="878">
        <f>-(G9+G10)</f>
        <v>0</v>
      </c>
      <c r="H8" s="878">
        <f>-(H9+H10)</f>
        <v>0</v>
      </c>
    </row>
    <row r="9" spans="2:8">
      <c r="B9" s="1725" t="str">
        <f>Lang.!B20</f>
        <v>a) Cost of raw materials, consumables &amp; supplies &amp; purchased goods</v>
      </c>
      <c r="C9" s="880"/>
      <c r="D9" s="880"/>
      <c r="E9" s="1740"/>
      <c r="F9" s="1740"/>
      <c r="G9" s="1740"/>
      <c r="H9" s="1740"/>
    </row>
    <row r="10" spans="2:8">
      <c r="B10" s="1725" t="str">
        <f>Lang.!B21</f>
        <v>b) Expenses for purchased services</v>
      </c>
      <c r="C10" s="880"/>
      <c r="D10" s="880"/>
      <c r="E10" s="1740"/>
      <c r="F10" s="1740"/>
      <c r="G10" s="1740"/>
      <c r="H10" s="1740"/>
    </row>
    <row r="11" spans="2:8">
      <c r="B11" s="1744" t="str">
        <f>Lang.!B34</f>
        <v>Other Operating Income</v>
      </c>
      <c r="C11" s="882"/>
      <c r="D11" s="882"/>
      <c r="E11" s="1740"/>
      <c r="F11" s="1740"/>
      <c r="G11" s="1740"/>
      <c r="H11" s="1740"/>
    </row>
    <row r="12" spans="2:8" s="876" customFormat="1">
      <c r="B12" s="1728" t="str">
        <f>Lang.!B28</f>
        <v>Personnel Expenses</v>
      </c>
      <c r="C12" s="883"/>
      <c r="D12" s="883"/>
      <c r="E12" s="878">
        <f>-(E13+E14)</f>
        <v>0</v>
      </c>
      <c r="F12" s="878">
        <f>-(F13+F14)</f>
        <v>0</v>
      </c>
      <c r="G12" s="878">
        <f>-(G13+G14)</f>
        <v>0</v>
      </c>
      <c r="H12" s="878">
        <f>-(H13+H14)</f>
        <v>0</v>
      </c>
    </row>
    <row r="13" spans="2:8">
      <c r="B13" s="1729" t="str">
        <f>Lang.!B29</f>
        <v>a) Wages and Salaries</v>
      </c>
      <c r="C13" s="884"/>
      <c r="D13" s="884"/>
      <c r="E13" s="1740"/>
      <c r="F13" s="1740"/>
      <c r="G13" s="1740"/>
      <c r="H13" s="1740"/>
    </row>
    <row r="14" spans="2:8">
      <c r="B14" s="1729" t="str">
        <f>Lang.!B30</f>
        <v>b) Social security contributions and pension costs</v>
      </c>
      <c r="C14" s="885"/>
      <c r="D14" s="885"/>
      <c r="E14" s="1740"/>
      <c r="F14" s="1740"/>
      <c r="G14" s="1740"/>
      <c r="H14" s="1740"/>
    </row>
    <row r="15" spans="2:8" s="876" customFormat="1">
      <c r="B15" s="1728" t="str">
        <f>Lang.!B47</f>
        <v>Depreciation and Amortization</v>
      </c>
      <c r="C15" s="883"/>
      <c r="D15" s="883"/>
      <c r="E15" s="878">
        <f>-(E16+E17)</f>
        <v>0</v>
      </c>
      <c r="F15" s="878">
        <f>-(F16+F17)</f>
        <v>0</v>
      </c>
      <c r="G15" s="878">
        <f>-(G16+G17)</f>
        <v>0</v>
      </c>
      <c r="H15" s="878">
        <f>-(H16+H17)</f>
        <v>0</v>
      </c>
    </row>
    <row r="16" spans="2:8">
      <c r="B16" s="1725" t="str">
        <f>Lang.!B48</f>
        <v>a) Intangibles</v>
      </c>
      <c r="C16" s="880"/>
      <c r="D16" s="880"/>
      <c r="E16" s="1740"/>
      <c r="F16" s="1740"/>
      <c r="G16" s="1740"/>
      <c r="H16" s="1740"/>
    </row>
    <row r="17" spans="2:8">
      <c r="B17" s="1725" t="str">
        <f>Lang.!B49</f>
        <v>b) PP&amp;E/Current Assets</v>
      </c>
      <c r="C17" s="880"/>
      <c r="D17" s="880"/>
      <c r="E17" s="1740"/>
      <c r="F17" s="1740"/>
      <c r="G17" s="1740"/>
      <c r="H17" s="1740"/>
    </row>
    <row r="18" spans="2:8">
      <c r="B18" s="1744" t="str">
        <f>Lang.!B39</f>
        <v>Other Operating Expenses</v>
      </c>
      <c r="C18" s="880"/>
      <c r="D18" s="880"/>
      <c r="E18" s="878">
        <f>E19-E12-E15-E30</f>
        <v>0</v>
      </c>
      <c r="F18" s="878">
        <f t="shared" ref="F18:H18" si="0">F19-F12-F15-F30</f>
        <v>0</v>
      </c>
      <c r="G18" s="878">
        <f t="shared" si="0"/>
        <v>0</v>
      </c>
      <c r="H18" s="878">
        <f t="shared" si="0"/>
        <v>0</v>
      </c>
    </row>
    <row r="19" spans="2:8" s="876" customFormat="1">
      <c r="B19" s="1728" t="s">
        <v>225</v>
      </c>
      <c r="C19" s="883"/>
      <c r="D19" s="883"/>
      <c r="E19" s="1741"/>
      <c r="F19" s="1741"/>
      <c r="G19" s="1741"/>
      <c r="H19" s="1741"/>
    </row>
    <row r="20" spans="2:8">
      <c r="B20" s="1726" t="s">
        <v>228</v>
      </c>
      <c r="C20" s="881"/>
      <c r="D20" s="881"/>
      <c r="E20" s="1740"/>
      <c r="F20" s="1740"/>
      <c r="G20" s="1740"/>
      <c r="H20" s="1740"/>
    </row>
    <row r="21" spans="2:8">
      <c r="B21" s="1726" t="s">
        <v>1411</v>
      </c>
      <c r="C21" s="881"/>
      <c r="D21" s="881"/>
      <c r="E21" s="1740"/>
      <c r="F21" s="1740"/>
      <c r="G21" s="1740"/>
      <c r="H21" s="1740"/>
    </row>
    <row r="22" spans="2:8" s="876" customFormat="1">
      <c r="B22" s="1728" t="s">
        <v>230</v>
      </c>
      <c r="C22" s="883"/>
      <c r="D22" s="883"/>
      <c r="E22" s="878">
        <f>-SUM(E20:E21)</f>
        <v>0</v>
      </c>
      <c r="F22" s="878">
        <f>-SUM(F20:F21)</f>
        <v>0</v>
      </c>
      <c r="G22" s="878">
        <f>-SUM(G20:G21)</f>
        <v>0</v>
      </c>
      <c r="H22" s="878">
        <f>-SUM(H20:H21)</f>
        <v>0</v>
      </c>
    </row>
    <row r="23" spans="2:8">
      <c r="B23" s="1726" t="s">
        <v>231</v>
      </c>
      <c r="C23" s="881"/>
      <c r="D23" s="881"/>
      <c r="E23" s="1740"/>
      <c r="F23" s="1740"/>
      <c r="G23" s="1740"/>
      <c r="H23" s="1740"/>
    </row>
    <row r="24" spans="2:8">
      <c r="B24" s="1726" t="s">
        <v>1412</v>
      </c>
      <c r="C24" s="881"/>
      <c r="D24" s="881"/>
      <c r="E24" s="1740"/>
      <c r="F24" s="1740"/>
      <c r="G24" s="1740"/>
      <c r="H24" s="1740"/>
    </row>
    <row r="25" spans="2:8">
      <c r="B25" s="1726" t="s">
        <v>1413</v>
      </c>
      <c r="C25" s="881"/>
      <c r="D25" s="881"/>
      <c r="E25" s="1740"/>
      <c r="F25" s="1740"/>
      <c r="G25" s="1740"/>
      <c r="H25" s="1740"/>
    </row>
    <row r="26" spans="2:8" s="876" customFormat="1">
      <c r="B26" s="1728" t="s">
        <v>234</v>
      </c>
      <c r="C26" s="883"/>
      <c r="D26" s="883"/>
      <c r="E26" s="878">
        <f>SUM(E23:E25)</f>
        <v>0</v>
      </c>
      <c r="F26" s="878">
        <f>SUM(F23:F25)</f>
        <v>0</v>
      </c>
      <c r="G26" s="878">
        <f>SUM(G23:G25)</f>
        <v>0</v>
      </c>
      <c r="H26" s="878">
        <f>SUM(H23:H25)</f>
        <v>0</v>
      </c>
    </row>
    <row r="27" spans="2:8" s="876" customFormat="1">
      <c r="B27" s="1728" t="s">
        <v>235</v>
      </c>
      <c r="C27" s="883"/>
      <c r="D27" s="883"/>
      <c r="E27" s="878">
        <f>E7+E8+E11+E19+E22+E26</f>
        <v>0</v>
      </c>
      <c r="F27" s="878">
        <f>F7+F8+F11+F19+F22+F26</f>
        <v>0</v>
      </c>
      <c r="G27" s="878">
        <f>G7+G8+G11+G19+G22+G26</f>
        <v>0</v>
      </c>
      <c r="H27" s="878">
        <f>H7+H8+H11+H19+H22+H26</f>
        <v>0</v>
      </c>
    </row>
    <row r="28" spans="2:8">
      <c r="B28" s="1726" t="str">
        <f>Lang.!B76</f>
        <v xml:space="preserve">Taxes on Income and Earnings  </v>
      </c>
      <c r="C28" s="881"/>
      <c r="D28" s="881"/>
      <c r="E28" s="1740"/>
      <c r="F28" s="1740"/>
      <c r="G28" s="1740"/>
      <c r="H28" s="1740"/>
    </row>
    <row r="29" spans="2:8" s="876" customFormat="1">
      <c r="B29" s="883" t="s">
        <v>237</v>
      </c>
      <c r="C29" s="883"/>
      <c r="D29" s="883"/>
      <c r="E29" s="878">
        <f>E27-E28</f>
        <v>0</v>
      </c>
      <c r="F29" s="878">
        <f>F27-F28</f>
        <v>0</v>
      </c>
      <c r="G29" s="878">
        <f>G27-G28</f>
        <v>0</v>
      </c>
      <c r="H29" s="878">
        <f>H27-H28</f>
        <v>0</v>
      </c>
    </row>
    <row r="30" spans="2:8">
      <c r="B30" s="1726" t="str">
        <f>Lang.!B77</f>
        <v>other taxes</v>
      </c>
      <c r="C30" s="881"/>
      <c r="D30" s="881"/>
      <c r="E30" s="1740"/>
      <c r="F30" s="1740"/>
      <c r="G30" s="1740"/>
      <c r="H30" s="1740"/>
    </row>
    <row r="31" spans="2:8" s="876" customFormat="1">
      <c r="B31" s="1728" t="str">
        <f>Lang.!B80</f>
        <v>Net Profit (loss) (adjusted)</v>
      </c>
      <c r="C31" s="883"/>
      <c r="D31" s="883"/>
      <c r="E31" s="878">
        <f>E29-E30</f>
        <v>0</v>
      </c>
      <c r="F31" s="878">
        <f>F29-F30</f>
        <v>0</v>
      </c>
      <c r="G31" s="878">
        <f>G29-G30</f>
        <v>0</v>
      </c>
      <c r="H31" s="878">
        <f>H29-H30</f>
        <v>0</v>
      </c>
    </row>
    <row r="32" spans="2:8">
      <c r="E32" s="886"/>
      <c r="F32" s="886"/>
      <c r="G32" s="886"/>
      <c r="H32" s="886"/>
    </row>
    <row r="33" spans="2:10">
      <c r="E33" s="886"/>
      <c r="F33" s="886"/>
      <c r="G33" s="886"/>
      <c r="H33" s="886"/>
    </row>
    <row r="34" spans="2:10">
      <c r="B34" s="876"/>
      <c r="C34" s="876"/>
      <c r="D34" s="876"/>
      <c r="E34" s="886"/>
      <c r="F34" s="886"/>
      <c r="G34" s="886"/>
      <c r="H34" s="886"/>
    </row>
    <row r="35" spans="2:10">
      <c r="B35" s="880"/>
      <c r="C35" s="880"/>
      <c r="D35" s="880"/>
      <c r="E35" s="886"/>
      <c r="F35" s="886"/>
      <c r="G35" s="886"/>
      <c r="H35" s="886"/>
      <c r="J35" s="877"/>
    </row>
    <row r="36" spans="2:10">
      <c r="E36" s="886"/>
      <c r="F36" s="886"/>
      <c r="G36" s="886"/>
      <c r="H36" s="886"/>
      <c r="J36" s="877"/>
    </row>
    <row r="37" spans="2:10">
      <c r="E37" s="886"/>
      <c r="F37" s="886"/>
      <c r="G37" s="886"/>
      <c r="H37" s="886"/>
    </row>
    <row r="38" spans="2:10">
      <c r="E38" s="886"/>
      <c r="F38" s="886"/>
      <c r="G38" s="886"/>
      <c r="H38" s="886"/>
    </row>
    <row r="39" spans="2:10">
      <c r="E39" s="886"/>
      <c r="F39" s="886"/>
      <c r="G39" s="886"/>
      <c r="H39" s="886"/>
    </row>
    <row r="40" spans="2:10">
      <c r="E40" s="886"/>
      <c r="F40" s="886"/>
      <c r="G40" s="886"/>
      <c r="H40" s="886"/>
    </row>
    <row r="41" spans="2:10">
      <c r="E41" s="886"/>
      <c r="F41" s="886"/>
      <c r="G41" s="886"/>
      <c r="H41" s="88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4AA4-8425-3F45-AB90-12A6C3510B74}">
  <dimension ref="A1:A14"/>
  <sheetViews>
    <sheetView workbookViewId="0"/>
  </sheetViews>
  <sheetFormatPr defaultColWidth="11.42578125" defaultRowHeight="12.75"/>
  <sheetData>
    <row r="1" spans="1:1">
      <c r="A1" t="s">
        <v>1414</v>
      </c>
    </row>
    <row r="2" spans="1:1">
      <c r="A2" t="s">
        <v>1415</v>
      </c>
    </row>
    <row r="3" spans="1:1">
      <c r="A3" t="s">
        <v>1416</v>
      </c>
    </row>
    <row r="4" spans="1:1">
      <c r="A4" t="s">
        <v>1417</v>
      </c>
    </row>
    <row r="5" spans="1:1">
      <c r="A5" t="s">
        <v>1418</v>
      </c>
    </row>
    <row r="6" spans="1:1">
      <c r="A6" t="s">
        <v>1419</v>
      </c>
    </row>
    <row r="7" spans="1:1">
      <c r="A7" t="s">
        <v>1420</v>
      </c>
    </row>
    <row r="8" spans="1:1">
      <c r="A8" t="s">
        <v>1421</v>
      </c>
    </row>
    <row r="9" spans="1:1">
      <c r="A9" t="s">
        <v>1422</v>
      </c>
    </row>
    <row r="10" spans="1:1">
      <c r="A10" t="s">
        <v>1423</v>
      </c>
    </row>
    <row r="11" spans="1:1">
      <c r="A11" t="s">
        <v>1424</v>
      </c>
    </row>
    <row r="12" spans="1:1">
      <c r="A12" t="s">
        <v>1425</v>
      </c>
    </row>
    <row r="13" spans="1:1">
      <c r="A13" t="s">
        <v>1426</v>
      </c>
    </row>
    <row r="14" spans="1:1">
      <c r="A14" t="s">
        <v>1427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548C0-B666-674C-9DAA-5291F5367C7C}">
  <dimension ref="A1"/>
  <sheetViews>
    <sheetView workbookViewId="0"/>
  </sheetViews>
  <sheetFormatPr defaultColWidth="11.42578125" defaultRowHeight="12.7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D9111C46DD1B694EAB5FBC6D6DA9956F" ma:contentTypeVersion="11" ma:contentTypeDescription="Ein neues Dokument erstellen." ma:contentTypeScope="" ma:versionID="1eb8289ea8c56a5a1db05ff146f0f8c5">
  <xsd:schema xmlns:xsd="http://www.w3.org/2001/XMLSchema" xmlns:xs="http://www.w3.org/2001/XMLSchema" xmlns:p="http://schemas.microsoft.com/office/2006/metadata/properties" xmlns:ns2="63264c82-143b-4445-8ac7-77431da13c96" xmlns:ns3="0fa930c9-45c5-4df7-af89-b36ea75a5456" targetNamespace="http://schemas.microsoft.com/office/2006/metadata/properties" ma:root="true" ma:fieldsID="178f64a23fb2cbb02b9fbc777c0a789d" ns2:_="" ns3:_="">
    <xsd:import namespace="63264c82-143b-4445-8ac7-77431da13c96"/>
    <xsd:import namespace="0fa930c9-45c5-4df7-af89-b36ea75a545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3264c82-143b-4445-8ac7-77431da13c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ildmarkierungen" ma:readOnly="false" ma:fieldId="{5cf76f15-5ced-4ddc-b409-7134ff3c332f}" ma:taxonomyMulti="true" ma:sspId="18ded669-e641-400b-97a2-4a56c881bb62"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0fa930c9-45c5-4df7-af89-b36ea75a545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bca2336-40c6-4a74-a570-ba9f767b4b8b}" ma:internalName="TaxCatchAll" ma:showField="CatchAllData" ma:web="0fa930c9-45c5-4df7-af89-b36ea75a545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63264c82-143b-4445-8ac7-77431da13c96">
      <Terms xmlns="http://schemas.microsoft.com/office/infopath/2007/PartnerControls"/>
    </lcf76f155ced4ddcb4097134ff3c332f>
    <TaxCatchAll xmlns="0fa930c9-45c5-4df7-af89-b36ea75a5456" xsi:nil="true"/>
  </documentManagement>
</p:properties>
</file>

<file path=customXml/itemProps1.xml><?xml version="1.0" encoding="utf-8"?>
<ds:datastoreItem xmlns:ds="http://schemas.openxmlformats.org/officeDocument/2006/customXml" ds:itemID="{D07ADBE9-0D65-4FE9-B5F4-AE6ED979ECBF}"/>
</file>

<file path=customXml/itemProps2.xml><?xml version="1.0" encoding="utf-8"?>
<ds:datastoreItem xmlns:ds="http://schemas.openxmlformats.org/officeDocument/2006/customXml" ds:itemID="{DAB1D690-45A3-4A09-BCDA-837F262A764A}"/>
</file>

<file path=customXml/itemProps3.xml><?xml version="1.0" encoding="utf-8"?>
<ds:datastoreItem xmlns:ds="http://schemas.openxmlformats.org/officeDocument/2006/customXml" ds:itemID="{7FB34F48-15CD-4CFF-826B-BCB47F914565}"/>
</file>

<file path=docProps/app.xml><?xml version="1.0" encoding="utf-8"?>
<Properties xmlns="http://schemas.openxmlformats.org/officeDocument/2006/extended-properties" xmlns:vt="http://schemas.openxmlformats.org/officeDocument/2006/docPropsVTypes">
  <Application>Microsoft Excel Online</Application>
  <Manager/>
  <Company>M&amp;A Consultants AG</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Jonas Lauppe</dc:creator>
  <cp:keywords/>
  <dc:description/>
  <cp:lastModifiedBy>Maximilian Höfer</cp:lastModifiedBy>
  <cp:revision/>
  <dcterms:created xsi:type="dcterms:W3CDTF">2006-03-22T14:48:14Z</dcterms:created>
  <dcterms:modified xsi:type="dcterms:W3CDTF">2026-01-18T11:21:22Z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0x010100D9111C46DD1B694EAB5FBC6D6DA9956F</vt:lpwstr>
  </property>
  <property fmtid="{D5CDD505-2E9C-101B-9397-08002B2CF9AE}" pid="3" name="Order">
    <vt:r8>55832500</vt:r8>
  </property>
  <property fmtid="{D5CDD505-2E9C-101B-9397-08002B2CF9AE}" pid="4" name="_ExtendedDescription">
    <vt:lpwstr/>
  </property>
  <property fmtid="{D5CDD505-2E9C-101B-9397-08002B2CF9AE}" pid="5" name="TriggerFlowInfo">
    <vt:lpwstr/>
  </property>
  <property fmtid="{D5CDD505-2E9C-101B-9397-08002B2CF9AE}" pid="6" name="ComplianceAssetId">
    <vt:lpwstr/>
  </property>
  <property fmtid="{D5CDD505-2E9C-101B-9397-08002B2CF9AE}" pid="7" name="MediaServiceImageTags">
    <vt:lpwstr/>
  </property>
  <property fmtid="{D5CDD505-2E9C-101B-9397-08002B2CF9AE}" pid="8" name="{A44787D4-0540-4523-9961-78E4036D8C6D}">
    <vt:lpwstr>{7E568347-ADAA-41DD-B357-975FB02002DA}</vt:lpwstr>
  </property>
</Properties>
</file>