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defaultThemeVersion="166925"/>
  <mc:AlternateContent xmlns:mc="http://schemas.openxmlformats.org/markup-compatibility/2006">
    <mc:Choice Requires="x15">
      <x15ac:absPath xmlns:x15ac="http://schemas.microsoft.com/office/spreadsheetml/2010/11/ac" url="C:\Users\treyh\cadence\Collected Product Data\"/>
    </mc:Choice>
  </mc:AlternateContent>
  <xr:revisionPtr revIDLastSave="0" documentId="13_ncr:1_{CEA19541-8726-4E1B-81EB-0BC3E0258E15}" xr6:coauthVersionLast="37" xr6:coauthVersionMax="37" xr10:uidLastSave="{00000000-0000-0000-0000-000000000000}"/>
  <bookViews>
    <workbookView xWindow="0" yWindow="0" windowWidth="21570" windowHeight="7920" activeTab="3" xr2:uid="{00000000-000D-0000-FFFF-FFFF00000000}"/>
  </bookViews>
  <sheets>
    <sheet name="WashData" sheetId="2" r:id="rId1"/>
    <sheet name="ScrapWork" sheetId="4" state="hidden" r:id="rId2"/>
    <sheet name="BillofMat" sheetId="3" r:id="rId3"/>
    <sheet name="RawObs" sheetId="1" r:id="rId4"/>
    <sheet name="PrepObs" sheetId="5" r:id="rId5"/>
    <sheet name="AggObs" sheetId="7" r:id="rId6"/>
    <sheet name="Procedure" sheetId="6" r:id="rId7"/>
  </sheets>
  <definedNames>
    <definedName name="_xlnm._FilterDatabase" localSheetId="2" hidden="1">BillofMat!$B$1:$I$255</definedName>
    <definedName name="_xlnm._FilterDatabase" localSheetId="0" hidden="1">WashData!$B$2:$Q$54</definedName>
    <definedName name="Tbl1_Batch">Table1[[#All],[Units of FA]]</definedName>
    <definedName name="Tbl1_Cell">Table1[[#All],[Cell]]</definedName>
    <definedName name="Tbl1_Distinction">Table1[[#All],[Distinction]]</definedName>
    <definedName name="Tbl1_Family">Table1[[#All],[Family]]</definedName>
    <definedName name="Tbl1_Hdrs">Table1[#Headers]</definedName>
    <definedName name="Tbl1_PartID">Table1[[#All],[FA/Part-ID]]</definedName>
    <definedName name="Tbl1_Step">Table1[[#All],[Step Description]]</definedName>
    <definedName name="Tbl1_Time">Table1[[#All],[Time (min)]]</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66" i="1" l="1"/>
  <c r="D7" i="7"/>
  <c r="H7" i="7" s="1"/>
  <c r="D6" i="7"/>
  <c r="H6" i="7" s="1"/>
  <c r="D5" i="7"/>
  <c r="H5" i="7" s="1"/>
  <c r="F35" i="1"/>
  <c r="H2" i="7"/>
  <c r="H3" i="7"/>
  <c r="D4" i="7"/>
  <c r="H4" i="7" s="1"/>
  <c r="F75" i="1"/>
  <c r="F74" i="1" l="1"/>
  <c r="F73" i="1"/>
  <c r="F72" i="1"/>
  <c r="F71" i="1"/>
  <c r="F70" i="1"/>
  <c r="F69" i="1"/>
  <c r="F68" i="1"/>
  <c r="F67" i="1"/>
  <c r="F65" i="1"/>
  <c r="F64" i="1"/>
  <c r="F63" i="1"/>
  <c r="F62" i="1"/>
  <c r="F61" i="1"/>
  <c r="F60" i="1"/>
  <c r="F58" i="1"/>
  <c r="F59" i="1" s="1"/>
  <c r="F57" i="1"/>
  <c r="F56" i="1"/>
  <c r="F28" i="5"/>
  <c r="F31" i="5"/>
  <c r="F30" i="5"/>
  <c r="F29" i="5"/>
  <c r="F27" i="5"/>
  <c r="F26" i="5"/>
  <c r="F25" i="5"/>
  <c r="F24" i="5"/>
  <c r="F21" i="5"/>
  <c r="F20" i="5"/>
  <c r="F14" i="5"/>
  <c r="F13" i="5"/>
  <c r="F12" i="5"/>
  <c r="F11" i="5"/>
  <c r="F10" i="5"/>
  <c r="F9" i="5"/>
  <c r="F8" i="5"/>
  <c r="F7" i="5"/>
  <c r="F6" i="5"/>
  <c r="F5" i="5"/>
  <c r="F4" i="5"/>
  <c r="F2" i="5"/>
  <c r="F55" i="1"/>
  <c r="F54" i="1"/>
  <c r="F53" i="1"/>
  <c r="F52" i="1"/>
  <c r="F51" i="1"/>
  <c r="F50" i="1"/>
  <c r="F49" i="1"/>
  <c r="F47" i="1"/>
  <c r="F36" i="1" l="1"/>
  <c r="F37" i="1"/>
  <c r="F38" i="1"/>
  <c r="F39" i="1"/>
  <c r="F40" i="1"/>
  <c r="F41" i="1"/>
  <c r="F42" i="1"/>
  <c r="F43" i="1"/>
  <c r="F21" i="1"/>
  <c r="F22" i="1"/>
  <c r="F24" i="1"/>
  <c r="F26" i="1"/>
  <c r="F27" i="1"/>
  <c r="F29" i="1"/>
  <c r="F30" i="1"/>
  <c r="F31" i="1"/>
  <c r="F32" i="1"/>
  <c r="P3" i="2"/>
  <c r="Q3" i="2" s="1"/>
  <c r="P27" i="2"/>
  <c r="Q27" i="2"/>
  <c r="P23" i="2"/>
  <c r="P36" i="2"/>
  <c r="P24" i="2"/>
  <c r="P18" i="2"/>
  <c r="P8" i="2"/>
  <c r="P10" i="2"/>
  <c r="C28" i="4"/>
  <c r="C27" i="4"/>
  <c r="C26" i="4"/>
  <c r="C25" i="4"/>
  <c r="C24" i="4"/>
  <c r="C23" i="4"/>
  <c r="C22" i="4"/>
  <c r="C21" i="4"/>
  <c r="C20" i="4"/>
  <c r="C19" i="4"/>
  <c r="C18" i="4"/>
  <c r="C17" i="4"/>
  <c r="C16" i="4"/>
  <c r="C15" i="4"/>
  <c r="C14" i="4"/>
  <c r="C13" i="4"/>
  <c r="C12" i="4"/>
  <c r="C11" i="4"/>
  <c r="C10" i="4"/>
  <c r="C9" i="4"/>
  <c r="C8" i="4"/>
  <c r="C7" i="4"/>
  <c r="C6" i="4"/>
  <c r="C5" i="4"/>
  <c r="C4" i="4"/>
  <c r="C3" i="4"/>
  <c r="C2" i="4"/>
  <c r="B29" i="4"/>
  <c r="C164" i="3"/>
  <c r="C163" i="3"/>
  <c r="C162" i="3"/>
  <c r="C160" i="3"/>
  <c r="C157" i="3"/>
  <c r="C165" i="3"/>
  <c r="C155" i="3"/>
  <c r="C156" i="3"/>
  <c r="C166" i="3"/>
  <c r="C169" i="3"/>
  <c r="C167" i="3"/>
  <c r="C159" i="3"/>
  <c r="C158" i="3"/>
  <c r="C170" i="3"/>
  <c r="C171" i="3"/>
  <c r="C161" i="3"/>
  <c r="C168" i="3"/>
  <c r="C145" i="3"/>
  <c r="C147" i="3"/>
  <c r="C146" i="3"/>
  <c r="C143" i="3"/>
  <c r="C140" i="3"/>
  <c r="C148" i="3"/>
  <c r="C138" i="3"/>
  <c r="C139" i="3"/>
  <c r="C149" i="3"/>
  <c r="C152" i="3"/>
  <c r="C150" i="3"/>
  <c r="C142" i="3"/>
  <c r="C141" i="3"/>
  <c r="C153" i="3"/>
  <c r="C154" i="3"/>
  <c r="C144" i="3"/>
  <c r="C151" i="3"/>
  <c r="F3" i="1"/>
  <c r="F4" i="1"/>
  <c r="F5" i="1"/>
  <c r="F6" i="1"/>
  <c r="F7" i="1"/>
  <c r="F8" i="1"/>
  <c r="F9" i="1"/>
  <c r="F10" i="1"/>
  <c r="F11" i="1"/>
  <c r="F12" i="1"/>
  <c r="F13" i="1"/>
  <c r="F14" i="1"/>
  <c r="F15" i="1"/>
  <c r="F16" i="1"/>
  <c r="F17" i="1"/>
  <c r="F18" i="1"/>
  <c r="F19" i="1"/>
  <c r="F34" i="1"/>
  <c r="P54" i="2"/>
  <c r="Q54" i="2"/>
  <c r="P53" i="2"/>
  <c r="Q53" i="2"/>
  <c r="P52" i="2"/>
  <c r="Q52" i="2" s="1"/>
  <c r="P51" i="2"/>
  <c r="Q51" i="2" s="1"/>
  <c r="P50" i="2"/>
  <c r="Q50" i="2"/>
  <c r="P49" i="2"/>
  <c r="Q49" i="2"/>
  <c r="P48" i="2"/>
  <c r="Q48" i="2" s="1"/>
  <c r="P47" i="2"/>
  <c r="Q47" i="2" s="1"/>
  <c r="P46" i="2"/>
  <c r="Q46" i="2"/>
  <c r="P45" i="2"/>
  <c r="Q45" i="2"/>
  <c r="P44" i="2"/>
  <c r="Q44" i="2" s="1"/>
  <c r="P43" i="2"/>
  <c r="Q43" i="2" s="1"/>
  <c r="P42" i="2"/>
  <c r="Q42" i="2"/>
  <c r="P41" i="2"/>
  <c r="Q41" i="2"/>
  <c r="P40" i="2"/>
  <c r="Q40" i="2" s="1"/>
  <c r="P39" i="2"/>
  <c r="Q39" i="2" s="1"/>
  <c r="P38" i="2"/>
  <c r="Q38" i="2"/>
  <c r="P37" i="2"/>
  <c r="Q37" i="2"/>
  <c r="Q36" i="2"/>
  <c r="P35" i="2"/>
  <c r="Q35" i="2"/>
  <c r="P34" i="2"/>
  <c r="Q34" i="2"/>
  <c r="P33" i="2"/>
  <c r="Q33" i="2"/>
  <c r="P32" i="2"/>
  <c r="Q32" i="2"/>
  <c r="P31" i="2"/>
  <c r="Q31" i="2"/>
  <c r="P30" i="2"/>
  <c r="Q30" i="2"/>
  <c r="P29" i="2"/>
  <c r="Q29" i="2"/>
  <c r="P28" i="2"/>
  <c r="Q28" i="2"/>
  <c r="P26" i="2"/>
  <c r="Q26" i="2"/>
  <c r="P25" i="2"/>
  <c r="Q25" i="2"/>
  <c r="Q24" i="2"/>
  <c r="Q23" i="2"/>
  <c r="P22" i="2"/>
  <c r="Q22" i="2"/>
  <c r="P21" i="2"/>
  <c r="Q21" i="2"/>
  <c r="P20" i="2"/>
  <c r="Q20" i="2"/>
  <c r="P19" i="2"/>
  <c r="Q19" i="2"/>
  <c r="Q18" i="2"/>
  <c r="P17" i="2"/>
  <c r="Q17" i="2" s="1"/>
  <c r="P16" i="2"/>
  <c r="Q16" i="2" s="1"/>
  <c r="P15" i="2"/>
  <c r="Q15" i="2"/>
  <c r="P14" i="2"/>
  <c r="Q14" i="2"/>
  <c r="P13" i="2"/>
  <c r="Q13" i="2" s="1"/>
  <c r="P12" i="2"/>
  <c r="Q12" i="2" s="1"/>
  <c r="P11" i="2"/>
  <c r="Q11" i="2"/>
  <c r="Q10" i="2"/>
  <c r="P9" i="2"/>
  <c r="Q9" i="2"/>
  <c r="Q8" i="2"/>
  <c r="P7" i="2"/>
  <c r="Q7" i="2" s="1"/>
  <c r="P6" i="2"/>
  <c r="Q6" i="2"/>
  <c r="P5" i="2"/>
  <c r="Q5" i="2"/>
  <c r="P4" i="2"/>
  <c r="Q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Lydia Holmstrand</author>
    <author>Setup User</author>
  </authors>
  <commentList>
    <comment ref="A1" authorId="0" shapeId="0" xr:uid="{00000000-0006-0000-0000-000001000000}">
      <text>
        <r>
          <rPr>
            <b/>
            <sz val="10"/>
            <color rgb="FF000000"/>
            <rFont val="Tahoma"/>
            <family val="2"/>
          </rPr>
          <t>Lydia Holmstrand:</t>
        </r>
        <r>
          <rPr>
            <sz val="10"/>
            <color rgb="FF000000"/>
            <rFont val="Tahoma"/>
            <family val="2"/>
          </rPr>
          <t xml:space="preserve">
</t>
        </r>
        <r>
          <rPr>
            <sz val="10"/>
            <color rgb="FF000000"/>
            <rFont val="Tahoma"/>
            <family val="2"/>
          </rPr>
          <t xml:space="preserve">look through the master docs to get the parts that are in inventory AND do not get washed at Cadence.
</t>
        </r>
        <r>
          <rPr>
            <sz val="10"/>
            <color rgb="FF000000"/>
            <rFont val="Tahoma"/>
            <family val="2"/>
          </rPr>
          <t xml:space="preserve">
</t>
        </r>
        <r>
          <rPr>
            <sz val="10"/>
            <color rgb="FF000000"/>
            <rFont val="Tahoma"/>
            <family val="2"/>
          </rPr>
          <t xml:space="preserve">
</t>
        </r>
      </text>
    </comment>
    <comment ref="L2" authorId="0" shapeId="0" xr:uid="{00000000-0006-0000-0000-000002000000}">
      <text>
        <r>
          <rPr>
            <b/>
            <sz val="10"/>
            <color rgb="FF000000"/>
            <rFont val="Tahoma"/>
            <family val="2"/>
          </rPr>
          <t>Lydia Holmstrand:</t>
        </r>
        <r>
          <rPr>
            <sz val="10"/>
            <color rgb="FF000000"/>
            <rFont val="Tahoma"/>
            <family val="2"/>
          </rPr>
          <t xml:space="preserve">
</t>
        </r>
        <r>
          <rPr>
            <sz val="10"/>
            <color rgb="FF000000"/>
            <rFont val="Tahoma"/>
            <family val="2"/>
          </rPr>
          <t xml:space="preserve">Aqueous = liquinox
</t>
        </r>
        <r>
          <rPr>
            <sz val="10"/>
            <color rgb="FF000000"/>
            <rFont val="Tahoma"/>
            <family val="2"/>
          </rPr>
          <t xml:space="preserve">IPA = not liquinox(5min)
</t>
        </r>
      </text>
    </comment>
    <comment ref="D4" authorId="1" shapeId="0" xr:uid="{00000000-0006-0000-0000-000003000000}">
      <text>
        <r>
          <rPr>
            <b/>
            <sz val="9"/>
            <color indexed="81"/>
            <rFont val="Tahoma"/>
            <charset val="1"/>
          </rPr>
          <t>Setup User:</t>
        </r>
        <r>
          <rPr>
            <sz val="9"/>
            <color indexed="81"/>
            <rFont val="Tahoma"/>
            <charset val="1"/>
          </rPr>
          <t xml:space="preserve">
3500
</t>
        </r>
      </text>
    </comment>
    <comment ref="D5" authorId="1" shapeId="0" xr:uid="{00000000-0006-0000-0000-000004000000}">
      <text>
        <r>
          <rPr>
            <b/>
            <sz val="9"/>
            <color rgb="FF000000"/>
            <rFont val="Tahoma"/>
            <charset val="1"/>
          </rPr>
          <t>Setup User:</t>
        </r>
        <r>
          <rPr>
            <sz val="9"/>
            <color rgb="FF000000"/>
            <rFont val="Tahoma"/>
            <charset val="1"/>
          </rPr>
          <t xml:space="preserve">
</t>
        </r>
        <r>
          <rPr>
            <sz val="9"/>
            <color rgb="FF000000"/>
            <rFont val="Tahoma"/>
            <charset val="1"/>
          </rPr>
          <t xml:space="preserve">3600
</t>
        </r>
      </text>
    </comment>
    <comment ref="D6" authorId="1" shapeId="0" xr:uid="{00000000-0006-0000-0000-000005000000}">
      <text>
        <r>
          <rPr>
            <b/>
            <sz val="9"/>
            <color indexed="81"/>
            <rFont val="Tahoma"/>
            <charset val="1"/>
          </rPr>
          <t>Setup User:</t>
        </r>
        <r>
          <rPr>
            <sz val="9"/>
            <color indexed="81"/>
            <rFont val="Tahoma"/>
            <charset val="1"/>
          </rPr>
          <t xml:space="preserve">
3600</t>
        </r>
      </text>
    </comment>
    <comment ref="D17" authorId="1" shapeId="0" xr:uid="{00000000-0006-0000-0000-000006000000}">
      <text>
        <r>
          <rPr>
            <b/>
            <sz val="9"/>
            <color indexed="81"/>
            <rFont val="Tahoma"/>
            <charset val="1"/>
          </rPr>
          <t>Setup User:</t>
        </r>
        <r>
          <rPr>
            <sz val="9"/>
            <color indexed="81"/>
            <rFont val="Tahoma"/>
            <charset val="1"/>
          </rPr>
          <t xml:space="preserve">
1200</t>
        </r>
      </text>
    </comment>
    <comment ref="D18" authorId="1" shapeId="0" xr:uid="{00000000-0006-0000-0000-000007000000}">
      <text>
        <r>
          <rPr>
            <b/>
            <sz val="9"/>
            <color indexed="81"/>
            <rFont val="Tahoma"/>
            <charset val="1"/>
          </rPr>
          <t>Setup User:</t>
        </r>
        <r>
          <rPr>
            <sz val="9"/>
            <color indexed="81"/>
            <rFont val="Tahoma"/>
            <charset val="1"/>
          </rPr>
          <t xml:space="preserve">
1200</t>
        </r>
      </text>
    </comment>
    <comment ref="D36" authorId="1" shapeId="0" xr:uid="{00000000-0006-0000-0000-000008000000}">
      <text>
        <r>
          <rPr>
            <b/>
            <sz val="9"/>
            <color rgb="FF000000"/>
            <rFont val="Tahoma"/>
            <charset val="1"/>
          </rPr>
          <t>Setup User:</t>
        </r>
        <r>
          <rPr>
            <sz val="9"/>
            <color rgb="FF000000"/>
            <rFont val="Tahoma"/>
            <charset val="1"/>
          </rPr>
          <t xml:space="preserve">
</t>
        </r>
        <r>
          <rPr>
            <sz val="9"/>
            <color rgb="FF000000"/>
            <rFont val="Tahoma"/>
            <charset val="1"/>
          </rPr>
          <t>6000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Holmstrand, Lydia Mackenzie</author>
  </authors>
  <commentList>
    <comment ref="E1" authorId="0" shapeId="0" xr:uid="{00000000-0006-0000-0200-000001000000}">
      <text>
        <r>
          <rPr>
            <b/>
            <sz val="9"/>
            <color rgb="FF000000"/>
            <rFont val="Tahoma"/>
            <charset val="1"/>
          </rPr>
          <t>Holmstrand, Lydia Mackenzie:</t>
        </r>
        <r>
          <rPr>
            <sz val="9"/>
            <color rgb="FF000000"/>
            <rFont val="Tahoma"/>
            <charset val="1"/>
          </rPr>
          <t xml:space="preserve">
</t>
        </r>
        <r>
          <rPr>
            <sz val="9"/>
            <color rgb="FF000000"/>
            <rFont val="Tahoma"/>
            <charset val="1"/>
          </rPr>
          <t>-00 means the dmr did not have the -xx so dummy -00 is in its place</t>
        </r>
      </text>
    </comment>
    <comment ref="A236" authorId="0" shapeId="0" xr:uid="{00000000-0006-0000-0200-000002000000}">
      <text>
        <r>
          <rPr>
            <b/>
            <sz val="9"/>
            <color indexed="81"/>
            <rFont val="Tahoma"/>
            <charset val="1"/>
          </rPr>
          <t>Holmstrand, Lydia Mackenzie:</t>
        </r>
        <r>
          <rPr>
            <sz val="9"/>
            <color indexed="81"/>
            <rFont val="Tahoma"/>
            <charset val="1"/>
          </rPr>
          <t xml:space="preserve">
flowport need help from mark or anthony decifering the mi and dmr
</t>
        </r>
      </text>
    </comment>
    <comment ref="B236" authorId="0" shapeId="0" xr:uid="{00000000-0006-0000-0200-000003000000}">
      <text>
        <r>
          <rPr>
            <b/>
            <sz val="9"/>
            <color indexed="81"/>
            <rFont val="Tahoma"/>
            <charset val="1"/>
          </rPr>
          <t>Holmstrand, Lydia Mackenzie:</t>
        </r>
        <r>
          <rPr>
            <sz val="9"/>
            <color indexed="81"/>
            <rFont val="Tahoma"/>
            <charset val="1"/>
          </rPr>
          <t xml:space="preserve">
flowport is difficult, need help from mark and anthony to decifer mi and dmr
</t>
        </r>
      </text>
    </comment>
  </commentList>
</comments>
</file>

<file path=xl/sharedStrings.xml><?xml version="1.0" encoding="utf-8"?>
<sst xmlns="http://schemas.openxmlformats.org/spreadsheetml/2006/main" count="2373" uniqueCount="562">
  <si>
    <t>SA</t>
  </si>
  <si>
    <t>Part ID</t>
  </si>
  <si>
    <t>Unwashed Part</t>
  </si>
  <si>
    <t>Description</t>
  </si>
  <si>
    <t>Where Used</t>
  </si>
  <si>
    <t>Priority</t>
  </si>
  <si>
    <t>Qty/ unit</t>
  </si>
  <si>
    <t>Wash Type</t>
  </si>
  <si>
    <t>Qty / wash</t>
  </si>
  <si>
    <t>time / wash (min)</t>
  </si>
  <si>
    <t>dry time (min)</t>
  </si>
  <si>
    <t>Labor time/mo</t>
  </si>
  <si>
    <t>Total Clean time/Mo</t>
  </si>
  <si>
    <t>1000870-03</t>
  </si>
  <si>
    <t>1000840-01</t>
  </si>
  <si>
    <t xml:space="preserve">PIN, SPG, 5/64 X 7/16, SS,WASHED   </t>
  </si>
  <si>
    <t>Aqueous</t>
  </si>
  <si>
    <t>1000890-03</t>
  </si>
  <si>
    <t>1000897-02</t>
  </si>
  <si>
    <t>MALE LUER CAP W/LEASH, WASHED</t>
  </si>
  <si>
    <t>1000891-03</t>
  </si>
  <si>
    <t>1000898-02</t>
  </si>
  <si>
    <t>DISTAL SEPTUM TRICUT, S-M-L, WASHED</t>
  </si>
  <si>
    <t>1000892-03</t>
  </si>
  <si>
    <t>1000899-02</t>
  </si>
  <si>
    <t>PROXIMAL SEPTUM TRICUT, S-M-L, WASHED</t>
  </si>
  <si>
    <t>1000923-04</t>
  </si>
  <si>
    <t>1000975-04</t>
  </si>
  <si>
    <t>SA, SHAFT, NP CRESCENT, WASHED</t>
  </si>
  <si>
    <t>IPA</t>
  </si>
  <si>
    <t>1000924-06</t>
  </si>
  <si>
    <t>1000977-06</t>
  </si>
  <si>
    <t>SA, SHAFT, NP RIGHT, WASHED</t>
  </si>
  <si>
    <t>1000925-06</t>
  </si>
  <si>
    <t>1000979-06</t>
  </si>
  <si>
    <t>SA, SHAFT, NP LEFT, WASHED</t>
  </si>
  <si>
    <t>1000926-04</t>
  </si>
  <si>
    <t>1000981-04</t>
  </si>
  <si>
    <t>SA, SHAFT, SLINGSHOT 45, WASHED</t>
  </si>
  <si>
    <t>1000927-04</t>
  </si>
  <si>
    <t>1000982-04</t>
  </si>
  <si>
    <t>SA, SHAFT, SLINGSHOT 70, WASHED</t>
  </si>
  <si>
    <t>1000928-03</t>
  </si>
  <si>
    <t>1000976-02</t>
  </si>
  <si>
    <t>INNER WIRE, NP, CRESCENT, WASHED</t>
  </si>
  <si>
    <t>1000929-04</t>
  </si>
  <si>
    <t>1000978-03</t>
  </si>
  <si>
    <t>INNER WIRE, NP, LEFT/RIGHT, WASHED</t>
  </si>
  <si>
    <t>1000930-03</t>
  </si>
  <si>
    <t>1000983-02</t>
  </si>
  <si>
    <t>INNER WIRE, SLINGSHOT, WASHED</t>
  </si>
  <si>
    <t>1000935-01</t>
  </si>
  <si>
    <t>HANDLE, LEFT, SLINGSHOT, WASHED</t>
  </si>
  <si>
    <t>1000936-01</t>
  </si>
  <si>
    <t>HANDLE, RIGHT, SLINGSHOT, WASHED</t>
  </si>
  <si>
    <t>1000937-02</t>
  </si>
  <si>
    <t>1000989-04</t>
  </si>
  <si>
    <t>OUTER HUB, INJECTOR II, WASHED</t>
  </si>
  <si>
    <t>1000938-02</t>
  </si>
  <si>
    <t>1000990-04</t>
  </si>
  <si>
    <t>RETRIEVER HUB, INJECTOR II, WASHED</t>
  </si>
  <si>
    <t>1000939-02</t>
  </si>
  <si>
    <t>1000987-02</t>
  </si>
  <si>
    <t>OUTER CANNULA, INJECTOR II, WASHED</t>
  </si>
  <si>
    <t>1000940-02</t>
  </si>
  <si>
    <t>1000988-02</t>
  </si>
  <si>
    <t>TROCAR NEEDLE, INJECTOR II, WASHED</t>
  </si>
  <si>
    <t>1000941-02</t>
  </si>
  <si>
    <t>1000991-03</t>
  </si>
  <si>
    <t>PIN, DOW, 0.063 X 0.188, SS, WASHED</t>
  </si>
  <si>
    <t>1000942-04</t>
  </si>
  <si>
    <t>1000992-04</t>
  </si>
  <si>
    <t>SPR, CMP, 0.098 X 0.886, SS, WASHED</t>
  </si>
  <si>
    <t>1000945-03</t>
  </si>
  <si>
    <t>1000986-02</t>
  </si>
  <si>
    <t>TIP PROTECTOR, SLINGSHOT, WASHED</t>
  </si>
  <si>
    <t>1001000-01</t>
  </si>
  <si>
    <t>1001043-01</t>
  </si>
  <si>
    <t>STICK, CANNULATED,  REUSABLE, WASHED</t>
  </si>
  <si>
    <t>1001052-01</t>
  </si>
  <si>
    <t>1001051-01</t>
  </si>
  <si>
    <t>NEEDLE COVER, WASHED</t>
  </si>
  <si>
    <t>1001056-03</t>
  </si>
  <si>
    <t>FG, NEEDLE, 22G, SIDE-HOLES, WASHED</t>
  </si>
  <si>
    <t>1001069-03</t>
  </si>
  <si>
    <t>1001061-02</t>
  </si>
  <si>
    <t>SA,PROTECTOR,TIP,SILICON,FLEXSTCK,WASHED</t>
  </si>
  <si>
    <t>1001071-02</t>
  </si>
  <si>
    <t>1001070-02</t>
  </si>
  <si>
    <t>INNER WIRE, CHAMPION, SLINGSHOT, WASHED</t>
  </si>
  <si>
    <t>1001073-02</t>
  </si>
  <si>
    <t>SA, SHAFT, CHAMPION SLINGSHOT, 45 LEFT</t>
  </si>
  <si>
    <t>1001074-02</t>
  </si>
  <si>
    <t>SA,SHAFT,CHAMPION SLINGSHOT 45 LEFT,WASH</t>
  </si>
  <si>
    <t>1001078-02</t>
  </si>
  <si>
    <t>SA, SHAFT, CHAMPION SLINGSHOT 45 RIGHT</t>
  </si>
  <si>
    <t>1001079-02</t>
  </si>
  <si>
    <t>SA,SHAFT,CHAMPION SLINGSHOT 45RIGHT,WASH</t>
  </si>
  <si>
    <t>1001083-02</t>
  </si>
  <si>
    <t>SA, SHAFT, CHAMPION SLINGSHOT, 70 UP</t>
  </si>
  <si>
    <t>1001084-02</t>
  </si>
  <si>
    <t>SA,SHAFT,CHAMPION SLINGSHOT 70 UP,WASHED</t>
  </si>
  <si>
    <t>1001088-02</t>
  </si>
  <si>
    <t>1001057-01</t>
  </si>
  <si>
    <t>SA, WIRE, PASSER, NITINOL, CLEANED</t>
  </si>
  <si>
    <t>Wipe</t>
  </si>
  <si>
    <t>1001135-02</t>
  </si>
  <si>
    <t>1001094-02</t>
  </si>
  <si>
    <t>SA,ORING,SILICON,0.301ID,OTS,FPII,WASHED</t>
  </si>
  <si>
    <t>1001145-02</t>
  </si>
  <si>
    <t>1001105-02</t>
  </si>
  <si>
    <t>SA,OVERMLD SHFT,OBTURATR,L&amp;S,FPII,WASHED</t>
  </si>
  <si>
    <t>1001150-02</t>
  </si>
  <si>
    <t>1001116-02</t>
  </si>
  <si>
    <t>SA,OVERMLD SHFT,OBTURATR,STK,FPII,WASHED</t>
  </si>
  <si>
    <t>1001171-01</t>
  </si>
  <si>
    <t>1001157-01</t>
  </si>
  <si>
    <t>SA, SLOTTED CANNULA, STK, TRIF, WASHED</t>
  </si>
  <si>
    <t>1001173-01</t>
  </si>
  <si>
    <t>1001160-01</t>
  </si>
  <si>
    <t>SA, INNER ROD, STK, TRI, WASHED</t>
  </si>
  <si>
    <t>1001174-01</t>
  </si>
  <si>
    <t>1001162-01</t>
  </si>
  <si>
    <t>SA, SPRING, STK, TRIF, WASHED</t>
  </si>
  <si>
    <t>1001175-01</t>
  </si>
  <si>
    <t>1001163-01</t>
  </si>
  <si>
    <t>SA, SPRING PIN, STK, TRIF, WASHED</t>
  </si>
  <si>
    <t>1001176-02</t>
  </si>
  <si>
    <t>1001125-02</t>
  </si>
  <si>
    <t>SA,OVERMLD SHFT,OBTRTR,STK165,FPII,WASH</t>
  </si>
  <si>
    <t>1001177-AA</t>
  </si>
  <si>
    <t>ROD, BLADE ACUATOR, LIGHTHOUSE</t>
  </si>
  <si>
    <t>1001179-02</t>
  </si>
  <si>
    <t>1001134-02</t>
  </si>
  <si>
    <t>SA,OVERMLD SHFT,OBTURATR,S&amp;N,FPII,WASHED</t>
  </si>
  <si>
    <t>1001253-01</t>
  </si>
  <si>
    <t>1001146-01</t>
  </si>
  <si>
    <t>SA, HANDLE BOTTOM,CAYENNE, WASHED</t>
  </si>
  <si>
    <t>1001254-01</t>
  </si>
  <si>
    <t>1001199-01</t>
  </si>
  <si>
    <t>SA, HANDLE TOP,CAYENNE, WASHED</t>
  </si>
  <si>
    <t>1001255-01</t>
  </si>
  <si>
    <t>1001148-01</t>
  </si>
  <si>
    <t>SA, CUTTING LEVER,CAYENNE, WASHED</t>
  </si>
  <si>
    <t>1001257-01</t>
  </si>
  <si>
    <t>1001393-01</t>
  </si>
  <si>
    <t>SA, CINCHLOCK FLEX, WASHED</t>
  </si>
  <si>
    <t>1001258-01</t>
  </si>
  <si>
    <t>1001394-01</t>
  </si>
  <si>
    <t>SA, CINCHLOCK FLEX, SLANT, WASHED</t>
  </si>
  <si>
    <t>1001262-01</t>
  </si>
  <si>
    <t>1001261-01</t>
  </si>
  <si>
    <t>TIP PROTECTOR, CINCHLOCK, WASHED</t>
  </si>
  <si>
    <t>1001269-AC</t>
  </si>
  <si>
    <t>MACH SHAFT, OBT, ARTH, FPII, WASHED</t>
  </si>
  <si>
    <t>1001272-AB</t>
  </si>
  <si>
    <t>SA, INNER HYPOTUBE, OBTURATOR, ARTH, FPII, WASHED</t>
  </si>
  <si>
    <t>1001277-AB</t>
  </si>
  <si>
    <t>INNER HYPOTUBE, CANNULA, ARTH, FPII, WASHED</t>
  </si>
  <si>
    <t>FA</t>
  </si>
  <si>
    <t># of Wash Parts</t>
  </si>
  <si>
    <t># of time in next table</t>
  </si>
  <si>
    <t>Total FA-PartID Combinations</t>
  </si>
  <si>
    <t>Family</t>
  </si>
  <si>
    <t>FAName</t>
  </si>
  <si>
    <t>FA Sub Name</t>
  </si>
  <si>
    <t>Part Number (Ready for assembly ie washed or bought that way not assembled in the cleanroom)</t>
  </si>
  <si>
    <t>UnwashedPartID</t>
  </si>
  <si>
    <t>Part Description General</t>
  </si>
  <si>
    <t>Part Description Detail</t>
  </si>
  <si>
    <t>Part Dimension</t>
  </si>
  <si>
    <t>SUTURE PASSER</t>
  </si>
  <si>
    <t>NANOPASS</t>
  </si>
  <si>
    <t>CRESCENT</t>
  </si>
  <si>
    <t>1000915-01</t>
  </si>
  <si>
    <t>ADH</t>
  </si>
  <si>
    <t>CA, LOCTITE, 4031</t>
  </si>
  <si>
    <t>RIGHT</t>
  </si>
  <si>
    <t>LEFT</t>
  </si>
  <si>
    <t>SLINGSHOT</t>
  </si>
  <si>
    <t>CHAMPION SLINGSHOT</t>
  </si>
  <si>
    <t>45 LEFT</t>
  </si>
  <si>
    <t>45 RIGHT</t>
  </si>
  <si>
    <t>70 UP</t>
  </si>
  <si>
    <t>STRYKER TRIFECTA</t>
  </si>
  <si>
    <t>1000914-00</t>
  </si>
  <si>
    <t>BOX</t>
  </si>
  <si>
    <t>SBS, CST,PIV</t>
  </si>
  <si>
    <t>17.65x4.1x1</t>
  </si>
  <si>
    <t>1000860-00</t>
  </si>
  <si>
    <t>STZ, CRG, CST</t>
  </si>
  <si>
    <t>31.5x25x10.75</t>
  </si>
  <si>
    <t>MEDTRONIC SUTURE PASSER</t>
  </si>
  <si>
    <t>1001181-00</t>
  </si>
  <si>
    <t>MEDT, SUTURE PASSER</t>
  </si>
  <si>
    <t>1001395-00</t>
  </si>
  <si>
    <t>CARD</t>
  </si>
  <si>
    <t>MEDT, WARRANTY</t>
  </si>
  <si>
    <t>4x5.5</t>
  </si>
  <si>
    <t>1001161-00</t>
  </si>
  <si>
    <t>HANDLE</t>
  </si>
  <si>
    <t>STK, TRIF</t>
  </si>
  <si>
    <t>1000932-01</t>
  </si>
  <si>
    <t>LEFT, NP</t>
  </si>
  <si>
    <t>1000933-00</t>
  </si>
  <si>
    <t>RIGHT, NP</t>
  </si>
  <si>
    <t>1001049-00</t>
  </si>
  <si>
    <t>LEFT, SLINGSHOT</t>
  </si>
  <si>
    <t>1001050-00</t>
  </si>
  <si>
    <t>RIGHT, SLINGSHOT</t>
  </si>
  <si>
    <t>1001170-00</t>
  </si>
  <si>
    <t>IFU</t>
  </si>
  <si>
    <t>1001032-00</t>
  </si>
  <si>
    <t xml:space="preserve"> 27LB, CST, STY-NP</t>
  </si>
  <si>
    <t xml:space="preserve"> 11X17</t>
  </si>
  <si>
    <t>1001033-00</t>
  </si>
  <si>
    <t xml:space="preserve"> 27LB, CST, STY-SS</t>
  </si>
  <si>
    <t>1001151-00</t>
  </si>
  <si>
    <t xml:space="preserve">IFU </t>
  </si>
  <si>
    <t>MEDT</t>
  </si>
  <si>
    <t>8.5x11</t>
  </si>
  <si>
    <t>INNER ROD</t>
  </si>
  <si>
    <t>INNER WIRE</t>
  </si>
  <si>
    <t>NP, CRESENT</t>
  </si>
  <si>
    <t>NP, LEFT/RIGHT</t>
  </si>
  <si>
    <t>1000947-03</t>
  </si>
  <si>
    <t>INS</t>
  </si>
  <si>
    <t>HDPE, CTS, NP</t>
  </si>
  <si>
    <t>21.37 X 3.0</t>
  </si>
  <si>
    <t>1000855-00</t>
  </si>
  <si>
    <t>LBL</t>
  </si>
  <si>
    <t>OTS, GAMMA INDICATOR</t>
  </si>
  <si>
    <t>0.5 OD</t>
  </si>
  <si>
    <t>1001168-00</t>
  </si>
  <si>
    <t>1001007-00</t>
  </si>
  <si>
    <t>CP, PRINT, STK, TRIF, PCH</t>
  </si>
  <si>
    <t>2.5x6.75</t>
  </si>
  <si>
    <t>1001169-00</t>
  </si>
  <si>
    <t>CP, PRINT, STK, TRIF, SHBOX</t>
  </si>
  <si>
    <t>1001154-00</t>
  </si>
  <si>
    <t>PRINTED, MEDT BOX</t>
  </si>
  <si>
    <t>8.0x4.0</t>
  </si>
  <si>
    <t>1001010-00</t>
  </si>
  <si>
    <t>CP, PRINT, NP CR, STY PCH</t>
  </si>
  <si>
    <t>1001011-00</t>
  </si>
  <si>
    <t>CP, PRINT, NP CR, STY SH BOX</t>
  </si>
  <si>
    <t>1001014-00</t>
  </si>
  <si>
    <t>CP, PRINT, NP RH, STY PCH</t>
  </si>
  <si>
    <t>1001015-00</t>
  </si>
  <si>
    <t>CP, PRINT, NP RH, STY SH BOX</t>
  </si>
  <si>
    <t>1001012-00</t>
  </si>
  <si>
    <t>CP, PRINT, NP LF, STY PCH</t>
  </si>
  <si>
    <t>1001013-00</t>
  </si>
  <si>
    <t>CP, PRINT, NP LF, STY SH BOX</t>
  </si>
  <si>
    <t>1001016-00</t>
  </si>
  <si>
    <t>CP, PRINT, SS45, STY PCH</t>
  </si>
  <si>
    <t>1001017-00</t>
  </si>
  <si>
    <t>CP, PRINT, SS45, STY SH BOX</t>
  </si>
  <si>
    <t>1001018-00</t>
  </si>
  <si>
    <t>CP, PRINT, SS70, STY PCH</t>
  </si>
  <si>
    <t>1001019-00</t>
  </si>
  <si>
    <t>CP, PRINT, SS70, STY SH BOX</t>
  </si>
  <si>
    <t>1001075-00</t>
  </si>
  <si>
    <t>CP, PRINT, CSS45L, PCH</t>
  </si>
  <si>
    <t>1001076-00</t>
  </si>
  <si>
    <t>CP, PRINT, CSS45L, SH BOX</t>
  </si>
  <si>
    <t>1001080-00</t>
  </si>
  <si>
    <t>CP, PRINT, CSS45R, PCH</t>
  </si>
  <si>
    <t>1001081-00</t>
  </si>
  <si>
    <t>CP, PRINT, CSS45R, SH BOX</t>
  </si>
  <si>
    <t>1001085-00</t>
  </si>
  <si>
    <t>CP, PRINT, CSS70U, PCH</t>
  </si>
  <si>
    <t>1001086-00</t>
  </si>
  <si>
    <t>CP, PRINT, CSS70U, SH BOX</t>
  </si>
  <si>
    <t>1001153-00</t>
  </si>
  <si>
    <t xml:space="preserve">LBL </t>
  </si>
  <si>
    <t>MEDT, BLANK</t>
  </si>
  <si>
    <t>1000916-01</t>
  </si>
  <si>
    <t>LUB</t>
  </si>
  <si>
    <t>MIN OIL, SPECTRUM</t>
  </si>
  <si>
    <t>1001156-01</t>
  </si>
  <si>
    <t>PACKAGING BOARD</t>
  </si>
  <si>
    <t>1000913-01</t>
  </si>
  <si>
    <t>PCH</t>
  </si>
  <si>
    <t>TYK, CST, PIV</t>
  </si>
  <si>
    <t>17.50x4.00x0.375</t>
  </si>
  <si>
    <t>1000946-00</t>
  </si>
  <si>
    <t>PKG SLEEVE</t>
  </si>
  <si>
    <t>1001164-00</t>
  </si>
  <si>
    <t>PULL TAB</t>
  </si>
  <si>
    <t>SHAFT</t>
  </si>
  <si>
    <t>NP, RIGHT</t>
  </si>
  <si>
    <t>NP, LEFT</t>
  </si>
  <si>
    <t>SLINGSHOT 45</t>
  </si>
  <si>
    <t>CHAMPION SLINGSHOT, 45 LEFT</t>
  </si>
  <si>
    <t>CHAMPION SLINGSHOT, 45 RIGHT</t>
  </si>
  <si>
    <t>CHAMPION SLINGSHOT, 70 UP</t>
  </si>
  <si>
    <t>SLOTTED CANNULA</t>
  </si>
  <si>
    <t>SPRING</t>
  </si>
  <si>
    <t>SPRING PIN</t>
  </si>
  <si>
    <t>1000854-00</t>
  </si>
  <si>
    <t>TAPE</t>
  </si>
  <si>
    <t>PP, OTS</t>
  </si>
  <si>
    <t>1.5x0.75</t>
  </si>
  <si>
    <t>1001165-00</t>
  </si>
  <si>
    <t>THREADER LOOP</t>
  </si>
  <si>
    <t>1000931-01</t>
  </si>
  <si>
    <t>THUMBSLIDE</t>
  </si>
  <si>
    <t>NP</t>
  </si>
  <si>
    <t>1001048-00</t>
  </si>
  <si>
    <t>1001087-00</t>
  </si>
  <si>
    <t>1000944-03</t>
  </si>
  <si>
    <t>TIP PROTECTOR</t>
  </si>
  <si>
    <t>1001182-00</t>
  </si>
  <si>
    <t>TRAY</t>
  </si>
  <si>
    <t>1001172-00</t>
  </si>
  <si>
    <t>1001159-00</t>
  </si>
  <si>
    <t>WELDED OUTER SHAFT ASSEMBLY</t>
  </si>
  <si>
    <t>1001206-01</t>
  </si>
  <si>
    <t>Cycle Count</t>
  </si>
  <si>
    <t>FA/Part-ID</t>
  </si>
  <si>
    <t>Cell</t>
  </si>
  <si>
    <t>Step</t>
  </si>
  <si>
    <t>Step Description</t>
  </si>
  <si>
    <t>Time (min)</t>
  </si>
  <si>
    <t>Distinction</t>
  </si>
  <si>
    <t>Units of FA</t>
  </si>
  <si>
    <t>MH</t>
  </si>
  <si>
    <t>Get containers of Glue</t>
  </si>
  <si>
    <t>Suture Passer</t>
  </si>
  <si>
    <t>SuturePasser</t>
  </si>
  <si>
    <t>Prepare Material Tags</t>
  </si>
  <si>
    <t>Glue</t>
  </si>
  <si>
    <t>Select Bulk Raw Material</t>
  </si>
  <si>
    <t>all WO</t>
  </si>
  <si>
    <t>Select Bulk Raw Material with Ladder</t>
  </si>
  <si>
    <t>Select Component Raw Material</t>
  </si>
  <si>
    <t>Document Material Numbers</t>
  </si>
  <si>
    <t>Enter Doc Material Numbers into Visual Inventory</t>
  </si>
  <si>
    <t>Finish paperwork and place in traveler</t>
  </si>
  <si>
    <t>Put traveler in Carriage</t>
  </si>
  <si>
    <t>Place all material to be used in Clean Room Window</t>
  </si>
  <si>
    <t>Initiate Cycle Count</t>
  </si>
  <si>
    <t>daily</t>
  </si>
  <si>
    <t>Help from MH</t>
  </si>
  <si>
    <t>Cycle Count (cont)</t>
  </si>
  <si>
    <t>Complete Paperwork by MH 1st time</t>
  </si>
  <si>
    <t>Recount by second person</t>
  </si>
  <si>
    <t>Complete Paperwork by MH 2st time</t>
  </si>
  <si>
    <t>Adjust cycle count based off of MH of the day</t>
  </si>
  <si>
    <t>Wash</t>
  </si>
  <si>
    <t>Gas Water</t>
  </si>
  <si>
    <t>Shaft</t>
  </si>
  <si>
    <t>Paper work before wash</t>
  </si>
  <si>
    <t>Place material in wash</t>
  </si>
  <si>
    <t>Liquinox</t>
  </si>
  <si>
    <t>Time in first wash</t>
  </si>
  <si>
    <t>Time in second wash</t>
  </si>
  <si>
    <t>Paper work after 1st wash</t>
  </si>
  <si>
    <t>Time in third wash</t>
  </si>
  <si>
    <t>Prepare Material for dryer (alcohol)</t>
  </si>
  <si>
    <t>metal components</t>
  </si>
  <si>
    <t>Prepare Material for dryer (air dry)</t>
  </si>
  <si>
    <t>Place material in dryer</t>
  </si>
  <si>
    <t>Dry in Dryer</t>
  </si>
  <si>
    <t>1001213-00</t>
  </si>
  <si>
    <t>Label Production</t>
  </si>
  <si>
    <t>Print</t>
  </si>
  <si>
    <t>1001214-00</t>
  </si>
  <si>
    <t>1001215-00</t>
  </si>
  <si>
    <t>1001206-00</t>
  </si>
  <si>
    <t>1001208-00</t>
  </si>
  <si>
    <t>1001207-00</t>
  </si>
  <si>
    <t>1001209-00</t>
  </si>
  <si>
    <t>1001210-00</t>
  </si>
  <si>
    <t>1001155-00</t>
  </si>
  <si>
    <t>1001219-03</t>
  </si>
  <si>
    <t>Access</t>
  </si>
  <si>
    <t>Move from Inventory to Table</t>
  </si>
  <si>
    <t>Travel back to Table</t>
  </si>
  <si>
    <t>FA specific inventory</t>
  </si>
  <si>
    <t>Brief Descript</t>
  </si>
  <si>
    <t>Some FA require material selection that does not fall within the steps outlined. The steps are required for the FA but not for all FA. An example is Glue for the Suture Passer Family. Not all FA require glue, but those that do have an additional step. This step is the aggregate of the time taken to perform these tasks.</t>
  </si>
  <si>
    <t>Pre Processing PPW</t>
  </si>
  <si>
    <t>The pre-processing ppw is the time taken to fill out the specific ppw in the traveler. This includes checking the lot size, accessing how much material should be selected, and signing off on mh receiving the traveler</t>
  </si>
  <si>
    <t xml:space="preserve">Inventory can be broken into three categories: Bulk Raw Material (Floor), Bulk Raw Material with Ladder, and Component Raw Material. The bulk raw material with Ladder is the second selection of material. The timer starts when she places the last Floor BRM onto the cart. The timer ends when she places the last ladder BRM onto the cart. </t>
  </si>
  <si>
    <t>Travel to BRM(Floor and Ladder)</t>
  </si>
  <si>
    <t>Travel to Component Raw Material</t>
  </si>
  <si>
    <t xml:space="preserve">Inventory can be broken into three categories: Bulk Raw Material (Floor), Bulk Raw Material with Ladder, and Component Raw Material. The bulk raw material is the first selection of material. Once Liz crosses the red/yellow lines on the floor the timer starts for Bulk Raw Material. The timer ends when she places the last Floor BRM onto the cart. </t>
  </si>
  <si>
    <t xml:space="preserve">Inventory can be broken into three categories: Bulk Raw Material (Floor), Bulk Raw Material with Ladder, and Component Raw Material. The Component Raw Material is the third (last) selection of material. The timer starts when she is within 3 feet of any Component Raw Material Shelf. The timer ends when she places the last Component Raw Material onto the cart. </t>
  </si>
  <si>
    <t>The travel time to the BRM Inventory section includes both the floor and ladder because they are within the same section. The timer starts when she places her hands on the cart to move to BRM and ends when she crosses the red/yellow tape. If timing is missed 30seconds is given to Travel to BRM. If no Bulk Raw Materials are needed for the FA, Travel to BRM is 0seconds.</t>
  </si>
  <si>
    <t>The travel time to Component Raw Material section starts when the last floor BRM is placed on the cart and ends when she is within 3 feet of any Component Raw Material Shelf. IF no BRM components are selected for the FA, travel time to Component Raw Material sections starts when she places her hands on the cart. IF no Component Raw Material is needed for the FA, Travel to Component Raw Material is 0 seconds.</t>
  </si>
  <si>
    <t>Travel to MH Table</t>
  </si>
  <si>
    <t>Travel to MH Table begins when the last raw material is placed onn the cart and ends when the cart is parked within the MH area.</t>
  </si>
  <si>
    <t>Document Material Numbers begins when the cart is parked within the MH area and ends when Liz turns to face the computer. The document of material numbers will include writing, some material movement, and tape.</t>
  </si>
  <si>
    <t>Doc Material Numbers into VI begins when Lix faces the computer and ends when Liz closes the VI program.</t>
  </si>
  <si>
    <t xml:space="preserve">Finish ppw and place in traveler begins when Liz closes the VI program and ends when Liz is more than 3ft from the MH area and intending to deliver the traveler. The ppw and traveler will consist of some writing, checking of the material, and organizing at her station. </t>
  </si>
  <si>
    <t>Travel to Carriage</t>
  </si>
  <si>
    <t>Travel to Carriage begins when liz is more than 3 ft from the MH table and intending to deliver traveler to carriage. The travel to carriage ends when Liz places her hand on the door to the clean room carriage location.</t>
  </si>
  <si>
    <t>Put Traveler in Carriage begins when the Clean Liz places her hand on the door of the clean room where the carriage is located and ends when Liz removes her hand from the clean room door where the carriage is located.</t>
  </si>
  <si>
    <t>Travel to MH Table from Carriage begins when Liz removes her hand from the clean room door where the carriage is located and ends when Liz is within 3ft from the MH area.</t>
  </si>
  <si>
    <t>Placement of Materials begins when Lizis within 3ft of the MH Table when returing from Carriage and ends when Liz hand leaves the Clean Room window for the final time for the FA.</t>
  </si>
  <si>
    <t xml:space="preserve">How to Time Step </t>
  </si>
  <si>
    <t>Travel to MH Table from Carriage</t>
  </si>
  <si>
    <t>WashOrder</t>
  </si>
  <si>
    <t>MH2</t>
  </si>
  <si>
    <t>PPW</t>
  </si>
  <si>
    <t>Wash Order</t>
  </si>
  <si>
    <t>Process Material 2</t>
  </si>
  <si>
    <t>Process Material 1</t>
  </si>
  <si>
    <t>Process Material 3</t>
  </si>
  <si>
    <t>Process Material 4</t>
  </si>
  <si>
    <t>Travel to Wash Cell</t>
  </si>
  <si>
    <t>Place Material</t>
  </si>
  <si>
    <t>Travel to Board</t>
  </si>
  <si>
    <t>Fill out Board</t>
  </si>
  <si>
    <t>Paperwork for filling a wash order. Begins when Liz picks up the travelers with intention to start wash order and ends when travelers are placed on the MH table.</t>
  </si>
  <si>
    <t>Begins when program on computer is ready for the current material to be entered and ends when  program on computer is ready for the next material (or closed).</t>
  </si>
  <si>
    <t>Begins when travlers are placed on the Table and ends when program on computer is ready for the next material to be entered (or closed).</t>
  </si>
  <si>
    <t>Begins when  program on computer is closed and ends when Liz is within 3 ft of a Wash Cell Shelf.</t>
  </si>
  <si>
    <t>Begins when Liz is within 3ft of a wash Cell Shelf and ends when the last material has been placed on Wash Cell Shelf.</t>
  </si>
  <si>
    <t>Begins when the last material has been placed on Wash Cell Shelf and ends when Liz is within 3 ft of the Board.</t>
  </si>
  <si>
    <t>Move to MH Table</t>
  </si>
  <si>
    <t>Begins when Liz is within 3 ft of the Board and ends when Liz is at least 3 ft away from the board with intention to start next task.</t>
  </si>
  <si>
    <t>Remove Tip</t>
  </si>
  <si>
    <t>WASH</t>
  </si>
  <si>
    <t>FA Specific Step</t>
  </si>
  <si>
    <t>Pre-Wash Paperwork</t>
  </si>
  <si>
    <t>Material Movement 1</t>
  </si>
  <si>
    <t>Wash 1 Cycle</t>
  </si>
  <si>
    <t>Over Flow 1</t>
  </si>
  <si>
    <t>Material Movement 2</t>
  </si>
  <si>
    <t>Wash 2 Cycle</t>
  </si>
  <si>
    <t>Over Flow 2</t>
  </si>
  <si>
    <t>Material Movement 3</t>
  </si>
  <si>
    <t>Wash 3 Cycle</t>
  </si>
  <si>
    <t>Over Flow 3</t>
  </si>
  <si>
    <t>Material Movement to Pre-Dry</t>
  </si>
  <si>
    <t>Material Movement to Dryer</t>
  </si>
  <si>
    <t>Dry Cycle</t>
  </si>
  <si>
    <t>All FA require the washers to de-gas the water. This is a deterministic process. Cycle tume is 5min.</t>
  </si>
  <si>
    <t>Pre-wash Paperwork begins when travler is in hand with intention to start pre-wash ppw and ends when page is turned to begin Material Movement 1.</t>
  </si>
  <si>
    <t>Wash 1 Cycle begins when Wash Cycle 1 Timer begins and end when Wash Cycle 1 Timer signals end. This is a deterministic process based on wash type.</t>
  </si>
  <si>
    <t>Begins when last ppw is turned so that Material Movement 1 can begin and ends when Wash Cycle 1 Timer begins.</t>
  </si>
  <si>
    <t>Begins when woker faces material with intent to begin Material Movement 2 and ends when Wash Cycle 2 Timer begins. If no Wash 2 Cycle required, time is 0 seconds.</t>
  </si>
  <si>
    <t>Begins when woker faces material with intent to begin Material Movement 3 and ends when Wash Cycle 3 Timer begins. If no Wash 3 Cycle required, time is 0 seconds.</t>
  </si>
  <si>
    <t>Wash 3 Cycle begins when Wash Cycle 3 Timer begins and ends when Wash Cycle 3 Timer signals end. This is a deterministic process based on wash type. If no Wash 3 Cycle required, the time is 0 seconds.</t>
  </si>
  <si>
    <t>Wash 2 Cycle begins when Wash Cycle 2 Timer begins and ends when Wash Cycle 2 Timer signals end. This is a deterministic process based on wash type. If no Wash 2 Cycle required, the time is 0 seconds</t>
  </si>
  <si>
    <t>Over Flow 3 begins when Wash Cycle 3 Timer signals and ends when worker faces material with intent to begin Material Movement to Pre-Dry. If no paperwork or periphial task delays the Material Movement, the Over Flow 3 time is 0 seconds. If no Wash 3 cycle is required, then time is 0 seconds.</t>
  </si>
  <si>
    <t>Over Flow 2 begins when Wash Cycle 2 Timer signals and ends when worker faces material with intent to begin Material Movement 3. If no paperwork or periphial task delays the Material Movement 3, the Over Flow 2 time is 0 seconds. If no Wash 2 cycle is required, then time is 0 seconds.</t>
  </si>
  <si>
    <t>Over Flow 1 begins when Wash Cycle 1 Timer signals and ends when worker faces material with intent to begin Material Movement 2 or Material Movement to Pre-Dry. If no paperwork or periphial task delays the Material Movement, the Over Flow 1 time is 0 seconds.</t>
  </si>
  <si>
    <t xml:space="preserve">Some FA require pre-wash  and/or pre dry steps that do not fall within the steps outlined. An example is removing the TIP PROTECTOR for the Suture Passer Family and dunking the raw material in alcohol. Not all FA require tip protectors or alcohol dunks or both, but those that do have additional steps in the wash cell. FA Specific Step is the aggregate time to perform all FA Specific steps. </t>
  </si>
  <si>
    <t xml:space="preserve">Begins when woker faces material with intent to begin Material Movement to Pre-Dry and ends when worker is turns with intent to Prepare Material for Dryer. </t>
  </si>
  <si>
    <t>Prepare Material for Dryer (dryer baskets)</t>
  </si>
  <si>
    <t xml:space="preserve">Begins when worker turns with intent to Prepare Material for Dryer and ends when the worker's hand is on the handle of the dryer to open the dryer for the first time. </t>
  </si>
  <si>
    <t>Begins when the worker's hand is on the handle of the dryer to open the dryer for the first time and ends when the worker begins the Dry Cycle Timer.</t>
  </si>
  <si>
    <t>Begins when the worker begins the Dry Cycle Timer and ends when the Dry Cycle Timer signals end.</t>
  </si>
  <si>
    <t>Material Movement to Wait for MH</t>
  </si>
  <si>
    <t>TRANSPORT CANNULA</t>
  </si>
  <si>
    <t>LARGE</t>
  </si>
  <si>
    <t>MALE LUERCAP W/LEASH</t>
  </si>
  <si>
    <t>DISTAL SEPTUM TRICUT</t>
  </si>
  <si>
    <t>PROXIMAL SEPTUM TRICUT</t>
  </si>
  <si>
    <t>1000896-00</t>
  </si>
  <si>
    <t>INNER TUBE</t>
  </si>
  <si>
    <t>1000895-00</t>
  </si>
  <si>
    <t>OUTER TUBE</t>
  </si>
  <si>
    <t>MEDIUM,LARGE</t>
  </si>
  <si>
    <t>S,M,L</t>
  </si>
  <si>
    <t>1000894-00</t>
  </si>
  <si>
    <t>SPLINE</t>
  </si>
  <si>
    <t>KNOB</t>
  </si>
  <si>
    <t>SMALL,MEDIUM,LARGE</t>
  </si>
  <si>
    <t>1000886-00</t>
  </si>
  <si>
    <t>1000878-00</t>
  </si>
  <si>
    <t>SIL, NUSIL MED-420</t>
  </si>
  <si>
    <t>8 MM</t>
  </si>
  <si>
    <t>6 MM, 8 MM</t>
  </si>
  <si>
    <t>1000 CP</t>
  </si>
  <si>
    <t>1000879-00</t>
  </si>
  <si>
    <t>OUTFLOW PIGTAIL</t>
  </si>
  <si>
    <t>1000877-00</t>
  </si>
  <si>
    <t>8.25X7.25X1.70</t>
  </si>
  <si>
    <t>1000876-00</t>
  </si>
  <si>
    <t>10.52X7.50X0.375</t>
  </si>
  <si>
    <t>1001021-00</t>
  </si>
  <si>
    <t>1001022-00</t>
  </si>
  <si>
    <t>1001034-00</t>
  </si>
  <si>
    <t>1001020-00</t>
  </si>
  <si>
    <t xml:space="preserve"> 27LB, CST, STY-TH</t>
  </si>
  <si>
    <t>CP, PRINT, TP-LG, STY PCH</t>
  </si>
  <si>
    <t>4.0x6.9</t>
  </si>
  <si>
    <t>CP, PRINT, TP-LG, STY SH BOX</t>
  </si>
  <si>
    <t>MEDIUM</t>
  </si>
  <si>
    <t>1000893-00</t>
  </si>
  <si>
    <t>1001023-00</t>
  </si>
  <si>
    <t>CP, PRINT, TP-MD, STY PCH</t>
  </si>
  <si>
    <t>CP, PRINT, TP-MD, STY SH BOX</t>
  </si>
  <si>
    <t>1001024-00</t>
  </si>
  <si>
    <t>SMALL</t>
  </si>
  <si>
    <t>1000887-00</t>
  </si>
  <si>
    <t>1000888-00</t>
  </si>
  <si>
    <t>1000889-00</t>
  </si>
  <si>
    <t>1001025-00</t>
  </si>
  <si>
    <t>1001026-00</t>
  </si>
  <si>
    <t>CP, PRINT, TP-SM, STY SH BOX</t>
  </si>
  <si>
    <t>CP, PRINT, TP-SM, STY PCH</t>
  </si>
  <si>
    <t>FLOWPORT II</t>
  </si>
  <si>
    <t>ORINE</t>
  </si>
  <si>
    <t>SILICONE,OTS, FPII</t>
  </si>
  <si>
    <t>0.301 ID</t>
  </si>
  <si>
    <t>OVERMOLDED SHAFT</t>
  </si>
  <si>
    <t>OBTURATOR, L&amp;S, FPII</t>
  </si>
  <si>
    <t>1000856-00</t>
  </si>
  <si>
    <t>20x7.25x0.375</t>
  </si>
  <si>
    <t>1000857-00</t>
  </si>
  <si>
    <t>17x7.25X0.375</t>
  </si>
  <si>
    <t>1001089-00</t>
  </si>
  <si>
    <t>21.25X5.25</t>
  </si>
  <si>
    <t>HDPE, CTS, FPII</t>
  </si>
  <si>
    <t>1001093-00</t>
  </si>
  <si>
    <t>CANNULA HEAD</t>
  </si>
  <si>
    <t>FPII</t>
  </si>
  <si>
    <t>1001090-00</t>
  </si>
  <si>
    <t>1001091-00</t>
  </si>
  <si>
    <t>1001092-00</t>
  </si>
  <si>
    <t>PR, LOCTITE, 7701</t>
  </si>
  <si>
    <t>CA, LOCTITE, 4206</t>
  </si>
  <si>
    <t>EX, LOCTITE, M31CL</t>
  </si>
  <si>
    <t>1001103-00</t>
  </si>
  <si>
    <t>1001095-00</t>
  </si>
  <si>
    <t>1001102-00</t>
  </si>
  <si>
    <t>INNERHYPOTUBE</t>
  </si>
  <si>
    <t>CANNULA, L&amp;S, FPII</t>
  </si>
  <si>
    <t>OBTURATOR, FPII</t>
  </si>
  <si>
    <t>1001210-01</t>
  </si>
  <si>
    <t>total</t>
  </si>
  <si>
    <t>aggregate time of entire kitting process</t>
  </si>
  <si>
    <t>Max Wash Batch Size</t>
  </si>
  <si>
    <t>OBS_DATE</t>
  </si>
  <si>
    <t>ACCESS</t>
  </si>
  <si>
    <t>Calc (time/units of FA* 1000 units of FA)</t>
  </si>
  <si>
    <t>LBLP</t>
  </si>
  <si>
    <t>1001027-00</t>
  </si>
  <si>
    <t>SAMURAI BLADE</t>
  </si>
  <si>
    <t>1001028-00</t>
  </si>
  <si>
    <t>Material Movement to Post-Dry</t>
  </si>
  <si>
    <t>Begins when the worker's hand is on the handle of the dryer to open the dryer for the first time after Dry Cycle Timer signal and ends when the last material is placed on the wash bagging area.</t>
  </si>
  <si>
    <t>Re-Package</t>
  </si>
  <si>
    <t>Begins when the worker's when the last material is placed on the wash bagging area and ends when the last material bag is filled.</t>
  </si>
  <si>
    <t>Begins when the last material bag is filled and ends when the last material is placed in the MH waiting area.</t>
  </si>
  <si>
    <t>place into bag, move to mh waiting area</t>
  </si>
  <si>
    <t>PIN</t>
  </si>
  <si>
    <t>place into bag, move to mh waiting area (ESTIMATE)</t>
  </si>
  <si>
    <t>return to mh and inventory</t>
  </si>
  <si>
    <t>Place Material in CI</t>
  </si>
  <si>
    <t>Travel from Wash Cell to MH Table with Material</t>
  </si>
  <si>
    <t>Begins when  Liz cross the blue tape near MH and ends when Liz is within 3 ft of a Wash Cell Shelf.</t>
  </si>
  <si>
    <t>Retrieve Material</t>
  </si>
  <si>
    <t>Begins when  is within 3 ft of a Wash Cell Shelf and ends when the last material is placed within the cart.</t>
  </si>
  <si>
    <t>Begins when the last material is placed within the cart and ends when Liz crosses the blue line to enter the MH area.</t>
  </si>
  <si>
    <t>Begins when Liz crosses the blue line to enter the MH area and ends when the last material is placed in the CI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</si>
</sst>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3" x14ac:knownFonts="1">
    <font>
      <sz val="12"/>
      <color theme="1"/>
      <name val="Calibri"/>
      <family val="2"/>
      <scheme val="minor"/>
    </font>
    <font>
      <b/>
      <sz val="11"/>
      <color theme="1"/>
      <name val="Calibri"/>
      <family val="2"/>
      <scheme val="minor"/>
    </font>
    <font>
      <sz val="11"/>
      <name val="Calibri"/>
      <family val="2"/>
      <scheme val="minor"/>
    </font>
    <font>
      <b/>
      <sz val="9"/>
      <color indexed="81"/>
      <name val="Tahoma"/>
      <charset val="1"/>
    </font>
    <font>
      <sz val="9"/>
      <color indexed="81"/>
      <name val="Tahoma"/>
      <charset val="1"/>
    </font>
    <font>
      <sz val="11"/>
      <color theme="1"/>
      <name val="Cambria"/>
      <family val="1"/>
    </font>
    <font>
      <sz val="11"/>
      <name val="Cambria"/>
      <family val="1"/>
    </font>
    <font>
      <b/>
      <sz val="11"/>
      <color theme="1"/>
      <name val="Cambria"/>
      <family val="1"/>
    </font>
    <font>
      <b/>
      <sz val="9"/>
      <color rgb="FF000000"/>
      <name val="Tahoma"/>
      <charset val="1"/>
    </font>
    <font>
      <sz val="9"/>
      <color rgb="FF000000"/>
      <name val="Tahoma"/>
      <charset val="1"/>
    </font>
    <font>
      <sz val="10"/>
      <color rgb="FF000000"/>
      <name val="Tahoma"/>
      <family val="2"/>
    </font>
    <font>
      <b/>
      <sz val="10"/>
      <color rgb="FF000000"/>
      <name val="Tahoma"/>
      <family val="2"/>
    </font>
    <font>
      <sz val="12"/>
      <color rgb="FF00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6">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cellStyleXfs>
  <cellXfs count="52">
    <xf numFmtId="0" fontId="0" fillId="0" borderId="0" xfId="0"/>
    <xf numFmtId="2" fontId="0" fillId="0" borderId="0" xfId="0" applyNumberFormat="1"/>
    <xf numFmtId="49" fontId="0" fillId="0" borderId="1" xfId="0" applyNumberFormat="1" applyBorder="1"/>
    <xf numFmtId="0" fontId="1" fillId="2" borderId="0" xfId="0" applyFont="1" applyFill="1" applyAlignment="1">
      <alignment wrapText="1"/>
    </xf>
    <xf numFmtId="49" fontId="0" fillId="0" borderId="2" xfId="0" applyNumberFormat="1" applyBorder="1"/>
    <xf numFmtId="49" fontId="0" fillId="0" borderId="3" xfId="0" applyNumberFormat="1" applyBorder="1"/>
    <xf numFmtId="49" fontId="0" fillId="0" borderId="0" xfId="0" applyNumberFormat="1"/>
    <xf numFmtId="49" fontId="2" fillId="0" borderId="4" xfId="0" applyNumberFormat="1" applyFont="1" applyBorder="1"/>
    <xf numFmtId="49" fontId="2" fillId="0" borderId="5" xfId="0" applyNumberFormat="1" applyFont="1" applyBorder="1"/>
    <xf numFmtId="49" fontId="2" fillId="0" borderId="2" xfId="0" applyNumberFormat="1" applyFont="1" applyBorder="1"/>
    <xf numFmtId="49" fontId="2" fillId="0" borderId="3" xfId="0" applyNumberFormat="1" applyFont="1" applyBorder="1"/>
    <xf numFmtId="49" fontId="0" fillId="0" borderId="4" xfId="0" applyNumberFormat="1" applyBorder="1"/>
    <xf numFmtId="49" fontId="0" fillId="0" borderId="5" xfId="0" applyNumberFormat="1" applyBorder="1"/>
    <xf numFmtId="49" fontId="0" fillId="3" borderId="0" xfId="0" applyNumberFormat="1" applyFill="1"/>
    <xf numFmtId="0" fontId="5" fillId="0" borderId="0" xfId="0" applyFont="1" applyAlignment="1">
      <alignment horizontal="center"/>
    </xf>
    <xf numFmtId="0" fontId="0" fillId="0" borderId="0" xfId="0" applyAlignment="1">
      <alignment horizontal="center"/>
    </xf>
    <xf numFmtId="0" fontId="6" fillId="0" borderId="5" xfId="0" applyFont="1" applyBorder="1" applyAlignment="1">
      <alignment horizontal="center"/>
    </xf>
    <xf numFmtId="0" fontId="2" fillId="0" borderId="5" xfId="0" applyFont="1" applyBorder="1" applyAlignment="1">
      <alignment horizontal="center"/>
    </xf>
    <xf numFmtId="0" fontId="6" fillId="0" borderId="3" xfId="0" applyFont="1" applyBorder="1" applyAlignment="1">
      <alignment horizontal="center"/>
    </xf>
    <xf numFmtId="0" fontId="2" fillId="0" borderId="3" xfId="0" applyFont="1" applyBorder="1" applyAlignment="1">
      <alignment horizontal="center"/>
    </xf>
    <xf numFmtId="0" fontId="5" fillId="0" borderId="5" xfId="0" applyFont="1" applyBorder="1" applyAlignment="1">
      <alignment horizontal="center"/>
    </xf>
    <xf numFmtId="0" fontId="0" fillId="0" borderId="5" xfId="0" applyBorder="1" applyAlignment="1">
      <alignment horizontal="center"/>
    </xf>
    <xf numFmtId="0" fontId="5" fillId="0" borderId="3" xfId="0" applyFont="1" applyBorder="1" applyAlignment="1">
      <alignment horizontal="center"/>
    </xf>
    <xf numFmtId="0" fontId="0" fillId="0" borderId="3" xfId="0" applyBorder="1" applyAlignment="1">
      <alignment horizontal="center"/>
    </xf>
    <xf numFmtId="0" fontId="7" fillId="2" borderId="0" xfId="0" applyFont="1" applyFill="1" applyAlignment="1">
      <alignment horizontal="center" wrapText="1"/>
    </xf>
    <xf numFmtId="0" fontId="0" fillId="0" borderId="3" xfId="0" applyBorder="1"/>
    <xf numFmtId="0" fontId="2" fillId="0" borderId="5" xfId="0" applyFont="1" applyBorder="1"/>
    <xf numFmtId="0" fontId="2" fillId="0" borderId="3" xfId="0" applyFont="1" applyBorder="1"/>
    <xf numFmtId="0" fontId="0" fillId="0" borderId="5" xfId="0" applyBorder="1"/>
    <xf numFmtId="1" fontId="0" fillId="0" borderId="3" xfId="0" applyNumberFormat="1" applyBorder="1"/>
    <xf numFmtId="1" fontId="0" fillId="0" borderId="0" xfId="0" applyNumberFormat="1"/>
    <xf numFmtId="1" fontId="2" fillId="0" borderId="5" xfId="0" applyNumberFormat="1" applyFont="1" applyBorder="1"/>
    <xf numFmtId="1" fontId="2" fillId="0" borderId="3" xfId="0" applyNumberFormat="1" applyFont="1" applyBorder="1"/>
    <xf numFmtId="1" fontId="0" fillId="0" borderId="5" xfId="0" applyNumberFormat="1" applyBorder="1"/>
    <xf numFmtId="0" fontId="1" fillId="2" borderId="0" xfId="0" applyFont="1" applyFill="1" applyAlignment="1">
      <alignment horizontal="center" wrapText="1"/>
    </xf>
    <xf numFmtId="0" fontId="0" fillId="0" borderId="0" xfId="0" quotePrefix="1"/>
    <xf numFmtId="0" fontId="0" fillId="0" borderId="0" xfId="0" applyAlignment="1">
      <alignment vertical="center"/>
    </xf>
    <xf numFmtId="0" fontId="0" fillId="0" borderId="0" xfId="0" applyAlignment="1">
      <alignment horizontal="left" vertical="center"/>
    </xf>
    <xf numFmtId="0" fontId="12" fillId="0" borderId="0" xfId="0" applyFont="1"/>
    <xf numFmtId="0" fontId="0" fillId="0" borderId="0" xfId="0"/>
    <xf numFmtId="0" fontId="0" fillId="0" borderId="0" xfId="0"/>
    <xf numFmtId="0" fontId="0" fillId="0" borderId="0" xfId="0"/>
    <xf numFmtId="0" fontId="0" fillId="0" borderId="0" xfId="0"/>
    <xf numFmtId="0" fontId="0" fillId="3" borderId="0" xfId="0" applyFill="1"/>
    <xf numFmtId="164" fontId="0" fillId="0" borderId="0" xfId="0" applyNumberFormat="1"/>
    <xf numFmtId="0" fontId="7" fillId="2" borderId="0" xfId="0" applyFont="1" applyFill="1" applyAlignment="1">
      <alignment horizontal="center" wrapText="1"/>
    </xf>
    <xf numFmtId="0" fontId="0" fillId="0" borderId="0" xfId="0" applyAlignment="1">
      <alignment vertical="center" wrapText="1"/>
    </xf>
    <xf numFmtId="0" fontId="0" fillId="0" borderId="0" xfId="0"/>
    <xf numFmtId="0" fontId="0" fillId="0" borderId="0" xfId="0" applyFill="1" applyBorder="1"/>
    <xf numFmtId="0" fontId="0" fillId="0" borderId="0" xfId="0" applyAlignment="1">
      <alignment horizontal="left" vertical="center" wrapText="1"/>
    </xf>
    <xf numFmtId="0" fontId="0" fillId="0" borderId="0" xfId="0" applyAlignment="1">
      <alignment horizontal="left"/>
    </xf>
    <xf numFmtId="0" fontId="0" fillId="0" borderId="0" xfId="0" applyAlignment="1">
      <alignment horizontal="center"/>
    </xf>
  </cellXfs>
  <cellStyles count="1">
    <cellStyle name="Normal" xfId="0" builtinId="0"/>
  </cellStyles>
  <dxfs count="2">
    <dxf>
      <border>
        <top style="thin">
          <color indexed="64"/>
        </top>
      </border>
    </dxf>
    <dxf>
      <fill>
        <patternFill patternType="solid">
          <fgColor indexed="64"/>
          <bgColor theme="4" tint="0.79998168889431442"/>
        </patternFill>
      </fill>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86" totalsRowCount="1" totalsRowDxfId="1" totalsRowBorderDxfId="0">
  <autoFilter ref="A1:I85" xr:uid="{00000000-0009-0000-0100-000001000000}"/>
  <tableColumns count="9">
    <tableColumn id="1" xr3:uid="{00000000-0010-0000-0000-000001000000}" name="FA/Part-ID"/>
    <tableColumn id="2" xr3:uid="{00000000-0010-0000-0000-000002000000}" name="SA"/>
    <tableColumn id="3" xr3:uid="{00000000-0010-0000-0000-000003000000}" name="Cell"/>
    <tableColumn id="4" xr3:uid="{00000000-0010-0000-0000-000004000000}" name="Step"/>
    <tableColumn id="5" xr3:uid="{00000000-0010-0000-0000-000005000000}" name="Step Description"/>
    <tableColumn id="6" xr3:uid="{00000000-0010-0000-0000-000006000000}" name="Time (min)"/>
    <tableColumn id="7" xr3:uid="{00000000-0010-0000-0000-000007000000}" name="Distinction"/>
    <tableColumn id="8" xr3:uid="{00000000-0010-0000-0000-000008000000}" name="Family"/>
    <tableColumn id="9" xr3:uid="{00000000-0010-0000-0000-000009000000}" name="Units of FA"/>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4"/>
  <sheetViews>
    <sheetView topLeftCell="A25" workbookViewId="0">
      <selection activeCell="D53" sqref="D53"/>
    </sheetView>
  </sheetViews>
  <sheetFormatPr defaultColWidth="10.625" defaultRowHeight="15.75" x14ac:dyDescent="0.25"/>
  <cols>
    <col min="4" max="4" width="49.875" bestFit="1" customWidth="1"/>
    <col min="12" max="13" width="11.125" bestFit="1" customWidth="1"/>
    <col min="14" max="14" width="11.875" bestFit="1" customWidth="1"/>
    <col min="18" max="18" width="18.625" customWidth="1"/>
    <col min="19" max="19" width="17.625" customWidth="1"/>
  </cols>
  <sheetData>
    <row r="1" spans="1:22" x14ac:dyDescent="0.25">
      <c r="A1" t="s">
        <v>0</v>
      </c>
    </row>
    <row r="2" spans="1:22" ht="30.75" thickBot="1" x14ac:dyDescent="0.3">
      <c r="B2" s="3" t="s">
        <v>1</v>
      </c>
      <c r="C2" s="34" t="s">
        <v>2</v>
      </c>
      <c r="D2" s="3" t="s">
        <v>3</v>
      </c>
      <c r="E2" s="45" t="s">
        <v>4</v>
      </c>
      <c r="F2" s="45"/>
      <c r="G2" s="45"/>
      <c r="H2" s="45"/>
      <c r="I2" s="45"/>
      <c r="J2" s="24" t="s">
        <v>5</v>
      </c>
      <c r="K2" s="24" t="s">
        <v>6</v>
      </c>
      <c r="L2" s="3" t="s">
        <v>7</v>
      </c>
      <c r="M2" s="3" t="s">
        <v>8</v>
      </c>
      <c r="N2" s="3" t="s">
        <v>9</v>
      </c>
      <c r="O2" s="3" t="s">
        <v>10</v>
      </c>
      <c r="P2" s="3" t="s">
        <v>11</v>
      </c>
      <c r="Q2" s="3" t="s">
        <v>12</v>
      </c>
      <c r="R2" s="3"/>
      <c r="S2" s="3"/>
      <c r="T2" s="3"/>
      <c r="U2" s="3"/>
      <c r="V2" s="3"/>
    </row>
    <row r="3" spans="1:22" x14ac:dyDescent="0.25">
      <c r="B3" s="4" t="s">
        <v>13</v>
      </c>
      <c r="C3" s="23" t="s">
        <v>14</v>
      </c>
      <c r="D3" s="5" t="s">
        <v>15</v>
      </c>
      <c r="E3" s="22">
        <v>1001201</v>
      </c>
      <c r="F3" s="22">
        <v>1001202</v>
      </c>
      <c r="G3" s="22"/>
      <c r="H3" s="22"/>
      <c r="I3" s="23"/>
      <c r="J3" s="23">
        <v>3</v>
      </c>
      <c r="K3" s="23">
        <v>1</v>
      </c>
      <c r="L3" s="25" t="s">
        <v>16</v>
      </c>
      <c r="M3" s="25">
        <v>3000</v>
      </c>
      <c r="N3" s="25">
        <v>110</v>
      </c>
      <c r="O3" s="25">
        <v>150</v>
      </c>
      <c r="P3" s="29">
        <f>(M3*N3)/3</f>
        <v>110000</v>
      </c>
      <c r="Q3" s="29">
        <f>(O3+P3)/3</f>
        <v>36716.666666666664</v>
      </c>
    </row>
    <row r="4" spans="1:22" x14ac:dyDescent="0.25">
      <c r="B4" s="2" t="s">
        <v>17</v>
      </c>
      <c r="C4" s="15" t="s">
        <v>18</v>
      </c>
      <c r="D4" s="6" t="s">
        <v>19</v>
      </c>
      <c r="E4" s="14">
        <v>1001203</v>
      </c>
      <c r="F4" s="14">
        <v>1001204</v>
      </c>
      <c r="G4" s="14">
        <v>1001205</v>
      </c>
      <c r="H4" s="14"/>
      <c r="I4" s="15"/>
      <c r="J4" s="15">
        <v>2</v>
      </c>
      <c r="K4" s="15">
        <v>1</v>
      </c>
      <c r="L4" t="s">
        <v>16</v>
      </c>
      <c r="M4">
        <v>4000</v>
      </c>
      <c r="N4">
        <v>110</v>
      </c>
      <c r="O4">
        <v>150</v>
      </c>
      <c r="P4">
        <f t="shared" ref="P4:P20" si="0">M4*N4</f>
        <v>440000</v>
      </c>
      <c r="Q4" s="30">
        <f>(O4+P4)/3</f>
        <v>146716.66666666666</v>
      </c>
    </row>
    <row r="5" spans="1:22" x14ac:dyDescent="0.25">
      <c r="B5" s="2" t="s">
        <v>20</v>
      </c>
      <c r="C5" s="15" t="s">
        <v>21</v>
      </c>
      <c r="D5" s="6" t="s">
        <v>22</v>
      </c>
      <c r="E5" s="14">
        <v>1001203</v>
      </c>
      <c r="F5" s="14">
        <v>1001204</v>
      </c>
      <c r="G5" s="14">
        <v>1001205</v>
      </c>
      <c r="H5" s="14"/>
      <c r="I5" s="15"/>
      <c r="J5" s="15">
        <v>2</v>
      </c>
      <c r="K5" s="15">
        <v>1</v>
      </c>
      <c r="L5" t="s">
        <v>16</v>
      </c>
      <c r="M5">
        <v>4000</v>
      </c>
      <c r="N5">
        <v>110</v>
      </c>
      <c r="O5">
        <v>150</v>
      </c>
      <c r="P5">
        <f t="shared" si="0"/>
        <v>440000</v>
      </c>
      <c r="Q5" s="30">
        <f>(O5+P5)/3</f>
        <v>146716.66666666666</v>
      </c>
    </row>
    <row r="6" spans="1:22" x14ac:dyDescent="0.25">
      <c r="B6" s="2" t="s">
        <v>23</v>
      </c>
      <c r="C6" s="15" t="s">
        <v>24</v>
      </c>
      <c r="D6" s="6" t="s">
        <v>25</v>
      </c>
      <c r="E6" s="14">
        <v>1001203</v>
      </c>
      <c r="F6" s="14">
        <v>1001204</v>
      </c>
      <c r="G6" s="14">
        <v>1001205</v>
      </c>
      <c r="H6" s="14"/>
      <c r="I6" s="15"/>
      <c r="J6" s="15">
        <v>2</v>
      </c>
      <c r="K6" s="15">
        <v>1</v>
      </c>
      <c r="L6" t="s">
        <v>16</v>
      </c>
      <c r="M6">
        <v>4000</v>
      </c>
      <c r="N6">
        <v>110</v>
      </c>
      <c r="O6">
        <v>150</v>
      </c>
      <c r="P6">
        <f t="shared" si="0"/>
        <v>440000</v>
      </c>
      <c r="Q6" s="30">
        <f>(O6+P6)/3</f>
        <v>146716.66666666666</v>
      </c>
    </row>
    <row r="7" spans="1:22" x14ac:dyDescent="0.25">
      <c r="B7" s="2" t="s">
        <v>26</v>
      </c>
      <c r="C7" s="15" t="s">
        <v>27</v>
      </c>
      <c r="D7" s="6" t="s">
        <v>28</v>
      </c>
      <c r="E7" s="14">
        <v>1001206</v>
      </c>
      <c r="F7" s="14"/>
      <c r="G7" s="14"/>
      <c r="H7" s="14"/>
      <c r="I7" s="15"/>
      <c r="J7" s="15">
        <v>3</v>
      </c>
      <c r="K7" s="15">
        <v>1</v>
      </c>
      <c r="L7" t="s">
        <v>29</v>
      </c>
      <c r="M7">
        <v>420</v>
      </c>
      <c r="N7">
        <v>80</v>
      </c>
      <c r="O7">
        <v>150</v>
      </c>
      <c r="P7">
        <f t="shared" si="0"/>
        <v>33600</v>
      </c>
      <c r="Q7" s="30">
        <f t="shared" ref="Q7:Q16" si="1">O7+P7</f>
        <v>33750</v>
      </c>
    </row>
    <row r="8" spans="1:22" x14ac:dyDescent="0.25">
      <c r="B8" s="2" t="s">
        <v>30</v>
      </c>
      <c r="C8" s="15" t="s">
        <v>31</v>
      </c>
      <c r="D8" s="6" t="s">
        <v>32</v>
      </c>
      <c r="E8" s="14">
        <v>1001207</v>
      </c>
      <c r="F8" s="14"/>
      <c r="G8" s="14"/>
      <c r="H8" s="14"/>
      <c r="I8" s="15"/>
      <c r="J8" s="15">
        <v>3</v>
      </c>
      <c r="K8" s="15">
        <v>1</v>
      </c>
      <c r="L8" t="s">
        <v>29</v>
      </c>
      <c r="M8">
        <v>420</v>
      </c>
      <c r="N8">
        <v>80</v>
      </c>
      <c r="O8">
        <v>150</v>
      </c>
      <c r="P8">
        <f>M8*N8</f>
        <v>33600</v>
      </c>
      <c r="Q8" s="30">
        <f t="shared" si="1"/>
        <v>33750</v>
      </c>
    </row>
    <row r="9" spans="1:22" x14ac:dyDescent="0.25">
      <c r="B9" s="2" t="s">
        <v>33</v>
      </c>
      <c r="C9" s="15" t="s">
        <v>34</v>
      </c>
      <c r="D9" s="6" t="s">
        <v>35</v>
      </c>
      <c r="E9" s="14">
        <v>1001208</v>
      </c>
      <c r="F9" s="14"/>
      <c r="G9" s="14"/>
      <c r="H9" s="14"/>
      <c r="I9" s="15"/>
      <c r="J9" s="15">
        <v>3</v>
      </c>
      <c r="K9" s="15">
        <v>1</v>
      </c>
      <c r="L9" t="s">
        <v>29</v>
      </c>
      <c r="M9">
        <v>420</v>
      </c>
      <c r="N9">
        <v>80</v>
      </c>
      <c r="O9">
        <v>150</v>
      </c>
      <c r="P9">
        <f t="shared" si="0"/>
        <v>33600</v>
      </c>
      <c r="Q9" s="30">
        <f t="shared" si="1"/>
        <v>33750</v>
      </c>
    </row>
    <row r="10" spans="1:22" x14ac:dyDescent="0.25">
      <c r="B10" s="2" t="s">
        <v>36</v>
      </c>
      <c r="C10" s="15" t="s">
        <v>37</v>
      </c>
      <c r="D10" s="6" t="s">
        <v>38</v>
      </c>
      <c r="E10" s="14">
        <v>1001209</v>
      </c>
      <c r="F10" s="14"/>
      <c r="G10" s="14"/>
      <c r="H10" s="14"/>
      <c r="I10" s="15"/>
      <c r="J10" s="15">
        <v>3</v>
      </c>
      <c r="K10" s="15">
        <v>1</v>
      </c>
      <c r="L10" t="s">
        <v>29</v>
      </c>
      <c r="M10">
        <v>420</v>
      </c>
      <c r="N10">
        <v>80</v>
      </c>
      <c r="O10">
        <v>150</v>
      </c>
      <c r="P10">
        <f>M10*N10</f>
        <v>33600</v>
      </c>
      <c r="Q10" s="30">
        <f t="shared" si="1"/>
        <v>33750</v>
      </c>
    </row>
    <row r="11" spans="1:22" x14ac:dyDescent="0.25">
      <c r="B11" s="2" t="s">
        <v>39</v>
      </c>
      <c r="C11" s="15" t="s">
        <v>40</v>
      </c>
      <c r="D11" s="6" t="s">
        <v>41</v>
      </c>
      <c r="E11" s="14">
        <v>1001210</v>
      </c>
      <c r="F11" s="14"/>
      <c r="G11" s="14"/>
      <c r="H11" s="14"/>
      <c r="I11" s="15"/>
      <c r="J11" s="15">
        <v>3</v>
      </c>
      <c r="K11" s="15">
        <v>1</v>
      </c>
      <c r="L11" t="s">
        <v>29</v>
      </c>
      <c r="M11">
        <v>420</v>
      </c>
      <c r="N11">
        <v>80</v>
      </c>
      <c r="O11">
        <v>150</v>
      </c>
      <c r="P11">
        <f t="shared" si="0"/>
        <v>33600</v>
      </c>
      <c r="Q11" s="30">
        <f t="shared" si="1"/>
        <v>33750</v>
      </c>
    </row>
    <row r="12" spans="1:22" ht="16.5" thickBot="1" x14ac:dyDescent="0.3">
      <c r="B12" s="7" t="s">
        <v>42</v>
      </c>
      <c r="C12" s="17" t="s">
        <v>43</v>
      </c>
      <c r="D12" s="8" t="s">
        <v>44</v>
      </c>
      <c r="E12" s="16">
        <v>1001206</v>
      </c>
      <c r="F12" s="16"/>
      <c r="G12" s="16"/>
      <c r="H12" s="16"/>
      <c r="I12" s="17"/>
      <c r="J12" s="17">
        <v>3</v>
      </c>
      <c r="K12" s="17">
        <v>1</v>
      </c>
      <c r="L12" s="26" t="s">
        <v>29</v>
      </c>
      <c r="M12" s="26">
        <v>850</v>
      </c>
      <c r="N12" s="26">
        <v>80</v>
      </c>
      <c r="O12" s="26">
        <v>150</v>
      </c>
      <c r="P12" s="26">
        <f t="shared" si="0"/>
        <v>68000</v>
      </c>
      <c r="Q12" s="31">
        <f t="shared" si="1"/>
        <v>68150</v>
      </c>
    </row>
    <row r="13" spans="1:22" x14ac:dyDescent="0.25">
      <c r="B13" s="9" t="s">
        <v>45</v>
      </c>
      <c r="C13" s="19" t="s">
        <v>46</v>
      </c>
      <c r="D13" s="10" t="s">
        <v>47</v>
      </c>
      <c r="E13" s="18">
        <v>1001207</v>
      </c>
      <c r="F13" s="18">
        <v>1001208</v>
      </c>
      <c r="G13" s="18"/>
      <c r="H13" s="18"/>
      <c r="I13" s="19"/>
      <c r="J13" s="19">
        <v>3</v>
      </c>
      <c r="K13" s="19">
        <v>1</v>
      </c>
      <c r="L13" s="27" t="s">
        <v>29</v>
      </c>
      <c r="M13" s="27">
        <v>850</v>
      </c>
      <c r="N13" s="27">
        <v>80</v>
      </c>
      <c r="O13" s="27">
        <v>150</v>
      </c>
      <c r="P13" s="27">
        <f t="shared" si="0"/>
        <v>68000</v>
      </c>
      <c r="Q13" s="32">
        <f t="shared" si="1"/>
        <v>68150</v>
      </c>
    </row>
    <row r="14" spans="1:22" x14ac:dyDescent="0.25">
      <c r="B14" s="2" t="s">
        <v>48</v>
      </c>
      <c r="C14" s="15" t="s">
        <v>49</v>
      </c>
      <c r="D14" s="6" t="s">
        <v>50</v>
      </c>
      <c r="E14" s="14">
        <v>1001209</v>
      </c>
      <c r="F14" s="14">
        <v>1001210</v>
      </c>
      <c r="G14" s="14"/>
      <c r="H14" s="14"/>
      <c r="I14" s="15"/>
      <c r="J14" s="15">
        <v>3</v>
      </c>
      <c r="K14" s="15">
        <v>1</v>
      </c>
      <c r="L14" t="s">
        <v>29</v>
      </c>
      <c r="M14">
        <v>600</v>
      </c>
      <c r="N14">
        <v>80</v>
      </c>
      <c r="O14">
        <v>150</v>
      </c>
      <c r="P14">
        <f t="shared" si="0"/>
        <v>48000</v>
      </c>
      <c r="Q14" s="30">
        <f t="shared" si="1"/>
        <v>48150</v>
      </c>
    </row>
    <row r="15" spans="1:22" x14ac:dyDescent="0.25">
      <c r="B15" s="2" t="s">
        <v>51</v>
      </c>
      <c r="C15" s="15"/>
      <c r="D15" s="6" t="s">
        <v>52</v>
      </c>
      <c r="E15" s="14">
        <v>1000920</v>
      </c>
      <c r="F15" s="14">
        <v>1000921</v>
      </c>
      <c r="G15" s="14"/>
      <c r="H15" s="14"/>
      <c r="I15" s="15"/>
      <c r="J15" s="15"/>
      <c r="K15" s="15">
        <v>1</v>
      </c>
      <c r="O15">
        <v>150</v>
      </c>
      <c r="P15">
        <f t="shared" si="0"/>
        <v>0</v>
      </c>
      <c r="Q15">
        <f t="shared" si="1"/>
        <v>150</v>
      </c>
    </row>
    <row r="16" spans="1:22" x14ac:dyDescent="0.25">
      <c r="B16" s="2" t="s">
        <v>53</v>
      </c>
      <c r="C16" s="15"/>
      <c r="D16" s="6" t="s">
        <v>54</v>
      </c>
      <c r="E16" s="14">
        <v>1000920</v>
      </c>
      <c r="F16" s="14">
        <v>1000921</v>
      </c>
      <c r="G16" s="14"/>
      <c r="H16" s="14"/>
      <c r="I16" s="15"/>
      <c r="J16" s="15"/>
      <c r="K16" s="15">
        <v>1</v>
      </c>
      <c r="O16">
        <v>150</v>
      </c>
      <c r="P16">
        <f t="shared" si="0"/>
        <v>0</v>
      </c>
      <c r="Q16">
        <f t="shared" si="1"/>
        <v>150</v>
      </c>
    </row>
    <row r="17" spans="2:17" x14ac:dyDescent="0.25">
      <c r="B17" s="2" t="s">
        <v>55</v>
      </c>
      <c r="C17" s="15" t="s">
        <v>56</v>
      </c>
      <c r="D17" s="6" t="s">
        <v>57</v>
      </c>
      <c r="E17" s="14">
        <v>1001211</v>
      </c>
      <c r="F17" s="14"/>
      <c r="G17" s="14"/>
      <c r="H17" s="14"/>
      <c r="I17" s="15"/>
      <c r="J17" s="15">
        <v>2</v>
      </c>
      <c r="K17" s="15">
        <v>1</v>
      </c>
      <c r="L17" t="s">
        <v>16</v>
      </c>
      <c r="M17">
        <v>1100</v>
      </c>
      <c r="N17">
        <v>110</v>
      </c>
      <c r="O17">
        <v>150</v>
      </c>
      <c r="P17">
        <f t="shared" si="0"/>
        <v>121000</v>
      </c>
      <c r="Q17" s="30">
        <f>(O17+P17)/3</f>
        <v>40383.333333333336</v>
      </c>
    </row>
    <row r="18" spans="2:17" x14ac:dyDescent="0.25">
      <c r="B18" s="2" t="s">
        <v>58</v>
      </c>
      <c r="C18" s="15" t="s">
        <v>59</v>
      </c>
      <c r="D18" s="6" t="s">
        <v>60</v>
      </c>
      <c r="E18" s="14">
        <v>1001211</v>
      </c>
      <c r="F18" s="14"/>
      <c r="G18" s="14"/>
      <c r="H18" s="14"/>
      <c r="I18" s="15"/>
      <c r="J18" s="15">
        <v>2</v>
      </c>
      <c r="K18" s="15">
        <v>1</v>
      </c>
      <c r="L18" t="s">
        <v>16</v>
      </c>
      <c r="M18">
        <v>1100</v>
      </c>
      <c r="N18">
        <v>110</v>
      </c>
      <c r="O18">
        <v>150</v>
      </c>
      <c r="P18">
        <f>M18*N18</f>
        <v>121000</v>
      </c>
      <c r="Q18" s="30">
        <f>(O18+P18)/3</f>
        <v>40383.333333333336</v>
      </c>
    </row>
    <row r="19" spans="2:17" x14ac:dyDescent="0.25">
      <c r="B19" s="2" t="s">
        <v>61</v>
      </c>
      <c r="C19" s="15" t="s">
        <v>62</v>
      </c>
      <c r="D19" s="6" t="s">
        <v>63</v>
      </c>
      <c r="E19" s="14">
        <v>1001211</v>
      </c>
      <c r="F19" s="14"/>
      <c r="G19" s="14"/>
      <c r="H19" s="14"/>
      <c r="I19" s="15"/>
      <c r="J19" s="15">
        <v>2</v>
      </c>
      <c r="K19" s="15">
        <v>1</v>
      </c>
      <c r="L19" t="s">
        <v>16</v>
      </c>
      <c r="M19">
        <v>1000</v>
      </c>
      <c r="N19">
        <v>110</v>
      </c>
      <c r="O19">
        <v>150</v>
      </c>
      <c r="P19">
        <f t="shared" si="0"/>
        <v>110000</v>
      </c>
      <c r="Q19" s="30">
        <f>O19+P19</f>
        <v>110150</v>
      </c>
    </row>
    <row r="20" spans="2:17" x14ac:dyDescent="0.25">
      <c r="B20" s="2" t="s">
        <v>64</v>
      </c>
      <c r="C20" s="15" t="s">
        <v>65</v>
      </c>
      <c r="D20" s="6" t="s">
        <v>66</v>
      </c>
      <c r="E20" s="14">
        <v>1001211</v>
      </c>
      <c r="F20" s="14"/>
      <c r="G20" s="14"/>
      <c r="H20" s="14"/>
      <c r="I20" s="15"/>
      <c r="J20" s="15">
        <v>2</v>
      </c>
      <c r="K20" s="15">
        <v>1</v>
      </c>
      <c r="L20" t="s">
        <v>16</v>
      </c>
      <c r="M20">
        <v>500</v>
      </c>
      <c r="N20">
        <v>110</v>
      </c>
      <c r="O20">
        <v>150</v>
      </c>
      <c r="P20">
        <f t="shared" si="0"/>
        <v>55000</v>
      </c>
      <c r="Q20" s="30">
        <f>O20+P20</f>
        <v>55150</v>
      </c>
    </row>
    <row r="21" spans="2:17" x14ac:dyDescent="0.25">
      <c r="B21" s="2" t="s">
        <v>67</v>
      </c>
      <c r="C21" s="15" t="s">
        <v>68</v>
      </c>
      <c r="D21" s="6" t="s">
        <v>69</v>
      </c>
      <c r="E21" s="14">
        <v>1001211</v>
      </c>
      <c r="F21" s="14"/>
      <c r="G21" s="14"/>
      <c r="H21" s="14"/>
      <c r="I21" s="15"/>
      <c r="J21" s="15">
        <v>2</v>
      </c>
      <c r="K21" s="15">
        <v>2</v>
      </c>
      <c r="L21" t="s">
        <v>16</v>
      </c>
      <c r="M21">
        <v>4500</v>
      </c>
      <c r="N21">
        <v>110</v>
      </c>
      <c r="O21">
        <v>150</v>
      </c>
      <c r="P21" s="30">
        <f>(M21*N21)/3</f>
        <v>165000</v>
      </c>
      <c r="Q21" s="30">
        <f>(O21+P21)/3</f>
        <v>55050</v>
      </c>
    </row>
    <row r="22" spans="2:17" x14ac:dyDescent="0.25">
      <c r="B22" s="2" t="s">
        <v>70</v>
      </c>
      <c r="C22" s="15" t="s">
        <v>71</v>
      </c>
      <c r="D22" s="6" t="s">
        <v>72</v>
      </c>
      <c r="E22" s="14">
        <v>1001211</v>
      </c>
      <c r="F22" s="14"/>
      <c r="G22" s="14"/>
      <c r="H22" s="14"/>
      <c r="I22" s="15"/>
      <c r="J22" s="15">
        <v>2</v>
      </c>
      <c r="K22" s="15">
        <v>1</v>
      </c>
      <c r="L22" t="s">
        <v>16</v>
      </c>
      <c r="M22">
        <v>1100</v>
      </c>
      <c r="N22">
        <v>110</v>
      </c>
      <c r="O22">
        <v>150</v>
      </c>
      <c r="P22" s="30">
        <f>(M22*N22)/3</f>
        <v>40333.333333333336</v>
      </c>
      <c r="Q22" s="30">
        <f>(O22+P22)/3</f>
        <v>13494.444444444445</v>
      </c>
    </row>
    <row r="23" spans="2:17" x14ac:dyDescent="0.25">
      <c r="B23" s="2" t="s">
        <v>73</v>
      </c>
      <c r="C23" s="15" t="s">
        <v>74</v>
      </c>
      <c r="D23" s="6" t="s">
        <v>75</v>
      </c>
      <c r="E23" s="14">
        <v>1001209</v>
      </c>
      <c r="F23" s="14">
        <v>1001210</v>
      </c>
      <c r="G23" s="14">
        <v>1001213</v>
      </c>
      <c r="H23" s="14">
        <v>1001214</v>
      </c>
      <c r="I23" s="15">
        <v>1001215</v>
      </c>
      <c r="J23" s="15">
        <v>3</v>
      </c>
      <c r="K23" s="15">
        <v>1</v>
      </c>
      <c r="L23" t="s">
        <v>16</v>
      </c>
      <c r="M23">
        <v>5000</v>
      </c>
      <c r="N23">
        <v>110</v>
      </c>
      <c r="O23">
        <v>150</v>
      </c>
      <c r="P23" s="30">
        <f>(M23*N23)/3</f>
        <v>183333.33333333334</v>
      </c>
      <c r="Q23" s="30">
        <f>(O23+P23)/3</f>
        <v>61161.111111111117</v>
      </c>
    </row>
    <row r="24" spans="2:17" x14ac:dyDescent="0.25">
      <c r="B24" s="2" t="s">
        <v>76</v>
      </c>
      <c r="C24" s="15" t="s">
        <v>77</v>
      </c>
      <c r="D24" s="6" t="s">
        <v>78</v>
      </c>
      <c r="E24" s="14">
        <v>1001001</v>
      </c>
      <c r="F24" s="14"/>
      <c r="G24" s="14"/>
      <c r="H24" s="14"/>
      <c r="I24" s="15"/>
      <c r="J24" s="15">
        <v>3</v>
      </c>
      <c r="K24" s="15">
        <v>1</v>
      </c>
      <c r="L24" t="s">
        <v>16</v>
      </c>
      <c r="M24">
        <v>100</v>
      </c>
      <c r="N24">
        <v>110</v>
      </c>
      <c r="O24">
        <v>150</v>
      </c>
      <c r="P24">
        <f>M24*N24</f>
        <v>11000</v>
      </c>
      <c r="Q24" s="30">
        <f>O24+P24</f>
        <v>11150</v>
      </c>
    </row>
    <row r="25" spans="2:17" x14ac:dyDescent="0.25">
      <c r="B25" s="2" t="s">
        <v>79</v>
      </c>
      <c r="C25" s="15" t="s">
        <v>80</v>
      </c>
      <c r="D25" s="6" t="s">
        <v>81</v>
      </c>
      <c r="E25" s="14"/>
      <c r="F25" s="14"/>
      <c r="G25" s="14"/>
      <c r="H25" s="14"/>
      <c r="I25" s="15"/>
      <c r="J25" s="15"/>
      <c r="K25" s="15"/>
      <c r="N25">
        <v>110</v>
      </c>
      <c r="O25">
        <v>150</v>
      </c>
      <c r="P25">
        <f>M25*N25</f>
        <v>0</v>
      </c>
      <c r="Q25">
        <f>O25+P25</f>
        <v>150</v>
      </c>
    </row>
    <row r="26" spans="2:17" x14ac:dyDescent="0.25">
      <c r="B26" s="2" t="s">
        <v>82</v>
      </c>
      <c r="C26" s="15"/>
      <c r="D26" s="6" t="s">
        <v>83</v>
      </c>
      <c r="E26" s="14"/>
      <c r="F26" s="14"/>
      <c r="G26" s="14"/>
      <c r="H26" s="14"/>
      <c r="I26" s="15"/>
      <c r="J26" s="15"/>
      <c r="K26" s="15"/>
      <c r="N26">
        <v>110</v>
      </c>
      <c r="O26">
        <v>150</v>
      </c>
      <c r="P26">
        <f>M26*N26</f>
        <v>0</v>
      </c>
      <c r="Q26">
        <f>O26+P26</f>
        <v>150</v>
      </c>
    </row>
    <row r="27" spans="2:17" x14ac:dyDescent="0.25">
      <c r="B27" s="2" t="s">
        <v>84</v>
      </c>
      <c r="C27" s="15" t="s">
        <v>85</v>
      </c>
      <c r="D27" s="6" t="s">
        <v>86</v>
      </c>
      <c r="E27" s="14">
        <v>1001088</v>
      </c>
      <c r="F27" s="14"/>
      <c r="G27" s="14"/>
      <c r="H27" s="14"/>
      <c r="I27" s="15"/>
      <c r="J27" s="15">
        <v>3</v>
      </c>
      <c r="K27" s="15">
        <v>2</v>
      </c>
      <c r="L27" t="s">
        <v>16</v>
      </c>
      <c r="M27">
        <v>4000</v>
      </c>
      <c r="N27">
        <v>110</v>
      </c>
      <c r="O27">
        <v>150</v>
      </c>
      <c r="P27" s="30">
        <f>(M27*N27)/3</f>
        <v>146666.66666666666</v>
      </c>
      <c r="Q27" s="30">
        <f>(O27+P27)/3</f>
        <v>48938.888888888883</v>
      </c>
    </row>
    <row r="28" spans="2:17" x14ac:dyDescent="0.25">
      <c r="B28" s="2" t="s">
        <v>87</v>
      </c>
      <c r="C28" s="15" t="s">
        <v>88</v>
      </c>
      <c r="D28" s="6" t="s">
        <v>89</v>
      </c>
      <c r="E28" s="14">
        <v>1001213</v>
      </c>
      <c r="F28" s="14">
        <v>1001214</v>
      </c>
      <c r="G28" s="14">
        <v>1001215</v>
      </c>
      <c r="H28" s="14"/>
      <c r="I28" s="15"/>
      <c r="J28" s="15">
        <v>3</v>
      </c>
      <c r="K28" s="15">
        <v>1</v>
      </c>
      <c r="L28" t="s">
        <v>29</v>
      </c>
      <c r="M28">
        <v>600</v>
      </c>
      <c r="N28">
        <v>80</v>
      </c>
      <c r="O28">
        <v>150</v>
      </c>
      <c r="P28">
        <f t="shared" ref="P28:P35" si="2">M28*N28</f>
        <v>48000</v>
      </c>
      <c r="Q28" s="30">
        <f t="shared" ref="Q28:Q35" si="3">O28+P28</f>
        <v>48150</v>
      </c>
    </row>
    <row r="29" spans="2:17" ht="16.5" thickBot="1" x14ac:dyDescent="0.3">
      <c r="B29" s="11" t="s">
        <v>90</v>
      </c>
      <c r="C29" s="21"/>
      <c r="D29" s="12" t="s">
        <v>91</v>
      </c>
      <c r="E29" s="20"/>
      <c r="F29" s="20"/>
      <c r="G29" s="20"/>
      <c r="H29" s="20"/>
      <c r="I29" s="21"/>
      <c r="J29" s="21"/>
      <c r="K29" s="21"/>
      <c r="L29" s="28"/>
      <c r="M29" s="28"/>
      <c r="N29" s="28">
        <v>80</v>
      </c>
      <c r="O29" s="28">
        <v>150</v>
      </c>
      <c r="P29" s="28">
        <f t="shared" si="2"/>
        <v>0</v>
      </c>
      <c r="Q29" s="28">
        <f t="shared" si="3"/>
        <v>150</v>
      </c>
    </row>
    <row r="30" spans="2:17" x14ac:dyDescent="0.25">
      <c r="B30" s="4" t="s">
        <v>92</v>
      </c>
      <c r="C30" s="23" t="s">
        <v>90</v>
      </c>
      <c r="D30" s="5" t="s">
        <v>93</v>
      </c>
      <c r="E30" s="22">
        <v>1001213</v>
      </c>
      <c r="F30" s="22"/>
      <c r="G30" s="22"/>
      <c r="H30" s="22"/>
      <c r="I30" s="23"/>
      <c r="J30" s="23">
        <v>3</v>
      </c>
      <c r="K30" s="23">
        <v>1</v>
      </c>
      <c r="L30" s="25" t="s">
        <v>29</v>
      </c>
      <c r="M30" s="25">
        <v>420</v>
      </c>
      <c r="N30" s="25">
        <v>80</v>
      </c>
      <c r="O30" s="25">
        <v>150</v>
      </c>
      <c r="P30" s="25">
        <f t="shared" si="2"/>
        <v>33600</v>
      </c>
      <c r="Q30" s="29">
        <f t="shared" si="3"/>
        <v>33750</v>
      </c>
    </row>
    <row r="31" spans="2:17" x14ac:dyDescent="0.25">
      <c r="B31" s="2" t="s">
        <v>94</v>
      </c>
      <c r="C31" s="15"/>
      <c r="D31" s="6" t="s">
        <v>95</v>
      </c>
      <c r="E31" s="14"/>
      <c r="F31" s="14"/>
      <c r="G31" s="14"/>
      <c r="H31" s="14"/>
      <c r="I31" s="15"/>
      <c r="J31" s="15"/>
      <c r="K31" s="15"/>
      <c r="N31">
        <v>80</v>
      </c>
      <c r="O31">
        <v>150</v>
      </c>
      <c r="P31">
        <f t="shared" si="2"/>
        <v>0</v>
      </c>
      <c r="Q31">
        <f t="shared" si="3"/>
        <v>150</v>
      </c>
    </row>
    <row r="32" spans="2:17" x14ac:dyDescent="0.25">
      <c r="B32" s="2" t="s">
        <v>96</v>
      </c>
      <c r="C32" s="15" t="s">
        <v>94</v>
      </c>
      <c r="D32" s="6" t="s">
        <v>97</v>
      </c>
      <c r="E32" s="14">
        <v>1001214</v>
      </c>
      <c r="F32" s="14"/>
      <c r="G32" s="14"/>
      <c r="H32" s="14"/>
      <c r="I32" s="15"/>
      <c r="J32" s="15">
        <v>3</v>
      </c>
      <c r="K32" s="15">
        <v>1</v>
      </c>
      <c r="L32" t="s">
        <v>29</v>
      </c>
      <c r="M32">
        <v>420</v>
      </c>
      <c r="N32">
        <v>80</v>
      </c>
      <c r="O32">
        <v>150</v>
      </c>
      <c r="P32">
        <f t="shared" si="2"/>
        <v>33600</v>
      </c>
      <c r="Q32" s="30">
        <f t="shared" si="3"/>
        <v>33750</v>
      </c>
    </row>
    <row r="33" spans="2:17" x14ac:dyDescent="0.25">
      <c r="B33" s="2" t="s">
        <v>98</v>
      </c>
      <c r="C33" s="15"/>
      <c r="D33" s="6" t="s">
        <v>99</v>
      </c>
      <c r="E33" s="14"/>
      <c r="F33" s="14"/>
      <c r="G33" s="14"/>
      <c r="H33" s="14"/>
      <c r="I33" s="15"/>
      <c r="J33" s="15"/>
      <c r="K33" s="15"/>
      <c r="N33">
        <v>80</v>
      </c>
      <c r="O33">
        <v>150</v>
      </c>
      <c r="P33">
        <f t="shared" si="2"/>
        <v>0</v>
      </c>
      <c r="Q33">
        <f t="shared" si="3"/>
        <v>150</v>
      </c>
    </row>
    <row r="34" spans="2:17" x14ac:dyDescent="0.25">
      <c r="B34" s="2" t="s">
        <v>100</v>
      </c>
      <c r="C34" s="15" t="s">
        <v>98</v>
      </c>
      <c r="D34" s="6" t="s">
        <v>101</v>
      </c>
      <c r="E34" s="14">
        <v>1001215</v>
      </c>
      <c r="F34" s="14"/>
      <c r="G34" s="14"/>
      <c r="H34" s="14"/>
      <c r="I34" s="15"/>
      <c r="J34" s="15">
        <v>3</v>
      </c>
      <c r="K34" s="15">
        <v>1</v>
      </c>
      <c r="L34" t="s">
        <v>29</v>
      </c>
      <c r="M34">
        <v>420</v>
      </c>
      <c r="N34">
        <v>80</v>
      </c>
      <c r="O34">
        <v>150</v>
      </c>
      <c r="P34">
        <f t="shared" si="2"/>
        <v>33600</v>
      </c>
      <c r="Q34" s="30">
        <f t="shared" si="3"/>
        <v>33750</v>
      </c>
    </row>
    <row r="35" spans="2:17" x14ac:dyDescent="0.25">
      <c r="B35" s="2" t="s">
        <v>102</v>
      </c>
      <c r="C35" s="15" t="s">
        <v>103</v>
      </c>
      <c r="D35" s="6" t="s">
        <v>104</v>
      </c>
      <c r="E35" s="14">
        <v>1001212</v>
      </c>
      <c r="F35" s="14"/>
      <c r="G35" s="14"/>
      <c r="H35" s="14"/>
      <c r="I35" s="15"/>
      <c r="J35" s="15">
        <v>3</v>
      </c>
      <c r="K35" s="15">
        <v>2</v>
      </c>
      <c r="L35" t="s">
        <v>105</v>
      </c>
      <c r="M35">
        <v>1277</v>
      </c>
      <c r="N35">
        <v>80</v>
      </c>
      <c r="O35">
        <v>0</v>
      </c>
      <c r="P35">
        <f t="shared" si="2"/>
        <v>102160</v>
      </c>
      <c r="Q35" s="30">
        <f t="shared" si="3"/>
        <v>102160</v>
      </c>
    </row>
    <row r="36" spans="2:17" x14ac:dyDescent="0.25">
      <c r="B36" s="2" t="s">
        <v>106</v>
      </c>
      <c r="C36" s="15" t="s">
        <v>107</v>
      </c>
      <c r="D36" s="6" t="s">
        <v>108</v>
      </c>
      <c r="E36" s="14">
        <v>1001219</v>
      </c>
      <c r="F36" s="14">
        <v>1001218</v>
      </c>
      <c r="G36" s="14">
        <v>1001217</v>
      </c>
      <c r="H36" s="14">
        <v>1001216</v>
      </c>
      <c r="I36" s="15"/>
      <c r="J36" s="15">
        <v>1</v>
      </c>
      <c r="K36" s="15">
        <v>1</v>
      </c>
      <c r="L36" t="s">
        <v>16</v>
      </c>
      <c r="M36">
        <v>3000</v>
      </c>
      <c r="N36">
        <v>110</v>
      </c>
      <c r="O36">
        <v>150</v>
      </c>
      <c r="P36" s="30">
        <f>(M36*N36)/6</f>
        <v>55000</v>
      </c>
      <c r="Q36" s="30">
        <f t="shared" ref="Q36" si="4">(O36+P36)/3</f>
        <v>18383.333333333332</v>
      </c>
    </row>
    <row r="37" spans="2:17" x14ac:dyDescent="0.25">
      <c r="B37" s="2" t="s">
        <v>109</v>
      </c>
      <c r="C37" s="15" t="s">
        <v>110</v>
      </c>
      <c r="D37" s="6" t="s">
        <v>111</v>
      </c>
      <c r="E37" s="14">
        <v>1001219</v>
      </c>
      <c r="F37" s="14"/>
      <c r="G37" s="14"/>
      <c r="H37" s="14"/>
      <c r="I37" s="15"/>
      <c r="J37" s="15">
        <v>1</v>
      </c>
      <c r="K37" s="15">
        <v>1</v>
      </c>
      <c r="L37" t="s">
        <v>16</v>
      </c>
      <c r="M37">
        <v>800</v>
      </c>
      <c r="N37">
        <v>110</v>
      </c>
      <c r="O37">
        <v>150</v>
      </c>
      <c r="P37">
        <f>M37*N37</f>
        <v>88000</v>
      </c>
      <c r="Q37" s="30">
        <f>O37+P37</f>
        <v>88150</v>
      </c>
    </row>
    <row r="38" spans="2:17" x14ac:dyDescent="0.25">
      <c r="B38" s="2" t="s">
        <v>112</v>
      </c>
      <c r="C38" s="15" t="s">
        <v>113</v>
      </c>
      <c r="D38" s="6" t="s">
        <v>114</v>
      </c>
      <c r="E38" s="14">
        <v>1001218</v>
      </c>
      <c r="F38" s="14"/>
      <c r="G38" s="14"/>
      <c r="H38" s="14"/>
      <c r="I38" s="15"/>
      <c r="J38" s="15">
        <v>1</v>
      </c>
      <c r="K38" s="15">
        <v>1</v>
      </c>
      <c r="L38" t="s">
        <v>16</v>
      </c>
      <c r="M38">
        <v>800</v>
      </c>
      <c r="N38">
        <v>110</v>
      </c>
      <c r="O38">
        <v>150</v>
      </c>
      <c r="P38">
        <f>M38*N38</f>
        <v>88000</v>
      </c>
      <c r="Q38" s="30">
        <f>O38+P38</f>
        <v>88150</v>
      </c>
    </row>
    <row r="39" spans="2:17" x14ac:dyDescent="0.25">
      <c r="B39" s="2" t="s">
        <v>115</v>
      </c>
      <c r="C39" s="15" t="s">
        <v>116</v>
      </c>
      <c r="D39" s="6" t="s">
        <v>117</v>
      </c>
      <c r="E39" s="14">
        <v>1001155</v>
      </c>
      <c r="F39" s="14"/>
      <c r="G39" s="14"/>
      <c r="H39" s="14"/>
      <c r="I39" s="15"/>
      <c r="J39" s="15">
        <v>2</v>
      </c>
      <c r="K39" s="15">
        <v>1</v>
      </c>
      <c r="L39" t="s">
        <v>29</v>
      </c>
      <c r="M39">
        <v>1000</v>
      </c>
      <c r="N39">
        <v>110</v>
      </c>
      <c r="O39">
        <v>150</v>
      </c>
      <c r="P39">
        <f>M39*N39</f>
        <v>110000</v>
      </c>
      <c r="Q39" s="30">
        <f>O39+P39</f>
        <v>110150</v>
      </c>
    </row>
    <row r="40" spans="2:17" x14ac:dyDescent="0.25">
      <c r="B40" s="2" t="s">
        <v>118</v>
      </c>
      <c r="C40" s="15" t="s">
        <v>119</v>
      </c>
      <c r="D40" s="6" t="s">
        <v>120</v>
      </c>
      <c r="E40" s="14">
        <v>1001155</v>
      </c>
      <c r="F40" s="14"/>
      <c r="G40" s="14"/>
      <c r="H40" s="14"/>
      <c r="I40" s="15"/>
      <c r="J40" s="15">
        <v>2</v>
      </c>
      <c r="K40" s="15">
        <v>1</v>
      </c>
      <c r="L40" t="s">
        <v>29</v>
      </c>
      <c r="M40">
        <v>1000</v>
      </c>
      <c r="N40">
        <v>110</v>
      </c>
      <c r="O40">
        <v>150</v>
      </c>
      <c r="P40">
        <f>M40*N40</f>
        <v>110000</v>
      </c>
      <c r="Q40" s="30">
        <f>O40+P40</f>
        <v>110150</v>
      </c>
    </row>
    <row r="41" spans="2:17" x14ac:dyDescent="0.25">
      <c r="B41" s="2" t="s">
        <v>121</v>
      </c>
      <c r="C41" s="15" t="s">
        <v>122</v>
      </c>
      <c r="D41" s="6" t="s">
        <v>123</v>
      </c>
      <c r="E41" s="14">
        <v>1001155</v>
      </c>
      <c r="F41" s="14"/>
      <c r="G41" s="14"/>
      <c r="H41" s="14"/>
      <c r="I41" s="15"/>
      <c r="J41" s="15">
        <v>2</v>
      </c>
      <c r="K41" s="15">
        <v>1</v>
      </c>
      <c r="L41" t="s">
        <v>29</v>
      </c>
      <c r="M41">
        <v>2000</v>
      </c>
      <c r="N41">
        <v>110</v>
      </c>
      <c r="O41">
        <v>150</v>
      </c>
      <c r="P41" s="30">
        <f>(M41*N41)/9</f>
        <v>24444.444444444445</v>
      </c>
      <c r="Q41" s="30">
        <f>(O41+P41)/3</f>
        <v>8198.1481481481478</v>
      </c>
    </row>
    <row r="42" spans="2:17" x14ac:dyDescent="0.25">
      <c r="B42" s="2" t="s">
        <v>124</v>
      </c>
      <c r="C42" s="15" t="s">
        <v>125</v>
      </c>
      <c r="D42" s="6" t="s">
        <v>126</v>
      </c>
      <c r="E42" s="14">
        <v>1001155</v>
      </c>
      <c r="F42" s="14"/>
      <c r="G42" s="14"/>
      <c r="H42" s="14"/>
      <c r="I42" s="15"/>
      <c r="J42" s="15">
        <v>2</v>
      </c>
      <c r="K42" s="15">
        <v>1</v>
      </c>
      <c r="L42" t="s">
        <v>29</v>
      </c>
      <c r="M42">
        <v>2000</v>
      </c>
      <c r="N42">
        <v>110</v>
      </c>
      <c r="O42">
        <v>150</v>
      </c>
      <c r="P42" s="30">
        <f>(M42*N42)/3</f>
        <v>73333.333333333328</v>
      </c>
      <c r="Q42" s="30">
        <f>(O42+P42)/3</f>
        <v>24494.444444444442</v>
      </c>
    </row>
    <row r="43" spans="2:17" ht="16.5" thickBot="1" x14ac:dyDescent="0.3">
      <c r="B43" s="11" t="s">
        <v>127</v>
      </c>
      <c r="C43" s="21" t="s">
        <v>128</v>
      </c>
      <c r="D43" s="12" t="s">
        <v>129</v>
      </c>
      <c r="E43" s="20">
        <v>1001217</v>
      </c>
      <c r="F43" s="20"/>
      <c r="G43" s="20"/>
      <c r="H43" s="20"/>
      <c r="I43" s="21"/>
      <c r="J43" s="21">
        <v>1</v>
      </c>
      <c r="K43" s="21">
        <v>1</v>
      </c>
      <c r="L43" s="28" t="s">
        <v>16</v>
      </c>
      <c r="M43" s="28">
        <v>800</v>
      </c>
      <c r="N43" s="28">
        <v>110</v>
      </c>
      <c r="O43" s="28">
        <v>150</v>
      </c>
      <c r="P43" s="28">
        <f t="shared" ref="P43:P48" si="5">M43*N43</f>
        <v>88000</v>
      </c>
      <c r="Q43" s="33">
        <f t="shared" ref="Q43:Q48" si="6">O43+P43</f>
        <v>88150</v>
      </c>
    </row>
    <row r="44" spans="2:17" x14ac:dyDescent="0.25">
      <c r="B44" s="6" t="s">
        <v>130</v>
      </c>
      <c r="C44" s="15"/>
      <c r="D44" s="6" t="s">
        <v>131</v>
      </c>
      <c r="E44" s="14"/>
      <c r="F44" s="14"/>
      <c r="G44" s="14"/>
      <c r="H44" s="14"/>
      <c r="I44" s="15"/>
      <c r="J44" s="15"/>
      <c r="K44" s="15"/>
      <c r="N44">
        <v>110</v>
      </c>
      <c r="O44">
        <v>150</v>
      </c>
      <c r="P44">
        <f t="shared" si="5"/>
        <v>0</v>
      </c>
      <c r="Q44">
        <f t="shared" si="6"/>
        <v>150</v>
      </c>
    </row>
    <row r="45" spans="2:17" x14ac:dyDescent="0.25">
      <c r="B45" s="6" t="s">
        <v>132</v>
      </c>
      <c r="C45" s="15" t="s">
        <v>133</v>
      </c>
      <c r="D45" s="6" t="s">
        <v>134</v>
      </c>
      <c r="E45" s="14">
        <v>1001216</v>
      </c>
      <c r="F45" s="14"/>
      <c r="G45" s="14"/>
      <c r="H45" s="14"/>
      <c r="I45" s="15"/>
      <c r="J45" s="15">
        <v>1</v>
      </c>
      <c r="K45" s="15">
        <v>1</v>
      </c>
      <c r="L45" t="s">
        <v>16</v>
      </c>
      <c r="M45">
        <v>800</v>
      </c>
      <c r="N45">
        <v>110</v>
      </c>
      <c r="O45">
        <v>150</v>
      </c>
      <c r="P45">
        <f t="shared" si="5"/>
        <v>88000</v>
      </c>
      <c r="Q45" s="30">
        <f t="shared" si="6"/>
        <v>88150</v>
      </c>
    </row>
    <row r="46" spans="2:17" x14ac:dyDescent="0.25">
      <c r="B46" s="6" t="s">
        <v>135</v>
      </c>
      <c r="C46" s="15" t="s">
        <v>136</v>
      </c>
      <c r="D46" s="6" t="s">
        <v>137</v>
      </c>
      <c r="E46" s="14">
        <v>1001178</v>
      </c>
      <c r="F46" s="14"/>
      <c r="G46" s="14"/>
      <c r="H46" s="14"/>
      <c r="I46" s="15"/>
      <c r="J46" s="15">
        <v>2</v>
      </c>
      <c r="K46" s="15">
        <v>1</v>
      </c>
      <c r="L46" t="s">
        <v>29</v>
      </c>
      <c r="M46">
        <v>150</v>
      </c>
      <c r="N46">
        <v>20</v>
      </c>
      <c r="O46">
        <v>150</v>
      </c>
      <c r="P46">
        <f t="shared" si="5"/>
        <v>3000</v>
      </c>
      <c r="Q46" s="30">
        <f t="shared" si="6"/>
        <v>3150</v>
      </c>
    </row>
    <row r="47" spans="2:17" x14ac:dyDescent="0.25">
      <c r="B47" s="6" t="s">
        <v>138</v>
      </c>
      <c r="C47" s="15" t="s">
        <v>139</v>
      </c>
      <c r="D47" s="6" t="s">
        <v>140</v>
      </c>
      <c r="E47" s="14">
        <v>1001178</v>
      </c>
      <c r="F47" s="14"/>
      <c r="G47" s="14"/>
      <c r="H47" s="14"/>
      <c r="I47" s="15"/>
      <c r="J47" s="15">
        <v>2</v>
      </c>
      <c r="K47" s="15">
        <v>1</v>
      </c>
      <c r="L47" t="s">
        <v>29</v>
      </c>
      <c r="M47">
        <v>150</v>
      </c>
      <c r="N47">
        <v>20</v>
      </c>
      <c r="O47">
        <v>150</v>
      </c>
      <c r="P47">
        <f t="shared" si="5"/>
        <v>3000</v>
      </c>
      <c r="Q47" s="30">
        <f t="shared" si="6"/>
        <v>3150</v>
      </c>
    </row>
    <row r="48" spans="2:17" x14ac:dyDescent="0.25">
      <c r="B48" s="6" t="s">
        <v>141</v>
      </c>
      <c r="C48" s="15" t="s">
        <v>142</v>
      </c>
      <c r="D48" s="6" t="s">
        <v>143</v>
      </c>
      <c r="E48" s="14">
        <v>1001178</v>
      </c>
      <c r="F48" s="14"/>
      <c r="G48" s="14"/>
      <c r="H48" s="14"/>
      <c r="I48" s="15"/>
      <c r="J48" s="15">
        <v>2</v>
      </c>
      <c r="K48" s="15">
        <v>1</v>
      </c>
      <c r="L48" t="s">
        <v>29</v>
      </c>
      <c r="M48">
        <v>600</v>
      </c>
      <c r="N48">
        <v>20</v>
      </c>
      <c r="O48">
        <v>150</v>
      </c>
      <c r="P48">
        <f t="shared" si="5"/>
        <v>12000</v>
      </c>
      <c r="Q48" s="30">
        <f t="shared" si="6"/>
        <v>12150</v>
      </c>
    </row>
    <row r="49" spans="2:17" x14ac:dyDescent="0.25">
      <c r="B49" s="6" t="s">
        <v>144</v>
      </c>
      <c r="C49" s="15" t="s">
        <v>145</v>
      </c>
      <c r="D49" s="6" t="s">
        <v>146</v>
      </c>
      <c r="E49" s="14">
        <v>1001265</v>
      </c>
      <c r="F49" s="14"/>
      <c r="G49" s="14"/>
      <c r="H49" s="14"/>
      <c r="I49" s="15"/>
      <c r="J49" s="15">
        <v>3</v>
      </c>
      <c r="K49" s="15">
        <v>1</v>
      </c>
      <c r="L49" t="s">
        <v>16</v>
      </c>
      <c r="M49">
        <v>50</v>
      </c>
      <c r="N49">
        <v>110</v>
      </c>
      <c r="O49">
        <v>150</v>
      </c>
      <c r="P49" s="30">
        <f>(M49*N49)/3</f>
        <v>1833.3333333333333</v>
      </c>
      <c r="Q49" s="30">
        <f>(O49+P49)/3</f>
        <v>661.11111111111109</v>
      </c>
    </row>
    <row r="50" spans="2:17" x14ac:dyDescent="0.25">
      <c r="B50" s="6" t="s">
        <v>147</v>
      </c>
      <c r="C50" s="15" t="s">
        <v>148</v>
      </c>
      <c r="D50" s="6" t="s">
        <v>149</v>
      </c>
      <c r="E50" s="14">
        <v>1001266</v>
      </c>
      <c r="F50" s="14"/>
      <c r="G50" s="14"/>
      <c r="H50" s="14"/>
      <c r="I50" s="15"/>
      <c r="J50" s="15">
        <v>3</v>
      </c>
      <c r="K50" s="15">
        <v>1</v>
      </c>
      <c r="L50" t="s">
        <v>16</v>
      </c>
      <c r="M50">
        <v>100</v>
      </c>
      <c r="N50">
        <v>110</v>
      </c>
      <c r="O50">
        <v>150</v>
      </c>
      <c r="P50" s="30">
        <f>(M50*N50)/3</f>
        <v>3666.6666666666665</v>
      </c>
      <c r="Q50" s="30">
        <f>(O50+P50)/3</f>
        <v>1272.2222222222222</v>
      </c>
    </row>
    <row r="51" spans="2:17" x14ac:dyDescent="0.25">
      <c r="B51" s="6" t="s">
        <v>150</v>
      </c>
      <c r="C51" s="15" t="s">
        <v>151</v>
      </c>
      <c r="D51" s="6" t="s">
        <v>152</v>
      </c>
      <c r="E51" s="14">
        <v>1001265</v>
      </c>
      <c r="F51" s="14">
        <v>1001266</v>
      </c>
      <c r="G51" s="14"/>
      <c r="H51" s="14"/>
      <c r="I51" s="15"/>
      <c r="J51" s="15">
        <v>3</v>
      </c>
      <c r="K51" s="15">
        <v>1</v>
      </c>
      <c r="L51" t="s">
        <v>16</v>
      </c>
      <c r="M51">
        <v>100</v>
      </c>
      <c r="N51">
        <v>110</v>
      </c>
      <c r="O51">
        <v>150</v>
      </c>
      <c r="P51" s="30">
        <f>(M51*N51)/3</f>
        <v>3666.6666666666665</v>
      </c>
      <c r="Q51" s="30">
        <f>(O51+P51)/3</f>
        <v>1272.2222222222222</v>
      </c>
    </row>
    <row r="52" spans="2:17" x14ac:dyDescent="0.25">
      <c r="B52" s="13" t="s">
        <v>153</v>
      </c>
      <c r="C52" s="13"/>
      <c r="D52" s="13" t="s">
        <v>154</v>
      </c>
      <c r="E52" s="14"/>
      <c r="F52" s="14"/>
      <c r="G52" s="14"/>
      <c r="H52" s="14"/>
      <c r="I52" s="15"/>
      <c r="O52">
        <v>150</v>
      </c>
      <c r="P52">
        <f>M52*N52</f>
        <v>0</v>
      </c>
      <c r="Q52">
        <f>O52+P52</f>
        <v>150</v>
      </c>
    </row>
    <row r="53" spans="2:17" x14ac:dyDescent="0.25">
      <c r="B53" s="13" t="s">
        <v>155</v>
      </c>
      <c r="C53" s="13"/>
      <c r="D53" s="13" t="s">
        <v>156</v>
      </c>
      <c r="E53" s="14"/>
      <c r="F53" s="14"/>
      <c r="G53" s="14"/>
      <c r="H53" s="14"/>
      <c r="I53" s="15"/>
      <c r="O53">
        <v>150</v>
      </c>
      <c r="P53">
        <f>M53*N53</f>
        <v>0</v>
      </c>
      <c r="Q53">
        <f>O53+P53</f>
        <v>150</v>
      </c>
    </row>
    <row r="54" spans="2:17" x14ac:dyDescent="0.25">
      <c r="B54" s="13" t="s">
        <v>157</v>
      </c>
      <c r="C54" s="13"/>
      <c r="D54" s="13" t="s">
        <v>158</v>
      </c>
      <c r="E54" s="14"/>
      <c r="F54" s="14"/>
      <c r="G54" s="14"/>
      <c r="H54" s="14"/>
      <c r="I54" s="15"/>
      <c r="O54">
        <v>150</v>
      </c>
      <c r="P54">
        <f>M54*N54</f>
        <v>0</v>
      </c>
      <c r="Q54">
        <f>O54+P54</f>
        <v>150</v>
      </c>
    </row>
  </sheetData>
  <autoFilter ref="B2:Q54" xr:uid="{00000000-0009-0000-0000-000000000000}">
    <filterColumn colId="3" showButton="0"/>
    <filterColumn colId="4" showButton="0"/>
    <filterColumn colId="5" showButton="0"/>
    <filterColumn colId="6" showButton="0"/>
  </autoFilter>
  <mergeCells count="1">
    <mergeCell ref="E2:I2"/>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9"/>
  <sheetViews>
    <sheetView workbookViewId="0"/>
  </sheetViews>
  <sheetFormatPr defaultColWidth="8.875" defaultRowHeight="15.75" x14ac:dyDescent="0.25"/>
  <sheetData>
    <row r="1" spans="1:3" x14ac:dyDescent="0.25">
      <c r="A1" t="s">
        <v>159</v>
      </c>
      <c r="B1" t="s">
        <v>160</v>
      </c>
      <c r="C1" t="s">
        <v>161</v>
      </c>
    </row>
    <row r="2" spans="1:3" x14ac:dyDescent="0.25">
      <c r="A2">
        <v>1000920</v>
      </c>
      <c r="B2">
        <v>2</v>
      </c>
      <c r="C2">
        <f>COUNTIF(BillofMat!$D$2:$D$221,ScrapWork!A2)</f>
        <v>2</v>
      </c>
    </row>
    <row r="3" spans="1:3" x14ac:dyDescent="0.25">
      <c r="A3">
        <v>1000921</v>
      </c>
      <c r="B3">
        <v>2</v>
      </c>
      <c r="C3">
        <f>COUNTIF(BillofMat!$D$2:$D$221,ScrapWork!A3)</f>
        <v>2</v>
      </c>
    </row>
    <row r="4" spans="1:3" x14ac:dyDescent="0.25">
      <c r="A4">
        <v>1001001</v>
      </c>
      <c r="B4">
        <v>1</v>
      </c>
      <c r="C4">
        <f>COUNTIF(BillofMat!$D$2:$D$221,ScrapWork!A4)</f>
        <v>1</v>
      </c>
    </row>
    <row r="5" spans="1:3" x14ac:dyDescent="0.25">
      <c r="A5">
        <v>1001088</v>
      </c>
      <c r="B5">
        <v>1</v>
      </c>
      <c r="C5">
        <f>COUNTIF(BillofMat!$D$2:$D$221,ScrapWork!A5)</f>
        <v>1</v>
      </c>
    </row>
    <row r="6" spans="1:3" x14ac:dyDescent="0.25">
      <c r="A6">
        <v>1001155</v>
      </c>
      <c r="B6">
        <v>4</v>
      </c>
      <c r="C6">
        <f>COUNTIF(BillofMat!$D$2:$D$221,ScrapWork!A6)</f>
        <v>17</v>
      </c>
    </row>
    <row r="7" spans="1:3" x14ac:dyDescent="0.25">
      <c r="A7">
        <v>1001178</v>
      </c>
      <c r="B7">
        <v>3</v>
      </c>
      <c r="C7">
        <f>COUNTIF(BillofMat!$D$2:$D$221,ScrapWork!A7)</f>
        <v>3</v>
      </c>
    </row>
    <row r="8" spans="1:3" x14ac:dyDescent="0.25">
      <c r="A8">
        <v>1001201</v>
      </c>
      <c r="B8">
        <v>1</v>
      </c>
      <c r="C8">
        <f>COUNTIF(BillofMat!$D$2:$D$221,ScrapWork!A8)</f>
        <v>1</v>
      </c>
    </row>
    <row r="9" spans="1:3" x14ac:dyDescent="0.25">
      <c r="A9">
        <v>1001202</v>
      </c>
      <c r="B9">
        <v>1</v>
      </c>
      <c r="C9">
        <f>COUNTIF(BillofMat!$D$2:$D$221,ScrapWork!A9)</f>
        <v>1</v>
      </c>
    </row>
    <row r="10" spans="1:3" x14ac:dyDescent="0.25">
      <c r="A10">
        <v>1001203</v>
      </c>
      <c r="B10">
        <v>3</v>
      </c>
      <c r="C10">
        <f>COUNTIF(BillofMat!$D$2:$D$221,ScrapWork!A10)</f>
        <v>17</v>
      </c>
    </row>
    <row r="11" spans="1:3" x14ac:dyDescent="0.25">
      <c r="A11">
        <v>1001204</v>
      </c>
      <c r="B11">
        <v>3</v>
      </c>
      <c r="C11">
        <f>COUNTIF(BillofMat!$D$2:$D$221,ScrapWork!A11)</f>
        <v>17</v>
      </c>
    </row>
    <row r="12" spans="1:3" x14ac:dyDescent="0.25">
      <c r="A12">
        <v>1001205</v>
      </c>
      <c r="B12">
        <v>3</v>
      </c>
      <c r="C12">
        <f>COUNTIF(BillofMat!$D$2:$D$221,ScrapWork!A12)</f>
        <v>17</v>
      </c>
    </row>
    <row r="13" spans="1:3" x14ac:dyDescent="0.25">
      <c r="A13">
        <v>1001206</v>
      </c>
      <c r="B13">
        <v>2</v>
      </c>
      <c r="C13">
        <f>COUNTIF(BillofMat!$D$2:$D$221,ScrapWork!A13)</f>
        <v>17</v>
      </c>
    </row>
    <row r="14" spans="1:3" x14ac:dyDescent="0.25">
      <c r="A14">
        <v>1001207</v>
      </c>
      <c r="B14">
        <v>2</v>
      </c>
      <c r="C14">
        <f>COUNTIF(BillofMat!$D$2:$D$221,ScrapWork!A14)</f>
        <v>17</v>
      </c>
    </row>
    <row r="15" spans="1:3" x14ac:dyDescent="0.25">
      <c r="A15">
        <v>1001208</v>
      </c>
      <c r="B15">
        <v>2</v>
      </c>
      <c r="C15">
        <f>COUNTIF(BillofMat!$D$2:$D$221,ScrapWork!A15)</f>
        <v>17</v>
      </c>
    </row>
    <row r="16" spans="1:3" x14ac:dyDescent="0.25">
      <c r="A16">
        <v>1001209</v>
      </c>
      <c r="B16">
        <v>3</v>
      </c>
      <c r="C16">
        <f>COUNTIF(BillofMat!$D$2:$D$221,ScrapWork!A16)</f>
        <v>17</v>
      </c>
    </row>
    <row r="17" spans="1:3" x14ac:dyDescent="0.25">
      <c r="A17">
        <v>1001210</v>
      </c>
      <c r="B17">
        <v>3</v>
      </c>
      <c r="C17">
        <f>COUNTIF(BillofMat!$D$2:$D$221,ScrapWork!A17)</f>
        <v>17</v>
      </c>
    </row>
    <row r="18" spans="1:3" x14ac:dyDescent="0.25">
      <c r="A18">
        <v>1001211</v>
      </c>
      <c r="B18">
        <v>6</v>
      </c>
      <c r="C18">
        <f>COUNTIF(BillofMat!$D$2:$D$221,ScrapWork!A18)</f>
        <v>6</v>
      </c>
    </row>
    <row r="19" spans="1:3" x14ac:dyDescent="0.25">
      <c r="A19">
        <v>1001212</v>
      </c>
      <c r="B19">
        <v>1</v>
      </c>
      <c r="C19">
        <f>COUNTIF(BillofMat!$D$2:$D$221,ScrapWork!A19)</f>
        <v>1</v>
      </c>
    </row>
    <row r="20" spans="1:3" x14ac:dyDescent="0.25">
      <c r="A20">
        <v>1001213</v>
      </c>
      <c r="B20">
        <v>3</v>
      </c>
      <c r="C20">
        <f>COUNTIF(BillofMat!$D$2:$D$221,ScrapWork!A20)</f>
        <v>17</v>
      </c>
    </row>
    <row r="21" spans="1:3" x14ac:dyDescent="0.25">
      <c r="A21">
        <v>1001214</v>
      </c>
      <c r="B21">
        <v>3</v>
      </c>
      <c r="C21">
        <f>COUNTIF(BillofMat!$D$2:$D$221,ScrapWork!A21)</f>
        <v>17</v>
      </c>
    </row>
    <row r="22" spans="1:3" x14ac:dyDescent="0.25">
      <c r="A22">
        <v>1001215</v>
      </c>
      <c r="B22">
        <v>3</v>
      </c>
      <c r="C22">
        <f>COUNTIF(BillofMat!$D$2:$D$221,ScrapWork!A22)</f>
        <v>9</v>
      </c>
    </row>
    <row r="23" spans="1:3" x14ac:dyDescent="0.25">
      <c r="A23">
        <v>1001216</v>
      </c>
      <c r="B23">
        <v>2</v>
      </c>
      <c r="C23">
        <f>COUNTIF(BillofMat!$D$2:$D$221,ScrapWork!A23)</f>
        <v>0</v>
      </c>
    </row>
    <row r="24" spans="1:3" x14ac:dyDescent="0.25">
      <c r="A24">
        <v>1001217</v>
      </c>
      <c r="B24">
        <v>2</v>
      </c>
      <c r="C24">
        <f>COUNTIF(BillofMat!$D$2:$D$221,ScrapWork!A24)</f>
        <v>0</v>
      </c>
    </row>
    <row r="25" spans="1:3" x14ac:dyDescent="0.25">
      <c r="A25">
        <v>1001218</v>
      </c>
      <c r="B25">
        <v>2</v>
      </c>
      <c r="C25">
        <f>COUNTIF(BillofMat!$D$2:$D$221,ScrapWork!A25)</f>
        <v>0</v>
      </c>
    </row>
    <row r="26" spans="1:3" x14ac:dyDescent="0.25">
      <c r="A26">
        <v>1001219</v>
      </c>
      <c r="B26">
        <v>2</v>
      </c>
      <c r="C26">
        <f>COUNTIF(BillofMat!$D$2:$D$221,ScrapWork!A26)</f>
        <v>0</v>
      </c>
    </row>
    <row r="27" spans="1:3" x14ac:dyDescent="0.25">
      <c r="A27">
        <v>1001265</v>
      </c>
      <c r="B27">
        <v>2</v>
      </c>
      <c r="C27">
        <f>COUNTIF(BillofMat!$D$2:$D$221,ScrapWork!A27)</f>
        <v>0</v>
      </c>
    </row>
    <row r="28" spans="1:3" x14ac:dyDescent="0.25">
      <c r="A28">
        <v>1001266</v>
      </c>
      <c r="B28">
        <v>2</v>
      </c>
      <c r="C28">
        <f>COUNTIF(BillofMat!$D$2:$D$221,ScrapWork!A28)</f>
        <v>0</v>
      </c>
    </row>
    <row r="29" spans="1:3" x14ac:dyDescent="0.25">
      <c r="A29" t="s">
        <v>162</v>
      </c>
      <c r="B29">
        <f>SUM(B2:B28)</f>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59"/>
  <sheetViews>
    <sheetView zoomScale="70" zoomScaleNormal="70" workbookViewId="0">
      <pane ySplit="1" topLeftCell="A2" activePane="bottomLeft" state="frozen"/>
      <selection pane="bottomLeft" activeCell="N17" sqref="N17"/>
    </sheetView>
  </sheetViews>
  <sheetFormatPr defaultColWidth="10.625" defaultRowHeight="15.75" x14ac:dyDescent="0.25"/>
  <cols>
    <col min="1" max="1" width="35.625" customWidth="1"/>
    <col min="2" max="2" width="25.125" bestFit="1" customWidth="1"/>
    <col min="3" max="3" width="15.125" bestFit="1" customWidth="1"/>
    <col min="4" max="4" width="9" bestFit="1" customWidth="1"/>
    <col min="5" max="5" width="13.125" customWidth="1"/>
    <col min="6" max="6" width="16.125" bestFit="1" customWidth="1"/>
    <col min="7" max="7" width="25.125" bestFit="1" customWidth="1"/>
    <col min="8" max="8" width="29.625" bestFit="1" customWidth="1"/>
    <col min="9" max="9" width="16.625" bestFit="1" customWidth="1"/>
    <col min="10" max="10" width="14.125" customWidth="1"/>
    <col min="11" max="11" width="16.625" bestFit="1" customWidth="1"/>
    <col min="12" max="12" width="21.125" bestFit="1" customWidth="1"/>
    <col min="13" max="13" width="29" bestFit="1" customWidth="1"/>
    <col min="14" max="14" width="16.625" bestFit="1" customWidth="1"/>
  </cols>
  <sheetData>
    <row r="1" spans="1:13" ht="17.100000000000001" customHeight="1" x14ac:dyDescent="0.25">
      <c r="A1" t="s">
        <v>163</v>
      </c>
      <c r="B1" t="s">
        <v>164</v>
      </c>
      <c r="C1" t="s">
        <v>165</v>
      </c>
      <c r="D1" t="s">
        <v>159</v>
      </c>
      <c r="E1" t="s">
        <v>166</v>
      </c>
      <c r="F1" t="s">
        <v>167</v>
      </c>
      <c r="G1" t="s">
        <v>168</v>
      </c>
      <c r="H1" t="s">
        <v>169</v>
      </c>
      <c r="I1" t="s">
        <v>170</v>
      </c>
      <c r="J1" t="s">
        <v>538</v>
      </c>
    </row>
    <row r="2" spans="1:13" x14ac:dyDescent="0.25">
      <c r="D2">
        <v>1000920</v>
      </c>
      <c r="E2" t="s">
        <v>51</v>
      </c>
      <c r="M2" s="6"/>
    </row>
    <row r="3" spans="1:13" x14ac:dyDescent="0.25">
      <c r="D3">
        <v>1000920</v>
      </c>
      <c r="E3" t="s">
        <v>53</v>
      </c>
      <c r="M3" s="6"/>
    </row>
    <row r="4" spans="1:13" x14ac:dyDescent="0.25">
      <c r="D4">
        <v>1000921</v>
      </c>
      <c r="E4" t="s">
        <v>51</v>
      </c>
      <c r="M4" s="6"/>
    </row>
    <row r="5" spans="1:13" x14ac:dyDescent="0.25">
      <c r="C5" s="40"/>
      <c r="D5">
        <v>1000921</v>
      </c>
      <c r="E5" t="s">
        <v>53</v>
      </c>
      <c r="M5" s="6"/>
    </row>
    <row r="6" spans="1:13" x14ac:dyDescent="0.25">
      <c r="D6">
        <v>1001001</v>
      </c>
      <c r="E6" t="s">
        <v>76</v>
      </c>
      <c r="F6" t="s">
        <v>77</v>
      </c>
      <c r="M6" s="6"/>
    </row>
    <row r="7" spans="1:13" x14ac:dyDescent="0.25">
      <c r="D7">
        <v>1001088</v>
      </c>
      <c r="E7" t="s">
        <v>84</v>
      </c>
      <c r="F7" t="s">
        <v>85</v>
      </c>
      <c r="M7" s="6"/>
    </row>
    <row r="8" spans="1:13" x14ac:dyDescent="0.25">
      <c r="A8" t="s">
        <v>184</v>
      </c>
      <c r="B8" t="s">
        <v>184</v>
      </c>
      <c r="D8">
        <v>1001155</v>
      </c>
      <c r="E8" t="s">
        <v>185</v>
      </c>
      <c r="G8" t="s">
        <v>186</v>
      </c>
      <c r="H8" t="s">
        <v>187</v>
      </c>
      <c r="I8" t="s">
        <v>188</v>
      </c>
      <c r="M8" s="6"/>
    </row>
    <row r="9" spans="1:13" x14ac:dyDescent="0.25">
      <c r="A9" t="s">
        <v>184</v>
      </c>
      <c r="B9" t="s">
        <v>184</v>
      </c>
      <c r="D9">
        <v>1001155</v>
      </c>
      <c r="E9" t="s">
        <v>189</v>
      </c>
      <c r="G9" t="s">
        <v>186</v>
      </c>
      <c r="H9" t="s">
        <v>190</v>
      </c>
      <c r="I9" t="s">
        <v>191</v>
      </c>
      <c r="M9" s="6"/>
    </row>
    <row r="10" spans="1:13" x14ac:dyDescent="0.25">
      <c r="A10" t="s">
        <v>184</v>
      </c>
      <c r="B10" t="s">
        <v>184</v>
      </c>
      <c r="D10">
        <v>1001155</v>
      </c>
      <c r="E10" t="s">
        <v>199</v>
      </c>
      <c r="G10" t="s">
        <v>200</v>
      </c>
      <c r="H10" t="s">
        <v>201</v>
      </c>
      <c r="M10" s="6"/>
    </row>
    <row r="11" spans="1:13" x14ac:dyDescent="0.25">
      <c r="A11" t="s">
        <v>184</v>
      </c>
      <c r="B11" t="s">
        <v>184</v>
      </c>
      <c r="D11">
        <v>1001155</v>
      </c>
      <c r="E11" t="s">
        <v>210</v>
      </c>
      <c r="G11" t="s">
        <v>211</v>
      </c>
      <c r="H11" t="s">
        <v>201</v>
      </c>
      <c r="M11" s="6"/>
    </row>
    <row r="12" spans="1:13" x14ac:dyDescent="0.25">
      <c r="A12" t="s">
        <v>184</v>
      </c>
      <c r="B12" t="s">
        <v>184</v>
      </c>
      <c r="D12">
        <v>1001155</v>
      </c>
      <c r="E12" t="s">
        <v>118</v>
      </c>
      <c r="F12" t="s">
        <v>119</v>
      </c>
      <c r="G12" t="s">
        <v>221</v>
      </c>
      <c r="H12" t="s">
        <v>201</v>
      </c>
      <c r="M12" s="6"/>
    </row>
    <row r="13" spans="1:13" x14ac:dyDescent="0.25">
      <c r="A13" t="s">
        <v>184</v>
      </c>
      <c r="B13" t="s">
        <v>184</v>
      </c>
      <c r="D13">
        <v>1001155</v>
      </c>
      <c r="E13" t="s">
        <v>229</v>
      </c>
      <c r="G13" t="s">
        <v>230</v>
      </c>
      <c r="H13" t="s">
        <v>231</v>
      </c>
      <c r="I13" t="s">
        <v>232</v>
      </c>
      <c r="M13" s="6"/>
    </row>
    <row r="14" spans="1:13" x14ac:dyDescent="0.25">
      <c r="A14" t="s">
        <v>184</v>
      </c>
      <c r="B14" t="s">
        <v>184</v>
      </c>
      <c r="D14">
        <v>1001155</v>
      </c>
      <c r="E14" t="s">
        <v>233</v>
      </c>
      <c r="F14" t="s">
        <v>234</v>
      </c>
      <c r="G14" t="s">
        <v>230</v>
      </c>
      <c r="H14" t="s">
        <v>235</v>
      </c>
      <c r="I14" t="s">
        <v>236</v>
      </c>
      <c r="M14" s="6"/>
    </row>
    <row r="15" spans="1:13" x14ac:dyDescent="0.25">
      <c r="A15" t="s">
        <v>184</v>
      </c>
      <c r="B15" t="s">
        <v>184</v>
      </c>
      <c r="D15">
        <v>1001155</v>
      </c>
      <c r="E15" t="s">
        <v>237</v>
      </c>
      <c r="F15" t="s">
        <v>234</v>
      </c>
      <c r="G15" t="s">
        <v>230</v>
      </c>
      <c r="H15" t="s">
        <v>238</v>
      </c>
      <c r="I15" t="s">
        <v>236</v>
      </c>
      <c r="M15" s="6"/>
    </row>
    <row r="16" spans="1:13" x14ac:dyDescent="0.25">
      <c r="A16" t="s">
        <v>184</v>
      </c>
      <c r="B16" t="s">
        <v>184</v>
      </c>
      <c r="D16">
        <v>1001155</v>
      </c>
      <c r="E16" t="s">
        <v>280</v>
      </c>
      <c r="G16" t="s">
        <v>281</v>
      </c>
      <c r="H16" t="s">
        <v>201</v>
      </c>
      <c r="M16" s="6"/>
    </row>
    <row r="17" spans="1:16" x14ac:dyDescent="0.25">
      <c r="A17" t="s">
        <v>184</v>
      </c>
      <c r="B17" t="s">
        <v>184</v>
      </c>
      <c r="D17">
        <v>1001155</v>
      </c>
      <c r="E17" t="s">
        <v>282</v>
      </c>
      <c r="G17" t="s">
        <v>283</v>
      </c>
      <c r="H17" t="s">
        <v>284</v>
      </c>
      <c r="I17" t="s">
        <v>285</v>
      </c>
      <c r="M17" s="6"/>
    </row>
    <row r="18" spans="1:16" x14ac:dyDescent="0.25">
      <c r="A18" t="s">
        <v>184</v>
      </c>
      <c r="B18" t="s">
        <v>184</v>
      </c>
      <c r="D18">
        <v>1001155</v>
      </c>
      <c r="E18" t="s">
        <v>288</v>
      </c>
      <c r="G18" t="s">
        <v>289</v>
      </c>
      <c r="H18" t="s">
        <v>201</v>
      </c>
      <c r="M18" s="6"/>
    </row>
    <row r="19" spans="1:16" x14ac:dyDescent="0.25">
      <c r="A19" t="s">
        <v>184</v>
      </c>
      <c r="B19" t="s">
        <v>184</v>
      </c>
      <c r="C19" s="40"/>
      <c r="D19">
        <v>1001155</v>
      </c>
      <c r="E19" t="s">
        <v>115</v>
      </c>
      <c r="F19" t="s">
        <v>116</v>
      </c>
      <c r="G19" t="s">
        <v>297</v>
      </c>
      <c r="H19" t="s">
        <v>201</v>
      </c>
      <c r="M19" s="6"/>
    </row>
    <row r="20" spans="1:16" x14ac:dyDescent="0.25">
      <c r="A20" t="s">
        <v>184</v>
      </c>
      <c r="B20" t="s">
        <v>184</v>
      </c>
      <c r="C20" s="40"/>
      <c r="D20">
        <v>1001155</v>
      </c>
      <c r="E20" t="s">
        <v>121</v>
      </c>
      <c r="F20" t="s">
        <v>122</v>
      </c>
      <c r="G20" t="s">
        <v>298</v>
      </c>
      <c r="H20" t="s">
        <v>201</v>
      </c>
      <c r="M20" s="6"/>
    </row>
    <row r="21" spans="1:16" x14ac:dyDescent="0.25">
      <c r="A21" t="s">
        <v>184</v>
      </c>
      <c r="B21" t="s">
        <v>184</v>
      </c>
      <c r="D21">
        <v>1001155</v>
      </c>
      <c r="E21" t="s">
        <v>124</v>
      </c>
      <c r="F21" t="s">
        <v>125</v>
      </c>
      <c r="G21" t="s">
        <v>299</v>
      </c>
      <c r="H21" t="s">
        <v>201</v>
      </c>
      <c r="M21" s="6"/>
    </row>
    <row r="22" spans="1:16" x14ac:dyDescent="0.25">
      <c r="A22" t="s">
        <v>184</v>
      </c>
      <c r="B22" t="s">
        <v>184</v>
      </c>
      <c r="D22">
        <v>1001155</v>
      </c>
      <c r="E22" t="s">
        <v>300</v>
      </c>
      <c r="G22" t="s">
        <v>301</v>
      </c>
      <c r="H22" t="s">
        <v>302</v>
      </c>
      <c r="I22" t="s">
        <v>303</v>
      </c>
      <c r="M22" s="6"/>
    </row>
    <row r="23" spans="1:16" x14ac:dyDescent="0.25">
      <c r="A23" t="s">
        <v>184</v>
      </c>
      <c r="B23" t="s">
        <v>184</v>
      </c>
      <c r="D23">
        <v>1001155</v>
      </c>
      <c r="E23" t="s">
        <v>304</v>
      </c>
      <c r="G23" t="s">
        <v>305</v>
      </c>
      <c r="H23" t="s">
        <v>201</v>
      </c>
      <c r="M23" s="6"/>
    </row>
    <row r="24" spans="1:16" x14ac:dyDescent="0.25">
      <c r="A24" t="s">
        <v>184</v>
      </c>
      <c r="B24" t="s">
        <v>184</v>
      </c>
      <c r="D24">
        <v>1001155</v>
      </c>
      <c r="E24" t="s">
        <v>315</v>
      </c>
      <c r="F24" t="s">
        <v>316</v>
      </c>
      <c r="G24" t="s">
        <v>317</v>
      </c>
      <c r="H24" t="s">
        <v>201</v>
      </c>
      <c r="M24" s="6"/>
    </row>
    <row r="25" spans="1:16" x14ac:dyDescent="0.25">
      <c r="D25">
        <v>1001178</v>
      </c>
      <c r="E25" t="s">
        <v>135</v>
      </c>
      <c r="F25" t="s">
        <v>136</v>
      </c>
      <c r="M25" s="6"/>
    </row>
    <row r="26" spans="1:16" x14ac:dyDescent="0.25">
      <c r="D26">
        <v>1001178</v>
      </c>
      <c r="E26" t="s">
        <v>138</v>
      </c>
      <c r="F26" t="s">
        <v>139</v>
      </c>
      <c r="M26" s="6"/>
    </row>
    <row r="27" spans="1:16" x14ac:dyDescent="0.25">
      <c r="D27">
        <v>1001178</v>
      </c>
      <c r="E27" t="s">
        <v>141</v>
      </c>
      <c r="F27" t="s">
        <v>142</v>
      </c>
      <c r="M27" s="6"/>
    </row>
    <row r="28" spans="1:16" x14ac:dyDescent="0.25">
      <c r="A28" t="s">
        <v>171</v>
      </c>
      <c r="B28" t="s">
        <v>192</v>
      </c>
      <c r="D28">
        <v>1001183</v>
      </c>
      <c r="E28" t="s">
        <v>193</v>
      </c>
      <c r="G28" t="s">
        <v>186</v>
      </c>
      <c r="H28" t="s">
        <v>194</v>
      </c>
      <c r="M28" s="6"/>
    </row>
    <row r="29" spans="1:16" x14ac:dyDescent="0.25">
      <c r="A29" t="s">
        <v>171</v>
      </c>
      <c r="B29" t="s">
        <v>192</v>
      </c>
      <c r="D29">
        <v>1001183</v>
      </c>
      <c r="E29" t="s">
        <v>195</v>
      </c>
      <c r="G29" t="s">
        <v>196</v>
      </c>
      <c r="H29" t="s">
        <v>197</v>
      </c>
      <c r="I29" t="s">
        <v>198</v>
      </c>
      <c r="M29" s="6"/>
    </row>
    <row r="30" spans="1:16" x14ac:dyDescent="0.25">
      <c r="A30" t="s">
        <v>171</v>
      </c>
      <c r="B30" t="s">
        <v>192</v>
      </c>
      <c r="D30">
        <v>1001183</v>
      </c>
      <c r="E30" t="s">
        <v>217</v>
      </c>
      <c r="G30" t="s">
        <v>218</v>
      </c>
      <c r="H30" t="s">
        <v>219</v>
      </c>
      <c r="I30" t="s">
        <v>220</v>
      </c>
    </row>
    <row r="31" spans="1:16" x14ac:dyDescent="0.25">
      <c r="A31" t="s">
        <v>171</v>
      </c>
      <c r="B31" t="s">
        <v>192</v>
      </c>
      <c r="D31">
        <v>1001183</v>
      </c>
      <c r="E31" t="s">
        <v>239</v>
      </c>
      <c r="G31" t="s">
        <v>230</v>
      </c>
      <c r="H31" t="s">
        <v>240</v>
      </c>
      <c r="I31" t="s">
        <v>241</v>
      </c>
      <c r="P31" s="6"/>
    </row>
    <row r="32" spans="1:16" x14ac:dyDescent="0.25">
      <c r="A32" t="s">
        <v>171</v>
      </c>
      <c r="B32" t="s">
        <v>192</v>
      </c>
      <c r="D32">
        <v>1001183</v>
      </c>
      <c r="E32" t="s">
        <v>274</v>
      </c>
      <c r="G32" t="s">
        <v>275</v>
      </c>
      <c r="H32" t="s">
        <v>276</v>
      </c>
      <c r="I32" t="s">
        <v>241</v>
      </c>
      <c r="P32" s="6"/>
    </row>
    <row r="33" spans="1:16" x14ac:dyDescent="0.25">
      <c r="A33" t="s">
        <v>171</v>
      </c>
      <c r="B33" t="s">
        <v>192</v>
      </c>
      <c r="D33">
        <v>1001183</v>
      </c>
      <c r="E33" t="s">
        <v>313</v>
      </c>
      <c r="G33" t="s">
        <v>314</v>
      </c>
      <c r="H33" t="s">
        <v>194</v>
      </c>
      <c r="P33" s="6"/>
    </row>
    <row r="34" spans="1:16" x14ac:dyDescent="0.25">
      <c r="D34">
        <v>1001201</v>
      </c>
      <c r="E34" t="s">
        <v>13</v>
      </c>
      <c r="F34" t="s">
        <v>14</v>
      </c>
      <c r="P34" s="6"/>
    </row>
    <row r="35" spans="1:16" x14ac:dyDescent="0.25">
      <c r="D35">
        <v>1001202</v>
      </c>
      <c r="E35" t="s">
        <v>13</v>
      </c>
      <c r="F35" t="s">
        <v>14</v>
      </c>
      <c r="P35" s="6"/>
    </row>
    <row r="36" spans="1:16" x14ac:dyDescent="0.25">
      <c r="A36" s="40" t="s">
        <v>458</v>
      </c>
      <c r="B36" s="40" t="s">
        <v>458</v>
      </c>
      <c r="C36" t="s">
        <v>499</v>
      </c>
      <c r="D36">
        <v>1001203</v>
      </c>
      <c r="E36" t="s">
        <v>17</v>
      </c>
      <c r="F36" t="s">
        <v>18</v>
      </c>
      <c r="G36" s="40" t="s">
        <v>460</v>
      </c>
      <c r="H36" s="40"/>
      <c r="I36" s="40"/>
      <c r="P36" s="6"/>
    </row>
    <row r="37" spans="1:16" x14ac:dyDescent="0.25">
      <c r="A37" s="40" t="s">
        <v>458</v>
      </c>
      <c r="B37" s="40" t="s">
        <v>458</v>
      </c>
      <c r="C37" s="40" t="s">
        <v>499</v>
      </c>
      <c r="D37" s="40">
        <v>1001203</v>
      </c>
      <c r="E37" t="s">
        <v>20</v>
      </c>
      <c r="F37" t="s">
        <v>21</v>
      </c>
      <c r="G37" s="40" t="s">
        <v>461</v>
      </c>
      <c r="H37" s="40" t="s">
        <v>468</v>
      </c>
      <c r="I37" s="40"/>
      <c r="P37" s="6"/>
    </row>
    <row r="38" spans="1:16" x14ac:dyDescent="0.25">
      <c r="A38" s="40" t="s">
        <v>458</v>
      </c>
      <c r="B38" s="40" t="s">
        <v>458</v>
      </c>
      <c r="C38" s="40" t="s">
        <v>499</v>
      </c>
      <c r="D38" s="40">
        <v>1001203</v>
      </c>
      <c r="E38" t="s">
        <v>23</v>
      </c>
      <c r="F38" t="s">
        <v>24</v>
      </c>
      <c r="G38" s="40" t="s">
        <v>462</v>
      </c>
      <c r="H38" s="40" t="s">
        <v>468</v>
      </c>
      <c r="I38" s="40"/>
      <c r="J38">
        <v>2700</v>
      </c>
      <c r="P38" s="6"/>
    </row>
    <row r="39" spans="1:16" x14ac:dyDescent="0.25">
      <c r="A39" s="40" t="s">
        <v>458</v>
      </c>
      <c r="B39" s="40" t="s">
        <v>458</v>
      </c>
      <c r="C39" s="40" t="s">
        <v>499</v>
      </c>
      <c r="D39" s="40">
        <v>1001203</v>
      </c>
      <c r="E39" s="40" t="s">
        <v>500</v>
      </c>
      <c r="F39" s="40"/>
      <c r="G39" s="40" t="s">
        <v>464</v>
      </c>
      <c r="H39" s="40" t="s">
        <v>499</v>
      </c>
      <c r="I39" s="40" t="s">
        <v>476</v>
      </c>
      <c r="P39" s="6"/>
    </row>
    <row r="40" spans="1:16" x14ac:dyDescent="0.25">
      <c r="A40" s="40" t="s">
        <v>458</v>
      </c>
      <c r="B40" s="40" t="s">
        <v>458</v>
      </c>
      <c r="C40" s="40" t="s">
        <v>499</v>
      </c>
      <c r="D40" s="40">
        <v>1001203</v>
      </c>
      <c r="E40" s="40" t="s">
        <v>501</v>
      </c>
      <c r="F40" s="40"/>
      <c r="G40" s="40" t="s">
        <v>466</v>
      </c>
      <c r="H40" s="40" t="s">
        <v>499</v>
      </c>
      <c r="I40" s="40" t="s">
        <v>476</v>
      </c>
      <c r="P40" s="6"/>
    </row>
    <row r="41" spans="1:16" x14ac:dyDescent="0.25">
      <c r="A41" s="40" t="s">
        <v>458</v>
      </c>
      <c r="B41" s="40" t="s">
        <v>458</v>
      </c>
      <c r="C41" s="40" t="s">
        <v>499</v>
      </c>
      <c r="D41" s="40">
        <v>1001203</v>
      </c>
      <c r="E41" s="40" t="s">
        <v>502</v>
      </c>
      <c r="F41" s="40"/>
      <c r="G41" s="40" t="s">
        <v>470</v>
      </c>
      <c r="H41" s="40" t="s">
        <v>499</v>
      </c>
      <c r="I41" s="40" t="s">
        <v>476</v>
      </c>
      <c r="P41" s="6"/>
    </row>
    <row r="42" spans="1:16" x14ac:dyDescent="0.25">
      <c r="A42" s="40" t="s">
        <v>458</v>
      </c>
      <c r="B42" s="40" t="s">
        <v>458</v>
      </c>
      <c r="C42" s="40" t="s">
        <v>499</v>
      </c>
      <c r="D42" s="40">
        <v>1001203</v>
      </c>
      <c r="E42" s="40" t="s">
        <v>473</v>
      </c>
      <c r="F42" s="40"/>
      <c r="G42" s="40" t="s">
        <v>471</v>
      </c>
      <c r="H42" s="40" t="s">
        <v>472</v>
      </c>
      <c r="I42" s="40" t="s">
        <v>477</v>
      </c>
      <c r="P42" s="6"/>
    </row>
    <row r="43" spans="1:16" x14ac:dyDescent="0.25">
      <c r="A43" s="40" t="s">
        <v>458</v>
      </c>
      <c r="B43" s="40" t="s">
        <v>458</v>
      </c>
      <c r="C43" s="40" t="s">
        <v>499</v>
      </c>
      <c r="D43" s="40">
        <v>1001203</v>
      </c>
      <c r="E43" s="40" t="s">
        <v>474</v>
      </c>
      <c r="F43" s="40"/>
      <c r="G43" s="40" t="s">
        <v>278</v>
      </c>
      <c r="H43" s="40" t="s">
        <v>475</v>
      </c>
      <c r="I43" s="40" t="s">
        <v>478</v>
      </c>
      <c r="P43" s="6"/>
    </row>
    <row r="44" spans="1:16" x14ac:dyDescent="0.25">
      <c r="A44" s="40" t="s">
        <v>458</v>
      </c>
      <c r="B44" s="40" t="s">
        <v>458</v>
      </c>
      <c r="C44" s="40" t="s">
        <v>499</v>
      </c>
      <c r="D44" s="40">
        <v>1001203</v>
      </c>
      <c r="E44" s="40" t="s">
        <v>479</v>
      </c>
      <c r="F44" s="40"/>
      <c r="G44" s="40" t="s">
        <v>480</v>
      </c>
      <c r="H44" s="40"/>
      <c r="I44" s="40"/>
      <c r="P44" s="6"/>
    </row>
    <row r="45" spans="1:16" x14ac:dyDescent="0.25">
      <c r="A45" s="40" t="s">
        <v>458</v>
      </c>
      <c r="B45" s="40" t="s">
        <v>458</v>
      </c>
      <c r="C45" s="40" t="s">
        <v>499</v>
      </c>
      <c r="D45" s="40">
        <v>1001203</v>
      </c>
      <c r="E45" s="40" t="s">
        <v>481</v>
      </c>
      <c r="F45" s="40"/>
      <c r="G45" s="40" t="s">
        <v>186</v>
      </c>
      <c r="H45" s="40" t="s">
        <v>187</v>
      </c>
      <c r="I45" s="40" t="s">
        <v>482</v>
      </c>
      <c r="P45" s="6"/>
    </row>
    <row r="46" spans="1:16" x14ac:dyDescent="0.25">
      <c r="A46" s="40" t="s">
        <v>458</v>
      </c>
      <c r="B46" s="40" t="s">
        <v>458</v>
      </c>
      <c r="C46" s="40" t="s">
        <v>499</v>
      </c>
      <c r="D46" s="40">
        <v>1001203</v>
      </c>
      <c r="E46" s="40" t="s">
        <v>483</v>
      </c>
      <c r="F46" s="40"/>
      <c r="G46" s="40" t="s">
        <v>283</v>
      </c>
      <c r="H46" s="40" t="s">
        <v>284</v>
      </c>
      <c r="I46" s="40" t="s">
        <v>484</v>
      </c>
      <c r="P46" s="6"/>
    </row>
    <row r="47" spans="1:16" x14ac:dyDescent="0.25">
      <c r="A47" s="40" t="s">
        <v>458</v>
      </c>
      <c r="B47" s="40" t="s">
        <v>458</v>
      </c>
      <c r="C47" s="40" t="s">
        <v>499</v>
      </c>
      <c r="D47" s="40">
        <v>1001203</v>
      </c>
      <c r="E47" s="40" t="s">
        <v>300</v>
      </c>
      <c r="F47" s="40"/>
      <c r="G47" s="40" t="s">
        <v>301</v>
      </c>
      <c r="H47" s="40" t="s">
        <v>302</v>
      </c>
      <c r="I47" s="40" t="s">
        <v>303</v>
      </c>
      <c r="P47" s="6"/>
    </row>
    <row r="48" spans="1:16" x14ac:dyDescent="0.25">
      <c r="A48" s="40" t="s">
        <v>458</v>
      </c>
      <c r="B48" s="40" t="s">
        <v>458</v>
      </c>
      <c r="C48" s="40" t="s">
        <v>499</v>
      </c>
      <c r="D48" s="40">
        <v>1001203</v>
      </c>
      <c r="E48" s="40" t="s">
        <v>189</v>
      </c>
      <c r="F48" s="40"/>
      <c r="G48" s="40" t="s">
        <v>186</v>
      </c>
      <c r="H48" s="40" t="s">
        <v>190</v>
      </c>
      <c r="I48" s="40" t="s">
        <v>191</v>
      </c>
      <c r="P48" s="6"/>
    </row>
    <row r="49" spans="1:17" x14ac:dyDescent="0.25">
      <c r="A49" s="40" t="s">
        <v>458</v>
      </c>
      <c r="B49" s="40" t="s">
        <v>458</v>
      </c>
      <c r="C49" s="40" t="s">
        <v>499</v>
      </c>
      <c r="D49" s="40">
        <v>1001203</v>
      </c>
      <c r="E49" s="40" t="s">
        <v>487</v>
      </c>
      <c r="F49" s="40"/>
      <c r="G49" s="40" t="s">
        <v>211</v>
      </c>
      <c r="H49" s="40" t="s">
        <v>489</v>
      </c>
      <c r="I49" s="40" t="s">
        <v>214</v>
      </c>
      <c r="P49" s="6"/>
    </row>
    <row r="50" spans="1:17" x14ac:dyDescent="0.25">
      <c r="A50" s="40" t="s">
        <v>458</v>
      </c>
      <c r="B50" s="40" t="s">
        <v>458</v>
      </c>
      <c r="C50" s="40" t="s">
        <v>499</v>
      </c>
      <c r="D50" s="40">
        <v>1001203</v>
      </c>
      <c r="E50" s="40" t="s">
        <v>503</v>
      </c>
      <c r="F50" s="40" t="s">
        <v>488</v>
      </c>
      <c r="G50" s="40" t="s">
        <v>230</v>
      </c>
      <c r="H50" s="40" t="s">
        <v>506</v>
      </c>
      <c r="I50" s="40" t="s">
        <v>491</v>
      </c>
      <c r="P50" s="6"/>
    </row>
    <row r="51" spans="1:17" x14ac:dyDescent="0.25">
      <c r="A51" s="40" t="s">
        <v>458</v>
      </c>
      <c r="B51" s="40" t="s">
        <v>458</v>
      </c>
      <c r="C51" s="40" t="s">
        <v>499</v>
      </c>
      <c r="D51" s="40">
        <v>1001203</v>
      </c>
      <c r="E51" s="40" t="s">
        <v>504</v>
      </c>
      <c r="F51" s="40" t="s">
        <v>488</v>
      </c>
      <c r="G51" s="40" t="s">
        <v>230</v>
      </c>
      <c r="H51" s="40" t="s">
        <v>505</v>
      </c>
      <c r="I51" s="40" t="s">
        <v>491</v>
      </c>
      <c r="P51" s="6"/>
      <c r="Q51" s="6"/>
    </row>
    <row r="52" spans="1:17" x14ac:dyDescent="0.25">
      <c r="A52" s="40" t="s">
        <v>458</v>
      </c>
      <c r="B52" s="40" t="s">
        <v>458</v>
      </c>
      <c r="C52" s="40" t="s">
        <v>499</v>
      </c>
      <c r="D52" s="40">
        <v>1001203</v>
      </c>
      <c r="E52" s="40" t="s">
        <v>229</v>
      </c>
      <c r="F52" s="40"/>
      <c r="G52" s="40" t="s">
        <v>230</v>
      </c>
      <c r="H52" s="40" t="s">
        <v>231</v>
      </c>
      <c r="I52" s="40" t="s">
        <v>232</v>
      </c>
      <c r="P52" s="6"/>
      <c r="Q52" s="6"/>
    </row>
    <row r="53" spans="1:17" x14ac:dyDescent="0.25">
      <c r="A53" s="40" t="s">
        <v>458</v>
      </c>
      <c r="B53" s="40" t="s">
        <v>458</v>
      </c>
      <c r="C53" t="s">
        <v>493</v>
      </c>
      <c r="D53">
        <v>1001204</v>
      </c>
      <c r="E53" t="s">
        <v>17</v>
      </c>
      <c r="F53" t="s">
        <v>18</v>
      </c>
      <c r="G53" s="40" t="s">
        <v>460</v>
      </c>
      <c r="H53" s="40"/>
      <c r="I53" s="40"/>
      <c r="P53" s="6"/>
      <c r="Q53" s="6"/>
    </row>
    <row r="54" spans="1:17" x14ac:dyDescent="0.25">
      <c r="A54" s="40" t="s">
        <v>458</v>
      </c>
      <c r="B54" s="40" t="s">
        <v>458</v>
      </c>
      <c r="C54" s="40" t="s">
        <v>493</v>
      </c>
      <c r="D54" s="40">
        <v>1001204</v>
      </c>
      <c r="E54" t="s">
        <v>20</v>
      </c>
      <c r="F54" t="s">
        <v>21</v>
      </c>
      <c r="G54" s="40" t="s">
        <v>461</v>
      </c>
      <c r="H54" s="40" t="s">
        <v>468</v>
      </c>
      <c r="I54" s="40"/>
    </row>
    <row r="55" spans="1:17" x14ac:dyDescent="0.25">
      <c r="A55" s="40" t="s">
        <v>458</v>
      </c>
      <c r="B55" s="40" t="s">
        <v>458</v>
      </c>
      <c r="C55" s="40" t="s">
        <v>493</v>
      </c>
      <c r="D55" s="40">
        <v>1001204</v>
      </c>
      <c r="E55" t="s">
        <v>23</v>
      </c>
      <c r="F55" t="s">
        <v>24</v>
      </c>
      <c r="G55" s="40" t="s">
        <v>462</v>
      </c>
      <c r="H55" s="40" t="s">
        <v>468</v>
      </c>
      <c r="I55" s="40"/>
      <c r="J55">
        <v>2700</v>
      </c>
    </row>
    <row r="56" spans="1:17" x14ac:dyDescent="0.25">
      <c r="A56" s="40" t="s">
        <v>458</v>
      </c>
      <c r="B56" s="40" t="s">
        <v>458</v>
      </c>
      <c r="C56" s="40" t="s">
        <v>493</v>
      </c>
      <c r="D56" s="40">
        <v>1001204</v>
      </c>
      <c r="E56" s="40" t="s">
        <v>494</v>
      </c>
      <c r="F56" s="40"/>
      <c r="G56" s="40" t="s">
        <v>464</v>
      </c>
      <c r="H56" s="40" t="s">
        <v>493</v>
      </c>
      <c r="I56" s="40" t="s">
        <v>476</v>
      </c>
    </row>
    <row r="57" spans="1:17" x14ac:dyDescent="0.25">
      <c r="A57" s="40" t="s">
        <v>458</v>
      </c>
      <c r="B57" s="40" t="s">
        <v>458</v>
      </c>
      <c r="C57" s="40" t="s">
        <v>493</v>
      </c>
      <c r="D57" s="40">
        <v>1001204</v>
      </c>
      <c r="E57" s="40" t="s">
        <v>465</v>
      </c>
      <c r="F57" s="40"/>
      <c r="G57" s="40" t="s">
        <v>466</v>
      </c>
      <c r="H57" s="40" t="s">
        <v>467</v>
      </c>
      <c r="I57" s="40" t="s">
        <v>476</v>
      </c>
    </row>
    <row r="58" spans="1:17" x14ac:dyDescent="0.25">
      <c r="A58" s="40" t="s">
        <v>458</v>
      </c>
      <c r="B58" s="40" t="s">
        <v>458</v>
      </c>
      <c r="C58" s="40" t="s">
        <v>493</v>
      </c>
      <c r="D58" s="40">
        <v>1001204</v>
      </c>
      <c r="E58" s="40" t="s">
        <v>469</v>
      </c>
      <c r="F58" s="40"/>
      <c r="G58" s="40" t="s">
        <v>470</v>
      </c>
      <c r="H58" s="40" t="s">
        <v>467</v>
      </c>
      <c r="I58" s="40" t="s">
        <v>476</v>
      </c>
    </row>
    <row r="59" spans="1:17" x14ac:dyDescent="0.25">
      <c r="A59" s="40" t="s">
        <v>458</v>
      </c>
      <c r="B59" s="40" t="s">
        <v>458</v>
      </c>
      <c r="C59" s="40" t="s">
        <v>493</v>
      </c>
      <c r="D59" s="40">
        <v>1001204</v>
      </c>
      <c r="E59" s="40" t="s">
        <v>473</v>
      </c>
      <c r="F59" s="40"/>
      <c r="G59" s="40" t="s">
        <v>471</v>
      </c>
      <c r="H59" s="40" t="s">
        <v>472</v>
      </c>
      <c r="I59" s="40" t="s">
        <v>477</v>
      </c>
    </row>
    <row r="60" spans="1:17" x14ac:dyDescent="0.25">
      <c r="A60" s="40" t="s">
        <v>458</v>
      </c>
      <c r="B60" s="40" t="s">
        <v>458</v>
      </c>
      <c r="C60" s="40" t="s">
        <v>493</v>
      </c>
      <c r="D60" s="40">
        <v>1001204</v>
      </c>
      <c r="E60" s="40" t="s">
        <v>474</v>
      </c>
      <c r="F60" s="40"/>
      <c r="G60" s="40" t="s">
        <v>278</v>
      </c>
      <c r="H60" s="40" t="s">
        <v>475</v>
      </c>
      <c r="I60" s="40" t="s">
        <v>478</v>
      </c>
    </row>
    <row r="61" spans="1:17" x14ac:dyDescent="0.25">
      <c r="A61" s="40" t="s">
        <v>458</v>
      </c>
      <c r="B61" s="40" t="s">
        <v>458</v>
      </c>
      <c r="C61" s="40" t="s">
        <v>493</v>
      </c>
      <c r="D61" s="40">
        <v>1001204</v>
      </c>
      <c r="E61" s="40" t="s">
        <v>479</v>
      </c>
      <c r="F61" s="40"/>
      <c r="G61" s="40" t="s">
        <v>480</v>
      </c>
      <c r="H61" s="40"/>
      <c r="I61" s="40"/>
    </row>
    <row r="62" spans="1:17" x14ac:dyDescent="0.25">
      <c r="A62" s="40" t="s">
        <v>458</v>
      </c>
      <c r="B62" s="40" t="s">
        <v>458</v>
      </c>
      <c r="C62" s="40" t="s">
        <v>493</v>
      </c>
      <c r="D62" s="40">
        <v>1001204</v>
      </c>
      <c r="E62" s="40" t="s">
        <v>481</v>
      </c>
      <c r="F62" s="40"/>
      <c r="G62" s="40" t="s">
        <v>186</v>
      </c>
      <c r="H62" s="40" t="s">
        <v>187</v>
      </c>
      <c r="I62" s="40" t="s">
        <v>482</v>
      </c>
    </row>
    <row r="63" spans="1:17" x14ac:dyDescent="0.25">
      <c r="A63" s="40" t="s">
        <v>458</v>
      </c>
      <c r="B63" s="40" t="s">
        <v>458</v>
      </c>
      <c r="C63" s="40" t="s">
        <v>493</v>
      </c>
      <c r="D63" s="40">
        <v>1001204</v>
      </c>
      <c r="E63" s="40" t="s">
        <v>483</v>
      </c>
      <c r="F63" s="40"/>
      <c r="G63" s="40" t="s">
        <v>283</v>
      </c>
      <c r="H63" s="40" t="s">
        <v>284</v>
      </c>
      <c r="I63" s="40" t="s">
        <v>484</v>
      </c>
    </row>
    <row r="64" spans="1:17" x14ac:dyDescent="0.25">
      <c r="A64" s="40" t="s">
        <v>458</v>
      </c>
      <c r="B64" s="40" t="s">
        <v>458</v>
      </c>
      <c r="C64" s="40" t="s">
        <v>493</v>
      </c>
      <c r="D64" s="40">
        <v>1001204</v>
      </c>
      <c r="E64" s="40" t="s">
        <v>300</v>
      </c>
      <c r="F64" s="40"/>
      <c r="G64" s="40" t="s">
        <v>301</v>
      </c>
      <c r="H64" s="40" t="s">
        <v>302</v>
      </c>
      <c r="I64" s="40" t="s">
        <v>303</v>
      </c>
    </row>
    <row r="65" spans="1:10" x14ac:dyDescent="0.25">
      <c r="A65" s="40" t="s">
        <v>458</v>
      </c>
      <c r="B65" s="40" t="s">
        <v>458</v>
      </c>
      <c r="C65" s="40" t="s">
        <v>493</v>
      </c>
      <c r="D65" s="40">
        <v>1001204</v>
      </c>
      <c r="E65" s="40" t="s">
        <v>189</v>
      </c>
      <c r="F65" s="40"/>
      <c r="G65" s="40" t="s">
        <v>186</v>
      </c>
      <c r="H65" s="40" t="s">
        <v>190</v>
      </c>
      <c r="I65" s="40" t="s">
        <v>191</v>
      </c>
    </row>
    <row r="66" spans="1:10" x14ac:dyDescent="0.25">
      <c r="A66" s="40" t="s">
        <v>458</v>
      </c>
      <c r="B66" s="40" t="s">
        <v>458</v>
      </c>
      <c r="C66" s="40" t="s">
        <v>493</v>
      </c>
      <c r="D66" s="40">
        <v>1001204</v>
      </c>
      <c r="E66" s="40" t="s">
        <v>487</v>
      </c>
      <c r="F66" s="40"/>
      <c r="G66" s="40" t="s">
        <v>211</v>
      </c>
      <c r="H66" s="40" t="s">
        <v>489</v>
      </c>
      <c r="I66" s="40" t="s">
        <v>214</v>
      </c>
    </row>
    <row r="67" spans="1:10" x14ac:dyDescent="0.25">
      <c r="A67" s="40" t="s">
        <v>458</v>
      </c>
      <c r="B67" s="40" t="s">
        <v>458</v>
      </c>
      <c r="C67" s="40" t="s">
        <v>493</v>
      </c>
      <c r="D67" s="40">
        <v>1001204</v>
      </c>
      <c r="E67" s="40" t="s">
        <v>495</v>
      </c>
      <c r="F67" s="40" t="s">
        <v>488</v>
      </c>
      <c r="G67" s="40" t="s">
        <v>230</v>
      </c>
      <c r="H67" s="40" t="s">
        <v>496</v>
      </c>
      <c r="I67" s="40" t="s">
        <v>491</v>
      </c>
    </row>
    <row r="68" spans="1:10" x14ac:dyDescent="0.25">
      <c r="A68" s="40" t="s">
        <v>458</v>
      </c>
      <c r="B68" s="40" t="s">
        <v>458</v>
      </c>
      <c r="C68" s="40" t="s">
        <v>493</v>
      </c>
      <c r="D68" s="40">
        <v>1001204</v>
      </c>
      <c r="E68" s="40" t="s">
        <v>498</v>
      </c>
      <c r="F68" s="40" t="s">
        <v>488</v>
      </c>
      <c r="G68" s="40" t="s">
        <v>230</v>
      </c>
      <c r="H68" s="40" t="s">
        <v>497</v>
      </c>
      <c r="I68" s="40" t="s">
        <v>491</v>
      </c>
    </row>
    <row r="69" spans="1:10" x14ac:dyDescent="0.25">
      <c r="A69" s="40" t="s">
        <v>458</v>
      </c>
      <c r="B69" s="40" t="s">
        <v>458</v>
      </c>
      <c r="C69" s="40" t="s">
        <v>493</v>
      </c>
      <c r="D69" s="40">
        <v>1001204</v>
      </c>
      <c r="E69" s="40" t="s">
        <v>229</v>
      </c>
      <c r="F69" s="40"/>
      <c r="G69" s="40" t="s">
        <v>230</v>
      </c>
      <c r="H69" s="40" t="s">
        <v>231</v>
      </c>
      <c r="I69" s="40" t="s">
        <v>232</v>
      </c>
    </row>
    <row r="70" spans="1:10" x14ac:dyDescent="0.25">
      <c r="A70" t="s">
        <v>458</v>
      </c>
      <c r="B70" t="s">
        <v>458</v>
      </c>
      <c r="C70" t="s">
        <v>459</v>
      </c>
      <c r="D70">
        <v>1001205</v>
      </c>
      <c r="E70" t="s">
        <v>17</v>
      </c>
      <c r="F70" t="s">
        <v>18</v>
      </c>
      <c r="G70" t="s">
        <v>460</v>
      </c>
    </row>
    <row r="71" spans="1:10" x14ac:dyDescent="0.25">
      <c r="A71" t="s">
        <v>458</v>
      </c>
      <c r="B71" t="s">
        <v>458</v>
      </c>
      <c r="C71" t="s">
        <v>459</v>
      </c>
      <c r="D71">
        <v>1001205</v>
      </c>
      <c r="E71" t="s">
        <v>20</v>
      </c>
      <c r="F71" t="s">
        <v>21</v>
      </c>
      <c r="G71" t="s">
        <v>461</v>
      </c>
      <c r="H71" t="s">
        <v>468</v>
      </c>
    </row>
    <row r="72" spans="1:10" x14ac:dyDescent="0.25">
      <c r="A72" t="s">
        <v>458</v>
      </c>
      <c r="B72" t="s">
        <v>458</v>
      </c>
      <c r="C72" t="s">
        <v>459</v>
      </c>
      <c r="D72">
        <v>1001205</v>
      </c>
      <c r="E72" t="s">
        <v>23</v>
      </c>
      <c r="F72" t="s">
        <v>24</v>
      </c>
      <c r="G72" t="s">
        <v>462</v>
      </c>
      <c r="H72" t="s">
        <v>468</v>
      </c>
      <c r="J72">
        <v>2700</v>
      </c>
    </row>
    <row r="73" spans="1:10" x14ac:dyDescent="0.25">
      <c r="A73" t="s">
        <v>458</v>
      </c>
      <c r="B73" t="s">
        <v>458</v>
      </c>
      <c r="C73" t="s">
        <v>459</v>
      </c>
      <c r="D73">
        <v>1001205</v>
      </c>
      <c r="E73" t="s">
        <v>463</v>
      </c>
      <c r="G73" t="s">
        <v>464</v>
      </c>
      <c r="H73" t="s">
        <v>459</v>
      </c>
      <c r="I73" t="s">
        <v>476</v>
      </c>
    </row>
    <row r="74" spans="1:10" x14ac:dyDescent="0.25">
      <c r="A74" t="s">
        <v>458</v>
      </c>
      <c r="B74" t="s">
        <v>458</v>
      </c>
      <c r="C74" t="s">
        <v>459</v>
      </c>
      <c r="D74">
        <v>1001205</v>
      </c>
      <c r="E74" t="s">
        <v>465</v>
      </c>
      <c r="G74" t="s">
        <v>466</v>
      </c>
      <c r="H74" t="s">
        <v>467</v>
      </c>
      <c r="I74" t="s">
        <v>476</v>
      </c>
    </row>
    <row r="75" spans="1:10" x14ac:dyDescent="0.25">
      <c r="A75" t="s">
        <v>458</v>
      </c>
      <c r="B75" t="s">
        <v>458</v>
      </c>
      <c r="C75" t="s">
        <v>459</v>
      </c>
      <c r="D75">
        <v>1001205</v>
      </c>
      <c r="E75" t="s">
        <v>469</v>
      </c>
      <c r="G75" t="s">
        <v>470</v>
      </c>
      <c r="H75" t="s">
        <v>467</v>
      </c>
      <c r="I75" t="s">
        <v>476</v>
      </c>
    </row>
    <row r="76" spans="1:10" x14ac:dyDescent="0.25">
      <c r="A76" t="s">
        <v>458</v>
      </c>
      <c r="B76" t="s">
        <v>458</v>
      </c>
      <c r="C76" t="s">
        <v>459</v>
      </c>
      <c r="D76">
        <v>1001205</v>
      </c>
      <c r="E76" t="s">
        <v>473</v>
      </c>
      <c r="G76" t="s">
        <v>471</v>
      </c>
      <c r="H76" t="s">
        <v>472</v>
      </c>
      <c r="I76" t="s">
        <v>477</v>
      </c>
    </row>
    <row r="77" spans="1:10" x14ac:dyDescent="0.25">
      <c r="A77" t="s">
        <v>458</v>
      </c>
      <c r="B77" t="s">
        <v>458</v>
      </c>
      <c r="C77" t="s">
        <v>459</v>
      </c>
      <c r="D77">
        <v>1001205</v>
      </c>
      <c r="E77" t="s">
        <v>474</v>
      </c>
      <c r="G77" t="s">
        <v>278</v>
      </c>
      <c r="H77" t="s">
        <v>475</v>
      </c>
      <c r="I77" t="s">
        <v>478</v>
      </c>
    </row>
    <row r="78" spans="1:10" x14ac:dyDescent="0.25">
      <c r="A78" t="s">
        <v>458</v>
      </c>
      <c r="B78" t="s">
        <v>458</v>
      </c>
      <c r="C78" t="s">
        <v>459</v>
      </c>
      <c r="D78">
        <v>1001205</v>
      </c>
      <c r="E78" t="s">
        <v>479</v>
      </c>
      <c r="G78" t="s">
        <v>480</v>
      </c>
    </row>
    <row r="79" spans="1:10" x14ac:dyDescent="0.25">
      <c r="A79" t="s">
        <v>458</v>
      </c>
      <c r="B79" t="s">
        <v>458</v>
      </c>
      <c r="C79" s="40" t="s">
        <v>459</v>
      </c>
      <c r="D79">
        <v>1001205</v>
      </c>
      <c r="E79" t="s">
        <v>481</v>
      </c>
      <c r="G79" t="s">
        <v>186</v>
      </c>
      <c r="H79" t="s">
        <v>187</v>
      </c>
      <c r="I79" t="s">
        <v>482</v>
      </c>
    </row>
    <row r="80" spans="1:10" x14ac:dyDescent="0.25">
      <c r="A80" t="s">
        <v>458</v>
      </c>
      <c r="B80" t="s">
        <v>458</v>
      </c>
      <c r="C80" t="s">
        <v>459</v>
      </c>
      <c r="D80">
        <v>1001205</v>
      </c>
      <c r="E80" t="s">
        <v>483</v>
      </c>
      <c r="G80" t="s">
        <v>283</v>
      </c>
      <c r="H80" t="s">
        <v>284</v>
      </c>
      <c r="I80" t="s">
        <v>484</v>
      </c>
    </row>
    <row r="81" spans="1:9" x14ac:dyDescent="0.25">
      <c r="A81" t="s">
        <v>458</v>
      </c>
      <c r="B81" t="s">
        <v>458</v>
      </c>
      <c r="C81" t="s">
        <v>459</v>
      </c>
      <c r="D81">
        <v>1001205</v>
      </c>
      <c r="E81" t="s">
        <v>300</v>
      </c>
      <c r="G81" t="s">
        <v>301</v>
      </c>
      <c r="H81" t="s">
        <v>302</v>
      </c>
      <c r="I81" t="s">
        <v>303</v>
      </c>
    </row>
    <row r="82" spans="1:9" x14ac:dyDescent="0.25">
      <c r="A82" t="s">
        <v>458</v>
      </c>
      <c r="B82" t="s">
        <v>458</v>
      </c>
      <c r="C82" t="s">
        <v>459</v>
      </c>
      <c r="D82">
        <v>1001205</v>
      </c>
      <c r="E82" t="s">
        <v>189</v>
      </c>
      <c r="G82" t="s">
        <v>186</v>
      </c>
      <c r="H82" t="s">
        <v>190</v>
      </c>
      <c r="I82" t="s">
        <v>191</v>
      </c>
    </row>
    <row r="83" spans="1:9" x14ac:dyDescent="0.25">
      <c r="A83" t="s">
        <v>458</v>
      </c>
      <c r="B83" t="s">
        <v>458</v>
      </c>
      <c r="C83" t="s">
        <v>459</v>
      </c>
      <c r="D83">
        <v>1001205</v>
      </c>
      <c r="E83" t="s">
        <v>487</v>
      </c>
      <c r="G83" t="s">
        <v>211</v>
      </c>
      <c r="H83" t="s">
        <v>489</v>
      </c>
      <c r="I83" t="s">
        <v>214</v>
      </c>
    </row>
    <row r="84" spans="1:9" x14ac:dyDescent="0.25">
      <c r="A84" t="s">
        <v>458</v>
      </c>
      <c r="B84" t="s">
        <v>458</v>
      </c>
      <c r="C84" t="s">
        <v>459</v>
      </c>
      <c r="D84">
        <v>1001205</v>
      </c>
      <c r="E84" t="s">
        <v>485</v>
      </c>
      <c r="F84" t="s">
        <v>488</v>
      </c>
      <c r="G84" t="s">
        <v>230</v>
      </c>
      <c r="H84" t="s">
        <v>490</v>
      </c>
      <c r="I84" t="s">
        <v>491</v>
      </c>
    </row>
    <row r="85" spans="1:9" x14ac:dyDescent="0.25">
      <c r="A85" t="s">
        <v>458</v>
      </c>
      <c r="B85" t="s">
        <v>458</v>
      </c>
      <c r="C85" t="s">
        <v>459</v>
      </c>
      <c r="D85">
        <v>1001205</v>
      </c>
      <c r="E85" t="s">
        <v>486</v>
      </c>
      <c r="F85" t="s">
        <v>488</v>
      </c>
      <c r="G85" t="s">
        <v>230</v>
      </c>
      <c r="H85" t="s">
        <v>492</v>
      </c>
      <c r="I85" t="s">
        <v>491</v>
      </c>
    </row>
    <row r="86" spans="1:9" x14ac:dyDescent="0.25">
      <c r="A86" t="s">
        <v>458</v>
      </c>
      <c r="B86" t="s">
        <v>458</v>
      </c>
      <c r="C86" t="s">
        <v>459</v>
      </c>
      <c r="D86">
        <v>1001205</v>
      </c>
      <c r="E86" t="s">
        <v>229</v>
      </c>
      <c r="G86" t="s">
        <v>230</v>
      </c>
      <c r="H86" t="s">
        <v>231</v>
      </c>
      <c r="I86" t="s">
        <v>232</v>
      </c>
    </row>
    <row r="87" spans="1:9" x14ac:dyDescent="0.25">
      <c r="A87" t="s">
        <v>171</v>
      </c>
      <c r="B87" t="s">
        <v>172</v>
      </c>
      <c r="C87" t="s">
        <v>173</v>
      </c>
      <c r="D87">
        <v>1001206</v>
      </c>
      <c r="E87" t="s">
        <v>174</v>
      </c>
      <c r="G87" t="s">
        <v>175</v>
      </c>
      <c r="H87" t="s">
        <v>176</v>
      </c>
    </row>
    <row r="88" spans="1:9" x14ac:dyDescent="0.25">
      <c r="A88" t="s">
        <v>171</v>
      </c>
      <c r="B88" t="s">
        <v>172</v>
      </c>
      <c r="C88" t="s">
        <v>173</v>
      </c>
      <c r="D88">
        <v>1001206</v>
      </c>
      <c r="E88" t="s">
        <v>185</v>
      </c>
      <c r="G88" t="s">
        <v>186</v>
      </c>
      <c r="H88" t="s">
        <v>187</v>
      </c>
      <c r="I88" t="s">
        <v>188</v>
      </c>
    </row>
    <row r="89" spans="1:9" x14ac:dyDescent="0.25">
      <c r="A89" t="s">
        <v>171</v>
      </c>
      <c r="B89" t="s">
        <v>172</v>
      </c>
      <c r="C89" s="40" t="s">
        <v>173</v>
      </c>
      <c r="D89">
        <v>1001206</v>
      </c>
      <c r="E89" t="s">
        <v>189</v>
      </c>
      <c r="G89" t="s">
        <v>186</v>
      </c>
      <c r="H89" t="s">
        <v>190</v>
      </c>
      <c r="I89" t="s">
        <v>191</v>
      </c>
    </row>
    <row r="90" spans="1:9" x14ac:dyDescent="0.25">
      <c r="A90" t="s">
        <v>171</v>
      </c>
      <c r="B90" t="s">
        <v>172</v>
      </c>
      <c r="C90" t="s">
        <v>173</v>
      </c>
      <c r="D90">
        <v>1001206</v>
      </c>
      <c r="E90" t="s">
        <v>202</v>
      </c>
      <c r="G90" t="s">
        <v>200</v>
      </c>
      <c r="H90" t="s">
        <v>203</v>
      </c>
    </row>
    <row r="91" spans="1:9" x14ac:dyDescent="0.25">
      <c r="A91" t="s">
        <v>171</v>
      </c>
      <c r="B91" t="s">
        <v>172</v>
      </c>
      <c r="C91" t="s">
        <v>173</v>
      </c>
      <c r="D91">
        <v>1001206</v>
      </c>
      <c r="E91" t="s">
        <v>204</v>
      </c>
      <c r="G91" t="s">
        <v>200</v>
      </c>
      <c r="H91" t="s">
        <v>205</v>
      </c>
    </row>
    <row r="92" spans="1:9" x14ac:dyDescent="0.25">
      <c r="A92" t="s">
        <v>171</v>
      </c>
      <c r="B92" t="s">
        <v>172</v>
      </c>
      <c r="C92" t="s">
        <v>173</v>
      </c>
      <c r="D92">
        <v>1001206</v>
      </c>
      <c r="E92" t="s">
        <v>212</v>
      </c>
      <c r="G92" t="s">
        <v>211</v>
      </c>
      <c r="H92" t="s">
        <v>213</v>
      </c>
      <c r="I92" t="s">
        <v>214</v>
      </c>
    </row>
    <row r="93" spans="1:9" x14ac:dyDescent="0.25">
      <c r="A93" t="s">
        <v>171</v>
      </c>
      <c r="B93" t="s">
        <v>172</v>
      </c>
      <c r="C93" t="s">
        <v>173</v>
      </c>
      <c r="D93">
        <v>1001206</v>
      </c>
      <c r="E93" t="s">
        <v>42</v>
      </c>
      <c r="F93" t="s">
        <v>43</v>
      </c>
      <c r="G93" t="s">
        <v>222</v>
      </c>
      <c r="H93" t="s">
        <v>223</v>
      </c>
    </row>
    <row r="94" spans="1:9" x14ac:dyDescent="0.25">
      <c r="A94" t="s">
        <v>171</v>
      </c>
      <c r="B94" t="s">
        <v>172</v>
      </c>
      <c r="C94" t="s">
        <v>173</v>
      </c>
      <c r="D94">
        <v>1001206</v>
      </c>
      <c r="E94" t="s">
        <v>225</v>
      </c>
      <c r="G94" t="s">
        <v>226</v>
      </c>
      <c r="H94" t="s">
        <v>227</v>
      </c>
      <c r="I94" t="s">
        <v>228</v>
      </c>
    </row>
    <row r="95" spans="1:9" x14ac:dyDescent="0.25">
      <c r="A95" t="s">
        <v>171</v>
      </c>
      <c r="B95" t="s">
        <v>172</v>
      </c>
      <c r="C95" t="s">
        <v>173</v>
      </c>
      <c r="D95">
        <v>1001206</v>
      </c>
      <c r="E95" t="s">
        <v>229</v>
      </c>
      <c r="G95" t="s">
        <v>230</v>
      </c>
      <c r="H95" t="s">
        <v>231</v>
      </c>
      <c r="I95" t="s">
        <v>232</v>
      </c>
    </row>
    <row r="96" spans="1:9" x14ac:dyDescent="0.25">
      <c r="A96" t="s">
        <v>171</v>
      </c>
      <c r="B96" t="s">
        <v>172</v>
      </c>
      <c r="C96" t="s">
        <v>173</v>
      </c>
      <c r="D96">
        <v>1001206</v>
      </c>
      <c r="E96" t="s">
        <v>242</v>
      </c>
      <c r="F96" t="s">
        <v>234</v>
      </c>
      <c r="G96" t="s">
        <v>230</v>
      </c>
      <c r="H96" t="s">
        <v>243</v>
      </c>
      <c r="I96" t="s">
        <v>236</v>
      </c>
    </row>
    <row r="97" spans="1:9" x14ac:dyDescent="0.25">
      <c r="A97" t="s">
        <v>171</v>
      </c>
      <c r="B97" t="s">
        <v>172</v>
      </c>
      <c r="C97" t="s">
        <v>173</v>
      </c>
      <c r="D97">
        <v>1001206</v>
      </c>
      <c r="E97" t="s">
        <v>244</v>
      </c>
      <c r="F97" t="s">
        <v>234</v>
      </c>
      <c r="G97" t="s">
        <v>230</v>
      </c>
      <c r="H97" t="s">
        <v>245</v>
      </c>
      <c r="I97" t="s">
        <v>236</v>
      </c>
    </row>
    <row r="98" spans="1:9" x14ac:dyDescent="0.25">
      <c r="A98" t="s">
        <v>171</v>
      </c>
      <c r="B98" t="s">
        <v>172</v>
      </c>
      <c r="C98" t="s">
        <v>173</v>
      </c>
      <c r="D98">
        <v>1001206</v>
      </c>
      <c r="E98" t="s">
        <v>277</v>
      </c>
      <c r="G98" t="s">
        <v>278</v>
      </c>
      <c r="H98" t="s">
        <v>279</v>
      </c>
    </row>
    <row r="99" spans="1:9" x14ac:dyDescent="0.25">
      <c r="A99" t="s">
        <v>171</v>
      </c>
      <c r="B99" t="s">
        <v>172</v>
      </c>
      <c r="C99" t="s">
        <v>173</v>
      </c>
      <c r="D99">
        <v>1001206</v>
      </c>
      <c r="E99" t="s">
        <v>282</v>
      </c>
      <c r="G99" t="s">
        <v>283</v>
      </c>
      <c r="H99" t="s">
        <v>284</v>
      </c>
      <c r="I99" t="s">
        <v>285</v>
      </c>
    </row>
    <row r="100" spans="1:9" x14ac:dyDescent="0.25">
      <c r="A100" t="s">
        <v>171</v>
      </c>
      <c r="B100" t="s">
        <v>172</v>
      </c>
      <c r="C100" t="s">
        <v>173</v>
      </c>
      <c r="D100">
        <v>1001206</v>
      </c>
      <c r="E100" t="s">
        <v>26</v>
      </c>
      <c r="F100" t="s">
        <v>27</v>
      </c>
      <c r="G100" t="s">
        <v>290</v>
      </c>
      <c r="H100" t="s">
        <v>223</v>
      </c>
    </row>
    <row r="101" spans="1:9" x14ac:dyDescent="0.25">
      <c r="A101" t="s">
        <v>171</v>
      </c>
      <c r="B101" t="s">
        <v>172</v>
      </c>
      <c r="C101" t="s">
        <v>173</v>
      </c>
      <c r="D101">
        <v>1001206</v>
      </c>
      <c r="E101" t="s">
        <v>300</v>
      </c>
      <c r="G101" t="s">
        <v>301</v>
      </c>
      <c r="H101" t="s">
        <v>302</v>
      </c>
      <c r="I101" t="s">
        <v>303</v>
      </c>
    </row>
    <row r="102" spans="1:9" x14ac:dyDescent="0.25">
      <c r="A102" t="s">
        <v>171</v>
      </c>
      <c r="B102" t="s">
        <v>172</v>
      </c>
      <c r="C102" t="s">
        <v>173</v>
      </c>
      <c r="D102">
        <v>1001206</v>
      </c>
      <c r="E102" t="s">
        <v>306</v>
      </c>
      <c r="G102" t="s">
        <v>307</v>
      </c>
      <c r="H102" t="s">
        <v>308</v>
      </c>
    </row>
    <row r="103" spans="1:9" x14ac:dyDescent="0.25">
      <c r="A103" t="s">
        <v>171</v>
      </c>
      <c r="B103" t="s">
        <v>172</v>
      </c>
      <c r="C103" t="s">
        <v>173</v>
      </c>
      <c r="D103">
        <v>1001206</v>
      </c>
      <c r="E103" t="s">
        <v>311</v>
      </c>
      <c r="G103" t="s">
        <v>312</v>
      </c>
      <c r="H103" t="s">
        <v>308</v>
      </c>
    </row>
    <row r="104" spans="1:9" x14ac:dyDescent="0.25">
      <c r="A104" t="s">
        <v>171</v>
      </c>
      <c r="B104" t="s">
        <v>172</v>
      </c>
      <c r="C104" t="s">
        <v>177</v>
      </c>
      <c r="D104">
        <v>1001207</v>
      </c>
      <c r="E104" t="s">
        <v>174</v>
      </c>
      <c r="G104" t="s">
        <v>175</v>
      </c>
      <c r="H104" t="s">
        <v>176</v>
      </c>
    </row>
    <row r="105" spans="1:9" x14ac:dyDescent="0.25">
      <c r="A105" t="s">
        <v>171</v>
      </c>
      <c r="B105" t="s">
        <v>172</v>
      </c>
      <c r="C105" t="s">
        <v>177</v>
      </c>
      <c r="D105">
        <v>1001207</v>
      </c>
      <c r="E105" t="s">
        <v>185</v>
      </c>
      <c r="G105" t="s">
        <v>186</v>
      </c>
      <c r="H105" t="s">
        <v>187</v>
      </c>
      <c r="I105" t="s">
        <v>188</v>
      </c>
    </row>
    <row r="106" spans="1:9" x14ac:dyDescent="0.25">
      <c r="A106" t="s">
        <v>171</v>
      </c>
      <c r="B106" t="s">
        <v>172</v>
      </c>
      <c r="C106" t="s">
        <v>177</v>
      </c>
      <c r="D106">
        <v>1001207</v>
      </c>
      <c r="E106" t="s">
        <v>189</v>
      </c>
      <c r="G106" t="s">
        <v>186</v>
      </c>
      <c r="H106" t="s">
        <v>190</v>
      </c>
      <c r="I106" t="s">
        <v>191</v>
      </c>
    </row>
    <row r="107" spans="1:9" x14ac:dyDescent="0.25">
      <c r="A107" t="s">
        <v>171</v>
      </c>
      <c r="B107" t="s">
        <v>172</v>
      </c>
      <c r="C107" t="s">
        <v>177</v>
      </c>
      <c r="D107">
        <v>1001207</v>
      </c>
      <c r="E107" t="s">
        <v>202</v>
      </c>
      <c r="G107" t="s">
        <v>200</v>
      </c>
      <c r="H107" t="s">
        <v>203</v>
      </c>
    </row>
    <row r="108" spans="1:9" x14ac:dyDescent="0.25">
      <c r="A108" t="s">
        <v>171</v>
      </c>
      <c r="B108" t="s">
        <v>172</v>
      </c>
      <c r="C108" t="s">
        <v>177</v>
      </c>
      <c r="D108">
        <v>1001207</v>
      </c>
      <c r="E108" t="s">
        <v>204</v>
      </c>
      <c r="G108" t="s">
        <v>200</v>
      </c>
      <c r="H108" t="s">
        <v>205</v>
      </c>
    </row>
    <row r="109" spans="1:9" x14ac:dyDescent="0.25">
      <c r="A109" t="s">
        <v>171</v>
      </c>
      <c r="B109" t="s">
        <v>172</v>
      </c>
      <c r="C109" t="s">
        <v>177</v>
      </c>
      <c r="D109">
        <v>1001207</v>
      </c>
      <c r="E109" t="s">
        <v>212</v>
      </c>
      <c r="G109" t="s">
        <v>211</v>
      </c>
      <c r="H109" t="s">
        <v>213</v>
      </c>
      <c r="I109" t="s">
        <v>214</v>
      </c>
    </row>
    <row r="110" spans="1:9" x14ac:dyDescent="0.25">
      <c r="A110" t="s">
        <v>171</v>
      </c>
      <c r="B110" t="s">
        <v>172</v>
      </c>
      <c r="C110" s="40" t="s">
        <v>177</v>
      </c>
      <c r="D110">
        <v>1001207</v>
      </c>
      <c r="E110" t="s">
        <v>45</v>
      </c>
      <c r="F110" t="s">
        <v>46</v>
      </c>
      <c r="G110" t="s">
        <v>222</v>
      </c>
      <c r="H110" t="s">
        <v>224</v>
      </c>
    </row>
    <row r="111" spans="1:9" x14ac:dyDescent="0.25">
      <c r="A111" t="s">
        <v>171</v>
      </c>
      <c r="B111" t="s">
        <v>172</v>
      </c>
      <c r="C111" s="40" t="s">
        <v>177</v>
      </c>
      <c r="D111">
        <v>1001207</v>
      </c>
      <c r="E111" t="s">
        <v>225</v>
      </c>
      <c r="G111" t="s">
        <v>226</v>
      </c>
      <c r="H111" t="s">
        <v>227</v>
      </c>
      <c r="I111" t="s">
        <v>228</v>
      </c>
    </row>
    <row r="112" spans="1:9" x14ac:dyDescent="0.25">
      <c r="A112" t="s">
        <v>171</v>
      </c>
      <c r="B112" t="s">
        <v>172</v>
      </c>
      <c r="C112" s="40" t="s">
        <v>177</v>
      </c>
      <c r="D112">
        <v>1001207</v>
      </c>
      <c r="E112" t="s">
        <v>229</v>
      </c>
      <c r="G112" t="s">
        <v>230</v>
      </c>
      <c r="H112" t="s">
        <v>231</v>
      </c>
      <c r="I112" t="s">
        <v>232</v>
      </c>
    </row>
    <row r="113" spans="1:9" x14ac:dyDescent="0.25">
      <c r="A113" t="s">
        <v>171</v>
      </c>
      <c r="B113" t="s">
        <v>172</v>
      </c>
      <c r="C113" t="s">
        <v>177</v>
      </c>
      <c r="D113">
        <v>1001207</v>
      </c>
      <c r="E113" t="s">
        <v>246</v>
      </c>
      <c r="F113" t="s">
        <v>234</v>
      </c>
      <c r="G113" t="s">
        <v>230</v>
      </c>
      <c r="H113" t="s">
        <v>247</v>
      </c>
      <c r="I113" t="s">
        <v>236</v>
      </c>
    </row>
    <row r="114" spans="1:9" x14ac:dyDescent="0.25">
      <c r="A114" t="s">
        <v>171</v>
      </c>
      <c r="B114" t="s">
        <v>172</v>
      </c>
      <c r="C114" t="s">
        <v>177</v>
      </c>
      <c r="D114">
        <v>1001207</v>
      </c>
      <c r="E114" t="s">
        <v>248</v>
      </c>
      <c r="F114" t="s">
        <v>234</v>
      </c>
      <c r="G114" t="s">
        <v>230</v>
      </c>
      <c r="H114" t="s">
        <v>249</v>
      </c>
      <c r="I114" t="s">
        <v>236</v>
      </c>
    </row>
    <row r="115" spans="1:9" x14ac:dyDescent="0.25">
      <c r="A115" t="s">
        <v>171</v>
      </c>
      <c r="B115" t="s">
        <v>172</v>
      </c>
      <c r="C115" t="s">
        <v>177</v>
      </c>
      <c r="D115">
        <v>1001207</v>
      </c>
      <c r="E115" t="s">
        <v>277</v>
      </c>
      <c r="G115" t="s">
        <v>278</v>
      </c>
      <c r="H115" t="s">
        <v>279</v>
      </c>
    </row>
    <row r="116" spans="1:9" x14ac:dyDescent="0.25">
      <c r="A116" t="s">
        <v>171</v>
      </c>
      <c r="B116" t="s">
        <v>172</v>
      </c>
      <c r="C116" t="s">
        <v>177</v>
      </c>
      <c r="D116">
        <v>1001207</v>
      </c>
      <c r="E116" t="s">
        <v>282</v>
      </c>
      <c r="G116" t="s">
        <v>283</v>
      </c>
      <c r="H116" t="s">
        <v>284</v>
      </c>
      <c r="I116" t="s">
        <v>285</v>
      </c>
    </row>
    <row r="117" spans="1:9" x14ac:dyDescent="0.25">
      <c r="A117" t="s">
        <v>171</v>
      </c>
      <c r="B117" t="s">
        <v>172</v>
      </c>
      <c r="C117" t="s">
        <v>177</v>
      </c>
      <c r="D117">
        <v>1001207</v>
      </c>
      <c r="E117" t="s">
        <v>30</v>
      </c>
      <c r="F117" t="s">
        <v>31</v>
      </c>
      <c r="G117" t="s">
        <v>290</v>
      </c>
      <c r="H117" t="s">
        <v>291</v>
      </c>
    </row>
    <row r="118" spans="1:9" x14ac:dyDescent="0.25">
      <c r="A118" t="s">
        <v>171</v>
      </c>
      <c r="B118" t="s">
        <v>172</v>
      </c>
      <c r="C118" t="s">
        <v>177</v>
      </c>
      <c r="D118">
        <v>1001207</v>
      </c>
      <c r="E118" t="s">
        <v>300</v>
      </c>
      <c r="G118" t="s">
        <v>301</v>
      </c>
      <c r="H118" t="s">
        <v>302</v>
      </c>
      <c r="I118" t="s">
        <v>303</v>
      </c>
    </row>
    <row r="119" spans="1:9" x14ac:dyDescent="0.25">
      <c r="A119" t="s">
        <v>171</v>
      </c>
      <c r="B119" t="s">
        <v>172</v>
      </c>
      <c r="C119" t="s">
        <v>177</v>
      </c>
      <c r="D119">
        <v>1001207</v>
      </c>
      <c r="E119" t="s">
        <v>306</v>
      </c>
      <c r="G119" t="s">
        <v>307</v>
      </c>
      <c r="H119" t="s">
        <v>308</v>
      </c>
    </row>
    <row r="120" spans="1:9" x14ac:dyDescent="0.25">
      <c r="A120" t="s">
        <v>171</v>
      </c>
      <c r="B120" t="s">
        <v>172</v>
      </c>
      <c r="C120" t="s">
        <v>177</v>
      </c>
      <c r="D120">
        <v>1001207</v>
      </c>
      <c r="E120" t="s">
        <v>311</v>
      </c>
      <c r="G120" t="s">
        <v>312</v>
      </c>
      <c r="H120" t="s">
        <v>308</v>
      </c>
    </row>
    <row r="121" spans="1:9" x14ac:dyDescent="0.25">
      <c r="A121" t="s">
        <v>171</v>
      </c>
      <c r="B121" t="s">
        <v>172</v>
      </c>
      <c r="C121" t="s">
        <v>178</v>
      </c>
      <c r="D121">
        <v>1001208</v>
      </c>
      <c r="E121" t="s">
        <v>174</v>
      </c>
      <c r="G121" t="s">
        <v>175</v>
      </c>
      <c r="H121" t="s">
        <v>176</v>
      </c>
    </row>
    <row r="122" spans="1:9" x14ac:dyDescent="0.25">
      <c r="A122" t="s">
        <v>171</v>
      </c>
      <c r="B122" t="s">
        <v>172</v>
      </c>
      <c r="C122" t="s">
        <v>178</v>
      </c>
      <c r="D122">
        <v>1001208</v>
      </c>
      <c r="E122" t="s">
        <v>185</v>
      </c>
      <c r="G122" t="s">
        <v>186</v>
      </c>
      <c r="H122" t="s">
        <v>187</v>
      </c>
      <c r="I122" t="s">
        <v>188</v>
      </c>
    </row>
    <row r="123" spans="1:9" x14ac:dyDescent="0.25">
      <c r="A123" t="s">
        <v>171</v>
      </c>
      <c r="B123" t="s">
        <v>172</v>
      </c>
      <c r="C123" t="s">
        <v>178</v>
      </c>
      <c r="D123">
        <v>1001208</v>
      </c>
      <c r="E123" t="s">
        <v>189</v>
      </c>
      <c r="G123" t="s">
        <v>186</v>
      </c>
      <c r="H123" t="s">
        <v>190</v>
      </c>
      <c r="I123" t="s">
        <v>191</v>
      </c>
    </row>
    <row r="124" spans="1:9" x14ac:dyDescent="0.25">
      <c r="A124" t="s">
        <v>171</v>
      </c>
      <c r="B124" t="s">
        <v>172</v>
      </c>
      <c r="C124" s="40" t="s">
        <v>178</v>
      </c>
      <c r="D124">
        <v>1001208</v>
      </c>
      <c r="E124" t="s">
        <v>202</v>
      </c>
      <c r="G124" t="s">
        <v>200</v>
      </c>
      <c r="H124" t="s">
        <v>203</v>
      </c>
    </row>
    <row r="125" spans="1:9" x14ac:dyDescent="0.25">
      <c r="A125" t="s">
        <v>171</v>
      </c>
      <c r="B125" t="s">
        <v>172</v>
      </c>
      <c r="C125" s="40" t="s">
        <v>178</v>
      </c>
      <c r="D125">
        <v>1001208</v>
      </c>
      <c r="E125" t="s">
        <v>204</v>
      </c>
      <c r="G125" t="s">
        <v>200</v>
      </c>
      <c r="H125" t="s">
        <v>205</v>
      </c>
    </row>
    <row r="126" spans="1:9" x14ac:dyDescent="0.25">
      <c r="A126" t="s">
        <v>171</v>
      </c>
      <c r="B126" t="s">
        <v>172</v>
      </c>
      <c r="C126" s="40" t="s">
        <v>178</v>
      </c>
      <c r="D126">
        <v>1001208</v>
      </c>
      <c r="E126" t="s">
        <v>212</v>
      </c>
      <c r="G126" t="s">
        <v>211</v>
      </c>
      <c r="H126" t="s">
        <v>213</v>
      </c>
      <c r="I126" t="s">
        <v>214</v>
      </c>
    </row>
    <row r="127" spans="1:9" x14ac:dyDescent="0.25">
      <c r="A127" t="s">
        <v>171</v>
      </c>
      <c r="B127" t="s">
        <v>172</v>
      </c>
      <c r="C127" s="40" t="s">
        <v>178</v>
      </c>
      <c r="D127">
        <v>1001208</v>
      </c>
      <c r="E127" t="s">
        <v>45</v>
      </c>
      <c r="F127" t="s">
        <v>46</v>
      </c>
      <c r="G127" t="s">
        <v>222</v>
      </c>
      <c r="H127" t="s">
        <v>224</v>
      </c>
    </row>
    <row r="128" spans="1:9" x14ac:dyDescent="0.25">
      <c r="A128" t="s">
        <v>171</v>
      </c>
      <c r="B128" t="s">
        <v>172</v>
      </c>
      <c r="C128" s="40" t="s">
        <v>178</v>
      </c>
      <c r="D128">
        <v>1001208</v>
      </c>
      <c r="E128" t="s">
        <v>225</v>
      </c>
      <c r="G128" t="s">
        <v>226</v>
      </c>
      <c r="H128" t="s">
        <v>227</v>
      </c>
      <c r="I128" t="s">
        <v>228</v>
      </c>
    </row>
    <row r="129" spans="1:9" x14ac:dyDescent="0.25">
      <c r="A129" t="s">
        <v>171</v>
      </c>
      <c r="B129" t="s">
        <v>172</v>
      </c>
      <c r="C129" s="40" t="s">
        <v>178</v>
      </c>
      <c r="D129">
        <v>1001208</v>
      </c>
      <c r="E129" t="s">
        <v>229</v>
      </c>
      <c r="G129" t="s">
        <v>230</v>
      </c>
      <c r="H129" t="s">
        <v>231</v>
      </c>
      <c r="I129" t="s">
        <v>232</v>
      </c>
    </row>
    <row r="130" spans="1:9" x14ac:dyDescent="0.25">
      <c r="A130" t="s">
        <v>171</v>
      </c>
      <c r="B130" t="s">
        <v>172</v>
      </c>
      <c r="C130" s="40" t="s">
        <v>178</v>
      </c>
      <c r="D130">
        <v>1001208</v>
      </c>
      <c r="E130" t="s">
        <v>250</v>
      </c>
      <c r="F130" t="s">
        <v>234</v>
      </c>
      <c r="G130" t="s">
        <v>230</v>
      </c>
      <c r="H130" t="s">
        <v>251</v>
      </c>
      <c r="I130" t="s">
        <v>236</v>
      </c>
    </row>
    <row r="131" spans="1:9" x14ac:dyDescent="0.25">
      <c r="A131" t="s">
        <v>171</v>
      </c>
      <c r="B131" t="s">
        <v>172</v>
      </c>
      <c r="C131" s="40" t="s">
        <v>178</v>
      </c>
      <c r="D131">
        <v>1001208</v>
      </c>
      <c r="E131" t="s">
        <v>252</v>
      </c>
      <c r="F131" t="s">
        <v>234</v>
      </c>
      <c r="G131" t="s">
        <v>230</v>
      </c>
      <c r="H131" t="s">
        <v>253</v>
      </c>
      <c r="I131" t="s">
        <v>236</v>
      </c>
    </row>
    <row r="132" spans="1:9" x14ac:dyDescent="0.25">
      <c r="A132" t="s">
        <v>171</v>
      </c>
      <c r="B132" t="s">
        <v>172</v>
      </c>
      <c r="C132" s="40" t="s">
        <v>178</v>
      </c>
      <c r="D132">
        <v>1001208</v>
      </c>
      <c r="E132" t="s">
        <v>277</v>
      </c>
      <c r="G132" t="s">
        <v>278</v>
      </c>
      <c r="H132" t="s">
        <v>279</v>
      </c>
    </row>
    <row r="133" spans="1:9" x14ac:dyDescent="0.25">
      <c r="A133" t="s">
        <v>171</v>
      </c>
      <c r="B133" t="s">
        <v>172</v>
      </c>
      <c r="C133" s="40" t="s">
        <v>178</v>
      </c>
      <c r="D133">
        <v>1001208</v>
      </c>
      <c r="E133" t="s">
        <v>282</v>
      </c>
      <c r="G133" t="s">
        <v>283</v>
      </c>
      <c r="H133" t="s">
        <v>284</v>
      </c>
      <c r="I133" t="s">
        <v>285</v>
      </c>
    </row>
    <row r="134" spans="1:9" x14ac:dyDescent="0.25">
      <c r="A134" t="s">
        <v>171</v>
      </c>
      <c r="B134" t="s">
        <v>172</v>
      </c>
      <c r="C134" s="40" t="s">
        <v>178</v>
      </c>
      <c r="D134">
        <v>1001208</v>
      </c>
      <c r="E134" t="s">
        <v>33</v>
      </c>
      <c r="F134" t="s">
        <v>34</v>
      </c>
      <c r="G134" t="s">
        <v>290</v>
      </c>
      <c r="H134" t="s">
        <v>292</v>
      </c>
    </row>
    <row r="135" spans="1:9" x14ac:dyDescent="0.25">
      <c r="A135" t="s">
        <v>171</v>
      </c>
      <c r="B135" t="s">
        <v>172</v>
      </c>
      <c r="C135" s="40" t="s">
        <v>178</v>
      </c>
      <c r="D135">
        <v>1001208</v>
      </c>
      <c r="E135" t="s">
        <v>300</v>
      </c>
      <c r="G135" t="s">
        <v>301</v>
      </c>
      <c r="H135" t="s">
        <v>302</v>
      </c>
      <c r="I135" t="s">
        <v>303</v>
      </c>
    </row>
    <row r="136" spans="1:9" x14ac:dyDescent="0.25">
      <c r="A136" t="s">
        <v>171</v>
      </c>
      <c r="B136" t="s">
        <v>172</v>
      </c>
      <c r="C136" s="40" t="s">
        <v>178</v>
      </c>
      <c r="D136">
        <v>1001208</v>
      </c>
      <c r="E136" t="s">
        <v>306</v>
      </c>
      <c r="G136" t="s">
        <v>307</v>
      </c>
      <c r="H136" t="s">
        <v>308</v>
      </c>
    </row>
    <row r="137" spans="1:9" x14ac:dyDescent="0.25">
      <c r="A137" t="s">
        <v>171</v>
      </c>
      <c r="B137" t="s">
        <v>172</v>
      </c>
      <c r="C137" s="40" t="s">
        <v>178</v>
      </c>
      <c r="D137">
        <v>1001208</v>
      </c>
      <c r="E137" t="s">
        <v>311</v>
      </c>
      <c r="G137" t="s">
        <v>312</v>
      </c>
      <c r="H137" t="s">
        <v>308</v>
      </c>
    </row>
    <row r="138" spans="1:9" x14ac:dyDescent="0.25">
      <c r="A138" t="s">
        <v>171</v>
      </c>
      <c r="B138" t="s">
        <v>179</v>
      </c>
      <c r="C138" s="35" t="str">
        <f t="shared" ref="C138:C154" si="0">TEXT(45,0)</f>
        <v>45</v>
      </c>
      <c r="D138">
        <v>1001209</v>
      </c>
      <c r="E138" t="s">
        <v>174</v>
      </c>
      <c r="G138" t="s">
        <v>175</v>
      </c>
      <c r="H138" t="s">
        <v>176</v>
      </c>
    </row>
    <row r="139" spans="1:9" x14ac:dyDescent="0.25">
      <c r="A139" t="s">
        <v>171</v>
      </c>
      <c r="B139" t="s">
        <v>179</v>
      </c>
      <c r="C139" s="35" t="str">
        <f t="shared" si="0"/>
        <v>45</v>
      </c>
      <c r="D139">
        <v>1001209</v>
      </c>
      <c r="E139" t="s">
        <v>185</v>
      </c>
      <c r="G139" t="s">
        <v>186</v>
      </c>
      <c r="H139" t="s">
        <v>187</v>
      </c>
      <c r="I139" t="s">
        <v>188</v>
      </c>
    </row>
    <row r="140" spans="1:9" x14ac:dyDescent="0.25">
      <c r="A140" t="s">
        <v>171</v>
      </c>
      <c r="B140" t="s">
        <v>179</v>
      </c>
      <c r="C140" s="35" t="str">
        <f t="shared" si="0"/>
        <v>45</v>
      </c>
      <c r="D140">
        <v>1001209</v>
      </c>
      <c r="E140" t="s">
        <v>189</v>
      </c>
      <c r="G140" t="s">
        <v>186</v>
      </c>
      <c r="H140" t="s">
        <v>190</v>
      </c>
      <c r="I140" t="s">
        <v>191</v>
      </c>
    </row>
    <row r="141" spans="1:9" x14ac:dyDescent="0.25">
      <c r="A141" t="s">
        <v>171</v>
      </c>
      <c r="B141" t="s">
        <v>179</v>
      </c>
      <c r="C141" s="35" t="str">
        <f t="shared" si="0"/>
        <v>45</v>
      </c>
      <c r="D141">
        <v>1001209</v>
      </c>
      <c r="E141" t="s">
        <v>206</v>
      </c>
      <c r="G141" t="s">
        <v>200</v>
      </c>
      <c r="H141" t="s">
        <v>207</v>
      </c>
    </row>
    <row r="142" spans="1:9" x14ac:dyDescent="0.25">
      <c r="A142" t="s">
        <v>171</v>
      </c>
      <c r="B142" t="s">
        <v>179</v>
      </c>
      <c r="C142" s="35" t="str">
        <f t="shared" si="0"/>
        <v>45</v>
      </c>
      <c r="D142">
        <v>1001209</v>
      </c>
      <c r="E142" t="s">
        <v>208</v>
      </c>
      <c r="G142" t="s">
        <v>200</v>
      </c>
      <c r="H142" t="s">
        <v>209</v>
      </c>
    </row>
    <row r="143" spans="1:9" x14ac:dyDescent="0.25">
      <c r="A143" t="s">
        <v>171</v>
      </c>
      <c r="B143" t="s">
        <v>179</v>
      </c>
      <c r="C143" s="35" t="str">
        <f t="shared" si="0"/>
        <v>45</v>
      </c>
      <c r="D143">
        <v>1001209</v>
      </c>
      <c r="E143" t="s">
        <v>215</v>
      </c>
      <c r="G143" t="s">
        <v>211</v>
      </c>
      <c r="H143" t="s">
        <v>216</v>
      </c>
      <c r="I143" t="s">
        <v>214</v>
      </c>
    </row>
    <row r="144" spans="1:9" x14ac:dyDescent="0.25">
      <c r="A144" t="s">
        <v>171</v>
      </c>
      <c r="B144" t="s">
        <v>179</v>
      </c>
      <c r="C144" s="35" t="str">
        <f t="shared" si="0"/>
        <v>45</v>
      </c>
      <c r="D144">
        <v>1001209</v>
      </c>
      <c r="E144" t="s">
        <v>48</v>
      </c>
      <c r="F144" t="s">
        <v>49</v>
      </c>
      <c r="G144" t="s">
        <v>222</v>
      </c>
      <c r="H144" t="s">
        <v>179</v>
      </c>
    </row>
    <row r="145" spans="1:9" x14ac:dyDescent="0.25">
      <c r="A145" t="s">
        <v>171</v>
      </c>
      <c r="B145" t="s">
        <v>179</v>
      </c>
      <c r="C145" s="35" t="str">
        <f t="shared" si="0"/>
        <v>45</v>
      </c>
      <c r="D145">
        <v>1001209</v>
      </c>
      <c r="E145" t="s">
        <v>229</v>
      </c>
      <c r="G145" t="s">
        <v>230</v>
      </c>
      <c r="H145" t="s">
        <v>231</v>
      </c>
      <c r="I145" t="s">
        <v>232</v>
      </c>
    </row>
    <row r="146" spans="1:9" x14ac:dyDescent="0.25">
      <c r="A146" t="s">
        <v>171</v>
      </c>
      <c r="B146" t="s">
        <v>179</v>
      </c>
      <c r="C146" s="35" t="str">
        <f t="shared" si="0"/>
        <v>45</v>
      </c>
      <c r="D146">
        <v>1001209</v>
      </c>
      <c r="E146" t="s">
        <v>254</v>
      </c>
      <c r="F146" t="s">
        <v>234</v>
      </c>
      <c r="G146" t="s">
        <v>230</v>
      </c>
      <c r="H146" t="s">
        <v>255</v>
      </c>
      <c r="I146" t="s">
        <v>236</v>
      </c>
    </row>
    <row r="147" spans="1:9" x14ac:dyDescent="0.25">
      <c r="A147" t="s">
        <v>171</v>
      </c>
      <c r="B147" t="s">
        <v>179</v>
      </c>
      <c r="C147" s="35" t="str">
        <f t="shared" si="0"/>
        <v>45</v>
      </c>
      <c r="D147">
        <v>1001209</v>
      </c>
      <c r="E147" t="s">
        <v>256</v>
      </c>
      <c r="F147" t="s">
        <v>234</v>
      </c>
      <c r="G147" t="s">
        <v>230</v>
      </c>
      <c r="H147" t="s">
        <v>257</v>
      </c>
      <c r="I147" t="s">
        <v>236</v>
      </c>
    </row>
    <row r="148" spans="1:9" x14ac:dyDescent="0.25">
      <c r="A148" t="s">
        <v>171</v>
      </c>
      <c r="B148" t="s">
        <v>179</v>
      </c>
      <c r="C148" s="35" t="str">
        <f t="shared" si="0"/>
        <v>45</v>
      </c>
      <c r="D148">
        <v>1001209</v>
      </c>
      <c r="E148" t="s">
        <v>277</v>
      </c>
      <c r="G148" t="s">
        <v>278</v>
      </c>
      <c r="H148" t="s">
        <v>279</v>
      </c>
    </row>
    <row r="149" spans="1:9" x14ac:dyDescent="0.25">
      <c r="A149" t="s">
        <v>171</v>
      </c>
      <c r="B149" t="s">
        <v>179</v>
      </c>
      <c r="C149" s="35" t="str">
        <f t="shared" si="0"/>
        <v>45</v>
      </c>
      <c r="D149">
        <v>1001209</v>
      </c>
      <c r="E149" t="s">
        <v>282</v>
      </c>
      <c r="G149" t="s">
        <v>283</v>
      </c>
      <c r="H149" t="s">
        <v>284</v>
      </c>
      <c r="I149" t="s">
        <v>285</v>
      </c>
    </row>
    <row r="150" spans="1:9" x14ac:dyDescent="0.25">
      <c r="A150" t="s">
        <v>171</v>
      </c>
      <c r="B150" t="s">
        <v>179</v>
      </c>
      <c r="C150" s="35" t="str">
        <f t="shared" si="0"/>
        <v>45</v>
      </c>
      <c r="D150">
        <v>1001209</v>
      </c>
      <c r="E150" t="s">
        <v>286</v>
      </c>
      <c r="G150" t="s">
        <v>287</v>
      </c>
    </row>
    <row r="151" spans="1:9" x14ac:dyDescent="0.25">
      <c r="A151" t="s">
        <v>171</v>
      </c>
      <c r="B151" t="s">
        <v>179</v>
      </c>
      <c r="C151" s="35" t="str">
        <f t="shared" si="0"/>
        <v>45</v>
      </c>
      <c r="D151">
        <v>1001209</v>
      </c>
      <c r="E151" t="s">
        <v>36</v>
      </c>
      <c r="F151" t="s">
        <v>37</v>
      </c>
      <c r="G151" t="s">
        <v>290</v>
      </c>
      <c r="H151" t="s">
        <v>293</v>
      </c>
    </row>
    <row r="152" spans="1:9" x14ac:dyDescent="0.25">
      <c r="A152" t="s">
        <v>171</v>
      </c>
      <c r="B152" t="s">
        <v>179</v>
      </c>
      <c r="C152" s="35" t="str">
        <f t="shared" si="0"/>
        <v>45</v>
      </c>
      <c r="D152">
        <v>1001209</v>
      </c>
      <c r="E152" t="s">
        <v>300</v>
      </c>
      <c r="G152" t="s">
        <v>301</v>
      </c>
      <c r="H152" t="s">
        <v>302</v>
      </c>
      <c r="I152" t="s">
        <v>303</v>
      </c>
    </row>
    <row r="153" spans="1:9" x14ac:dyDescent="0.25">
      <c r="A153" t="s">
        <v>171</v>
      </c>
      <c r="B153" t="s">
        <v>179</v>
      </c>
      <c r="C153" s="35" t="str">
        <f t="shared" si="0"/>
        <v>45</v>
      </c>
      <c r="D153">
        <v>1001209</v>
      </c>
      <c r="E153" t="s">
        <v>309</v>
      </c>
      <c r="G153" t="s">
        <v>307</v>
      </c>
      <c r="H153" t="s">
        <v>179</v>
      </c>
    </row>
    <row r="154" spans="1:9" x14ac:dyDescent="0.25">
      <c r="A154" t="s">
        <v>171</v>
      </c>
      <c r="B154" t="s">
        <v>179</v>
      </c>
      <c r="C154" s="35" t="str">
        <f t="shared" si="0"/>
        <v>45</v>
      </c>
      <c r="D154">
        <v>1001209</v>
      </c>
      <c r="E154" t="s">
        <v>73</v>
      </c>
      <c r="F154" t="s">
        <v>74</v>
      </c>
      <c r="G154" t="s">
        <v>312</v>
      </c>
      <c r="H154" t="s">
        <v>179</v>
      </c>
    </row>
    <row r="155" spans="1:9" x14ac:dyDescent="0.25">
      <c r="A155" t="s">
        <v>171</v>
      </c>
      <c r="B155" t="s">
        <v>179</v>
      </c>
      <c r="C155" t="str">
        <f t="shared" ref="C155:C171" si="1">TEXT(70,0)</f>
        <v>70</v>
      </c>
      <c r="D155">
        <v>1001210</v>
      </c>
      <c r="E155" t="s">
        <v>174</v>
      </c>
      <c r="G155" t="s">
        <v>175</v>
      </c>
      <c r="H155" t="s">
        <v>176</v>
      </c>
    </row>
    <row r="156" spans="1:9" x14ac:dyDescent="0.25">
      <c r="A156" t="s">
        <v>171</v>
      </c>
      <c r="B156" t="s">
        <v>179</v>
      </c>
      <c r="C156" t="str">
        <f t="shared" si="1"/>
        <v>70</v>
      </c>
      <c r="D156">
        <v>1001210</v>
      </c>
      <c r="E156" t="s">
        <v>185</v>
      </c>
      <c r="G156" t="s">
        <v>186</v>
      </c>
      <c r="H156" t="s">
        <v>187</v>
      </c>
      <c r="I156" t="s">
        <v>188</v>
      </c>
    </row>
    <row r="157" spans="1:9" x14ac:dyDescent="0.25">
      <c r="A157" t="s">
        <v>171</v>
      </c>
      <c r="B157" t="s">
        <v>179</v>
      </c>
      <c r="C157" t="str">
        <f t="shared" si="1"/>
        <v>70</v>
      </c>
      <c r="D157">
        <v>1001210</v>
      </c>
      <c r="E157" t="s">
        <v>189</v>
      </c>
      <c r="G157" t="s">
        <v>186</v>
      </c>
      <c r="H157" t="s">
        <v>190</v>
      </c>
      <c r="I157" t="s">
        <v>191</v>
      </c>
    </row>
    <row r="158" spans="1:9" x14ac:dyDescent="0.25">
      <c r="A158" t="s">
        <v>171</v>
      </c>
      <c r="B158" t="s">
        <v>179</v>
      </c>
      <c r="C158" t="str">
        <f t="shared" si="1"/>
        <v>70</v>
      </c>
      <c r="D158">
        <v>1001210</v>
      </c>
      <c r="E158" t="s">
        <v>206</v>
      </c>
      <c r="G158" t="s">
        <v>200</v>
      </c>
      <c r="H158" t="s">
        <v>207</v>
      </c>
    </row>
    <row r="159" spans="1:9" x14ac:dyDescent="0.25">
      <c r="A159" t="s">
        <v>171</v>
      </c>
      <c r="B159" t="s">
        <v>179</v>
      </c>
      <c r="C159" t="str">
        <f t="shared" si="1"/>
        <v>70</v>
      </c>
      <c r="D159">
        <v>1001210</v>
      </c>
      <c r="E159" t="s">
        <v>208</v>
      </c>
      <c r="G159" t="s">
        <v>200</v>
      </c>
      <c r="H159" t="s">
        <v>209</v>
      </c>
    </row>
    <row r="160" spans="1:9" x14ac:dyDescent="0.25">
      <c r="A160" t="s">
        <v>171</v>
      </c>
      <c r="B160" t="s">
        <v>179</v>
      </c>
      <c r="C160" t="str">
        <f t="shared" si="1"/>
        <v>70</v>
      </c>
      <c r="D160">
        <v>1001210</v>
      </c>
      <c r="E160" t="s">
        <v>215</v>
      </c>
      <c r="G160" t="s">
        <v>211</v>
      </c>
      <c r="H160" t="s">
        <v>216</v>
      </c>
      <c r="I160" t="s">
        <v>214</v>
      </c>
    </row>
    <row r="161" spans="1:9" x14ac:dyDescent="0.25">
      <c r="A161" t="s">
        <v>171</v>
      </c>
      <c r="B161" t="s">
        <v>179</v>
      </c>
      <c r="C161" t="str">
        <f t="shared" si="1"/>
        <v>70</v>
      </c>
      <c r="D161">
        <v>1001210</v>
      </c>
      <c r="E161" t="s">
        <v>48</v>
      </c>
      <c r="F161" t="s">
        <v>49</v>
      </c>
      <c r="G161" t="s">
        <v>222</v>
      </c>
      <c r="H161" t="s">
        <v>179</v>
      </c>
    </row>
    <row r="162" spans="1:9" x14ac:dyDescent="0.25">
      <c r="A162" t="s">
        <v>171</v>
      </c>
      <c r="B162" t="s">
        <v>179</v>
      </c>
      <c r="C162" t="str">
        <f t="shared" si="1"/>
        <v>70</v>
      </c>
      <c r="D162">
        <v>1001210</v>
      </c>
      <c r="E162" t="s">
        <v>229</v>
      </c>
      <c r="G162" t="s">
        <v>230</v>
      </c>
      <c r="H162" t="s">
        <v>231</v>
      </c>
      <c r="I162" t="s">
        <v>232</v>
      </c>
    </row>
    <row r="163" spans="1:9" x14ac:dyDescent="0.25">
      <c r="A163" t="s">
        <v>171</v>
      </c>
      <c r="B163" t="s">
        <v>179</v>
      </c>
      <c r="C163" t="str">
        <f t="shared" si="1"/>
        <v>70</v>
      </c>
      <c r="D163">
        <v>1001210</v>
      </c>
      <c r="E163" t="s">
        <v>258</v>
      </c>
      <c r="F163" t="s">
        <v>234</v>
      </c>
      <c r="G163" t="s">
        <v>230</v>
      </c>
      <c r="H163" t="s">
        <v>259</v>
      </c>
      <c r="I163" t="s">
        <v>236</v>
      </c>
    </row>
    <row r="164" spans="1:9" x14ac:dyDescent="0.25">
      <c r="A164" t="s">
        <v>171</v>
      </c>
      <c r="B164" t="s">
        <v>179</v>
      </c>
      <c r="C164" t="str">
        <f t="shared" si="1"/>
        <v>70</v>
      </c>
      <c r="D164">
        <v>1001210</v>
      </c>
      <c r="E164" t="s">
        <v>260</v>
      </c>
      <c r="F164" t="s">
        <v>234</v>
      </c>
      <c r="G164" t="s">
        <v>230</v>
      </c>
      <c r="H164" t="s">
        <v>261</v>
      </c>
      <c r="I164" t="s">
        <v>236</v>
      </c>
    </row>
    <row r="165" spans="1:9" x14ac:dyDescent="0.25">
      <c r="A165" t="s">
        <v>171</v>
      </c>
      <c r="B165" t="s">
        <v>179</v>
      </c>
      <c r="C165" s="40" t="str">
        <f t="shared" si="1"/>
        <v>70</v>
      </c>
      <c r="D165">
        <v>1001210</v>
      </c>
      <c r="E165" t="s">
        <v>277</v>
      </c>
      <c r="G165" t="s">
        <v>278</v>
      </c>
      <c r="H165" t="s">
        <v>279</v>
      </c>
    </row>
    <row r="166" spans="1:9" x14ac:dyDescent="0.25">
      <c r="A166" t="s">
        <v>171</v>
      </c>
      <c r="B166" t="s">
        <v>179</v>
      </c>
      <c r="C166" t="str">
        <f t="shared" si="1"/>
        <v>70</v>
      </c>
      <c r="D166">
        <v>1001210</v>
      </c>
      <c r="E166" t="s">
        <v>282</v>
      </c>
      <c r="G166" t="s">
        <v>283</v>
      </c>
      <c r="H166" t="s">
        <v>284</v>
      </c>
      <c r="I166" t="s">
        <v>285</v>
      </c>
    </row>
    <row r="167" spans="1:9" x14ac:dyDescent="0.25">
      <c r="A167" t="s">
        <v>171</v>
      </c>
      <c r="B167" t="s">
        <v>179</v>
      </c>
      <c r="C167" t="str">
        <f t="shared" si="1"/>
        <v>70</v>
      </c>
      <c r="D167">
        <v>1001210</v>
      </c>
      <c r="E167" t="s">
        <v>286</v>
      </c>
      <c r="G167" t="s">
        <v>287</v>
      </c>
    </row>
    <row r="168" spans="1:9" x14ac:dyDescent="0.25">
      <c r="A168" t="s">
        <v>171</v>
      </c>
      <c r="B168" t="s">
        <v>179</v>
      </c>
      <c r="C168" t="str">
        <f t="shared" si="1"/>
        <v>70</v>
      </c>
      <c r="D168">
        <v>1001210</v>
      </c>
      <c r="E168" t="s">
        <v>39</v>
      </c>
      <c r="F168" t="s">
        <v>40</v>
      </c>
      <c r="G168" t="s">
        <v>290</v>
      </c>
      <c r="H168" t="s">
        <v>293</v>
      </c>
    </row>
    <row r="169" spans="1:9" x14ac:dyDescent="0.25">
      <c r="A169" t="s">
        <v>171</v>
      </c>
      <c r="B169" t="s">
        <v>179</v>
      </c>
      <c r="C169" t="str">
        <f t="shared" si="1"/>
        <v>70</v>
      </c>
      <c r="D169">
        <v>1001210</v>
      </c>
      <c r="E169" t="s">
        <v>300</v>
      </c>
      <c r="G169" t="s">
        <v>301</v>
      </c>
      <c r="H169" t="s">
        <v>302</v>
      </c>
      <c r="I169" t="s">
        <v>303</v>
      </c>
    </row>
    <row r="170" spans="1:9" x14ac:dyDescent="0.25">
      <c r="A170" t="s">
        <v>171</v>
      </c>
      <c r="B170" t="s">
        <v>179</v>
      </c>
      <c r="C170" t="str">
        <f t="shared" si="1"/>
        <v>70</v>
      </c>
      <c r="D170">
        <v>1001210</v>
      </c>
      <c r="E170" t="s">
        <v>309</v>
      </c>
      <c r="G170" t="s">
        <v>307</v>
      </c>
      <c r="H170" t="s">
        <v>179</v>
      </c>
    </row>
    <row r="171" spans="1:9" x14ac:dyDescent="0.25">
      <c r="A171" t="s">
        <v>171</v>
      </c>
      <c r="B171" t="s">
        <v>179</v>
      </c>
      <c r="C171" t="str">
        <f t="shared" si="1"/>
        <v>70</v>
      </c>
      <c r="D171">
        <v>1001210</v>
      </c>
      <c r="E171" t="s">
        <v>73</v>
      </c>
      <c r="F171" t="s">
        <v>74</v>
      </c>
      <c r="G171" t="s">
        <v>312</v>
      </c>
      <c r="H171" t="s">
        <v>179</v>
      </c>
    </row>
    <row r="172" spans="1:9" x14ac:dyDescent="0.25">
      <c r="D172">
        <v>1001211</v>
      </c>
      <c r="E172" t="s">
        <v>55</v>
      </c>
      <c r="F172" t="s">
        <v>56</v>
      </c>
    </row>
    <row r="173" spans="1:9" x14ac:dyDescent="0.25">
      <c r="D173">
        <v>1001211</v>
      </c>
      <c r="E173" t="s">
        <v>58</v>
      </c>
      <c r="F173" t="s">
        <v>59</v>
      </c>
    </row>
    <row r="174" spans="1:9" x14ac:dyDescent="0.25">
      <c r="C174" s="40"/>
      <c r="D174">
        <v>1001211</v>
      </c>
      <c r="E174" t="s">
        <v>61</v>
      </c>
      <c r="F174" t="s">
        <v>62</v>
      </c>
    </row>
    <row r="175" spans="1:9" x14ac:dyDescent="0.25">
      <c r="D175">
        <v>1001211</v>
      </c>
      <c r="E175" t="s">
        <v>64</v>
      </c>
      <c r="F175" t="s">
        <v>65</v>
      </c>
    </row>
    <row r="176" spans="1:9" x14ac:dyDescent="0.25">
      <c r="D176">
        <v>1001211</v>
      </c>
      <c r="E176" t="s">
        <v>67</v>
      </c>
      <c r="F176" t="s">
        <v>68</v>
      </c>
    </row>
    <row r="177" spans="1:9" x14ac:dyDescent="0.25">
      <c r="D177">
        <v>1001211</v>
      </c>
      <c r="E177" t="s">
        <v>70</v>
      </c>
      <c r="F177" t="s">
        <v>71</v>
      </c>
    </row>
    <row r="178" spans="1:9" x14ac:dyDescent="0.25">
      <c r="D178">
        <v>1001212</v>
      </c>
      <c r="E178" t="s">
        <v>102</v>
      </c>
      <c r="F178" t="s">
        <v>103</v>
      </c>
    </row>
    <row r="179" spans="1:9" x14ac:dyDescent="0.25">
      <c r="A179" t="s">
        <v>171</v>
      </c>
      <c r="B179" t="s">
        <v>180</v>
      </c>
      <c r="C179" t="s">
        <v>181</v>
      </c>
      <c r="D179">
        <v>1001213</v>
      </c>
      <c r="E179" t="s">
        <v>174</v>
      </c>
      <c r="G179" t="s">
        <v>175</v>
      </c>
      <c r="H179" t="s">
        <v>176</v>
      </c>
    </row>
    <row r="180" spans="1:9" x14ac:dyDescent="0.25">
      <c r="A180" t="s">
        <v>171</v>
      </c>
      <c r="B180" t="s">
        <v>180</v>
      </c>
      <c r="C180" t="s">
        <v>181</v>
      </c>
      <c r="D180">
        <v>1001213</v>
      </c>
      <c r="E180" t="s">
        <v>185</v>
      </c>
      <c r="G180" t="s">
        <v>186</v>
      </c>
      <c r="H180" t="s">
        <v>187</v>
      </c>
      <c r="I180" t="s">
        <v>188</v>
      </c>
    </row>
    <row r="181" spans="1:9" x14ac:dyDescent="0.25">
      <c r="A181" t="s">
        <v>171</v>
      </c>
      <c r="B181" t="s">
        <v>180</v>
      </c>
      <c r="C181" t="s">
        <v>181</v>
      </c>
      <c r="D181">
        <v>1001213</v>
      </c>
      <c r="E181" t="s">
        <v>189</v>
      </c>
      <c r="G181" t="s">
        <v>186</v>
      </c>
      <c r="H181" t="s">
        <v>190</v>
      </c>
      <c r="I181" t="s">
        <v>191</v>
      </c>
    </row>
    <row r="182" spans="1:9" x14ac:dyDescent="0.25">
      <c r="A182" t="s">
        <v>171</v>
      </c>
      <c r="B182" t="s">
        <v>180</v>
      </c>
      <c r="C182" s="40" t="s">
        <v>181</v>
      </c>
      <c r="D182">
        <v>1001213</v>
      </c>
      <c r="E182" t="s">
        <v>206</v>
      </c>
      <c r="G182" t="s">
        <v>200</v>
      </c>
      <c r="H182" t="s">
        <v>207</v>
      </c>
    </row>
    <row r="183" spans="1:9" x14ac:dyDescent="0.25">
      <c r="A183" t="s">
        <v>171</v>
      </c>
      <c r="B183" t="s">
        <v>180</v>
      </c>
      <c r="C183" t="s">
        <v>181</v>
      </c>
      <c r="D183">
        <v>1001213</v>
      </c>
      <c r="E183" t="s">
        <v>208</v>
      </c>
      <c r="G183" t="s">
        <v>200</v>
      </c>
      <c r="H183" t="s">
        <v>209</v>
      </c>
    </row>
    <row r="184" spans="1:9" x14ac:dyDescent="0.25">
      <c r="A184" t="s">
        <v>171</v>
      </c>
      <c r="B184" t="s">
        <v>180</v>
      </c>
      <c r="C184" t="s">
        <v>181</v>
      </c>
      <c r="D184">
        <v>1001213</v>
      </c>
      <c r="E184" t="s">
        <v>215</v>
      </c>
      <c r="G184" t="s">
        <v>211</v>
      </c>
      <c r="H184" t="s">
        <v>216</v>
      </c>
      <c r="I184" t="s">
        <v>214</v>
      </c>
    </row>
    <row r="185" spans="1:9" x14ac:dyDescent="0.25">
      <c r="A185" t="s">
        <v>171</v>
      </c>
      <c r="B185" t="s">
        <v>180</v>
      </c>
      <c r="C185" t="s">
        <v>181</v>
      </c>
      <c r="D185">
        <v>1001213</v>
      </c>
      <c r="E185" t="s">
        <v>87</v>
      </c>
      <c r="F185" t="s">
        <v>88</v>
      </c>
      <c r="G185" t="s">
        <v>222</v>
      </c>
      <c r="H185" t="s">
        <v>180</v>
      </c>
    </row>
    <row r="186" spans="1:9" x14ac:dyDescent="0.25">
      <c r="A186" t="s">
        <v>171</v>
      </c>
      <c r="B186" t="s">
        <v>180</v>
      </c>
      <c r="C186" t="s">
        <v>181</v>
      </c>
      <c r="D186">
        <v>1001213</v>
      </c>
      <c r="E186" t="s">
        <v>229</v>
      </c>
      <c r="G186" t="s">
        <v>230</v>
      </c>
      <c r="H186" t="s">
        <v>231</v>
      </c>
      <c r="I186" t="s">
        <v>232</v>
      </c>
    </row>
    <row r="187" spans="1:9" x14ac:dyDescent="0.25">
      <c r="A187" t="s">
        <v>171</v>
      </c>
      <c r="B187" t="s">
        <v>180</v>
      </c>
      <c r="C187" t="s">
        <v>181</v>
      </c>
      <c r="D187">
        <v>1001213</v>
      </c>
      <c r="E187" t="s">
        <v>262</v>
      </c>
      <c r="F187" t="s">
        <v>234</v>
      </c>
      <c r="G187" t="s">
        <v>230</v>
      </c>
      <c r="H187" t="s">
        <v>263</v>
      </c>
      <c r="I187" t="s">
        <v>236</v>
      </c>
    </row>
    <row r="188" spans="1:9" x14ac:dyDescent="0.25">
      <c r="A188" t="s">
        <v>171</v>
      </c>
      <c r="B188" t="s">
        <v>180</v>
      </c>
      <c r="C188" t="s">
        <v>181</v>
      </c>
      <c r="D188">
        <v>1001213</v>
      </c>
      <c r="E188" t="s">
        <v>264</v>
      </c>
      <c r="F188" t="s">
        <v>234</v>
      </c>
      <c r="G188" t="s">
        <v>230</v>
      </c>
      <c r="H188" t="s">
        <v>265</v>
      </c>
      <c r="I188" t="s">
        <v>236</v>
      </c>
    </row>
    <row r="189" spans="1:9" x14ac:dyDescent="0.25">
      <c r="A189" t="s">
        <v>171</v>
      </c>
      <c r="B189" t="s">
        <v>180</v>
      </c>
      <c r="C189" t="s">
        <v>181</v>
      </c>
      <c r="D189">
        <v>1001213</v>
      </c>
      <c r="E189" t="s">
        <v>277</v>
      </c>
      <c r="G189" t="s">
        <v>278</v>
      </c>
      <c r="H189" t="s">
        <v>279</v>
      </c>
    </row>
    <row r="190" spans="1:9" x14ac:dyDescent="0.25">
      <c r="A190" t="s">
        <v>171</v>
      </c>
      <c r="B190" t="s">
        <v>180</v>
      </c>
      <c r="C190" t="s">
        <v>181</v>
      </c>
      <c r="D190">
        <v>1001213</v>
      </c>
      <c r="E190" t="s">
        <v>282</v>
      </c>
      <c r="G190" t="s">
        <v>283</v>
      </c>
      <c r="H190" t="s">
        <v>284</v>
      </c>
      <c r="I190" t="s">
        <v>285</v>
      </c>
    </row>
    <row r="191" spans="1:9" x14ac:dyDescent="0.25">
      <c r="A191" t="s">
        <v>171</v>
      </c>
      <c r="B191" t="s">
        <v>180</v>
      </c>
      <c r="C191" t="s">
        <v>181</v>
      </c>
      <c r="D191">
        <v>1001213</v>
      </c>
      <c r="E191" t="s">
        <v>286</v>
      </c>
      <c r="G191" t="s">
        <v>287</v>
      </c>
    </row>
    <row r="192" spans="1:9" x14ac:dyDescent="0.25">
      <c r="A192" t="s">
        <v>171</v>
      </c>
      <c r="B192" t="s">
        <v>180</v>
      </c>
      <c r="C192" t="s">
        <v>181</v>
      </c>
      <c r="D192">
        <v>1001213</v>
      </c>
      <c r="E192" t="s">
        <v>92</v>
      </c>
      <c r="F192" t="s">
        <v>90</v>
      </c>
      <c r="G192" t="s">
        <v>290</v>
      </c>
      <c r="H192" t="s">
        <v>294</v>
      </c>
    </row>
    <row r="193" spans="1:9" x14ac:dyDescent="0.25">
      <c r="A193" t="s">
        <v>171</v>
      </c>
      <c r="B193" t="s">
        <v>180</v>
      </c>
      <c r="C193" t="s">
        <v>181</v>
      </c>
      <c r="D193">
        <v>1001213</v>
      </c>
      <c r="E193" t="s">
        <v>300</v>
      </c>
      <c r="G193" t="s">
        <v>301</v>
      </c>
      <c r="H193" t="s">
        <v>302</v>
      </c>
      <c r="I193" t="s">
        <v>303</v>
      </c>
    </row>
    <row r="194" spans="1:9" x14ac:dyDescent="0.25">
      <c r="A194" t="s">
        <v>171</v>
      </c>
      <c r="B194" t="s">
        <v>180</v>
      </c>
      <c r="C194" t="s">
        <v>181</v>
      </c>
      <c r="D194">
        <v>1001213</v>
      </c>
      <c r="E194" t="s">
        <v>310</v>
      </c>
      <c r="G194" t="s">
        <v>307</v>
      </c>
      <c r="H194" t="s">
        <v>180</v>
      </c>
    </row>
    <row r="195" spans="1:9" x14ac:dyDescent="0.25">
      <c r="A195" t="s">
        <v>171</v>
      </c>
      <c r="B195" t="s">
        <v>180</v>
      </c>
      <c r="C195" t="s">
        <v>181</v>
      </c>
      <c r="D195">
        <v>1001213</v>
      </c>
      <c r="E195" t="s">
        <v>73</v>
      </c>
      <c r="F195" t="s">
        <v>74</v>
      </c>
      <c r="G195" t="s">
        <v>312</v>
      </c>
      <c r="H195" t="s">
        <v>179</v>
      </c>
    </row>
    <row r="196" spans="1:9" x14ac:dyDescent="0.25">
      <c r="A196" t="s">
        <v>171</v>
      </c>
      <c r="B196" t="s">
        <v>180</v>
      </c>
      <c r="C196" t="s">
        <v>182</v>
      </c>
      <c r="D196">
        <v>1001214</v>
      </c>
      <c r="E196" t="s">
        <v>174</v>
      </c>
      <c r="G196" t="s">
        <v>175</v>
      </c>
      <c r="H196" t="s">
        <v>176</v>
      </c>
    </row>
    <row r="197" spans="1:9" x14ac:dyDescent="0.25">
      <c r="A197" t="s">
        <v>171</v>
      </c>
      <c r="B197" t="s">
        <v>180</v>
      </c>
      <c r="C197" t="s">
        <v>182</v>
      </c>
      <c r="D197">
        <v>1001214</v>
      </c>
      <c r="E197" t="s">
        <v>185</v>
      </c>
      <c r="G197" t="s">
        <v>186</v>
      </c>
      <c r="H197" t="s">
        <v>187</v>
      </c>
      <c r="I197" t="s">
        <v>188</v>
      </c>
    </row>
    <row r="198" spans="1:9" x14ac:dyDescent="0.25">
      <c r="A198" t="s">
        <v>171</v>
      </c>
      <c r="B198" t="s">
        <v>180</v>
      </c>
      <c r="C198" t="s">
        <v>182</v>
      </c>
      <c r="D198">
        <v>1001214</v>
      </c>
      <c r="E198" t="s">
        <v>189</v>
      </c>
      <c r="G198" t="s">
        <v>186</v>
      </c>
      <c r="H198" t="s">
        <v>190</v>
      </c>
      <c r="I198" t="s">
        <v>191</v>
      </c>
    </row>
    <row r="199" spans="1:9" x14ac:dyDescent="0.25">
      <c r="A199" t="s">
        <v>171</v>
      </c>
      <c r="B199" t="s">
        <v>180</v>
      </c>
      <c r="C199" t="s">
        <v>182</v>
      </c>
      <c r="D199">
        <v>1001214</v>
      </c>
      <c r="E199" t="s">
        <v>206</v>
      </c>
      <c r="G199" t="s">
        <v>200</v>
      </c>
      <c r="H199" t="s">
        <v>207</v>
      </c>
    </row>
    <row r="200" spans="1:9" x14ac:dyDescent="0.25">
      <c r="A200" t="s">
        <v>171</v>
      </c>
      <c r="B200" t="s">
        <v>180</v>
      </c>
      <c r="C200" t="s">
        <v>182</v>
      </c>
      <c r="D200">
        <v>1001214</v>
      </c>
      <c r="E200" t="s">
        <v>208</v>
      </c>
      <c r="G200" t="s">
        <v>200</v>
      </c>
      <c r="H200" t="s">
        <v>209</v>
      </c>
    </row>
    <row r="201" spans="1:9" x14ac:dyDescent="0.25">
      <c r="A201" t="s">
        <v>171</v>
      </c>
      <c r="B201" t="s">
        <v>180</v>
      </c>
      <c r="C201" t="s">
        <v>182</v>
      </c>
      <c r="D201">
        <v>1001214</v>
      </c>
      <c r="E201" t="s">
        <v>215</v>
      </c>
      <c r="G201" t="s">
        <v>211</v>
      </c>
      <c r="H201" t="s">
        <v>216</v>
      </c>
      <c r="I201" t="s">
        <v>214</v>
      </c>
    </row>
    <row r="202" spans="1:9" x14ac:dyDescent="0.25">
      <c r="A202" t="s">
        <v>171</v>
      </c>
      <c r="B202" t="s">
        <v>180</v>
      </c>
      <c r="C202" t="s">
        <v>182</v>
      </c>
      <c r="D202">
        <v>1001214</v>
      </c>
      <c r="E202" t="s">
        <v>87</v>
      </c>
      <c r="F202" t="s">
        <v>88</v>
      </c>
      <c r="G202" t="s">
        <v>222</v>
      </c>
      <c r="H202" t="s">
        <v>180</v>
      </c>
    </row>
    <row r="203" spans="1:9" x14ac:dyDescent="0.25">
      <c r="A203" t="s">
        <v>171</v>
      </c>
      <c r="B203" t="s">
        <v>180</v>
      </c>
      <c r="C203" t="s">
        <v>182</v>
      </c>
      <c r="D203">
        <v>1001214</v>
      </c>
      <c r="E203" t="s">
        <v>229</v>
      </c>
      <c r="G203" t="s">
        <v>230</v>
      </c>
      <c r="H203" t="s">
        <v>231</v>
      </c>
      <c r="I203" t="s">
        <v>232</v>
      </c>
    </row>
    <row r="204" spans="1:9" x14ac:dyDescent="0.25">
      <c r="A204" t="s">
        <v>171</v>
      </c>
      <c r="B204" t="s">
        <v>180</v>
      </c>
      <c r="C204" t="s">
        <v>182</v>
      </c>
      <c r="D204">
        <v>1001214</v>
      </c>
      <c r="E204" t="s">
        <v>266</v>
      </c>
      <c r="F204" t="s">
        <v>234</v>
      </c>
      <c r="G204" t="s">
        <v>230</v>
      </c>
      <c r="H204" t="s">
        <v>267</v>
      </c>
      <c r="I204" t="s">
        <v>236</v>
      </c>
    </row>
    <row r="205" spans="1:9" x14ac:dyDescent="0.25">
      <c r="A205" t="s">
        <v>171</v>
      </c>
      <c r="B205" t="s">
        <v>180</v>
      </c>
      <c r="C205" t="s">
        <v>182</v>
      </c>
      <c r="D205">
        <v>1001214</v>
      </c>
      <c r="E205" t="s">
        <v>268</v>
      </c>
      <c r="F205" t="s">
        <v>234</v>
      </c>
      <c r="G205" t="s">
        <v>230</v>
      </c>
      <c r="H205" t="s">
        <v>269</v>
      </c>
      <c r="I205" t="s">
        <v>236</v>
      </c>
    </row>
    <row r="206" spans="1:9" x14ac:dyDescent="0.25">
      <c r="A206" t="s">
        <v>171</v>
      </c>
      <c r="B206" t="s">
        <v>180</v>
      </c>
      <c r="C206" t="s">
        <v>182</v>
      </c>
      <c r="D206">
        <v>1001214</v>
      </c>
      <c r="E206" t="s">
        <v>277</v>
      </c>
      <c r="G206" t="s">
        <v>278</v>
      </c>
      <c r="H206" t="s">
        <v>279</v>
      </c>
    </row>
    <row r="207" spans="1:9" x14ac:dyDescent="0.25">
      <c r="A207" t="s">
        <v>171</v>
      </c>
      <c r="B207" t="s">
        <v>180</v>
      </c>
      <c r="C207" t="s">
        <v>182</v>
      </c>
      <c r="D207">
        <v>1001214</v>
      </c>
      <c r="E207" t="s">
        <v>282</v>
      </c>
      <c r="G207" t="s">
        <v>283</v>
      </c>
      <c r="H207" t="s">
        <v>284</v>
      </c>
      <c r="I207" t="s">
        <v>285</v>
      </c>
    </row>
    <row r="208" spans="1:9" x14ac:dyDescent="0.25">
      <c r="A208" t="s">
        <v>171</v>
      </c>
      <c r="B208" t="s">
        <v>180</v>
      </c>
      <c r="C208" t="s">
        <v>182</v>
      </c>
      <c r="D208">
        <v>1001214</v>
      </c>
      <c r="E208" t="s">
        <v>286</v>
      </c>
      <c r="G208" t="s">
        <v>287</v>
      </c>
    </row>
    <row r="209" spans="1:9" x14ac:dyDescent="0.25">
      <c r="A209" t="s">
        <v>171</v>
      </c>
      <c r="B209" t="s">
        <v>180</v>
      </c>
      <c r="C209" t="s">
        <v>182</v>
      </c>
      <c r="D209">
        <v>1001214</v>
      </c>
      <c r="E209" t="s">
        <v>96</v>
      </c>
      <c r="F209" t="s">
        <v>94</v>
      </c>
      <c r="G209" t="s">
        <v>290</v>
      </c>
      <c r="H209" t="s">
        <v>295</v>
      </c>
    </row>
    <row r="210" spans="1:9" x14ac:dyDescent="0.25">
      <c r="A210" t="s">
        <v>171</v>
      </c>
      <c r="B210" t="s">
        <v>180</v>
      </c>
      <c r="C210" t="s">
        <v>182</v>
      </c>
      <c r="D210">
        <v>1001214</v>
      </c>
      <c r="E210" t="s">
        <v>300</v>
      </c>
      <c r="G210" t="s">
        <v>301</v>
      </c>
      <c r="H210" t="s">
        <v>302</v>
      </c>
      <c r="I210" t="s">
        <v>303</v>
      </c>
    </row>
    <row r="211" spans="1:9" x14ac:dyDescent="0.25">
      <c r="A211" t="s">
        <v>171</v>
      </c>
      <c r="B211" t="s">
        <v>180</v>
      </c>
      <c r="C211" t="s">
        <v>182</v>
      </c>
      <c r="D211">
        <v>1001214</v>
      </c>
      <c r="E211" t="s">
        <v>310</v>
      </c>
      <c r="G211" t="s">
        <v>307</v>
      </c>
      <c r="H211" t="s">
        <v>180</v>
      </c>
    </row>
    <row r="212" spans="1:9" x14ac:dyDescent="0.25">
      <c r="A212" t="s">
        <v>171</v>
      </c>
      <c r="B212" t="s">
        <v>180</v>
      </c>
      <c r="C212" t="s">
        <v>182</v>
      </c>
      <c r="D212">
        <v>1001214</v>
      </c>
      <c r="E212" t="s">
        <v>73</v>
      </c>
      <c r="F212" t="s">
        <v>74</v>
      </c>
      <c r="G212" t="s">
        <v>312</v>
      </c>
      <c r="H212" t="s">
        <v>179</v>
      </c>
    </row>
    <row r="213" spans="1:9" x14ac:dyDescent="0.25">
      <c r="A213" t="s">
        <v>171</v>
      </c>
      <c r="B213" t="s">
        <v>180</v>
      </c>
      <c r="C213" t="s">
        <v>183</v>
      </c>
      <c r="D213">
        <v>1001215</v>
      </c>
      <c r="E213" t="s">
        <v>174</v>
      </c>
      <c r="G213" t="s">
        <v>175</v>
      </c>
      <c r="H213" t="s">
        <v>176</v>
      </c>
    </row>
    <row r="214" spans="1:9" x14ac:dyDescent="0.25">
      <c r="A214" t="s">
        <v>171</v>
      </c>
      <c r="B214" t="s">
        <v>180</v>
      </c>
      <c r="C214" t="s">
        <v>183</v>
      </c>
      <c r="D214">
        <v>1001215</v>
      </c>
      <c r="E214" t="s">
        <v>185</v>
      </c>
      <c r="G214" t="s">
        <v>186</v>
      </c>
      <c r="H214" t="s">
        <v>187</v>
      </c>
      <c r="I214" t="s">
        <v>188</v>
      </c>
    </row>
    <row r="215" spans="1:9" x14ac:dyDescent="0.25">
      <c r="A215" t="s">
        <v>171</v>
      </c>
      <c r="B215" t="s">
        <v>180</v>
      </c>
      <c r="C215" t="s">
        <v>183</v>
      </c>
      <c r="D215">
        <v>1001215</v>
      </c>
      <c r="E215" t="s">
        <v>189</v>
      </c>
      <c r="G215" t="s">
        <v>186</v>
      </c>
      <c r="H215" t="s">
        <v>190</v>
      </c>
      <c r="I215" t="s">
        <v>191</v>
      </c>
    </row>
    <row r="216" spans="1:9" x14ac:dyDescent="0.25">
      <c r="A216" t="s">
        <v>171</v>
      </c>
      <c r="B216" t="s">
        <v>180</v>
      </c>
      <c r="C216" t="s">
        <v>183</v>
      </c>
      <c r="D216">
        <v>1001215</v>
      </c>
      <c r="E216" t="s">
        <v>206</v>
      </c>
      <c r="G216" t="s">
        <v>200</v>
      </c>
      <c r="H216" t="s">
        <v>207</v>
      </c>
    </row>
    <row r="217" spans="1:9" x14ac:dyDescent="0.25">
      <c r="A217" t="s">
        <v>171</v>
      </c>
      <c r="B217" t="s">
        <v>180</v>
      </c>
      <c r="C217" t="s">
        <v>183</v>
      </c>
      <c r="D217">
        <v>1001215</v>
      </c>
      <c r="E217" t="s">
        <v>208</v>
      </c>
      <c r="G217" t="s">
        <v>200</v>
      </c>
      <c r="H217" t="s">
        <v>209</v>
      </c>
    </row>
    <row r="218" spans="1:9" x14ac:dyDescent="0.25">
      <c r="A218" t="s">
        <v>171</v>
      </c>
      <c r="B218" t="s">
        <v>180</v>
      </c>
      <c r="C218" t="s">
        <v>183</v>
      </c>
      <c r="D218">
        <v>1001215</v>
      </c>
      <c r="E218" t="s">
        <v>215</v>
      </c>
      <c r="G218" t="s">
        <v>211</v>
      </c>
      <c r="H218" t="s">
        <v>216</v>
      </c>
      <c r="I218" t="s">
        <v>214</v>
      </c>
    </row>
    <row r="219" spans="1:9" x14ac:dyDescent="0.25">
      <c r="A219" t="s">
        <v>171</v>
      </c>
      <c r="B219" t="s">
        <v>180</v>
      </c>
      <c r="C219" t="s">
        <v>183</v>
      </c>
      <c r="D219">
        <v>1001215</v>
      </c>
      <c r="E219" t="s">
        <v>87</v>
      </c>
      <c r="F219" t="s">
        <v>88</v>
      </c>
      <c r="G219" t="s">
        <v>222</v>
      </c>
      <c r="H219" t="s">
        <v>180</v>
      </c>
    </row>
    <row r="220" spans="1:9" x14ac:dyDescent="0.25">
      <c r="A220" t="s">
        <v>171</v>
      </c>
      <c r="B220" t="s">
        <v>180</v>
      </c>
      <c r="C220" t="s">
        <v>183</v>
      </c>
      <c r="D220">
        <v>1001215</v>
      </c>
      <c r="E220" t="s">
        <v>229</v>
      </c>
      <c r="G220" t="s">
        <v>230</v>
      </c>
      <c r="H220" t="s">
        <v>231</v>
      </c>
      <c r="I220" t="s">
        <v>232</v>
      </c>
    </row>
    <row r="221" spans="1:9" x14ac:dyDescent="0.25">
      <c r="A221" t="s">
        <v>171</v>
      </c>
      <c r="B221" t="s">
        <v>180</v>
      </c>
      <c r="C221" t="s">
        <v>183</v>
      </c>
      <c r="D221">
        <v>1001215</v>
      </c>
      <c r="E221" t="s">
        <v>270</v>
      </c>
      <c r="F221" t="s">
        <v>234</v>
      </c>
      <c r="G221" t="s">
        <v>230</v>
      </c>
      <c r="H221" t="s">
        <v>271</v>
      </c>
      <c r="I221" t="s">
        <v>236</v>
      </c>
    </row>
    <row r="222" spans="1:9" x14ac:dyDescent="0.25">
      <c r="A222" t="s">
        <v>171</v>
      </c>
      <c r="B222" t="s">
        <v>180</v>
      </c>
      <c r="C222" t="s">
        <v>183</v>
      </c>
      <c r="D222">
        <v>1001215</v>
      </c>
      <c r="E222" t="s">
        <v>272</v>
      </c>
      <c r="F222" t="s">
        <v>234</v>
      </c>
      <c r="G222" t="s">
        <v>230</v>
      </c>
      <c r="H222" t="s">
        <v>273</v>
      </c>
      <c r="I222" t="s">
        <v>236</v>
      </c>
    </row>
    <row r="223" spans="1:9" x14ac:dyDescent="0.25">
      <c r="A223" t="s">
        <v>171</v>
      </c>
      <c r="B223" t="s">
        <v>180</v>
      </c>
      <c r="C223" t="s">
        <v>183</v>
      </c>
      <c r="D223">
        <v>1001215</v>
      </c>
      <c r="E223" t="s">
        <v>277</v>
      </c>
      <c r="G223" t="s">
        <v>278</v>
      </c>
      <c r="H223" t="s">
        <v>279</v>
      </c>
    </row>
    <row r="224" spans="1:9" x14ac:dyDescent="0.25">
      <c r="A224" t="s">
        <v>171</v>
      </c>
      <c r="B224" t="s">
        <v>180</v>
      </c>
      <c r="C224" t="s">
        <v>183</v>
      </c>
      <c r="D224">
        <v>1001215</v>
      </c>
      <c r="E224" t="s">
        <v>282</v>
      </c>
      <c r="G224" t="s">
        <v>283</v>
      </c>
      <c r="H224" t="s">
        <v>284</v>
      </c>
      <c r="I224" t="s">
        <v>285</v>
      </c>
    </row>
    <row r="225" spans="1:10" x14ac:dyDescent="0.25">
      <c r="A225" t="s">
        <v>171</v>
      </c>
      <c r="B225" t="s">
        <v>180</v>
      </c>
      <c r="C225" t="s">
        <v>183</v>
      </c>
      <c r="D225">
        <v>1001215</v>
      </c>
      <c r="E225" t="s">
        <v>286</v>
      </c>
      <c r="G225" t="s">
        <v>287</v>
      </c>
    </row>
    <row r="226" spans="1:10" x14ac:dyDescent="0.25">
      <c r="A226" t="s">
        <v>171</v>
      </c>
      <c r="B226" t="s">
        <v>180</v>
      </c>
      <c r="C226" t="s">
        <v>183</v>
      </c>
      <c r="D226">
        <v>1001215</v>
      </c>
      <c r="E226" t="s">
        <v>100</v>
      </c>
      <c r="F226" t="s">
        <v>98</v>
      </c>
      <c r="G226" t="s">
        <v>290</v>
      </c>
      <c r="H226" t="s">
        <v>296</v>
      </c>
    </row>
    <row r="227" spans="1:10" x14ac:dyDescent="0.25">
      <c r="A227" t="s">
        <v>171</v>
      </c>
      <c r="B227" t="s">
        <v>180</v>
      </c>
      <c r="C227" t="s">
        <v>183</v>
      </c>
      <c r="D227">
        <v>1001215</v>
      </c>
      <c r="E227" t="s">
        <v>300</v>
      </c>
      <c r="G227" t="s">
        <v>301</v>
      </c>
      <c r="H227" t="s">
        <v>302</v>
      </c>
      <c r="I227" t="s">
        <v>303</v>
      </c>
    </row>
    <row r="228" spans="1:10" x14ac:dyDescent="0.25">
      <c r="A228" s="40" t="s">
        <v>171</v>
      </c>
      <c r="B228" s="40" t="s">
        <v>180</v>
      </c>
      <c r="C228" s="40" t="s">
        <v>183</v>
      </c>
      <c r="D228">
        <v>1001215</v>
      </c>
      <c r="E228" t="s">
        <v>310</v>
      </c>
      <c r="G228" t="s">
        <v>307</v>
      </c>
      <c r="H228" t="s">
        <v>180</v>
      </c>
    </row>
    <row r="229" spans="1:10" x14ac:dyDescent="0.25">
      <c r="A229" t="s">
        <v>171</v>
      </c>
      <c r="B229" s="40" t="s">
        <v>180</v>
      </c>
      <c r="C229" s="40" t="s">
        <v>183</v>
      </c>
      <c r="D229">
        <v>1001215</v>
      </c>
      <c r="E229" t="s">
        <v>73</v>
      </c>
      <c r="F229" t="s">
        <v>74</v>
      </c>
      <c r="G229" t="s">
        <v>312</v>
      </c>
      <c r="H229" t="s">
        <v>179</v>
      </c>
    </row>
    <row r="230" spans="1:10" x14ac:dyDescent="0.25">
      <c r="A230" s="40"/>
      <c r="B230" s="40"/>
      <c r="C230" s="40"/>
      <c r="D230">
        <v>1001216</v>
      </c>
      <c r="E230" t="s">
        <v>106</v>
      </c>
      <c r="F230" t="s">
        <v>107</v>
      </c>
    </row>
    <row r="231" spans="1:10" x14ac:dyDescent="0.25">
      <c r="A231" s="40"/>
      <c r="B231" s="40"/>
      <c r="C231" s="40"/>
      <c r="D231" s="40">
        <v>1001216</v>
      </c>
      <c r="E231" t="s">
        <v>132</v>
      </c>
      <c r="F231" t="s">
        <v>133</v>
      </c>
    </row>
    <row r="232" spans="1:10" x14ac:dyDescent="0.25">
      <c r="A232" s="40"/>
      <c r="B232" s="40"/>
      <c r="C232" s="40"/>
      <c r="D232" s="40">
        <v>1001217</v>
      </c>
      <c r="E232" t="s">
        <v>106</v>
      </c>
      <c r="F232" t="s">
        <v>107</v>
      </c>
    </row>
    <row r="233" spans="1:10" x14ac:dyDescent="0.25">
      <c r="A233" s="40"/>
      <c r="B233" s="40"/>
      <c r="C233" s="40"/>
      <c r="D233" s="40">
        <v>1001217</v>
      </c>
      <c r="E233" t="s">
        <v>127</v>
      </c>
      <c r="F233" t="s">
        <v>128</v>
      </c>
    </row>
    <row r="234" spans="1:10" x14ac:dyDescent="0.25">
      <c r="A234" s="40"/>
      <c r="B234" s="40"/>
      <c r="C234" s="40"/>
      <c r="D234" s="40">
        <v>1001218</v>
      </c>
      <c r="E234" t="s">
        <v>106</v>
      </c>
      <c r="F234" t="s">
        <v>107</v>
      </c>
    </row>
    <row r="235" spans="1:10" x14ac:dyDescent="0.25">
      <c r="A235" s="40"/>
      <c r="B235" s="40"/>
      <c r="C235" s="40"/>
      <c r="D235" s="40">
        <v>1001218</v>
      </c>
      <c r="E235" t="s">
        <v>112</v>
      </c>
      <c r="F235" t="s">
        <v>113</v>
      </c>
    </row>
    <row r="236" spans="1:10" x14ac:dyDescent="0.25">
      <c r="A236" s="43" t="s">
        <v>377</v>
      </c>
      <c r="B236" s="43" t="s">
        <v>507</v>
      </c>
      <c r="C236" s="43"/>
      <c r="D236" s="43">
        <v>1001219</v>
      </c>
      <c r="E236" s="43" t="s">
        <v>300</v>
      </c>
      <c r="F236" s="43"/>
      <c r="G236" s="43" t="s">
        <v>301</v>
      </c>
      <c r="H236" s="43" t="s">
        <v>302</v>
      </c>
      <c r="I236" s="43" t="s">
        <v>303</v>
      </c>
      <c r="J236" s="42"/>
    </row>
    <row r="237" spans="1:10" x14ac:dyDescent="0.25">
      <c r="A237" s="43" t="s">
        <v>377</v>
      </c>
      <c r="B237" s="43" t="s">
        <v>507</v>
      </c>
      <c r="C237" s="43"/>
      <c r="D237" s="43">
        <v>1001219</v>
      </c>
      <c r="E237" s="43" t="s">
        <v>513</v>
      </c>
      <c r="F237" s="43"/>
      <c r="G237" s="43" t="s">
        <v>283</v>
      </c>
      <c r="H237" s="43" t="s">
        <v>284</v>
      </c>
      <c r="I237" s="43" t="s">
        <v>514</v>
      </c>
      <c r="J237" s="42"/>
    </row>
    <row r="238" spans="1:10" x14ac:dyDescent="0.25">
      <c r="A238" s="43" t="s">
        <v>377</v>
      </c>
      <c r="B238" s="43" t="s">
        <v>507</v>
      </c>
      <c r="C238" s="43"/>
      <c r="D238" s="43">
        <v>1001219</v>
      </c>
      <c r="E238" s="43" t="s">
        <v>515</v>
      </c>
      <c r="F238" s="43"/>
      <c r="G238" s="43" t="s">
        <v>186</v>
      </c>
      <c r="H238" s="43" t="s">
        <v>187</v>
      </c>
      <c r="I238" s="43" t="s">
        <v>516</v>
      </c>
      <c r="J238" s="42"/>
    </row>
    <row r="239" spans="1:10" x14ac:dyDescent="0.25">
      <c r="A239" s="43" t="s">
        <v>377</v>
      </c>
      <c r="B239" s="43" t="s">
        <v>507</v>
      </c>
      <c r="C239" s="43"/>
      <c r="D239" s="43">
        <v>1001219</v>
      </c>
      <c r="E239" s="43" t="s">
        <v>517</v>
      </c>
      <c r="F239" s="43"/>
      <c r="G239" s="43" t="s">
        <v>226</v>
      </c>
      <c r="H239" s="43" t="s">
        <v>519</v>
      </c>
      <c r="I239" s="43" t="s">
        <v>518</v>
      </c>
      <c r="J239" s="42"/>
    </row>
    <row r="240" spans="1:10" x14ac:dyDescent="0.25">
      <c r="A240" s="43" t="s">
        <v>377</v>
      </c>
      <c r="B240" s="43" t="s">
        <v>507</v>
      </c>
      <c r="C240" s="43"/>
      <c r="D240" s="43">
        <v>1001219</v>
      </c>
      <c r="E240" s="43" t="s">
        <v>189</v>
      </c>
      <c r="F240" s="43"/>
      <c r="G240" s="43" t="s">
        <v>186</v>
      </c>
      <c r="H240" s="43" t="s">
        <v>190</v>
      </c>
      <c r="I240" s="43" t="s">
        <v>191</v>
      </c>
      <c r="J240" s="42"/>
    </row>
    <row r="241" spans="1:10" x14ac:dyDescent="0.25">
      <c r="A241" s="43" t="s">
        <v>377</v>
      </c>
      <c r="B241" s="43" t="s">
        <v>507</v>
      </c>
      <c r="C241" s="43"/>
      <c r="D241" s="43">
        <v>1001219</v>
      </c>
      <c r="E241" s="43" t="s">
        <v>520</v>
      </c>
      <c r="F241" s="43"/>
      <c r="G241" s="43" t="s">
        <v>521</v>
      </c>
      <c r="H241" s="43" t="s">
        <v>522</v>
      </c>
      <c r="I241" s="43"/>
      <c r="J241" s="42"/>
    </row>
    <row r="242" spans="1:10" x14ac:dyDescent="0.25">
      <c r="A242" s="43" t="s">
        <v>377</v>
      </c>
      <c r="B242" s="43" t="s">
        <v>507</v>
      </c>
      <c r="C242" s="43"/>
      <c r="D242" s="43">
        <v>1001219</v>
      </c>
      <c r="E242" s="43" t="s">
        <v>523</v>
      </c>
      <c r="F242" s="43"/>
      <c r="G242" s="43" t="s">
        <v>175</v>
      </c>
      <c r="H242" s="43" t="s">
        <v>526</v>
      </c>
      <c r="I242" s="43"/>
      <c r="J242" s="42"/>
    </row>
    <row r="243" spans="1:10" x14ac:dyDescent="0.25">
      <c r="A243" s="43" t="s">
        <v>377</v>
      </c>
      <c r="B243" s="43" t="s">
        <v>507</v>
      </c>
      <c r="C243" s="43"/>
      <c r="D243" s="43">
        <v>1001219</v>
      </c>
      <c r="E243" s="43" t="s">
        <v>524</v>
      </c>
      <c r="F243" s="43"/>
      <c r="G243" s="43" t="s">
        <v>175</v>
      </c>
      <c r="H243" s="43" t="s">
        <v>527</v>
      </c>
      <c r="I243" s="43"/>
      <c r="J243" s="42"/>
    </row>
    <row r="244" spans="1:10" x14ac:dyDescent="0.25">
      <c r="A244" s="43" t="s">
        <v>377</v>
      </c>
      <c r="B244" s="43" t="s">
        <v>507</v>
      </c>
      <c r="C244" s="43"/>
      <c r="D244" s="43">
        <v>1001219</v>
      </c>
      <c r="E244" s="43" t="s">
        <v>525</v>
      </c>
      <c r="F244" s="43"/>
      <c r="G244" s="43" t="s">
        <v>175</v>
      </c>
      <c r="H244" s="43" t="s">
        <v>528</v>
      </c>
      <c r="I244" s="43"/>
      <c r="J244" s="42"/>
    </row>
    <row r="245" spans="1:10" x14ac:dyDescent="0.25">
      <c r="A245" s="43" t="s">
        <v>377</v>
      </c>
      <c r="B245" s="43" t="s">
        <v>507</v>
      </c>
      <c r="C245" s="43"/>
      <c r="D245" s="43">
        <v>1001219</v>
      </c>
      <c r="E245" s="43"/>
      <c r="F245" s="43"/>
      <c r="G245" s="43"/>
      <c r="H245" s="43"/>
      <c r="I245" s="43"/>
      <c r="J245" s="42"/>
    </row>
    <row r="246" spans="1:10" x14ac:dyDescent="0.25">
      <c r="A246" s="43" t="s">
        <v>377</v>
      </c>
      <c r="B246" s="43" t="s">
        <v>507</v>
      </c>
      <c r="C246" s="43"/>
      <c r="D246" s="43">
        <v>1001219</v>
      </c>
      <c r="E246" s="43" t="s">
        <v>529</v>
      </c>
      <c r="F246" s="43" t="s">
        <v>531</v>
      </c>
      <c r="G246" s="43" t="s">
        <v>532</v>
      </c>
      <c r="H246" s="43" t="s">
        <v>533</v>
      </c>
      <c r="I246" s="43"/>
      <c r="J246" s="42"/>
    </row>
    <row r="247" spans="1:10" x14ac:dyDescent="0.25">
      <c r="A247" s="43" t="s">
        <v>377</v>
      </c>
      <c r="B247" s="43" t="s">
        <v>507</v>
      </c>
      <c r="C247" s="43"/>
      <c r="D247" s="43">
        <v>1001219</v>
      </c>
      <c r="E247" s="43" t="s">
        <v>530</v>
      </c>
      <c r="F247" s="43"/>
      <c r="G247" s="43" t="s">
        <v>200</v>
      </c>
      <c r="H247" s="43" t="s">
        <v>534</v>
      </c>
      <c r="I247" s="43"/>
      <c r="J247" s="42"/>
    </row>
    <row r="248" spans="1:10" x14ac:dyDescent="0.25">
      <c r="A248" s="43" t="s">
        <v>377</v>
      </c>
      <c r="B248" s="43" t="s">
        <v>507</v>
      </c>
      <c r="C248" s="43"/>
      <c r="D248" s="43">
        <v>1001219</v>
      </c>
      <c r="E248" s="43" t="s">
        <v>524</v>
      </c>
      <c r="F248" s="43"/>
      <c r="G248" s="43" t="s">
        <v>175</v>
      </c>
      <c r="H248" s="43" t="s">
        <v>527</v>
      </c>
      <c r="I248" s="43"/>
      <c r="J248" s="42"/>
    </row>
    <row r="249" spans="1:10" x14ac:dyDescent="0.25">
      <c r="A249" s="43" t="s">
        <v>377</v>
      </c>
      <c r="B249" s="43" t="s">
        <v>507</v>
      </c>
      <c r="C249" s="43"/>
      <c r="D249" s="43">
        <v>1001219</v>
      </c>
      <c r="E249" s="43" t="s">
        <v>106</v>
      </c>
      <c r="F249" s="43" t="s">
        <v>107</v>
      </c>
      <c r="G249" s="43" t="s">
        <v>508</v>
      </c>
      <c r="H249" s="43" t="s">
        <v>509</v>
      </c>
      <c r="I249" s="43" t="s">
        <v>510</v>
      </c>
      <c r="J249" s="42"/>
    </row>
    <row r="250" spans="1:10" x14ac:dyDescent="0.25">
      <c r="A250" s="42" t="s">
        <v>377</v>
      </c>
      <c r="B250" s="40" t="s">
        <v>507</v>
      </c>
      <c r="C250" s="40"/>
      <c r="D250" s="40">
        <v>1001219</v>
      </c>
      <c r="E250" t="s">
        <v>109</v>
      </c>
      <c r="F250" t="s">
        <v>110</v>
      </c>
      <c r="G250" t="s">
        <v>511</v>
      </c>
      <c r="H250" t="s">
        <v>512</v>
      </c>
      <c r="J250" s="42">
        <v>3000</v>
      </c>
    </row>
    <row r="251" spans="1:10" x14ac:dyDescent="0.25">
      <c r="A251" s="40"/>
      <c r="B251" s="40"/>
      <c r="C251" s="40"/>
      <c r="D251" s="40">
        <v>1001265</v>
      </c>
      <c r="E251" t="s">
        <v>144</v>
      </c>
      <c r="F251" t="s">
        <v>145</v>
      </c>
    </row>
    <row r="252" spans="1:10" x14ac:dyDescent="0.25">
      <c r="A252" s="40"/>
      <c r="B252" s="40"/>
      <c r="C252" s="40"/>
      <c r="D252" s="40">
        <v>1001265</v>
      </c>
      <c r="E252" t="s">
        <v>150</v>
      </c>
      <c r="F252" t="s">
        <v>151</v>
      </c>
    </row>
    <row r="253" spans="1:10" x14ac:dyDescent="0.25">
      <c r="A253" s="40"/>
      <c r="B253" s="40"/>
      <c r="C253" s="40"/>
      <c r="D253" s="40">
        <v>1001266</v>
      </c>
      <c r="E253" t="s">
        <v>147</v>
      </c>
      <c r="F253" t="s">
        <v>148</v>
      </c>
    </row>
    <row r="254" spans="1:10" x14ac:dyDescent="0.25">
      <c r="A254" s="40"/>
      <c r="B254" s="40"/>
      <c r="C254" s="40"/>
      <c r="D254" s="40">
        <v>1001266</v>
      </c>
      <c r="E254" t="s">
        <v>150</v>
      </c>
      <c r="F254" t="s">
        <v>151</v>
      </c>
      <c r="H254" s="40"/>
      <c r="I254" s="40"/>
    </row>
    <row r="255" spans="1:10" x14ac:dyDescent="0.25">
      <c r="A255" s="40"/>
      <c r="B255" s="40"/>
      <c r="C255" s="40"/>
      <c r="D255" s="40"/>
      <c r="H255" s="40"/>
      <c r="I255" s="40"/>
    </row>
    <row r="256" spans="1:10" x14ac:dyDescent="0.25">
      <c r="A256" s="40"/>
      <c r="B256" s="40"/>
      <c r="C256" s="40"/>
      <c r="D256" s="40"/>
      <c r="G256" s="40"/>
      <c r="H256" s="40"/>
      <c r="I256" s="40"/>
    </row>
    <row r="257" spans="1:9" x14ac:dyDescent="0.25">
      <c r="A257" s="40"/>
      <c r="B257" s="40"/>
      <c r="C257" s="40"/>
      <c r="D257" s="40"/>
      <c r="G257" s="40"/>
      <c r="H257" s="40"/>
      <c r="I257" s="40"/>
    </row>
    <row r="258" spans="1:9" x14ac:dyDescent="0.25">
      <c r="A258" s="40"/>
    </row>
    <row r="259" spans="1:9" x14ac:dyDescent="0.25">
      <c r="A259" s="40"/>
    </row>
  </sheetData>
  <autoFilter ref="B1:I255" xr:uid="{00000000-0009-0000-0000-000002000000}"/>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76"/>
  <sheetViews>
    <sheetView tabSelected="1" zoomScale="40" zoomScaleNormal="40" workbookViewId="0">
      <selection activeCell="H9" sqref="H9"/>
    </sheetView>
  </sheetViews>
  <sheetFormatPr defaultColWidth="10.625" defaultRowHeight="15.75" x14ac:dyDescent="0.25"/>
  <cols>
    <col min="2" max="2" width="12.375" customWidth="1"/>
    <col min="5" max="5" width="44.375" bestFit="1" customWidth="1"/>
    <col min="6" max="6" width="45.125" bestFit="1" customWidth="1"/>
    <col min="7" max="7" width="12.625" customWidth="1"/>
    <col min="8" max="8" width="16.625" bestFit="1" customWidth="1"/>
    <col min="9" max="9" width="15" bestFit="1" customWidth="1"/>
    <col min="10" max="10" width="16.625" bestFit="1" customWidth="1"/>
    <col min="12" max="12" width="15" bestFit="1" customWidth="1"/>
    <col min="15" max="15" width="22" bestFit="1" customWidth="1"/>
  </cols>
  <sheetData>
    <row r="1" spans="1:13" x14ac:dyDescent="0.25">
      <c r="A1" t="s">
        <v>320</v>
      </c>
      <c r="B1" t="s">
        <v>0</v>
      </c>
      <c r="C1" t="s">
        <v>321</v>
      </c>
      <c r="D1" t="s">
        <v>322</v>
      </c>
      <c r="E1" t="s">
        <v>323</v>
      </c>
      <c r="F1" t="s">
        <v>324</v>
      </c>
      <c r="G1" t="s">
        <v>325</v>
      </c>
      <c r="H1" t="s">
        <v>163</v>
      </c>
      <c r="I1" t="s">
        <v>326</v>
      </c>
    </row>
    <row r="2" spans="1:13" x14ac:dyDescent="0.25">
      <c r="A2" t="s">
        <v>318</v>
      </c>
      <c r="C2" t="s">
        <v>327</v>
      </c>
      <c r="D2">
        <v>1</v>
      </c>
      <c r="E2" t="s">
        <v>328</v>
      </c>
      <c r="F2" s="1">
        <v>3</v>
      </c>
      <c r="G2" t="s">
        <v>329</v>
      </c>
      <c r="H2" t="s">
        <v>330</v>
      </c>
      <c r="I2">
        <v>1260</v>
      </c>
      <c r="J2" s="1"/>
      <c r="M2" s="1"/>
    </row>
    <row r="3" spans="1:13" x14ac:dyDescent="0.25">
      <c r="A3" t="s">
        <v>318</v>
      </c>
      <c r="C3" t="s">
        <v>327</v>
      </c>
      <c r="D3">
        <v>2</v>
      </c>
      <c r="E3" t="s">
        <v>331</v>
      </c>
      <c r="F3" s="1">
        <f>5+(26/60)</f>
        <v>5.4333333333333336</v>
      </c>
      <c r="G3" t="s">
        <v>332</v>
      </c>
      <c r="H3" t="s">
        <v>330</v>
      </c>
      <c r="I3">
        <v>1260</v>
      </c>
    </row>
    <row r="4" spans="1:13" x14ac:dyDescent="0.25">
      <c r="A4" t="s">
        <v>318</v>
      </c>
      <c r="C4" t="s">
        <v>327</v>
      </c>
      <c r="D4">
        <v>3</v>
      </c>
      <c r="E4" t="s">
        <v>333</v>
      </c>
      <c r="F4" s="1">
        <f>1+(37/60)</f>
        <v>1.6166666666666667</v>
      </c>
      <c r="G4" t="s">
        <v>334</v>
      </c>
      <c r="H4" t="s">
        <v>330</v>
      </c>
      <c r="I4">
        <v>1260</v>
      </c>
    </row>
    <row r="5" spans="1:13" x14ac:dyDescent="0.25">
      <c r="A5" t="s">
        <v>318</v>
      </c>
      <c r="C5" t="s">
        <v>327</v>
      </c>
      <c r="D5">
        <v>4</v>
      </c>
      <c r="E5" t="s">
        <v>335</v>
      </c>
      <c r="F5" s="1">
        <f>1+(46/60)</f>
        <v>1.7666666666666666</v>
      </c>
      <c r="G5" t="s">
        <v>334</v>
      </c>
      <c r="H5" t="s">
        <v>330</v>
      </c>
      <c r="I5">
        <v>1260</v>
      </c>
    </row>
    <row r="6" spans="1:13" x14ac:dyDescent="0.25">
      <c r="A6" t="s">
        <v>318</v>
      </c>
      <c r="C6" t="s">
        <v>327</v>
      </c>
      <c r="D6">
        <v>5</v>
      </c>
      <c r="E6" t="s">
        <v>336</v>
      </c>
      <c r="F6" s="1">
        <f>3+(9/60)</f>
        <v>3.15</v>
      </c>
      <c r="G6" t="s">
        <v>334</v>
      </c>
      <c r="H6" t="s">
        <v>330</v>
      </c>
      <c r="I6">
        <v>1260</v>
      </c>
    </row>
    <row r="7" spans="1:13" x14ac:dyDescent="0.25">
      <c r="A7" t="s">
        <v>318</v>
      </c>
      <c r="C7" t="s">
        <v>327</v>
      </c>
      <c r="D7">
        <v>6</v>
      </c>
      <c r="E7" t="s">
        <v>337</v>
      </c>
      <c r="F7" s="1">
        <f>(25/60)+2+(10/60)+5+(49/60)+12+2+(58/60)</f>
        <v>23.366666666666664</v>
      </c>
      <c r="G7" t="s">
        <v>334</v>
      </c>
      <c r="H7" t="s">
        <v>330</v>
      </c>
      <c r="I7">
        <v>1260</v>
      </c>
    </row>
    <row r="8" spans="1:13" x14ac:dyDescent="0.25">
      <c r="A8" t="s">
        <v>318</v>
      </c>
      <c r="C8" t="s">
        <v>327</v>
      </c>
      <c r="D8">
        <v>7</v>
      </c>
      <c r="E8" t="s">
        <v>338</v>
      </c>
      <c r="F8" s="1">
        <f>5+(53/60)</f>
        <v>5.8833333333333329</v>
      </c>
      <c r="G8" t="s">
        <v>334</v>
      </c>
      <c r="H8" t="s">
        <v>330</v>
      </c>
      <c r="I8">
        <v>1260</v>
      </c>
    </row>
    <row r="9" spans="1:13" x14ac:dyDescent="0.25">
      <c r="A9" t="s">
        <v>318</v>
      </c>
      <c r="C9" t="s">
        <v>327</v>
      </c>
      <c r="D9">
        <v>8</v>
      </c>
      <c r="E9" t="s">
        <v>339</v>
      </c>
      <c r="F9" s="1">
        <f>2+(53/60)</f>
        <v>2.8833333333333333</v>
      </c>
      <c r="G9" t="s">
        <v>334</v>
      </c>
      <c r="H9" t="s">
        <v>330</v>
      </c>
      <c r="I9">
        <v>1260</v>
      </c>
    </row>
    <row r="10" spans="1:13" x14ac:dyDescent="0.25">
      <c r="A10" t="s">
        <v>318</v>
      </c>
      <c r="C10" t="s">
        <v>327</v>
      </c>
      <c r="D10">
        <v>9</v>
      </c>
      <c r="E10" t="s">
        <v>340</v>
      </c>
      <c r="F10" s="1">
        <f>1+(39/60)</f>
        <v>1.65</v>
      </c>
      <c r="G10" t="s">
        <v>334</v>
      </c>
      <c r="H10" t="s">
        <v>330</v>
      </c>
      <c r="I10">
        <v>1260</v>
      </c>
    </row>
    <row r="11" spans="1:13" x14ac:dyDescent="0.25">
      <c r="A11" t="s">
        <v>318</v>
      </c>
      <c r="C11" t="s">
        <v>327</v>
      </c>
      <c r="D11">
        <v>10</v>
      </c>
      <c r="E11" t="s">
        <v>341</v>
      </c>
      <c r="F11" s="1">
        <f>11+(45/60)+20</f>
        <v>31.75</v>
      </c>
      <c r="G11" t="s">
        <v>334</v>
      </c>
      <c r="H11" t="s">
        <v>330</v>
      </c>
      <c r="I11">
        <v>1260</v>
      </c>
    </row>
    <row r="12" spans="1:13" x14ac:dyDescent="0.25">
      <c r="A12" t="s">
        <v>319</v>
      </c>
      <c r="C12" t="s">
        <v>327</v>
      </c>
      <c r="D12">
        <v>1</v>
      </c>
      <c r="E12" t="s">
        <v>342</v>
      </c>
      <c r="F12" s="1">
        <f>3</f>
        <v>3</v>
      </c>
      <c r="G12" t="s">
        <v>343</v>
      </c>
    </row>
    <row r="13" spans="1:13" x14ac:dyDescent="0.25">
      <c r="A13" t="s">
        <v>319</v>
      </c>
      <c r="C13" t="s">
        <v>327</v>
      </c>
      <c r="D13">
        <v>2</v>
      </c>
      <c r="E13" t="s">
        <v>319</v>
      </c>
      <c r="F13" s="1">
        <f>6.53</f>
        <v>6.53</v>
      </c>
      <c r="G13" t="s">
        <v>343</v>
      </c>
    </row>
    <row r="14" spans="1:13" x14ac:dyDescent="0.25">
      <c r="A14" t="s">
        <v>319</v>
      </c>
      <c r="C14" t="s">
        <v>327</v>
      </c>
      <c r="D14">
        <v>3</v>
      </c>
      <c r="E14" t="s">
        <v>344</v>
      </c>
      <c r="F14" s="1">
        <f>2+(41/60)</f>
        <v>2.6833333333333336</v>
      </c>
      <c r="G14" t="s">
        <v>343</v>
      </c>
    </row>
    <row r="15" spans="1:13" x14ac:dyDescent="0.25">
      <c r="A15" t="s">
        <v>319</v>
      </c>
      <c r="C15" t="s">
        <v>327</v>
      </c>
      <c r="D15">
        <v>4</v>
      </c>
      <c r="E15" t="s">
        <v>345</v>
      </c>
      <c r="F15" s="1">
        <f>11-6.53</f>
        <v>4.47</v>
      </c>
      <c r="G15" t="s">
        <v>343</v>
      </c>
    </row>
    <row r="16" spans="1:13" x14ac:dyDescent="0.25">
      <c r="A16" t="s">
        <v>319</v>
      </c>
      <c r="C16" t="s">
        <v>327</v>
      </c>
      <c r="D16">
        <v>5</v>
      </c>
      <c r="E16" t="s">
        <v>346</v>
      </c>
      <c r="F16" s="1">
        <f>8+(34/60)</f>
        <v>8.5666666666666664</v>
      </c>
      <c r="G16" t="s">
        <v>343</v>
      </c>
    </row>
    <row r="17" spans="1:9" x14ac:dyDescent="0.25">
      <c r="A17" t="s">
        <v>319</v>
      </c>
      <c r="C17" t="s">
        <v>327</v>
      </c>
      <c r="D17">
        <v>6</v>
      </c>
      <c r="E17" t="s">
        <v>347</v>
      </c>
      <c r="F17" s="1">
        <f>50/60</f>
        <v>0.83333333333333337</v>
      </c>
      <c r="G17" t="s">
        <v>343</v>
      </c>
    </row>
    <row r="18" spans="1:9" x14ac:dyDescent="0.25">
      <c r="A18" t="s">
        <v>319</v>
      </c>
      <c r="C18" t="s">
        <v>327</v>
      </c>
      <c r="D18">
        <v>7</v>
      </c>
      <c r="E18" t="s">
        <v>348</v>
      </c>
      <c r="F18" s="1">
        <f>4+(39/60)</f>
        <v>4.6500000000000004</v>
      </c>
      <c r="G18" t="s">
        <v>343</v>
      </c>
    </row>
    <row r="19" spans="1:9" x14ac:dyDescent="0.25">
      <c r="A19" t="s">
        <v>319</v>
      </c>
      <c r="C19" t="s">
        <v>327</v>
      </c>
      <c r="D19">
        <v>8</v>
      </c>
      <c r="E19" t="s">
        <v>349</v>
      </c>
      <c r="F19" s="1">
        <f>57/60</f>
        <v>0.95</v>
      </c>
      <c r="G19" t="s">
        <v>343</v>
      </c>
    </row>
    <row r="20" spans="1:9" x14ac:dyDescent="0.25">
      <c r="A20" t="s">
        <v>109</v>
      </c>
      <c r="C20" t="s">
        <v>350</v>
      </c>
      <c r="D20">
        <v>1</v>
      </c>
      <c r="E20" t="s">
        <v>351</v>
      </c>
      <c r="F20" s="1">
        <v>5</v>
      </c>
      <c r="G20" t="s">
        <v>334</v>
      </c>
      <c r="H20" t="s">
        <v>352</v>
      </c>
      <c r="I20">
        <v>2079</v>
      </c>
    </row>
    <row r="21" spans="1:9" x14ac:dyDescent="0.25">
      <c r="A21" t="s">
        <v>109</v>
      </c>
      <c r="C21" t="s">
        <v>350</v>
      </c>
      <c r="D21">
        <v>2</v>
      </c>
      <c r="E21" t="s">
        <v>353</v>
      </c>
      <c r="F21" s="1">
        <f>33/60</f>
        <v>0.55000000000000004</v>
      </c>
      <c r="G21" t="s">
        <v>334</v>
      </c>
      <c r="H21" t="s">
        <v>352</v>
      </c>
      <c r="I21">
        <v>2079</v>
      </c>
    </row>
    <row r="22" spans="1:9" x14ac:dyDescent="0.25">
      <c r="A22" t="s">
        <v>109</v>
      </c>
      <c r="C22" t="s">
        <v>350</v>
      </c>
      <c r="D22">
        <v>3</v>
      </c>
      <c r="E22" t="s">
        <v>354</v>
      </c>
      <c r="F22" s="1">
        <f>(27+35)/60</f>
        <v>1.0333333333333334</v>
      </c>
      <c r="G22" t="s">
        <v>355</v>
      </c>
      <c r="H22" t="s">
        <v>352</v>
      </c>
      <c r="I22">
        <v>2079</v>
      </c>
    </row>
    <row r="23" spans="1:9" x14ac:dyDescent="0.25">
      <c r="A23" t="s">
        <v>109</v>
      </c>
      <c r="C23" t="s">
        <v>350</v>
      </c>
      <c r="D23">
        <v>4</v>
      </c>
      <c r="E23" t="s">
        <v>356</v>
      </c>
      <c r="F23" s="1">
        <v>12</v>
      </c>
      <c r="G23" t="s">
        <v>355</v>
      </c>
      <c r="H23" t="s">
        <v>352</v>
      </c>
      <c r="I23">
        <v>2079</v>
      </c>
    </row>
    <row r="24" spans="1:9" x14ac:dyDescent="0.25">
      <c r="A24" t="s">
        <v>109</v>
      </c>
      <c r="C24" t="s">
        <v>350</v>
      </c>
      <c r="D24">
        <v>5</v>
      </c>
      <c r="E24" t="s">
        <v>354</v>
      </c>
      <c r="F24" s="1">
        <f>45/60</f>
        <v>0.75</v>
      </c>
      <c r="G24" t="s">
        <v>334</v>
      </c>
      <c r="H24" t="s">
        <v>352</v>
      </c>
      <c r="I24">
        <v>2079</v>
      </c>
    </row>
    <row r="25" spans="1:9" x14ac:dyDescent="0.25">
      <c r="A25" t="s">
        <v>109</v>
      </c>
      <c r="C25" t="s">
        <v>350</v>
      </c>
      <c r="D25">
        <v>6</v>
      </c>
      <c r="E25" t="s">
        <v>357</v>
      </c>
      <c r="F25" s="1">
        <v>5</v>
      </c>
      <c r="G25" t="s">
        <v>355</v>
      </c>
      <c r="H25" t="s">
        <v>352</v>
      </c>
      <c r="I25">
        <v>2079</v>
      </c>
    </row>
    <row r="26" spans="1:9" x14ac:dyDescent="0.25">
      <c r="A26" t="s">
        <v>109</v>
      </c>
      <c r="C26" t="s">
        <v>350</v>
      </c>
      <c r="D26">
        <v>7</v>
      </c>
      <c r="E26" t="s">
        <v>358</v>
      </c>
      <c r="F26" s="1">
        <f>1+(52/60)</f>
        <v>1.8666666666666667</v>
      </c>
      <c r="G26" t="s">
        <v>355</v>
      </c>
      <c r="H26" t="s">
        <v>352</v>
      </c>
      <c r="I26">
        <v>2079</v>
      </c>
    </row>
    <row r="27" spans="1:9" x14ac:dyDescent="0.25">
      <c r="A27" t="s">
        <v>109</v>
      </c>
      <c r="C27" t="s">
        <v>350</v>
      </c>
      <c r="D27">
        <v>8</v>
      </c>
      <c r="E27" t="s">
        <v>354</v>
      </c>
      <c r="F27" s="1">
        <f>1+(18/60)</f>
        <v>1.3</v>
      </c>
      <c r="G27" t="s">
        <v>334</v>
      </c>
      <c r="H27" t="s">
        <v>352</v>
      </c>
      <c r="I27">
        <v>2079</v>
      </c>
    </row>
    <row r="28" spans="1:9" x14ac:dyDescent="0.25">
      <c r="A28" t="s">
        <v>109</v>
      </c>
      <c r="C28" t="s">
        <v>350</v>
      </c>
      <c r="D28">
        <v>9</v>
      </c>
      <c r="E28" t="s">
        <v>359</v>
      </c>
      <c r="F28" s="1">
        <v>12</v>
      </c>
      <c r="G28" t="s">
        <v>355</v>
      </c>
      <c r="H28" t="s">
        <v>352</v>
      </c>
      <c r="I28">
        <v>2079</v>
      </c>
    </row>
    <row r="29" spans="1:9" x14ac:dyDescent="0.25">
      <c r="A29" t="s">
        <v>109</v>
      </c>
      <c r="C29" t="s">
        <v>350</v>
      </c>
      <c r="D29">
        <v>10</v>
      </c>
      <c r="E29" t="s">
        <v>360</v>
      </c>
      <c r="F29" s="1">
        <f>28+(16/60)</f>
        <v>28.266666666666666</v>
      </c>
      <c r="G29" t="s">
        <v>361</v>
      </c>
      <c r="H29" t="s">
        <v>352</v>
      </c>
      <c r="I29">
        <v>2079</v>
      </c>
    </row>
    <row r="30" spans="1:9" x14ac:dyDescent="0.25">
      <c r="A30" t="s">
        <v>109</v>
      </c>
      <c r="C30" t="s">
        <v>350</v>
      </c>
      <c r="D30">
        <v>11</v>
      </c>
      <c r="E30" t="s">
        <v>362</v>
      </c>
      <c r="F30" s="1">
        <f>2+(49/60)</f>
        <v>2.8166666666666664</v>
      </c>
      <c r="G30" t="s">
        <v>361</v>
      </c>
      <c r="H30" t="s">
        <v>352</v>
      </c>
      <c r="I30">
        <v>2079</v>
      </c>
    </row>
    <row r="31" spans="1:9" x14ac:dyDescent="0.25">
      <c r="A31" t="s">
        <v>109</v>
      </c>
      <c r="C31" t="s">
        <v>350</v>
      </c>
      <c r="D31">
        <v>12</v>
      </c>
      <c r="E31" t="s">
        <v>363</v>
      </c>
      <c r="F31" s="1">
        <f>(3/60)</f>
        <v>0.05</v>
      </c>
      <c r="G31" t="s">
        <v>334</v>
      </c>
      <c r="H31" t="s">
        <v>352</v>
      </c>
      <c r="I31">
        <v>2079</v>
      </c>
    </row>
    <row r="32" spans="1:9" x14ac:dyDescent="0.25">
      <c r="A32" t="s">
        <v>109</v>
      </c>
      <c r="C32" t="s">
        <v>350</v>
      </c>
      <c r="D32">
        <v>13</v>
      </c>
      <c r="E32" t="s">
        <v>364</v>
      </c>
      <c r="F32" s="1">
        <f>(4*60)+30</f>
        <v>270</v>
      </c>
      <c r="G32" t="s">
        <v>334</v>
      </c>
      <c r="H32" t="s">
        <v>352</v>
      </c>
      <c r="I32">
        <v>2079</v>
      </c>
    </row>
    <row r="33" spans="1:9" x14ac:dyDescent="0.25">
      <c r="A33" s="42" t="s">
        <v>109</v>
      </c>
      <c r="B33" s="42"/>
      <c r="C33" s="42" t="s">
        <v>350</v>
      </c>
      <c r="D33" s="42">
        <v>14</v>
      </c>
      <c r="E33" s="42" t="s">
        <v>551</v>
      </c>
      <c r="F33" s="1">
        <v>30</v>
      </c>
      <c r="G33" s="42" t="s">
        <v>334</v>
      </c>
      <c r="H33" s="42" t="s">
        <v>352</v>
      </c>
      <c r="I33" s="42">
        <v>2079</v>
      </c>
    </row>
    <row r="34" spans="1:9" x14ac:dyDescent="0.25">
      <c r="A34" t="s">
        <v>23</v>
      </c>
      <c r="C34" t="s">
        <v>350</v>
      </c>
      <c r="D34">
        <v>13</v>
      </c>
      <c r="E34" t="s">
        <v>364</v>
      </c>
      <c r="F34" s="1">
        <f>(10*60)+30</f>
        <v>630</v>
      </c>
      <c r="G34" t="s">
        <v>334</v>
      </c>
      <c r="H34" t="s">
        <v>352</v>
      </c>
      <c r="I34">
        <v>5080</v>
      </c>
    </row>
    <row r="35" spans="1:9" x14ac:dyDescent="0.25">
      <c r="A35" t="s">
        <v>365</v>
      </c>
      <c r="C35" t="s">
        <v>366</v>
      </c>
      <c r="E35" t="s">
        <v>367</v>
      </c>
      <c r="F35" s="1">
        <f>2.3*Table1[[#This Row],[Units of FA]]/60</f>
        <v>53.743333333333332</v>
      </c>
      <c r="G35" t="s">
        <v>236</v>
      </c>
      <c r="H35" t="s">
        <v>230</v>
      </c>
      <c r="I35">
        <v>1402</v>
      </c>
    </row>
    <row r="36" spans="1:9" x14ac:dyDescent="0.25">
      <c r="A36" t="s">
        <v>368</v>
      </c>
      <c r="C36" t="s">
        <v>366</v>
      </c>
      <c r="E36" t="s">
        <v>367</v>
      </c>
      <c r="F36" s="1">
        <f>2.3*Table1[[#This Row],[Units of FA]]/60</f>
        <v>46</v>
      </c>
      <c r="G36" t="s">
        <v>236</v>
      </c>
      <c r="H36" t="s">
        <v>230</v>
      </c>
      <c r="I36">
        <v>1200</v>
      </c>
    </row>
    <row r="37" spans="1:9" x14ac:dyDescent="0.25">
      <c r="A37" t="s">
        <v>369</v>
      </c>
      <c r="C37" t="s">
        <v>366</v>
      </c>
      <c r="E37" t="s">
        <v>367</v>
      </c>
      <c r="F37" s="1">
        <f>2.3*Table1[[#This Row],[Units of FA]]/60</f>
        <v>46</v>
      </c>
      <c r="G37" t="s">
        <v>236</v>
      </c>
      <c r="H37" t="s">
        <v>230</v>
      </c>
      <c r="I37">
        <v>1200</v>
      </c>
    </row>
    <row r="38" spans="1:9" x14ac:dyDescent="0.25">
      <c r="A38" t="s">
        <v>370</v>
      </c>
      <c r="C38" t="s">
        <v>366</v>
      </c>
      <c r="E38" t="s">
        <v>367</v>
      </c>
      <c r="F38" s="1">
        <f>2.3*Table1[[#This Row],[Units of FA]]/60</f>
        <v>46</v>
      </c>
      <c r="G38" t="s">
        <v>236</v>
      </c>
      <c r="H38" t="s">
        <v>230</v>
      </c>
      <c r="I38">
        <v>1200</v>
      </c>
    </row>
    <row r="39" spans="1:9" x14ac:dyDescent="0.25">
      <c r="A39" t="s">
        <v>371</v>
      </c>
      <c r="C39" t="s">
        <v>366</v>
      </c>
      <c r="E39" t="s">
        <v>367</v>
      </c>
      <c r="F39" s="1">
        <f>2.3*Table1[[#This Row],[Units of FA]]/60</f>
        <v>46</v>
      </c>
      <c r="G39" t="s">
        <v>236</v>
      </c>
      <c r="H39" t="s">
        <v>230</v>
      </c>
      <c r="I39">
        <v>1200</v>
      </c>
    </row>
    <row r="40" spans="1:9" x14ac:dyDescent="0.25">
      <c r="A40" t="s">
        <v>372</v>
      </c>
      <c r="C40" t="s">
        <v>366</v>
      </c>
      <c r="E40" t="s">
        <v>367</v>
      </c>
      <c r="F40" s="1">
        <f>2.3*Table1[[#This Row],[Units of FA]]/60</f>
        <v>46</v>
      </c>
      <c r="G40" t="s">
        <v>236</v>
      </c>
      <c r="H40" t="s">
        <v>230</v>
      </c>
      <c r="I40">
        <v>1200</v>
      </c>
    </row>
    <row r="41" spans="1:9" x14ac:dyDescent="0.25">
      <c r="A41" t="s">
        <v>373</v>
      </c>
      <c r="C41" t="s">
        <v>366</v>
      </c>
      <c r="E41" t="s">
        <v>367</v>
      </c>
      <c r="F41" s="1">
        <f>2.3*Table1[[#This Row],[Units of FA]]/60</f>
        <v>46</v>
      </c>
      <c r="G41" t="s">
        <v>236</v>
      </c>
      <c r="H41" t="s">
        <v>230</v>
      </c>
      <c r="I41">
        <v>1200</v>
      </c>
    </row>
    <row r="42" spans="1:9" x14ac:dyDescent="0.25">
      <c r="A42" t="s">
        <v>374</v>
      </c>
      <c r="C42" t="s">
        <v>366</v>
      </c>
      <c r="E42" t="s">
        <v>367</v>
      </c>
      <c r="F42" s="1">
        <f>2.3*Table1[[#This Row],[Units of FA]]/60</f>
        <v>46</v>
      </c>
      <c r="G42" t="s">
        <v>236</v>
      </c>
      <c r="H42" t="s">
        <v>230</v>
      </c>
      <c r="I42">
        <v>1200</v>
      </c>
    </row>
    <row r="43" spans="1:9" x14ac:dyDescent="0.25">
      <c r="A43" t="s">
        <v>375</v>
      </c>
      <c r="C43" t="s">
        <v>366</v>
      </c>
      <c r="E43" t="s">
        <v>367</v>
      </c>
      <c r="F43" s="1">
        <f>2.3*Table1[[#This Row],[Units of FA]]/60</f>
        <v>46</v>
      </c>
      <c r="G43" t="s">
        <v>236</v>
      </c>
      <c r="H43" t="s">
        <v>230</v>
      </c>
      <c r="I43">
        <v>1200</v>
      </c>
    </row>
    <row r="44" spans="1:9" x14ac:dyDescent="0.25">
      <c r="A44" t="s">
        <v>376</v>
      </c>
      <c r="C44" t="s">
        <v>327</v>
      </c>
      <c r="D44">
        <v>1</v>
      </c>
      <c r="E44" t="s">
        <v>328</v>
      </c>
      <c r="F44" s="1">
        <v>0</v>
      </c>
      <c r="G44" t="s">
        <v>329</v>
      </c>
      <c r="H44" t="s">
        <v>377</v>
      </c>
      <c r="I44">
        <v>750</v>
      </c>
    </row>
    <row r="45" spans="1:9" x14ac:dyDescent="0.25">
      <c r="A45" t="s">
        <v>376</v>
      </c>
      <c r="C45" t="s">
        <v>327</v>
      </c>
      <c r="D45">
        <v>2</v>
      </c>
      <c r="E45" t="s">
        <v>331</v>
      </c>
      <c r="F45" s="1">
        <v>0</v>
      </c>
      <c r="G45" t="s">
        <v>332</v>
      </c>
      <c r="H45" t="s">
        <v>377</v>
      </c>
      <c r="I45">
        <v>750</v>
      </c>
    </row>
    <row r="46" spans="1:9" x14ac:dyDescent="0.25">
      <c r="A46" t="s">
        <v>376</v>
      </c>
      <c r="C46" t="s">
        <v>327</v>
      </c>
      <c r="D46">
        <v>3</v>
      </c>
      <c r="E46" t="s">
        <v>333</v>
      </c>
      <c r="F46" s="1">
        <v>1.24</v>
      </c>
      <c r="G46" t="s">
        <v>334</v>
      </c>
      <c r="H46" t="s">
        <v>377</v>
      </c>
      <c r="I46">
        <v>750</v>
      </c>
    </row>
    <row r="47" spans="1:9" x14ac:dyDescent="0.25">
      <c r="A47" t="s">
        <v>376</v>
      </c>
      <c r="C47" t="s">
        <v>327</v>
      </c>
      <c r="D47">
        <v>4</v>
      </c>
      <c r="E47" t="s">
        <v>335</v>
      </c>
      <c r="F47" s="1">
        <f>1+(35/60)</f>
        <v>1.5833333333333335</v>
      </c>
      <c r="G47" t="s">
        <v>334</v>
      </c>
      <c r="H47" t="s">
        <v>377</v>
      </c>
      <c r="I47">
        <v>750</v>
      </c>
    </row>
    <row r="48" spans="1:9" x14ac:dyDescent="0.25">
      <c r="A48" t="s">
        <v>376</v>
      </c>
      <c r="C48" t="s">
        <v>327</v>
      </c>
      <c r="D48">
        <v>5</v>
      </c>
      <c r="E48" t="s">
        <v>336</v>
      </c>
      <c r="F48" s="1">
        <v>0</v>
      </c>
      <c r="G48" t="s">
        <v>334</v>
      </c>
      <c r="H48" t="s">
        <v>377</v>
      </c>
      <c r="I48">
        <v>750</v>
      </c>
    </row>
    <row r="49" spans="1:9" x14ac:dyDescent="0.25">
      <c r="A49" t="s">
        <v>376</v>
      </c>
      <c r="C49" t="s">
        <v>327</v>
      </c>
      <c r="D49">
        <v>5</v>
      </c>
      <c r="E49" t="s">
        <v>378</v>
      </c>
      <c r="F49" s="1">
        <f>(35/60)</f>
        <v>0.58333333333333337</v>
      </c>
      <c r="G49" t="s">
        <v>334</v>
      </c>
      <c r="H49" t="s">
        <v>377</v>
      </c>
      <c r="I49">
        <v>750</v>
      </c>
    </row>
    <row r="50" spans="1:9" x14ac:dyDescent="0.25">
      <c r="A50" t="s">
        <v>376</v>
      </c>
      <c r="C50" t="s">
        <v>327</v>
      </c>
      <c r="D50">
        <v>6</v>
      </c>
      <c r="E50" t="s">
        <v>337</v>
      </c>
      <c r="F50" s="1">
        <f>4+(31/60)</f>
        <v>4.5166666666666666</v>
      </c>
      <c r="G50" t="s">
        <v>334</v>
      </c>
      <c r="H50" t="s">
        <v>377</v>
      </c>
      <c r="I50">
        <v>750</v>
      </c>
    </row>
    <row r="51" spans="1:9" x14ac:dyDescent="0.25">
      <c r="A51" t="s">
        <v>376</v>
      </c>
      <c r="C51" t="s">
        <v>327</v>
      </c>
      <c r="D51">
        <v>7</v>
      </c>
      <c r="E51" t="s">
        <v>338</v>
      </c>
      <c r="F51" s="1">
        <f>2+(58/60)</f>
        <v>2.9666666666666668</v>
      </c>
      <c r="G51" t="s">
        <v>334</v>
      </c>
      <c r="H51" t="s">
        <v>377</v>
      </c>
      <c r="I51">
        <v>750</v>
      </c>
    </row>
    <row r="52" spans="1:9" x14ac:dyDescent="0.25">
      <c r="A52" t="s">
        <v>376</v>
      </c>
      <c r="C52" t="s">
        <v>327</v>
      </c>
      <c r="D52">
        <v>8</v>
      </c>
      <c r="E52" t="s">
        <v>339</v>
      </c>
      <c r="F52" s="1">
        <f>2+(8/60)</f>
        <v>2.1333333333333333</v>
      </c>
      <c r="G52" t="s">
        <v>334</v>
      </c>
      <c r="H52" t="s">
        <v>377</v>
      </c>
      <c r="I52">
        <v>750</v>
      </c>
    </row>
    <row r="53" spans="1:9" x14ac:dyDescent="0.25">
      <c r="A53" t="s">
        <v>376</v>
      </c>
      <c r="C53" t="s">
        <v>327</v>
      </c>
      <c r="D53">
        <v>9</v>
      </c>
      <c r="E53" t="s">
        <v>340</v>
      </c>
      <c r="F53" s="1">
        <f>1+(30/60)</f>
        <v>1.5</v>
      </c>
      <c r="G53" t="s">
        <v>334</v>
      </c>
      <c r="H53" t="s">
        <v>377</v>
      </c>
      <c r="I53">
        <v>750</v>
      </c>
    </row>
    <row r="54" spans="1:9" x14ac:dyDescent="0.25">
      <c r="A54" t="s">
        <v>376</v>
      </c>
      <c r="C54" t="s">
        <v>327</v>
      </c>
      <c r="D54">
        <v>9</v>
      </c>
      <c r="E54" t="s">
        <v>379</v>
      </c>
      <c r="F54" s="1">
        <f>30/60</f>
        <v>0.5</v>
      </c>
      <c r="G54" t="s">
        <v>334</v>
      </c>
      <c r="H54" t="s">
        <v>377</v>
      </c>
      <c r="I54">
        <v>750</v>
      </c>
    </row>
    <row r="55" spans="1:9" x14ac:dyDescent="0.25">
      <c r="A55" t="s">
        <v>376</v>
      </c>
      <c r="C55" t="s">
        <v>327</v>
      </c>
      <c r="D55">
        <v>10</v>
      </c>
      <c r="E55" t="s">
        <v>341</v>
      </c>
      <c r="F55" s="1">
        <f>10+(5/60)</f>
        <v>10.083333333333334</v>
      </c>
      <c r="G55" t="s">
        <v>334</v>
      </c>
      <c r="H55" t="s">
        <v>377</v>
      </c>
      <c r="I55">
        <v>750</v>
      </c>
    </row>
    <row r="56" spans="1:9" x14ac:dyDescent="0.25">
      <c r="A56" t="s">
        <v>404</v>
      </c>
      <c r="C56" t="s">
        <v>405</v>
      </c>
      <c r="D56">
        <v>1</v>
      </c>
      <c r="E56" t="s">
        <v>406</v>
      </c>
      <c r="F56" s="1">
        <f>6+(53/60)</f>
        <v>6.8833333333333329</v>
      </c>
      <c r="G56" t="s">
        <v>407</v>
      </c>
    </row>
    <row r="57" spans="1:9" x14ac:dyDescent="0.25">
      <c r="A57" t="s">
        <v>404</v>
      </c>
      <c r="C57" t="s">
        <v>405</v>
      </c>
      <c r="D57">
        <v>2</v>
      </c>
      <c r="E57" t="s">
        <v>409</v>
      </c>
      <c r="F57" s="1">
        <f>1+(55/60)</f>
        <v>1.9166666666666665</v>
      </c>
      <c r="G57" t="s">
        <v>404</v>
      </c>
    </row>
    <row r="58" spans="1:9" x14ac:dyDescent="0.25">
      <c r="A58" t="s">
        <v>404</v>
      </c>
      <c r="C58" t="s">
        <v>405</v>
      </c>
      <c r="D58">
        <v>3</v>
      </c>
      <c r="E58" t="s">
        <v>408</v>
      </c>
      <c r="F58" s="1">
        <f>(1+(9/60))/2</f>
        <v>0.57499999999999996</v>
      </c>
      <c r="G58" t="s">
        <v>404</v>
      </c>
    </row>
    <row r="59" spans="1:9" x14ac:dyDescent="0.25">
      <c r="A59" t="s">
        <v>404</v>
      </c>
      <c r="C59" t="s">
        <v>405</v>
      </c>
      <c r="D59">
        <v>4</v>
      </c>
      <c r="E59" t="s">
        <v>410</v>
      </c>
      <c r="F59" s="1">
        <f>F58</f>
        <v>0.57499999999999996</v>
      </c>
      <c r="G59" t="s">
        <v>404</v>
      </c>
    </row>
    <row r="60" spans="1:9" x14ac:dyDescent="0.25">
      <c r="A60" t="s">
        <v>404</v>
      </c>
      <c r="C60" t="s">
        <v>405</v>
      </c>
      <c r="D60">
        <v>5</v>
      </c>
      <c r="E60" t="s">
        <v>411</v>
      </c>
      <c r="F60" s="1">
        <f>2+(12/60)</f>
        <v>2.2000000000000002</v>
      </c>
      <c r="G60" t="s">
        <v>404</v>
      </c>
    </row>
    <row r="61" spans="1:9" x14ac:dyDescent="0.25">
      <c r="A61" t="s">
        <v>404</v>
      </c>
      <c r="C61" t="s">
        <v>405</v>
      </c>
      <c r="D61">
        <v>6</v>
      </c>
      <c r="E61" t="s">
        <v>412</v>
      </c>
      <c r="F61" s="1">
        <f>45/60</f>
        <v>0.75</v>
      </c>
      <c r="G61" t="s">
        <v>404</v>
      </c>
    </row>
    <row r="62" spans="1:9" x14ac:dyDescent="0.25">
      <c r="A62" t="s">
        <v>404</v>
      </c>
      <c r="C62" t="s">
        <v>405</v>
      </c>
      <c r="D62">
        <v>7</v>
      </c>
      <c r="E62" t="s">
        <v>413</v>
      </c>
      <c r="F62" s="1">
        <f>1.51-0.75-(10/60)</f>
        <v>0.59333333333333338</v>
      </c>
      <c r="G62" t="s">
        <v>404</v>
      </c>
    </row>
    <row r="63" spans="1:9" x14ac:dyDescent="0.25">
      <c r="A63" t="s">
        <v>404</v>
      </c>
      <c r="C63" t="s">
        <v>405</v>
      </c>
      <c r="D63">
        <v>8</v>
      </c>
      <c r="E63" t="s">
        <v>414</v>
      </c>
      <c r="F63" s="1">
        <f>10/60</f>
        <v>0.16666666666666666</v>
      </c>
      <c r="G63" t="s">
        <v>404</v>
      </c>
    </row>
    <row r="64" spans="1:9" x14ac:dyDescent="0.25">
      <c r="A64" t="s">
        <v>404</v>
      </c>
      <c r="C64" t="s">
        <v>405</v>
      </c>
      <c r="D64">
        <v>9</v>
      </c>
      <c r="E64" t="s">
        <v>415</v>
      </c>
      <c r="F64" s="1">
        <f>30/60</f>
        <v>0.5</v>
      </c>
      <c r="G64" t="s">
        <v>404</v>
      </c>
    </row>
    <row r="65" spans="1:9" x14ac:dyDescent="0.25">
      <c r="A65" t="s">
        <v>404</v>
      </c>
      <c r="C65" t="s">
        <v>405</v>
      </c>
      <c r="D65">
        <v>10</v>
      </c>
      <c r="E65" t="s">
        <v>422</v>
      </c>
      <c r="F65" s="1">
        <f>(45/60)</f>
        <v>0.75</v>
      </c>
      <c r="G65" t="s">
        <v>404</v>
      </c>
    </row>
    <row r="66" spans="1:9" x14ac:dyDescent="0.25">
      <c r="A66" s="42" t="s">
        <v>404</v>
      </c>
      <c r="B66" s="42"/>
      <c r="C66" s="42" t="s">
        <v>405</v>
      </c>
      <c r="D66" s="42">
        <v>11</v>
      </c>
      <c r="E66" s="42" t="s">
        <v>554</v>
      </c>
      <c r="F66" s="1">
        <f>7+22/60</f>
        <v>7.3666666666666663</v>
      </c>
      <c r="G66" s="42" t="s">
        <v>404</v>
      </c>
      <c r="H66" s="42"/>
      <c r="I66" s="42"/>
    </row>
    <row r="67" spans="1:9" x14ac:dyDescent="0.25">
      <c r="A67">
        <v>1001206</v>
      </c>
      <c r="C67" t="s">
        <v>350</v>
      </c>
      <c r="E67" t="s">
        <v>424</v>
      </c>
      <c r="F67" s="1">
        <f>7*60</f>
        <v>420</v>
      </c>
      <c r="G67" t="s">
        <v>312</v>
      </c>
      <c r="H67" t="s">
        <v>171</v>
      </c>
      <c r="I67">
        <v>2600</v>
      </c>
    </row>
    <row r="68" spans="1:9" x14ac:dyDescent="0.25">
      <c r="A68">
        <v>1001207</v>
      </c>
      <c r="C68" t="s">
        <v>350</v>
      </c>
      <c r="E68" t="s">
        <v>424</v>
      </c>
      <c r="F68" s="1">
        <f>7*60</f>
        <v>420</v>
      </c>
      <c r="G68" t="s">
        <v>312</v>
      </c>
      <c r="H68" t="s">
        <v>171</v>
      </c>
      <c r="I68">
        <v>2600</v>
      </c>
    </row>
    <row r="69" spans="1:9" x14ac:dyDescent="0.25">
      <c r="A69">
        <v>1001208</v>
      </c>
      <c r="C69" t="s">
        <v>350</v>
      </c>
      <c r="E69" t="s">
        <v>424</v>
      </c>
      <c r="F69" s="1">
        <f t="shared" ref="F69:F74" si="0">7*60</f>
        <v>420</v>
      </c>
      <c r="G69" t="s">
        <v>312</v>
      </c>
      <c r="H69" t="s">
        <v>171</v>
      </c>
      <c r="I69">
        <v>2600</v>
      </c>
    </row>
    <row r="70" spans="1:9" x14ac:dyDescent="0.25">
      <c r="A70">
        <v>1001209</v>
      </c>
      <c r="C70" t="s">
        <v>350</v>
      </c>
      <c r="E70" t="s">
        <v>424</v>
      </c>
      <c r="F70" s="1">
        <f t="shared" si="0"/>
        <v>420</v>
      </c>
      <c r="G70" t="s">
        <v>312</v>
      </c>
      <c r="H70" t="s">
        <v>171</v>
      </c>
      <c r="I70">
        <v>2600</v>
      </c>
    </row>
    <row r="71" spans="1:9" x14ac:dyDescent="0.25">
      <c r="A71">
        <v>1001210</v>
      </c>
      <c r="C71" t="s">
        <v>350</v>
      </c>
      <c r="E71" t="s">
        <v>424</v>
      </c>
      <c r="F71" s="1">
        <f t="shared" si="0"/>
        <v>420</v>
      </c>
      <c r="G71" t="s">
        <v>312</v>
      </c>
      <c r="H71" t="s">
        <v>171</v>
      </c>
      <c r="I71">
        <v>2600</v>
      </c>
    </row>
    <row r="72" spans="1:9" x14ac:dyDescent="0.25">
      <c r="A72">
        <v>1001213</v>
      </c>
      <c r="C72" t="s">
        <v>350</v>
      </c>
      <c r="E72" t="s">
        <v>424</v>
      </c>
      <c r="F72" s="1">
        <f t="shared" si="0"/>
        <v>420</v>
      </c>
      <c r="G72" t="s">
        <v>312</v>
      </c>
      <c r="H72" t="s">
        <v>171</v>
      </c>
      <c r="I72">
        <v>2600</v>
      </c>
    </row>
    <row r="73" spans="1:9" x14ac:dyDescent="0.25">
      <c r="A73">
        <v>1001214</v>
      </c>
      <c r="C73" t="s">
        <v>350</v>
      </c>
      <c r="E73" t="s">
        <v>424</v>
      </c>
      <c r="F73" s="1">
        <f t="shared" si="0"/>
        <v>420</v>
      </c>
      <c r="G73" t="s">
        <v>312</v>
      </c>
      <c r="H73" t="s">
        <v>171</v>
      </c>
      <c r="I73">
        <v>2600</v>
      </c>
    </row>
    <row r="74" spans="1:9" x14ac:dyDescent="0.25">
      <c r="A74">
        <v>1001215</v>
      </c>
      <c r="C74" t="s">
        <v>350</v>
      </c>
      <c r="E74" t="s">
        <v>424</v>
      </c>
      <c r="F74" s="1">
        <f t="shared" si="0"/>
        <v>420</v>
      </c>
      <c r="G74" t="s">
        <v>312</v>
      </c>
      <c r="H74" t="s">
        <v>171</v>
      </c>
      <c r="I74">
        <v>2600</v>
      </c>
    </row>
    <row r="75" spans="1:9" x14ac:dyDescent="0.25">
      <c r="A75" t="s">
        <v>535</v>
      </c>
      <c r="C75" t="s">
        <v>327</v>
      </c>
      <c r="D75" t="s">
        <v>536</v>
      </c>
      <c r="E75" t="s">
        <v>537</v>
      </c>
      <c r="F75" s="1">
        <f>60+50</f>
        <v>110</v>
      </c>
      <c r="G75" s="42" t="s">
        <v>334</v>
      </c>
      <c r="H75" s="42" t="s">
        <v>330</v>
      </c>
      <c r="I75">
        <v>1260</v>
      </c>
    </row>
    <row r="76" spans="1:9" x14ac:dyDescent="0.25">
      <c r="A76" t="s">
        <v>67</v>
      </c>
      <c r="C76" t="s">
        <v>350</v>
      </c>
      <c r="E76" s="42" t="s">
        <v>553</v>
      </c>
      <c r="F76" s="1">
        <v>40</v>
      </c>
      <c r="G76" t="s">
        <v>334</v>
      </c>
      <c r="H76" t="s">
        <v>552</v>
      </c>
      <c r="I76">
        <v>4500</v>
      </c>
    </row>
  </sheetData>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5"/>
  <sheetViews>
    <sheetView zoomScale="97" workbookViewId="0">
      <selection activeCell="J33" sqref="J33"/>
    </sheetView>
  </sheetViews>
  <sheetFormatPr defaultColWidth="11" defaultRowHeight="15.75" x14ac:dyDescent="0.25"/>
  <cols>
    <col min="4" max="4" width="5" bestFit="1" customWidth="1"/>
    <col min="5" max="5" width="10.875" customWidth="1"/>
    <col min="6" max="6" width="10.875" style="1"/>
    <col min="7" max="7" width="12.125" bestFit="1" customWidth="1"/>
    <col min="9" max="9" width="12.625" customWidth="1"/>
    <col min="11" max="11" width="46.5" bestFit="1" customWidth="1"/>
  </cols>
  <sheetData>
    <row r="1" spans="1:12" x14ac:dyDescent="0.25">
      <c r="A1" t="s">
        <v>320</v>
      </c>
      <c r="B1" t="s">
        <v>0</v>
      </c>
      <c r="C1" t="s">
        <v>321</v>
      </c>
      <c r="D1" s="15" t="s">
        <v>322</v>
      </c>
      <c r="E1" s="15" t="s">
        <v>381</v>
      </c>
      <c r="F1" s="1" t="s">
        <v>324</v>
      </c>
      <c r="G1" t="s">
        <v>163</v>
      </c>
      <c r="H1" t="s">
        <v>326</v>
      </c>
      <c r="I1" t="s">
        <v>539</v>
      </c>
    </row>
    <row r="2" spans="1:12" ht="15.95" customHeight="1" x14ac:dyDescent="0.25">
      <c r="A2" t="s">
        <v>318</v>
      </c>
      <c r="C2" t="s">
        <v>327</v>
      </c>
      <c r="D2" s="36">
        <v>1</v>
      </c>
      <c r="E2" s="37" t="s">
        <v>380</v>
      </c>
      <c r="F2" s="1">
        <f>3+5.43</f>
        <v>8.43</v>
      </c>
      <c r="G2" t="s">
        <v>330</v>
      </c>
      <c r="H2">
        <v>1260</v>
      </c>
      <c r="I2">
        <v>20181003</v>
      </c>
    </row>
    <row r="3" spans="1:12" ht="15.95" customHeight="1" x14ac:dyDescent="0.25">
      <c r="A3" t="s">
        <v>318</v>
      </c>
      <c r="C3" t="s">
        <v>327</v>
      </c>
      <c r="D3" s="36">
        <v>2</v>
      </c>
      <c r="E3" s="37" t="s">
        <v>383</v>
      </c>
      <c r="F3" s="1">
        <v>10</v>
      </c>
      <c r="G3" t="s">
        <v>330</v>
      </c>
      <c r="H3">
        <v>1260</v>
      </c>
      <c r="I3" s="42">
        <v>20181003</v>
      </c>
      <c r="J3" s="1"/>
    </row>
    <row r="4" spans="1:12" ht="15.95" customHeight="1" x14ac:dyDescent="0.25">
      <c r="A4" t="s">
        <v>318</v>
      </c>
      <c r="C4" t="s">
        <v>327</v>
      </c>
      <c r="D4" s="36">
        <v>3</v>
      </c>
      <c r="E4" s="37" t="s">
        <v>386</v>
      </c>
      <c r="F4" s="1">
        <f>(30/60)</f>
        <v>0.5</v>
      </c>
      <c r="G4" t="s">
        <v>330</v>
      </c>
      <c r="H4">
        <v>1260</v>
      </c>
      <c r="I4" s="42">
        <v>20181003</v>
      </c>
      <c r="J4" s="1"/>
    </row>
    <row r="5" spans="1:12" ht="15.95" customHeight="1" x14ac:dyDescent="0.25">
      <c r="A5" t="s">
        <v>318</v>
      </c>
      <c r="C5" t="s">
        <v>327</v>
      </c>
      <c r="D5" s="36">
        <v>4</v>
      </c>
      <c r="E5" s="37" t="s">
        <v>333</v>
      </c>
      <c r="F5" s="1">
        <f>1.62-0.5</f>
        <v>1.1200000000000001</v>
      </c>
      <c r="G5" t="s">
        <v>330</v>
      </c>
      <c r="H5">
        <v>1260</v>
      </c>
      <c r="I5" s="42">
        <v>20181003</v>
      </c>
      <c r="J5" s="1"/>
    </row>
    <row r="6" spans="1:12" ht="15.95" customHeight="1" x14ac:dyDescent="0.25">
      <c r="A6" t="s">
        <v>318</v>
      </c>
      <c r="C6" t="s">
        <v>327</v>
      </c>
      <c r="D6" s="36">
        <v>5</v>
      </c>
      <c r="E6" s="37" t="s">
        <v>335</v>
      </c>
      <c r="F6" s="1">
        <f>1.77</f>
        <v>1.77</v>
      </c>
      <c r="G6" t="s">
        <v>330</v>
      </c>
      <c r="H6">
        <v>1260</v>
      </c>
      <c r="I6" s="42">
        <v>20181003</v>
      </c>
      <c r="J6" s="1"/>
    </row>
    <row r="7" spans="1:12" ht="15.95" customHeight="1" x14ac:dyDescent="0.25">
      <c r="A7" t="s">
        <v>318</v>
      </c>
      <c r="C7" t="s">
        <v>327</v>
      </c>
      <c r="D7" s="36">
        <v>6</v>
      </c>
      <c r="E7" s="37" t="s">
        <v>387</v>
      </c>
      <c r="F7" s="1">
        <f>0.5</f>
        <v>0.5</v>
      </c>
      <c r="G7" t="s">
        <v>330</v>
      </c>
      <c r="H7">
        <v>1260</v>
      </c>
      <c r="I7" s="42">
        <v>20181003</v>
      </c>
      <c r="J7" s="1"/>
    </row>
    <row r="8" spans="1:12" ht="15.95" customHeight="1" x14ac:dyDescent="0.25">
      <c r="A8" t="s">
        <v>318</v>
      </c>
      <c r="C8" t="s">
        <v>327</v>
      </c>
      <c r="D8" s="36">
        <v>7</v>
      </c>
      <c r="E8" s="37" t="s">
        <v>336</v>
      </c>
      <c r="F8" s="1">
        <f>3.15-0.5</f>
        <v>2.65</v>
      </c>
      <c r="G8" t="s">
        <v>330</v>
      </c>
      <c r="H8">
        <v>1260</v>
      </c>
      <c r="I8" s="42">
        <v>20181003</v>
      </c>
      <c r="J8" s="1"/>
    </row>
    <row r="9" spans="1:12" ht="15.95" customHeight="1" x14ac:dyDescent="0.25">
      <c r="A9" t="s">
        <v>318</v>
      </c>
      <c r="C9" t="s">
        <v>327</v>
      </c>
      <c r="D9" s="36">
        <v>8</v>
      </c>
      <c r="E9" s="37" t="s">
        <v>392</v>
      </c>
      <c r="F9" s="1">
        <f>(15/60)</f>
        <v>0.25</v>
      </c>
      <c r="G9" t="s">
        <v>330</v>
      </c>
      <c r="H9">
        <v>1260</v>
      </c>
      <c r="I9" s="42">
        <v>20181003</v>
      </c>
      <c r="J9" s="1"/>
    </row>
    <row r="10" spans="1:12" ht="15.95" customHeight="1" x14ac:dyDescent="0.25">
      <c r="A10" t="s">
        <v>318</v>
      </c>
      <c r="C10" t="s">
        <v>327</v>
      </c>
      <c r="D10" s="36">
        <v>9</v>
      </c>
      <c r="E10" s="37" t="s">
        <v>337</v>
      </c>
      <c r="F10" s="1">
        <f>23.37-0.25</f>
        <v>23.12</v>
      </c>
      <c r="G10" t="s">
        <v>330</v>
      </c>
      <c r="H10">
        <v>1260</v>
      </c>
      <c r="I10" s="42">
        <v>20181003</v>
      </c>
      <c r="J10" s="1"/>
    </row>
    <row r="11" spans="1:12" ht="15.95" customHeight="1" x14ac:dyDescent="0.25">
      <c r="A11" t="s">
        <v>318</v>
      </c>
      <c r="C11" t="s">
        <v>327</v>
      </c>
      <c r="D11" s="36">
        <v>10</v>
      </c>
      <c r="E11" s="37" t="s">
        <v>338</v>
      </c>
      <c r="F11" s="1">
        <f>5.88</f>
        <v>5.88</v>
      </c>
      <c r="G11" t="s">
        <v>330</v>
      </c>
      <c r="H11">
        <v>1260</v>
      </c>
      <c r="I11" s="42">
        <v>20181003</v>
      </c>
      <c r="J11" s="1"/>
    </row>
    <row r="12" spans="1:12" ht="15.95" customHeight="1" x14ac:dyDescent="0.25">
      <c r="A12" t="s">
        <v>318</v>
      </c>
      <c r="C12" t="s">
        <v>327</v>
      </c>
      <c r="D12" s="36">
        <v>11</v>
      </c>
      <c r="E12" s="37" t="s">
        <v>339</v>
      </c>
      <c r="F12" s="1">
        <f>2.88</f>
        <v>2.88</v>
      </c>
      <c r="G12" t="s">
        <v>330</v>
      </c>
      <c r="H12">
        <v>1260</v>
      </c>
      <c r="I12" s="42">
        <v>20181003</v>
      </c>
      <c r="J12" s="1"/>
    </row>
    <row r="13" spans="1:12" ht="15.95" customHeight="1" x14ac:dyDescent="0.25">
      <c r="A13" t="s">
        <v>318</v>
      </c>
      <c r="C13" t="s">
        <v>327</v>
      </c>
      <c r="D13" s="36">
        <v>12</v>
      </c>
      <c r="E13" s="37" t="s">
        <v>397</v>
      </c>
      <c r="F13" s="1">
        <f>(45/60)</f>
        <v>0.75</v>
      </c>
      <c r="G13" t="s">
        <v>330</v>
      </c>
      <c r="H13">
        <v>1260</v>
      </c>
      <c r="I13" s="42">
        <v>20181003</v>
      </c>
      <c r="L13" s="1"/>
    </row>
    <row r="14" spans="1:12" ht="15.95" customHeight="1" x14ac:dyDescent="0.25">
      <c r="A14" t="s">
        <v>318</v>
      </c>
      <c r="C14" t="s">
        <v>327</v>
      </c>
      <c r="D14" s="36">
        <v>13</v>
      </c>
      <c r="E14" s="37" t="s">
        <v>340</v>
      </c>
      <c r="F14" s="1">
        <f>1.65-0.75-0.75</f>
        <v>0.14999999999999991</v>
      </c>
      <c r="G14" t="s">
        <v>330</v>
      </c>
      <c r="H14">
        <v>1260</v>
      </c>
      <c r="I14" s="42">
        <v>20181003</v>
      </c>
      <c r="L14" s="1"/>
    </row>
    <row r="15" spans="1:12" ht="15.95" customHeight="1" x14ac:dyDescent="0.25">
      <c r="A15" t="s">
        <v>318</v>
      </c>
      <c r="C15" t="s">
        <v>327</v>
      </c>
      <c r="D15" s="36">
        <v>14</v>
      </c>
      <c r="E15" s="37" t="s">
        <v>403</v>
      </c>
      <c r="F15" s="1">
        <v>0.75</v>
      </c>
      <c r="G15" t="s">
        <v>330</v>
      </c>
      <c r="H15">
        <v>1260</v>
      </c>
      <c r="I15" s="42">
        <v>20181003</v>
      </c>
      <c r="L15" s="1"/>
    </row>
    <row r="16" spans="1:12" ht="15.95" customHeight="1" x14ac:dyDescent="0.25">
      <c r="A16" t="s">
        <v>318</v>
      </c>
      <c r="C16" t="s">
        <v>327</v>
      </c>
      <c r="D16" s="36">
        <v>15</v>
      </c>
      <c r="E16" s="37" t="s">
        <v>341</v>
      </c>
      <c r="F16" s="1">
        <v>31.75</v>
      </c>
      <c r="G16" t="s">
        <v>330</v>
      </c>
      <c r="H16">
        <v>1260</v>
      </c>
      <c r="I16" s="42">
        <v>20181003</v>
      </c>
      <c r="L16" s="1"/>
    </row>
    <row r="17" spans="1:12" x14ac:dyDescent="0.25">
      <c r="A17" t="s">
        <v>376</v>
      </c>
      <c r="C17" t="s">
        <v>327</v>
      </c>
      <c r="D17" s="36">
        <v>1</v>
      </c>
      <c r="E17" s="37" t="s">
        <v>380</v>
      </c>
      <c r="F17" s="1">
        <v>0</v>
      </c>
      <c r="G17" t="s">
        <v>377</v>
      </c>
      <c r="H17">
        <v>750</v>
      </c>
      <c r="I17">
        <v>20181010</v>
      </c>
      <c r="L17" s="1"/>
    </row>
    <row r="18" spans="1:12" x14ac:dyDescent="0.25">
      <c r="A18" s="38" t="s">
        <v>376</v>
      </c>
      <c r="B18" s="38"/>
      <c r="C18" s="38" t="s">
        <v>327</v>
      </c>
      <c r="D18" s="36">
        <v>2</v>
      </c>
      <c r="E18" s="37" t="s">
        <v>383</v>
      </c>
      <c r="F18" s="1">
        <v>10</v>
      </c>
      <c r="G18" t="s">
        <v>377</v>
      </c>
      <c r="H18">
        <v>750</v>
      </c>
      <c r="I18" s="42">
        <v>20181010</v>
      </c>
      <c r="L18" s="1"/>
    </row>
    <row r="19" spans="1:12" x14ac:dyDescent="0.25">
      <c r="A19" s="38" t="s">
        <v>376</v>
      </c>
      <c r="B19" s="38"/>
      <c r="C19" s="38" t="s">
        <v>327</v>
      </c>
      <c r="D19" s="36">
        <v>3</v>
      </c>
      <c r="E19" s="37" t="s">
        <v>386</v>
      </c>
      <c r="F19" s="1">
        <v>0.5</v>
      </c>
      <c r="G19" t="s">
        <v>377</v>
      </c>
      <c r="H19">
        <v>750</v>
      </c>
      <c r="I19" s="42">
        <v>20181010</v>
      </c>
      <c r="L19" s="1"/>
    </row>
    <row r="20" spans="1:12" x14ac:dyDescent="0.25">
      <c r="A20" s="38" t="s">
        <v>376</v>
      </c>
      <c r="B20" s="38"/>
      <c r="C20" s="38" t="s">
        <v>327</v>
      </c>
      <c r="D20" s="36">
        <v>4</v>
      </c>
      <c r="E20" s="37" t="s">
        <v>333</v>
      </c>
      <c r="F20" s="1">
        <f>1.24-0.5</f>
        <v>0.74</v>
      </c>
      <c r="G20" t="s">
        <v>377</v>
      </c>
      <c r="H20">
        <v>750</v>
      </c>
      <c r="I20" s="42">
        <v>20181010</v>
      </c>
      <c r="L20" s="1"/>
    </row>
    <row r="21" spans="1:12" x14ac:dyDescent="0.25">
      <c r="A21" s="38" t="s">
        <v>376</v>
      </c>
      <c r="B21" s="38"/>
      <c r="C21" s="38" t="s">
        <v>327</v>
      </c>
      <c r="D21" s="36">
        <v>5</v>
      </c>
      <c r="E21" s="37" t="s">
        <v>335</v>
      </c>
      <c r="F21" s="1">
        <f>ROUND(1+(35/60),2)</f>
        <v>1.58</v>
      </c>
      <c r="G21" t="s">
        <v>377</v>
      </c>
      <c r="H21">
        <v>750</v>
      </c>
      <c r="I21" s="42">
        <v>20181010</v>
      </c>
      <c r="L21" s="1"/>
    </row>
    <row r="22" spans="1:12" x14ac:dyDescent="0.25">
      <c r="A22" s="38" t="s">
        <v>376</v>
      </c>
      <c r="B22" s="38"/>
      <c r="C22" s="38" t="s">
        <v>327</v>
      </c>
      <c r="D22" s="36">
        <v>6</v>
      </c>
      <c r="E22" s="37" t="s">
        <v>387</v>
      </c>
      <c r="F22" s="1">
        <v>0</v>
      </c>
      <c r="G22" t="s">
        <v>377</v>
      </c>
      <c r="H22">
        <v>750</v>
      </c>
      <c r="I22" s="42">
        <v>20181010</v>
      </c>
      <c r="L22" s="1"/>
    </row>
    <row r="23" spans="1:12" x14ac:dyDescent="0.25">
      <c r="A23" s="38" t="s">
        <v>376</v>
      </c>
      <c r="B23" s="38"/>
      <c r="C23" s="38" t="s">
        <v>327</v>
      </c>
      <c r="D23" s="36">
        <v>7</v>
      </c>
      <c r="E23" s="37" t="s">
        <v>336</v>
      </c>
      <c r="F23" s="1">
        <v>0</v>
      </c>
      <c r="G23" t="s">
        <v>377</v>
      </c>
      <c r="H23">
        <v>750</v>
      </c>
      <c r="I23" s="42">
        <v>20181010</v>
      </c>
    </row>
    <row r="24" spans="1:12" x14ac:dyDescent="0.25">
      <c r="A24" s="38" t="s">
        <v>376</v>
      </c>
      <c r="B24" s="38"/>
      <c r="C24" s="38" t="s">
        <v>327</v>
      </c>
      <c r="D24" s="36">
        <v>8</v>
      </c>
      <c r="E24" s="37" t="s">
        <v>392</v>
      </c>
      <c r="F24" s="1">
        <f>ROUND(35/60,2)</f>
        <v>0.57999999999999996</v>
      </c>
      <c r="G24" t="s">
        <v>377</v>
      </c>
      <c r="H24">
        <v>750</v>
      </c>
      <c r="I24" s="42">
        <v>20181010</v>
      </c>
    </row>
    <row r="25" spans="1:12" x14ac:dyDescent="0.25">
      <c r="A25" s="38" t="s">
        <v>376</v>
      </c>
      <c r="B25" s="38"/>
      <c r="C25" s="38" t="s">
        <v>327</v>
      </c>
      <c r="D25" s="36">
        <v>9</v>
      </c>
      <c r="E25" s="37" t="s">
        <v>337</v>
      </c>
      <c r="F25" s="1">
        <f>ROUND(4+(31/60),2)</f>
        <v>4.5199999999999996</v>
      </c>
      <c r="G25" t="s">
        <v>377</v>
      </c>
      <c r="H25">
        <v>750</v>
      </c>
      <c r="I25" s="42">
        <v>20181010</v>
      </c>
    </row>
    <row r="26" spans="1:12" x14ac:dyDescent="0.25">
      <c r="A26" s="38" t="s">
        <v>376</v>
      </c>
      <c r="B26" s="38"/>
      <c r="C26" s="38" t="s">
        <v>327</v>
      </c>
      <c r="D26" s="36">
        <v>10</v>
      </c>
      <c r="E26" s="37" t="s">
        <v>338</v>
      </c>
      <c r="F26" s="1">
        <f>ROUND(2+(58/60),2)</f>
        <v>2.97</v>
      </c>
      <c r="G26" t="s">
        <v>377</v>
      </c>
      <c r="H26">
        <v>750</v>
      </c>
      <c r="I26" s="42">
        <v>20181010</v>
      </c>
    </row>
    <row r="27" spans="1:12" x14ac:dyDescent="0.25">
      <c r="A27" s="38" t="s">
        <v>376</v>
      </c>
      <c r="B27" s="38"/>
      <c r="C27" s="38" t="s">
        <v>327</v>
      </c>
      <c r="D27" s="36">
        <v>11</v>
      </c>
      <c r="E27" s="37" t="s">
        <v>339</v>
      </c>
      <c r="F27" s="1">
        <f>2+(8/60)</f>
        <v>2.1333333333333333</v>
      </c>
      <c r="G27" t="s">
        <v>377</v>
      </c>
      <c r="H27">
        <v>750</v>
      </c>
      <c r="I27" s="42">
        <v>20181010</v>
      </c>
    </row>
    <row r="28" spans="1:12" x14ac:dyDescent="0.25">
      <c r="A28" s="38" t="s">
        <v>376</v>
      </c>
      <c r="B28" s="38"/>
      <c r="C28" s="38" t="s">
        <v>327</v>
      </c>
      <c r="D28" s="36">
        <v>12</v>
      </c>
      <c r="E28" s="37" t="s">
        <v>397</v>
      </c>
      <c r="F28" s="1">
        <f>(55/60)</f>
        <v>0.91666666666666663</v>
      </c>
      <c r="G28" t="s">
        <v>377</v>
      </c>
      <c r="H28">
        <v>750</v>
      </c>
      <c r="I28" s="42">
        <v>20181010</v>
      </c>
    </row>
    <row r="29" spans="1:12" x14ac:dyDescent="0.25">
      <c r="A29" s="38" t="s">
        <v>376</v>
      </c>
      <c r="B29" s="38"/>
      <c r="C29" s="38" t="s">
        <v>327</v>
      </c>
      <c r="D29" s="36">
        <v>13</v>
      </c>
      <c r="E29" s="37" t="s">
        <v>340</v>
      </c>
      <c r="F29" s="1">
        <f>20/60</f>
        <v>0.33333333333333331</v>
      </c>
      <c r="G29" t="s">
        <v>377</v>
      </c>
      <c r="H29">
        <v>750</v>
      </c>
      <c r="I29" s="42">
        <v>20181010</v>
      </c>
    </row>
    <row r="30" spans="1:12" x14ac:dyDescent="0.25">
      <c r="A30" s="38" t="s">
        <v>376</v>
      </c>
      <c r="B30" s="38"/>
      <c r="C30" s="38" t="s">
        <v>327</v>
      </c>
      <c r="D30" s="36">
        <v>14</v>
      </c>
      <c r="E30" s="37" t="s">
        <v>403</v>
      </c>
      <c r="F30" s="1">
        <f>45/60</f>
        <v>0.75</v>
      </c>
      <c r="G30" t="s">
        <v>377</v>
      </c>
      <c r="H30">
        <v>750</v>
      </c>
      <c r="I30" s="42">
        <v>20181010</v>
      </c>
    </row>
    <row r="31" spans="1:12" x14ac:dyDescent="0.25">
      <c r="A31" s="38" t="s">
        <v>376</v>
      </c>
      <c r="B31" s="38"/>
      <c r="C31" s="38" t="s">
        <v>327</v>
      </c>
      <c r="D31" s="36">
        <v>15</v>
      </c>
      <c r="E31" s="37" t="s">
        <v>341</v>
      </c>
      <c r="F31" s="1">
        <f>10+(5/60)</f>
        <v>10.083333333333334</v>
      </c>
      <c r="G31" t="s">
        <v>377</v>
      </c>
      <c r="H31">
        <v>750</v>
      </c>
      <c r="I31" s="42">
        <v>20181010</v>
      </c>
    </row>
    <row r="32" spans="1:12" x14ac:dyDescent="0.25">
      <c r="A32" s="38"/>
      <c r="B32" s="38"/>
      <c r="C32" s="38"/>
      <c r="D32" s="38"/>
      <c r="E32" s="38"/>
    </row>
    <row r="33" spans="1:7" x14ac:dyDescent="0.25">
      <c r="A33" s="38"/>
      <c r="B33" s="38"/>
      <c r="C33" s="38"/>
      <c r="D33" s="38"/>
      <c r="E33" s="38"/>
    </row>
    <row r="34" spans="1:7" x14ac:dyDescent="0.25">
      <c r="A34" s="38"/>
      <c r="B34" s="38"/>
      <c r="C34" s="38"/>
      <c r="D34" s="38"/>
      <c r="E34" s="38"/>
      <c r="G34" s="1"/>
    </row>
    <row r="35" spans="1:7" x14ac:dyDescent="0.25">
      <c r="A35" s="38"/>
      <c r="B35" s="38"/>
      <c r="C35" s="38"/>
      <c r="D35" s="38"/>
      <c r="E35" s="38"/>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8"/>
  <sheetViews>
    <sheetView workbookViewId="0"/>
  </sheetViews>
  <sheetFormatPr defaultRowHeight="15.75" x14ac:dyDescent="0.25"/>
  <cols>
    <col min="1" max="1" width="10.5" bestFit="1" customWidth="1"/>
    <col min="4" max="4" width="9.625" style="1" bestFit="1" customWidth="1"/>
    <col min="5" max="5" width="16.375" bestFit="1" customWidth="1"/>
    <col min="6" max="6" width="9.75" bestFit="1" customWidth="1"/>
    <col min="7" max="7" width="9.625" bestFit="1" customWidth="1"/>
    <col min="8" max="8" width="33.375" style="44" bestFit="1" customWidth="1"/>
  </cols>
  <sheetData>
    <row r="1" spans="1:11" x14ac:dyDescent="0.25">
      <c r="A1" s="42" t="s">
        <v>320</v>
      </c>
      <c r="B1" s="42" t="s">
        <v>0</v>
      </c>
      <c r="C1" s="42" t="s">
        <v>321</v>
      </c>
      <c r="D1" s="1" t="s">
        <v>324</v>
      </c>
      <c r="E1" s="42" t="s">
        <v>163</v>
      </c>
      <c r="F1" s="42" t="s">
        <v>326</v>
      </c>
      <c r="G1" s="42" t="s">
        <v>539</v>
      </c>
      <c r="H1" s="44" t="s">
        <v>541</v>
      </c>
    </row>
    <row r="2" spans="1:11" x14ac:dyDescent="0.25">
      <c r="A2" s="42" t="s">
        <v>318</v>
      </c>
      <c r="B2" s="42"/>
      <c r="C2" s="42" t="s">
        <v>327</v>
      </c>
      <c r="D2" s="1">
        <v>90.5</v>
      </c>
      <c r="E2" s="42" t="s">
        <v>171</v>
      </c>
      <c r="F2" s="42">
        <v>1260</v>
      </c>
      <c r="G2" s="42">
        <v>20181003</v>
      </c>
      <c r="H2" s="44">
        <f>D2/F2*1000</f>
        <v>71.825396825396822</v>
      </c>
      <c r="K2" s="1"/>
    </row>
    <row r="3" spans="1:11" x14ac:dyDescent="0.25">
      <c r="A3" s="42" t="s">
        <v>376</v>
      </c>
      <c r="B3" s="42"/>
      <c r="C3" s="42" t="s">
        <v>327</v>
      </c>
      <c r="D3" s="1">
        <v>35.106666666666669</v>
      </c>
      <c r="E3" s="42" t="s">
        <v>540</v>
      </c>
      <c r="F3" s="42">
        <v>750</v>
      </c>
      <c r="G3" s="42">
        <v>20181010</v>
      </c>
      <c r="H3" s="44">
        <f t="shared" ref="H3:H4" si="0">D3/F3*1000</f>
        <v>46.808888888888895</v>
      </c>
      <c r="K3" s="1"/>
    </row>
    <row r="4" spans="1:11" x14ac:dyDescent="0.25">
      <c r="A4" s="42" t="s">
        <v>535</v>
      </c>
      <c r="B4" s="42"/>
      <c r="C4" s="42" t="s">
        <v>327</v>
      </c>
      <c r="D4" s="1">
        <f>60+50</f>
        <v>110</v>
      </c>
      <c r="E4" s="42" t="s">
        <v>171</v>
      </c>
      <c r="F4" s="42">
        <v>1260</v>
      </c>
      <c r="G4" s="42">
        <v>20181017</v>
      </c>
      <c r="H4" s="44">
        <f t="shared" si="0"/>
        <v>87.30158730158729</v>
      </c>
      <c r="J4" s="1"/>
      <c r="K4" s="1"/>
    </row>
    <row r="5" spans="1:11" x14ac:dyDescent="0.25">
      <c r="A5" s="42" t="s">
        <v>543</v>
      </c>
      <c r="C5" t="s">
        <v>542</v>
      </c>
      <c r="D5" s="1">
        <f>23+(F5*2.3/60)</f>
        <v>76.743333333333339</v>
      </c>
      <c r="E5" s="42" t="s">
        <v>544</v>
      </c>
      <c r="F5">
        <v>1402</v>
      </c>
      <c r="G5" s="42">
        <v>20181017</v>
      </c>
      <c r="H5" s="44">
        <f>D5/F5*1000</f>
        <v>54.73846885401808</v>
      </c>
      <c r="J5" s="1"/>
      <c r="K5" s="1"/>
    </row>
    <row r="6" spans="1:11" x14ac:dyDescent="0.25">
      <c r="A6" s="42" t="s">
        <v>545</v>
      </c>
      <c r="B6" s="42"/>
      <c r="C6" s="42" t="s">
        <v>542</v>
      </c>
      <c r="D6" s="1">
        <f>23+(F6*2.3/60)</f>
        <v>76.743333333333339</v>
      </c>
      <c r="E6" s="42" t="s">
        <v>544</v>
      </c>
      <c r="F6" s="42">
        <v>1402</v>
      </c>
      <c r="G6" s="42">
        <v>20181017</v>
      </c>
      <c r="H6" s="44">
        <f>D6/F6*1000</f>
        <v>54.73846885401808</v>
      </c>
      <c r="J6" s="1"/>
      <c r="K6" s="1"/>
    </row>
    <row r="7" spans="1:11" x14ac:dyDescent="0.25">
      <c r="A7" t="s">
        <v>109</v>
      </c>
      <c r="C7" s="1" t="s">
        <v>350</v>
      </c>
      <c r="D7" s="1">
        <f>340.63 + 30</f>
        <v>370.63</v>
      </c>
      <c r="E7" t="s">
        <v>184</v>
      </c>
      <c r="F7" s="42">
        <v>2079</v>
      </c>
      <c r="G7">
        <v>20181003</v>
      </c>
      <c r="H7" s="44">
        <f>D7/F7*1000</f>
        <v>178.27320827320827</v>
      </c>
      <c r="J7" s="1"/>
      <c r="K7" s="1"/>
    </row>
    <row r="8" spans="1:11" x14ac:dyDescent="0.25">
      <c r="J8" s="1"/>
      <c r="K8" s="1"/>
    </row>
    <row r="9" spans="1:11" x14ac:dyDescent="0.25">
      <c r="J9" s="1"/>
      <c r="K9" s="1"/>
    </row>
    <row r="10" spans="1:11" x14ac:dyDescent="0.25">
      <c r="J10" s="1"/>
      <c r="K10" s="1"/>
    </row>
    <row r="11" spans="1:11" x14ac:dyDescent="0.25">
      <c r="J11" s="1"/>
      <c r="K11" s="1"/>
    </row>
    <row r="12" spans="1:11" x14ac:dyDescent="0.25">
      <c r="J12" s="1"/>
      <c r="K12" s="1"/>
    </row>
    <row r="13" spans="1:11" x14ac:dyDescent="0.25">
      <c r="J13" s="1"/>
      <c r="K13" s="1"/>
    </row>
    <row r="14" spans="1:11" x14ac:dyDescent="0.25">
      <c r="J14" s="1"/>
      <c r="K14" s="1"/>
    </row>
    <row r="15" spans="1:11" x14ac:dyDescent="0.25">
      <c r="J15" s="1"/>
      <c r="K15" s="1"/>
    </row>
    <row r="16" spans="1:11" x14ac:dyDescent="0.25">
      <c r="K16" s="1"/>
    </row>
    <row r="17" spans="10:10" x14ac:dyDescent="0.25">
      <c r="J17" s="1"/>
    </row>
    <row r="18" spans="10:10" x14ac:dyDescent="0.25">
      <c r="J18" s="1"/>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50"/>
  <sheetViews>
    <sheetView topLeftCell="A16" zoomScale="90" zoomScaleNormal="90" workbookViewId="0">
      <selection activeCell="D30" sqref="D30:N30"/>
    </sheetView>
  </sheetViews>
  <sheetFormatPr defaultColWidth="11" defaultRowHeight="15.75" x14ac:dyDescent="0.25"/>
  <cols>
    <col min="3" max="3" width="45.125" bestFit="1" customWidth="1"/>
  </cols>
  <sheetData>
    <row r="1" spans="1:14" x14ac:dyDescent="0.25">
      <c r="A1" t="s">
        <v>321</v>
      </c>
      <c r="B1" s="15" t="s">
        <v>322</v>
      </c>
      <c r="C1" s="15" t="s">
        <v>381</v>
      </c>
      <c r="D1" s="51" t="s">
        <v>402</v>
      </c>
      <c r="E1" s="51"/>
      <c r="F1" s="51"/>
      <c r="G1" s="51"/>
      <c r="H1" s="51"/>
      <c r="I1" s="51"/>
      <c r="J1" s="51"/>
      <c r="K1" s="51"/>
      <c r="L1" s="51"/>
      <c r="M1" s="51"/>
      <c r="N1" s="51"/>
    </row>
    <row r="2" spans="1:14" ht="50.1" customHeight="1" x14ac:dyDescent="0.25">
      <c r="A2" t="s">
        <v>327</v>
      </c>
      <c r="B2" s="36">
        <v>1</v>
      </c>
      <c r="C2" s="37" t="s">
        <v>380</v>
      </c>
      <c r="D2" s="49" t="s">
        <v>382</v>
      </c>
      <c r="E2" s="49"/>
      <c r="F2" s="49"/>
      <c r="G2" s="49"/>
      <c r="H2" s="49"/>
      <c r="I2" s="49"/>
      <c r="J2" s="49"/>
      <c r="K2" s="49"/>
      <c r="L2" s="49"/>
      <c r="M2" s="49"/>
      <c r="N2" s="49"/>
    </row>
    <row r="3" spans="1:14" ht="50.1" customHeight="1" x14ac:dyDescent="0.25">
      <c r="A3" t="s">
        <v>327</v>
      </c>
      <c r="B3" s="36">
        <v>2</v>
      </c>
      <c r="C3" s="37" t="s">
        <v>383</v>
      </c>
      <c r="D3" s="46" t="s">
        <v>384</v>
      </c>
      <c r="E3" s="46"/>
      <c r="F3" s="46"/>
      <c r="G3" s="46"/>
      <c r="H3" s="46"/>
      <c r="I3" s="46"/>
      <c r="J3" s="46"/>
      <c r="K3" s="46"/>
      <c r="L3" s="46"/>
      <c r="M3" s="46"/>
      <c r="N3" s="46"/>
    </row>
    <row r="4" spans="1:14" ht="50.1" customHeight="1" x14ac:dyDescent="0.25">
      <c r="A4" t="s">
        <v>327</v>
      </c>
      <c r="B4" s="36">
        <v>3</v>
      </c>
      <c r="C4" s="37" t="s">
        <v>386</v>
      </c>
      <c r="D4" s="46" t="s">
        <v>390</v>
      </c>
      <c r="E4" s="46"/>
      <c r="F4" s="46"/>
      <c r="G4" s="46"/>
      <c r="H4" s="46"/>
      <c r="I4" s="46"/>
      <c r="J4" s="46"/>
      <c r="K4" s="46"/>
      <c r="L4" s="46"/>
      <c r="M4" s="46"/>
      <c r="N4" s="46"/>
    </row>
    <row r="5" spans="1:14" ht="50.1" customHeight="1" x14ac:dyDescent="0.25">
      <c r="A5" t="s">
        <v>327</v>
      </c>
      <c r="B5" s="36">
        <v>4</v>
      </c>
      <c r="C5" s="37" t="s">
        <v>333</v>
      </c>
      <c r="D5" s="46" t="s">
        <v>388</v>
      </c>
      <c r="E5" s="46"/>
      <c r="F5" s="46"/>
      <c r="G5" s="46"/>
      <c r="H5" s="46"/>
      <c r="I5" s="46"/>
      <c r="J5" s="46"/>
      <c r="K5" s="46"/>
      <c r="L5" s="46"/>
      <c r="M5" s="46"/>
      <c r="N5" s="46"/>
    </row>
    <row r="6" spans="1:14" ht="50.1" customHeight="1" x14ac:dyDescent="0.25">
      <c r="A6" t="s">
        <v>327</v>
      </c>
      <c r="B6" s="36">
        <v>5</v>
      </c>
      <c r="C6" s="37" t="s">
        <v>335</v>
      </c>
      <c r="D6" s="46" t="s">
        <v>385</v>
      </c>
      <c r="E6" s="46"/>
      <c r="F6" s="46"/>
      <c r="G6" s="46"/>
      <c r="H6" s="46"/>
      <c r="I6" s="46"/>
      <c r="J6" s="46"/>
      <c r="K6" s="46"/>
      <c r="L6" s="46"/>
      <c r="M6" s="46"/>
      <c r="N6" s="46"/>
    </row>
    <row r="7" spans="1:14" ht="50.1" customHeight="1" x14ac:dyDescent="0.25">
      <c r="A7" t="s">
        <v>327</v>
      </c>
      <c r="B7" s="36">
        <v>6</v>
      </c>
      <c r="C7" s="37" t="s">
        <v>387</v>
      </c>
      <c r="D7" s="46" t="s">
        <v>391</v>
      </c>
      <c r="E7" s="46"/>
      <c r="F7" s="46"/>
      <c r="G7" s="46"/>
      <c r="H7" s="46"/>
      <c r="I7" s="46"/>
      <c r="J7" s="46"/>
      <c r="K7" s="46"/>
      <c r="L7" s="46"/>
      <c r="M7" s="46"/>
      <c r="N7" s="46"/>
    </row>
    <row r="8" spans="1:14" ht="50.1" customHeight="1" x14ac:dyDescent="0.25">
      <c r="A8" t="s">
        <v>327</v>
      </c>
      <c r="B8" s="36">
        <v>7</v>
      </c>
      <c r="C8" s="37" t="s">
        <v>336</v>
      </c>
      <c r="D8" s="46" t="s">
        <v>389</v>
      </c>
      <c r="E8" s="46"/>
      <c r="F8" s="46"/>
      <c r="G8" s="46"/>
      <c r="H8" s="46"/>
      <c r="I8" s="46"/>
      <c r="J8" s="46"/>
      <c r="K8" s="46"/>
      <c r="L8" s="46"/>
      <c r="M8" s="46"/>
      <c r="N8" s="46"/>
    </row>
    <row r="9" spans="1:14" ht="50.1" customHeight="1" x14ac:dyDescent="0.25">
      <c r="A9" t="s">
        <v>327</v>
      </c>
      <c r="B9" s="36">
        <v>8</v>
      </c>
      <c r="C9" s="37" t="s">
        <v>392</v>
      </c>
      <c r="D9" s="46" t="s">
        <v>393</v>
      </c>
      <c r="E9" s="46"/>
      <c r="F9" s="46"/>
      <c r="G9" s="46"/>
      <c r="H9" s="46"/>
      <c r="I9" s="46"/>
      <c r="J9" s="46"/>
      <c r="K9" s="46"/>
      <c r="L9" s="46"/>
      <c r="M9" s="46"/>
      <c r="N9" s="46"/>
    </row>
    <row r="10" spans="1:14" ht="50.1" customHeight="1" x14ac:dyDescent="0.25">
      <c r="A10" t="s">
        <v>327</v>
      </c>
      <c r="B10" s="36">
        <v>9</v>
      </c>
      <c r="C10" s="37" t="s">
        <v>337</v>
      </c>
      <c r="D10" s="46" t="s">
        <v>394</v>
      </c>
      <c r="E10" s="46"/>
      <c r="F10" s="46"/>
      <c r="G10" s="46"/>
      <c r="H10" s="46"/>
      <c r="I10" s="46"/>
      <c r="J10" s="46"/>
      <c r="K10" s="46"/>
      <c r="L10" s="46"/>
      <c r="M10" s="46"/>
      <c r="N10" s="46"/>
    </row>
    <row r="11" spans="1:14" ht="50.1" customHeight="1" x14ac:dyDescent="0.25">
      <c r="A11" t="s">
        <v>327</v>
      </c>
      <c r="B11" s="36">
        <v>10</v>
      </c>
      <c r="C11" s="37" t="s">
        <v>338</v>
      </c>
      <c r="D11" s="46" t="s">
        <v>395</v>
      </c>
      <c r="E11" s="46"/>
      <c r="F11" s="46"/>
      <c r="G11" s="46"/>
      <c r="H11" s="46"/>
      <c r="I11" s="46"/>
      <c r="J11" s="46"/>
      <c r="K11" s="46"/>
      <c r="L11" s="46"/>
      <c r="M11" s="46"/>
      <c r="N11" s="46"/>
    </row>
    <row r="12" spans="1:14" ht="50.1" customHeight="1" x14ac:dyDescent="0.25">
      <c r="A12" t="s">
        <v>327</v>
      </c>
      <c r="B12" s="36">
        <v>11</v>
      </c>
      <c r="C12" s="37" t="s">
        <v>339</v>
      </c>
      <c r="D12" s="46" t="s">
        <v>396</v>
      </c>
      <c r="E12" s="46"/>
      <c r="F12" s="46"/>
      <c r="G12" s="46"/>
      <c r="H12" s="46"/>
      <c r="I12" s="46"/>
      <c r="J12" s="46"/>
      <c r="K12" s="46"/>
      <c r="L12" s="46"/>
      <c r="M12" s="46"/>
      <c r="N12" s="46"/>
    </row>
    <row r="13" spans="1:14" ht="50.1" customHeight="1" x14ac:dyDescent="0.25">
      <c r="A13" t="s">
        <v>327</v>
      </c>
      <c r="B13" s="36">
        <v>12</v>
      </c>
      <c r="C13" s="37" t="s">
        <v>397</v>
      </c>
      <c r="D13" s="46" t="s">
        <v>398</v>
      </c>
      <c r="E13" s="46"/>
      <c r="F13" s="46"/>
      <c r="G13" s="46"/>
      <c r="H13" s="46"/>
      <c r="I13" s="46"/>
      <c r="J13" s="46"/>
      <c r="K13" s="46"/>
      <c r="L13" s="46"/>
      <c r="M13" s="46"/>
      <c r="N13" s="46"/>
    </row>
    <row r="14" spans="1:14" ht="50.1" customHeight="1" x14ac:dyDescent="0.25">
      <c r="A14" t="s">
        <v>327</v>
      </c>
      <c r="B14" s="36">
        <v>13</v>
      </c>
      <c r="C14" s="37" t="s">
        <v>340</v>
      </c>
      <c r="D14" s="46" t="s">
        <v>399</v>
      </c>
      <c r="E14" s="46"/>
      <c r="F14" s="46"/>
      <c r="G14" s="46"/>
      <c r="H14" s="46"/>
      <c r="I14" s="46"/>
      <c r="J14" s="46"/>
      <c r="K14" s="46"/>
      <c r="L14" s="46"/>
      <c r="M14" s="46"/>
      <c r="N14" s="46"/>
    </row>
    <row r="15" spans="1:14" ht="50.1" customHeight="1" x14ac:dyDescent="0.25">
      <c r="A15" t="s">
        <v>327</v>
      </c>
      <c r="B15" s="36">
        <v>14</v>
      </c>
      <c r="C15" s="37" t="s">
        <v>403</v>
      </c>
      <c r="D15" s="46" t="s">
        <v>400</v>
      </c>
      <c r="E15" s="46"/>
      <c r="F15" s="46"/>
      <c r="G15" s="46"/>
      <c r="H15" s="46"/>
      <c r="I15" s="46"/>
      <c r="J15" s="46"/>
      <c r="K15" s="46"/>
      <c r="L15" s="46"/>
      <c r="M15" s="46"/>
      <c r="N15" s="46"/>
    </row>
    <row r="16" spans="1:14" ht="50.1" customHeight="1" x14ac:dyDescent="0.25">
      <c r="A16" t="s">
        <v>327</v>
      </c>
      <c r="B16" s="36">
        <v>15</v>
      </c>
      <c r="C16" s="37" t="s">
        <v>341</v>
      </c>
      <c r="D16" s="46" t="s">
        <v>401</v>
      </c>
      <c r="E16" s="46"/>
      <c r="F16" s="46"/>
      <c r="G16" s="46"/>
      <c r="H16" s="46"/>
      <c r="I16" s="46"/>
      <c r="J16" s="46"/>
      <c r="K16" s="46"/>
      <c r="L16" s="46"/>
      <c r="M16" s="46"/>
      <c r="N16" s="46"/>
    </row>
    <row r="17" spans="1:14" x14ac:dyDescent="0.25">
      <c r="A17" t="s">
        <v>405</v>
      </c>
      <c r="B17">
        <v>1</v>
      </c>
      <c r="C17" t="s">
        <v>406</v>
      </c>
      <c r="D17" s="50" t="s">
        <v>416</v>
      </c>
      <c r="E17" s="50"/>
      <c r="F17" s="50"/>
      <c r="G17" s="50"/>
      <c r="H17" s="50"/>
      <c r="I17" s="50"/>
      <c r="J17" s="50"/>
      <c r="K17" s="50"/>
      <c r="L17" s="50"/>
      <c r="M17" s="50"/>
      <c r="N17" s="50"/>
    </row>
    <row r="18" spans="1:14" x14ac:dyDescent="0.25">
      <c r="A18" t="s">
        <v>405</v>
      </c>
      <c r="B18">
        <v>2</v>
      </c>
      <c r="C18" t="s">
        <v>409</v>
      </c>
      <c r="D18" s="47" t="s">
        <v>418</v>
      </c>
      <c r="E18" s="47"/>
      <c r="F18" s="47"/>
      <c r="G18" s="47"/>
      <c r="H18" s="47"/>
      <c r="I18" s="47"/>
      <c r="J18" s="47"/>
      <c r="K18" s="47"/>
      <c r="L18" s="47"/>
      <c r="M18" s="47"/>
      <c r="N18" s="47"/>
    </row>
    <row r="19" spans="1:14" x14ac:dyDescent="0.25">
      <c r="A19" t="s">
        <v>405</v>
      </c>
      <c r="B19">
        <v>3</v>
      </c>
      <c r="C19" t="s">
        <v>408</v>
      </c>
      <c r="D19" s="47" t="s">
        <v>417</v>
      </c>
      <c r="E19" s="47"/>
      <c r="F19" s="47"/>
      <c r="G19" s="47"/>
      <c r="H19" s="47"/>
      <c r="I19" s="47"/>
      <c r="J19" s="47"/>
      <c r="K19" s="47"/>
      <c r="L19" s="47"/>
      <c r="M19" s="47"/>
      <c r="N19" s="47"/>
    </row>
    <row r="20" spans="1:14" x14ac:dyDescent="0.25">
      <c r="A20" t="s">
        <v>405</v>
      </c>
      <c r="B20">
        <v>4</v>
      </c>
      <c r="C20" t="s">
        <v>410</v>
      </c>
      <c r="D20" s="47" t="s">
        <v>417</v>
      </c>
      <c r="E20" s="47"/>
      <c r="F20" s="47"/>
      <c r="G20" s="47"/>
      <c r="H20" s="47"/>
      <c r="I20" s="47"/>
      <c r="J20" s="47"/>
      <c r="K20" s="47"/>
      <c r="L20" s="47"/>
      <c r="M20" s="47"/>
      <c r="N20" s="47"/>
    </row>
    <row r="21" spans="1:14" x14ac:dyDescent="0.25">
      <c r="A21" t="s">
        <v>405</v>
      </c>
      <c r="B21">
        <v>5</v>
      </c>
      <c r="C21" t="s">
        <v>411</v>
      </c>
      <c r="D21" s="47" t="s">
        <v>417</v>
      </c>
      <c r="E21" s="47"/>
      <c r="F21" s="47"/>
      <c r="G21" s="47"/>
      <c r="H21" s="47"/>
      <c r="I21" s="47"/>
      <c r="J21" s="47"/>
      <c r="K21" s="47"/>
      <c r="L21" s="47"/>
      <c r="M21" s="47"/>
      <c r="N21" s="47"/>
    </row>
    <row r="22" spans="1:14" x14ac:dyDescent="0.25">
      <c r="A22" t="s">
        <v>405</v>
      </c>
      <c r="B22">
        <v>6</v>
      </c>
      <c r="C22" t="s">
        <v>412</v>
      </c>
      <c r="D22" s="47" t="s">
        <v>419</v>
      </c>
      <c r="E22" s="47"/>
      <c r="F22" s="47"/>
      <c r="G22" s="47"/>
      <c r="H22" s="47"/>
      <c r="I22" s="47"/>
      <c r="J22" s="47"/>
      <c r="K22" s="47"/>
      <c r="L22" s="47"/>
      <c r="M22" s="47"/>
      <c r="N22" s="47"/>
    </row>
    <row r="23" spans="1:14" x14ac:dyDescent="0.25">
      <c r="A23" t="s">
        <v>405</v>
      </c>
      <c r="B23">
        <v>7</v>
      </c>
      <c r="C23" t="s">
        <v>413</v>
      </c>
      <c r="D23" s="48" t="s">
        <v>420</v>
      </c>
      <c r="E23" s="48"/>
      <c r="F23" s="48"/>
      <c r="G23" s="48"/>
      <c r="H23" s="48"/>
      <c r="I23" s="48"/>
      <c r="J23" s="48"/>
      <c r="K23" s="48"/>
      <c r="L23" s="48"/>
      <c r="M23" s="48"/>
      <c r="N23" s="48"/>
    </row>
    <row r="24" spans="1:14" x14ac:dyDescent="0.25">
      <c r="A24" t="s">
        <v>405</v>
      </c>
      <c r="B24">
        <v>8</v>
      </c>
      <c r="C24" t="s">
        <v>414</v>
      </c>
      <c r="D24" s="48" t="s">
        <v>421</v>
      </c>
      <c r="E24" s="48"/>
      <c r="F24" s="48"/>
      <c r="G24" s="48"/>
      <c r="H24" s="48"/>
      <c r="I24" s="48"/>
      <c r="J24" s="48"/>
      <c r="K24" s="48"/>
      <c r="L24" s="48"/>
      <c r="M24" s="48"/>
      <c r="N24" s="48"/>
    </row>
    <row r="25" spans="1:14" x14ac:dyDescent="0.25">
      <c r="A25" t="s">
        <v>405</v>
      </c>
      <c r="B25">
        <v>9</v>
      </c>
      <c r="C25" t="s">
        <v>415</v>
      </c>
      <c r="D25" s="48" t="s">
        <v>423</v>
      </c>
      <c r="E25" s="48"/>
      <c r="F25" s="48"/>
      <c r="G25" s="48"/>
      <c r="H25" s="48"/>
      <c r="I25" s="48"/>
      <c r="J25" s="48"/>
      <c r="K25" s="48"/>
      <c r="L25" s="48"/>
      <c r="M25" s="48"/>
      <c r="N25" s="48"/>
    </row>
    <row r="26" spans="1:14" s="42" customFormat="1" x14ac:dyDescent="0.25">
      <c r="A26" s="42" t="s">
        <v>405</v>
      </c>
      <c r="B26" s="42">
        <v>10</v>
      </c>
      <c r="C26" s="42" t="s">
        <v>412</v>
      </c>
      <c r="D26" s="47" t="s">
        <v>557</v>
      </c>
      <c r="E26" s="47"/>
      <c r="F26" s="47"/>
      <c r="G26" s="47"/>
      <c r="H26" s="47"/>
      <c r="I26" s="47"/>
      <c r="J26" s="47"/>
      <c r="K26" s="47"/>
      <c r="L26" s="47"/>
      <c r="M26" s="47"/>
      <c r="N26" s="47"/>
    </row>
    <row r="27" spans="1:14" x14ac:dyDescent="0.25">
      <c r="A27" s="42" t="s">
        <v>405</v>
      </c>
      <c r="B27" s="42">
        <v>11</v>
      </c>
      <c r="C27" s="42" t="s">
        <v>558</v>
      </c>
      <c r="D27" s="47" t="s">
        <v>559</v>
      </c>
      <c r="E27" s="47"/>
      <c r="F27" s="47"/>
      <c r="G27" s="47"/>
      <c r="H27" s="47"/>
      <c r="I27" s="47"/>
      <c r="J27" s="47"/>
      <c r="K27" s="47"/>
      <c r="L27" s="47"/>
      <c r="M27" s="47"/>
      <c r="N27" s="47"/>
    </row>
    <row r="28" spans="1:14" x14ac:dyDescent="0.25">
      <c r="A28" s="42" t="s">
        <v>405</v>
      </c>
      <c r="B28">
        <v>12</v>
      </c>
      <c r="C28" s="42" t="s">
        <v>556</v>
      </c>
      <c r="D28" s="47" t="s">
        <v>560</v>
      </c>
      <c r="E28" s="47"/>
      <c r="F28" s="47"/>
      <c r="G28" s="47"/>
      <c r="H28" s="47"/>
      <c r="I28" s="47"/>
      <c r="J28" s="47"/>
      <c r="K28" s="47"/>
      <c r="L28" s="47"/>
      <c r="M28" s="47"/>
      <c r="N28" s="47"/>
    </row>
    <row r="29" spans="1:14" x14ac:dyDescent="0.25">
      <c r="A29" t="s">
        <v>405</v>
      </c>
      <c r="B29">
        <v>13</v>
      </c>
      <c r="C29" t="s">
        <v>555</v>
      </c>
      <c r="D29" s="47" t="s">
        <v>561</v>
      </c>
      <c r="E29" s="47"/>
      <c r="F29" s="47"/>
      <c r="G29" s="47"/>
      <c r="H29" s="47"/>
      <c r="I29" s="47"/>
      <c r="J29" s="47"/>
      <c r="K29" s="47"/>
      <c r="L29" s="47"/>
      <c r="M29" s="47"/>
      <c r="N29" s="47"/>
    </row>
    <row r="30" spans="1:14" x14ac:dyDescent="0.25">
      <c r="A30" t="s">
        <v>425</v>
      </c>
      <c r="B30">
        <v>1</v>
      </c>
      <c r="C30" s="37" t="s">
        <v>426</v>
      </c>
      <c r="D30" s="49" t="s">
        <v>451</v>
      </c>
      <c r="E30" s="49"/>
      <c r="F30" s="49"/>
      <c r="G30" s="49"/>
      <c r="H30" s="49"/>
      <c r="I30" s="49"/>
      <c r="J30" s="49"/>
      <c r="K30" s="49"/>
      <c r="L30" s="49"/>
      <c r="M30" s="49"/>
      <c r="N30" s="49"/>
    </row>
    <row r="31" spans="1:14" x14ac:dyDescent="0.25">
      <c r="A31" t="s">
        <v>425</v>
      </c>
      <c r="B31">
        <v>2</v>
      </c>
      <c r="C31" t="s">
        <v>351</v>
      </c>
      <c r="D31" s="46" t="s">
        <v>440</v>
      </c>
      <c r="E31" s="46"/>
      <c r="F31" s="46"/>
      <c r="G31" s="46"/>
      <c r="H31" s="46"/>
      <c r="I31" s="46"/>
      <c r="J31" s="46"/>
      <c r="K31" s="46"/>
      <c r="L31" s="46"/>
      <c r="M31" s="46"/>
      <c r="N31" s="46"/>
    </row>
    <row r="32" spans="1:14" x14ac:dyDescent="0.25">
      <c r="A32" t="s">
        <v>425</v>
      </c>
      <c r="B32">
        <v>3</v>
      </c>
      <c r="C32" t="s">
        <v>427</v>
      </c>
      <c r="D32" s="46" t="s">
        <v>441</v>
      </c>
      <c r="E32" s="46"/>
      <c r="F32" s="46"/>
      <c r="G32" s="46"/>
      <c r="H32" s="46"/>
      <c r="I32" s="46"/>
      <c r="J32" s="46"/>
      <c r="K32" s="46"/>
      <c r="L32" s="46"/>
      <c r="M32" s="46"/>
      <c r="N32" s="46"/>
    </row>
    <row r="33" spans="1:14" ht="53.1" customHeight="1" x14ac:dyDescent="0.25">
      <c r="A33" t="s">
        <v>425</v>
      </c>
      <c r="B33" s="41">
        <v>4</v>
      </c>
      <c r="C33" t="s">
        <v>428</v>
      </c>
      <c r="D33" s="46" t="s">
        <v>443</v>
      </c>
      <c r="E33" s="46"/>
      <c r="F33" s="46"/>
      <c r="G33" s="46"/>
      <c r="H33" s="46"/>
      <c r="I33" s="46"/>
      <c r="J33" s="46"/>
      <c r="K33" s="46"/>
      <c r="L33" s="46"/>
      <c r="M33" s="46"/>
      <c r="N33" s="46"/>
    </row>
    <row r="34" spans="1:14" ht="15.75" customHeight="1" x14ac:dyDescent="0.25">
      <c r="A34" t="s">
        <v>425</v>
      </c>
      <c r="B34" s="41">
        <v>5</v>
      </c>
      <c r="C34" t="s">
        <v>429</v>
      </c>
      <c r="D34" s="46" t="s">
        <v>442</v>
      </c>
      <c r="E34" s="46"/>
      <c r="F34" s="46"/>
      <c r="G34" s="46"/>
      <c r="H34" s="46"/>
      <c r="I34" s="46"/>
      <c r="J34" s="46"/>
      <c r="K34" s="46"/>
      <c r="L34" s="46"/>
      <c r="M34" s="46"/>
      <c r="N34" s="46"/>
    </row>
    <row r="35" spans="1:14" x14ac:dyDescent="0.25">
      <c r="A35" s="39" t="s">
        <v>425</v>
      </c>
      <c r="B35" s="41">
        <v>6</v>
      </c>
      <c r="C35" s="39" t="s">
        <v>430</v>
      </c>
      <c r="D35" s="46" t="s">
        <v>450</v>
      </c>
      <c r="E35" s="46"/>
      <c r="F35" s="46"/>
      <c r="G35" s="46"/>
      <c r="H35" s="46"/>
      <c r="I35" s="46"/>
      <c r="J35" s="46"/>
      <c r="K35" s="46"/>
      <c r="L35" s="46"/>
      <c r="M35" s="46"/>
      <c r="N35" s="46"/>
    </row>
    <row r="36" spans="1:14" x14ac:dyDescent="0.25">
      <c r="A36" s="41" t="s">
        <v>425</v>
      </c>
      <c r="B36" s="41">
        <v>7</v>
      </c>
      <c r="C36" s="39" t="s">
        <v>431</v>
      </c>
      <c r="D36" s="46" t="s">
        <v>444</v>
      </c>
      <c r="E36" s="46"/>
      <c r="F36" s="46"/>
      <c r="G36" s="46"/>
      <c r="H36" s="46"/>
      <c r="I36" s="46"/>
      <c r="J36" s="46"/>
      <c r="K36" s="46"/>
      <c r="L36" s="46"/>
      <c r="M36" s="46"/>
      <c r="N36" s="46"/>
    </row>
    <row r="37" spans="1:14" x14ac:dyDescent="0.25">
      <c r="A37" s="41" t="s">
        <v>425</v>
      </c>
      <c r="B37" s="41">
        <v>8</v>
      </c>
      <c r="C37" s="39" t="s">
        <v>432</v>
      </c>
      <c r="D37" s="46" t="s">
        <v>447</v>
      </c>
      <c r="E37" s="46"/>
      <c r="F37" s="46"/>
      <c r="G37" s="46"/>
      <c r="H37" s="46"/>
      <c r="I37" s="46"/>
      <c r="J37" s="46"/>
      <c r="K37" s="46"/>
      <c r="L37" s="46"/>
      <c r="M37" s="46"/>
      <c r="N37" s="46"/>
    </row>
    <row r="38" spans="1:14" ht="30" customHeight="1" x14ac:dyDescent="0.25">
      <c r="A38" s="41" t="s">
        <v>425</v>
      </c>
      <c r="B38" s="41">
        <v>9</v>
      </c>
      <c r="C38" s="39" t="s">
        <v>433</v>
      </c>
      <c r="D38" s="46" t="s">
        <v>449</v>
      </c>
      <c r="E38" s="46"/>
      <c r="F38" s="46"/>
      <c r="G38" s="46"/>
      <c r="H38" s="46"/>
      <c r="I38" s="46"/>
      <c r="J38" s="46"/>
      <c r="K38" s="46"/>
      <c r="L38" s="46"/>
      <c r="M38" s="46"/>
      <c r="N38" s="46"/>
    </row>
    <row r="39" spans="1:14" ht="30" customHeight="1" x14ac:dyDescent="0.25">
      <c r="A39" s="41" t="s">
        <v>425</v>
      </c>
      <c r="B39" s="41">
        <v>10</v>
      </c>
      <c r="C39" s="39" t="s">
        <v>434</v>
      </c>
      <c r="D39" s="46" t="s">
        <v>445</v>
      </c>
      <c r="E39" s="46"/>
      <c r="F39" s="46"/>
      <c r="G39" s="46"/>
      <c r="H39" s="46"/>
      <c r="I39" s="46"/>
      <c r="J39" s="46"/>
      <c r="K39" s="46"/>
      <c r="L39" s="46"/>
      <c r="M39" s="46"/>
      <c r="N39" s="46"/>
    </row>
    <row r="40" spans="1:14" ht="30" customHeight="1" x14ac:dyDescent="0.25">
      <c r="A40" s="41" t="s">
        <v>425</v>
      </c>
      <c r="B40" s="41">
        <v>11</v>
      </c>
      <c r="C40" s="39" t="s">
        <v>435</v>
      </c>
      <c r="D40" s="46" t="s">
        <v>446</v>
      </c>
      <c r="E40" s="46"/>
      <c r="F40" s="46"/>
      <c r="G40" s="46"/>
      <c r="H40" s="46"/>
      <c r="I40" s="46"/>
      <c r="J40" s="46"/>
      <c r="K40" s="46"/>
      <c r="L40" s="46"/>
      <c r="M40" s="46"/>
      <c r="N40" s="46"/>
    </row>
    <row r="41" spans="1:14" ht="30" customHeight="1" x14ac:dyDescent="0.25">
      <c r="A41" s="41" t="s">
        <v>425</v>
      </c>
      <c r="B41" s="41">
        <v>12</v>
      </c>
      <c r="C41" s="39" t="s">
        <v>436</v>
      </c>
      <c r="D41" s="46" t="s">
        <v>448</v>
      </c>
      <c r="E41" s="46"/>
      <c r="F41" s="46"/>
      <c r="G41" s="46"/>
      <c r="H41" s="46"/>
      <c r="I41" s="46"/>
      <c r="J41" s="46"/>
      <c r="K41" s="46"/>
      <c r="L41" s="46"/>
      <c r="M41" s="46"/>
      <c r="N41" s="46"/>
    </row>
    <row r="42" spans="1:14" ht="30" customHeight="1" x14ac:dyDescent="0.25">
      <c r="A42" s="41" t="s">
        <v>425</v>
      </c>
      <c r="B42" s="41">
        <v>13</v>
      </c>
      <c r="C42" t="s">
        <v>437</v>
      </c>
      <c r="D42" s="46" t="s">
        <v>452</v>
      </c>
      <c r="E42" s="46"/>
      <c r="F42" s="46"/>
      <c r="G42" s="46"/>
      <c r="H42" s="46"/>
      <c r="I42" s="46"/>
      <c r="J42" s="46"/>
      <c r="K42" s="46"/>
      <c r="L42" s="46"/>
      <c r="M42" s="46"/>
      <c r="N42" s="46"/>
    </row>
    <row r="43" spans="1:14" ht="30" customHeight="1" x14ac:dyDescent="0.25">
      <c r="A43" s="41" t="s">
        <v>425</v>
      </c>
      <c r="B43" s="41">
        <v>14</v>
      </c>
      <c r="C43" t="s">
        <v>453</v>
      </c>
      <c r="D43" s="46" t="s">
        <v>454</v>
      </c>
      <c r="E43" s="46"/>
      <c r="F43" s="46"/>
      <c r="G43" s="46"/>
      <c r="H43" s="46"/>
      <c r="I43" s="46"/>
      <c r="J43" s="46"/>
      <c r="K43" s="46"/>
      <c r="L43" s="46"/>
      <c r="M43" s="46"/>
      <c r="N43" s="46"/>
    </row>
    <row r="44" spans="1:14" ht="30" customHeight="1" x14ac:dyDescent="0.25">
      <c r="A44" s="41" t="s">
        <v>425</v>
      </c>
      <c r="B44" s="41">
        <v>15</v>
      </c>
      <c r="C44" t="s">
        <v>438</v>
      </c>
      <c r="D44" s="46" t="s">
        <v>455</v>
      </c>
      <c r="E44" s="46"/>
      <c r="F44" s="46"/>
      <c r="G44" s="46"/>
      <c r="H44" s="46"/>
      <c r="I44" s="46"/>
      <c r="J44" s="46"/>
      <c r="K44" s="46"/>
      <c r="L44" s="46"/>
      <c r="M44" s="46"/>
      <c r="N44" s="46"/>
    </row>
    <row r="45" spans="1:14" ht="30" customHeight="1" x14ac:dyDescent="0.25">
      <c r="A45" s="41" t="s">
        <v>425</v>
      </c>
      <c r="B45" s="41">
        <v>16</v>
      </c>
      <c r="C45" t="s">
        <v>439</v>
      </c>
      <c r="D45" s="46" t="s">
        <v>456</v>
      </c>
      <c r="E45" s="46"/>
      <c r="F45" s="46"/>
      <c r="G45" s="46"/>
      <c r="H45" s="46"/>
      <c r="I45" s="46"/>
      <c r="J45" s="46"/>
      <c r="K45" s="46"/>
      <c r="L45" s="46"/>
      <c r="M45" s="46"/>
      <c r="N45" s="46"/>
    </row>
    <row r="46" spans="1:14" ht="30" customHeight="1" x14ac:dyDescent="0.25">
      <c r="A46" s="42" t="s">
        <v>425</v>
      </c>
      <c r="B46" s="42">
        <v>17</v>
      </c>
      <c r="C46" s="42" t="s">
        <v>546</v>
      </c>
      <c r="D46" s="46" t="s">
        <v>547</v>
      </c>
      <c r="E46" s="46"/>
      <c r="F46" s="46"/>
      <c r="G46" s="46"/>
      <c r="H46" s="46"/>
      <c r="I46" s="46"/>
      <c r="J46" s="46"/>
      <c r="K46" s="46"/>
      <c r="L46" s="46"/>
      <c r="M46" s="46"/>
      <c r="N46" s="46"/>
    </row>
    <row r="47" spans="1:14" x14ac:dyDescent="0.25">
      <c r="A47" s="42" t="s">
        <v>425</v>
      </c>
      <c r="B47" s="41">
        <v>18</v>
      </c>
      <c r="C47" s="42" t="s">
        <v>548</v>
      </c>
      <c r="D47" s="46" t="s">
        <v>549</v>
      </c>
      <c r="E47" s="46"/>
      <c r="F47" s="46"/>
      <c r="G47" s="46"/>
      <c r="H47" s="46"/>
      <c r="I47" s="46"/>
      <c r="J47" s="46"/>
      <c r="K47" s="46"/>
      <c r="L47" s="46"/>
      <c r="M47" s="46"/>
      <c r="N47" s="46"/>
    </row>
    <row r="48" spans="1:14" x14ac:dyDescent="0.25">
      <c r="A48" s="41" t="s">
        <v>425</v>
      </c>
      <c r="B48">
        <v>19</v>
      </c>
      <c r="C48" t="s">
        <v>457</v>
      </c>
      <c r="D48" s="46" t="s">
        <v>550</v>
      </c>
      <c r="E48" s="46"/>
      <c r="F48" s="46"/>
      <c r="G48" s="46"/>
      <c r="H48" s="46"/>
      <c r="I48" s="46"/>
      <c r="J48" s="46"/>
      <c r="K48" s="46"/>
      <c r="L48" s="46"/>
      <c r="M48" s="46"/>
      <c r="N48" s="46"/>
    </row>
    <row r="49" spans="1:1" ht="30" customHeight="1" x14ac:dyDescent="0.25">
      <c r="A49" s="41"/>
    </row>
    <row r="50" spans="1:1" ht="53.1" customHeight="1" x14ac:dyDescent="0.25"/>
  </sheetData>
  <mergeCells count="48">
    <mergeCell ref="D43:N43"/>
    <mergeCell ref="D44:N44"/>
    <mergeCell ref="D4:N4"/>
    <mergeCell ref="D3:N3"/>
    <mergeCell ref="D1:N1"/>
    <mergeCell ref="D2:N2"/>
    <mergeCell ref="D16:N16"/>
    <mergeCell ref="D15:N15"/>
    <mergeCell ref="D14:N14"/>
    <mergeCell ref="D13:N13"/>
    <mergeCell ref="D12:N12"/>
    <mergeCell ref="D11:N11"/>
    <mergeCell ref="D10:N10"/>
    <mergeCell ref="D9:N9"/>
    <mergeCell ref="D8:N8"/>
    <mergeCell ref="D23:N23"/>
    <mergeCell ref="D22:N22"/>
    <mergeCell ref="D7:N7"/>
    <mergeCell ref="D6:N6"/>
    <mergeCell ref="D5:N5"/>
    <mergeCell ref="D17:N17"/>
    <mergeCell ref="D18:N18"/>
    <mergeCell ref="D19:N19"/>
    <mergeCell ref="D20:N20"/>
    <mergeCell ref="D21:N21"/>
    <mergeCell ref="D24:N24"/>
    <mergeCell ref="D25:N25"/>
    <mergeCell ref="D29:N29"/>
    <mergeCell ref="D30:N30"/>
    <mergeCell ref="D33:N33"/>
    <mergeCell ref="D32:N32"/>
    <mergeCell ref="D31:N31"/>
    <mergeCell ref="D48:N48"/>
    <mergeCell ref="D47:N47"/>
    <mergeCell ref="D26:N26"/>
    <mergeCell ref="D28:N28"/>
    <mergeCell ref="D27:N27"/>
    <mergeCell ref="D34:N34"/>
    <mergeCell ref="D45:N45"/>
    <mergeCell ref="D46:N46"/>
    <mergeCell ref="D36:N36"/>
    <mergeCell ref="D37:N37"/>
    <mergeCell ref="D39:N39"/>
    <mergeCell ref="D40:N40"/>
    <mergeCell ref="D42:N42"/>
    <mergeCell ref="D35:N35"/>
    <mergeCell ref="D38:N38"/>
    <mergeCell ref="D41:N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WashData</vt:lpstr>
      <vt:lpstr>ScrapWork</vt:lpstr>
      <vt:lpstr>BillofMat</vt:lpstr>
      <vt:lpstr>RawObs</vt:lpstr>
      <vt:lpstr>PrepObs</vt:lpstr>
      <vt:lpstr>AggObs</vt:lpstr>
      <vt:lpstr>Procedure</vt:lpstr>
      <vt:lpstr>Tbl1_Batch</vt:lpstr>
      <vt:lpstr>Tbl1_Cell</vt:lpstr>
      <vt:lpstr>Tbl1_Distinction</vt:lpstr>
      <vt:lpstr>Tbl1_Family</vt:lpstr>
      <vt:lpstr>Tbl1_Hdrs</vt:lpstr>
      <vt:lpstr>Tbl1_PartID</vt:lpstr>
      <vt:lpstr>Tbl1_Step</vt:lpstr>
      <vt:lpstr>Tbl1_Time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Lydia Holmstrand</dc:creator>
  <cp:keywords/>
  <dc:description/>
  <cp:lastModifiedBy>Trey Hoffman</cp:lastModifiedBy>
  <cp:revision/>
  <dcterms:created xsi:type="dcterms:W3CDTF">2018-10-04T17:57:16Z</dcterms:created>
  <dcterms:modified xsi:type="dcterms:W3CDTF">2018-10-21T20:28:35Z</dcterms:modified>
  <cp:category/>
  <cp:contentStatus/>
</cp:coreProperties>
</file>