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 DATA\Desktop\Github Published\RE\"/>
    </mc:Choice>
  </mc:AlternateContent>
  <xr:revisionPtr revIDLastSave="0" documentId="13_ncr:1_{2CB561C0-D09D-4255-9318-ED7D86B3F14C}" xr6:coauthVersionLast="47" xr6:coauthVersionMax="47" xr10:uidLastSave="{00000000-0000-0000-0000-000000000000}"/>
  <bookViews>
    <workbookView xWindow="-120" yWindow="-120" windowWidth="29040" windowHeight="15840" activeTab="3" xr2:uid="{BE03FA4A-7A4A-4860-BD9C-B8A98036165A}"/>
  </bookViews>
  <sheets>
    <sheet name="Cash-on-Cash" sheetId="12" r:id="rId1"/>
    <sheet name="Multiple Hurdles" sheetId="10" r:id="rId2"/>
    <sheet name="GP Catch-Up" sheetId="3" r:id="rId3"/>
    <sheet name="Catch-Up With Clawback" sheetId="11" r:id="rId4"/>
  </sheets>
  <externalReferences>
    <externalReference r:id="rId5"/>
    <externalReference r:id="rId6"/>
  </externalReferences>
  <definedNames>
    <definedName name="_" hidden="1">'[1]1999 BUDGET'!#REF!</definedName>
    <definedName name="__a1" localSheetId="0" hidden="1">{"Assump",#N/A,TRUE,"Proforma";"first",#N/A,TRUE,"Proforma";"second",#N/A,TRUE,"Proforma";"lease1",#N/A,TRUE,"Proforma";"lease2",#N/A,TRUE,"Proforma"}</definedName>
    <definedName name="__a1" hidden="1">{"Assump",#N/A,TRUE,"Proforma";"first",#N/A,TRUE,"Proforma";"second",#N/A,TRUE,"Proforma";"lease1",#N/A,TRUE,"Proforma";"lease2",#N/A,TRUE,"Proforma"}</definedName>
    <definedName name="__FDS_HYPERLINK_TOGGLE_STATE__" hidden="1">"ON"</definedName>
    <definedName name="_a1" localSheetId="0" hidden="1">{"Assump",#N/A,TRUE,"Proforma";"first",#N/A,TRUE,"Proforma";"second",#N/A,TRUE,"Proforma";"lease1",#N/A,TRUE,"Proforma";"lease2",#N/A,TRUE,"Proforma"}</definedName>
    <definedName name="_a1" hidden="1">{"Assump",#N/A,TRUE,"Proforma";"first",#N/A,TRUE,"Proforma";"second",#N/A,TRUE,"Proforma";"lease1",#N/A,TRUE,"Proforma";"lease2",#N/A,TRUE,"Proforma"}</definedName>
    <definedName name="_COO2" localSheetId="0" hidden="1">{#N/A,#N/A,FALSE,"Matrix";#N/A,#N/A,FALSE,"Cash Flow";#N/A,#N/A,FALSE,"10 Year Cost Analysis"}</definedName>
    <definedName name="_COO2" hidden="1">{#N/A,#N/A,FALSE,"Matrix";#N/A,#N/A,FALSE,"Cash Flow";#N/A,#N/A,FALSE,"10 Year Cost Analysis"}</definedName>
    <definedName name="_dfadfasd" localSheetId="0" hidden="1">{"cap_structure",#N/A,FALSE,"Graph-Mkt Cap";"price",#N/A,FALSE,"Graph-Price";"ebit",#N/A,FALSE,"Graph-EBITDA";"ebitda",#N/A,FALSE,"Graph-EBITDA"}</definedName>
    <definedName name="_dfadfasd" hidden="1">{"cap_structure",#N/A,FALSE,"Graph-Mkt Cap";"price",#N/A,FALSE,"Graph-Price";"ebit",#N/A,FALSE,"Graph-EBITDA";"ebitda",#N/A,FALSE,"Graph-EBITDA"}</definedName>
    <definedName name="_Fill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a1a1" localSheetId="0" hidden="1">{"Assump",#N/A,TRUE,"Proforma";"first",#N/A,TRUE,"Proforma";"second",#N/A,TRUE,"Proforma";"lease1",#N/A,TRUE,"Proforma";"lease2",#N/A,TRUE,"Proforma"}</definedName>
    <definedName name="a1a1" hidden="1">{"Assump",#N/A,TRUE,"Proforma";"first",#N/A,TRUE,"Proforma";"second",#N/A,TRUE,"Proforma";"lease1",#N/A,TRUE,"Proforma";"lease2",#N/A,TRUE,"Proforma"}</definedName>
    <definedName name="aa" localSheetId="0" hidden="1">{"AnnualRentRoll",#N/A,FALSE,"RentRoll"}</definedName>
    <definedName name="aa" hidden="1">{"AnnualRentRoll",#N/A,FALSE,"RentRoll"}</definedName>
    <definedName name="aaa" localSheetId="0" hidden="1">{"AnnualRentRoll",#N/A,FALSE,"RentRoll"}</definedName>
    <definedName name="aaa" hidden="1">{"AnnualRentRoll",#N/A,FALSE,"RentRoll"}</definedName>
    <definedName name="aaaaa" localSheetId="0" hidden="1">{"Assump",#N/A,TRUE,"Proforma";"first",#N/A,TRUE,"Proforma";"second",#N/A,TRUE,"Proforma";"lease1",#N/A,TRUE,"Proforma";"lease2",#N/A,TRUE,"Proforma"}</definedName>
    <definedName name="aaaaa" hidden="1">{"Assump",#N/A,TRUE,"Proforma";"first",#N/A,TRUE,"Proforma";"second",#N/A,TRUE,"Proforma";"lease1",#N/A,TRUE,"Proforma";"lease2",#N/A,TRUE,"Proforma"}</definedName>
    <definedName name="aaaaaaa" localSheetId="0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" localSheetId="0" hidden="1">{"Outflow 1",#N/A,FALSE,"Outflows-Inflows";"Outflow 2",#N/A,FALSE,"Outflows-Inflows";"Inflow 1",#N/A,FALSE,"Outflows-Inflows";"Inflow 2",#N/A,FALSE,"Outflows-Inflows"}</definedName>
    <definedName name="AAAAAAAA" hidden="1">{"Outflow 1",#N/A,FALSE,"Outflows-Inflows";"Outflow 2",#N/A,FALSE,"Outflows-Inflows";"Inflow 1",#N/A,FALSE,"Outflows-Inflows";"Inflow 2",#N/A,FALSE,"Outflows-Inflows"}</definedName>
    <definedName name="aasdfa" localSheetId="0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d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fa" localSheetId="0" hidden="1">{"cap_structure",#N/A,FALSE,"Graph-Mkt Cap";"price",#N/A,FALSE,"Graph-Price";"ebit",#N/A,FALSE,"Graph-EBITDA";"ebitda",#N/A,FALSE,"Graph-EBITDA"}</definedName>
    <definedName name="adfa" hidden="1">{"cap_structure",#N/A,FALSE,"Graph-Mkt Cap";"price",#N/A,FALSE,"Graph-Price";"ebit",#N/A,FALSE,"Graph-EBITDA";"ebitda",#N/A,FALSE,"Graph-EBITDA"}</definedName>
    <definedName name="adfgga" localSheetId="0" hidden="1">{"FCB_ALL",#N/A,FALSE,"FCB"}</definedName>
    <definedName name="adfgga" hidden="1">{"FCB_ALL",#N/A,FALSE,"FCB"}</definedName>
    <definedName name="adfghsdfgas" localSheetId="0" hidden="1">{"inputs raw data",#N/A,TRUE,"INPUT"}</definedName>
    <definedName name="adfghsdfgas" hidden="1">{"inputs raw data",#N/A,TRUE,"INPUT"}</definedName>
    <definedName name="ADFWAE" localSheetId="0" hidden="1">{"summary1",#N/A,TRUE,"Comps";"summary2",#N/A,TRUE,"Comps";"summary3",#N/A,TRUE,"Comps"}</definedName>
    <definedName name="ADFWAE" hidden="1">{"summary1",#N/A,TRUE,"Comps";"summary2",#N/A,TRUE,"Comps";"summary3",#N/A,TRUE,"Comps"}</definedName>
    <definedName name="adgad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s" localSheetId="0" hidden="1">{"inputs raw data",#N/A,TRUE,"INPUT"}</definedName>
    <definedName name="ads" hidden="1">{"inputs raw data",#N/A,TRUE,"INPUT"}</definedName>
    <definedName name="ADSFA" localSheetId="0" hidden="1">{"inputs raw data",#N/A,TRUE,"INPUT"}</definedName>
    <definedName name="ADSFA" hidden="1">{"inputs raw data",#N/A,TRUE,"INPUT"}</definedName>
    <definedName name="AEWEW" localSheetId="0" hidden="1">{"inputs raw data",#N/A,TRUE,"INPUT"}</definedName>
    <definedName name="AEWEW" hidden="1">{"inputs raw data",#N/A,TRUE,"INPUT"}</definedName>
    <definedName name="all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rew" localSheetId="0" hidden="1">{"cap_structure",#N/A,FALSE,"Graph-Mkt Cap";"price",#N/A,FALSE,"Graph-Price";"ebit",#N/A,FALSE,"Graph-EBITDA";"ebitda",#N/A,FALSE,"Graph-EBITDA"}</definedName>
    <definedName name="arew" hidden="1">{"cap_structure",#N/A,FALSE,"Graph-Mkt Cap";"price",#N/A,FALSE,"Graph-Price";"ebit",#N/A,FALSE,"Graph-EBITDA";"ebitda",#N/A,FALSE,"Graph-EBITDA"}</definedName>
    <definedName name="arg" localSheetId="0" hidden="1">{"inputs raw data",#N/A,TRUE,"INPUT"}</definedName>
    <definedName name="arg" hidden="1">{"inputs raw data",#N/A,TRUE,"INPUT"}</definedName>
    <definedName name="as" localSheetId="0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0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0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" localSheetId="0" hidden="1">{"cap_structure",#N/A,FALSE,"Graph-Mkt Cap";"price",#N/A,FALSE,"Graph-Price";"ebit",#N/A,FALSE,"Graph-EBITDA";"ebitda",#N/A,FALSE,"Graph-EBITDA"}</definedName>
    <definedName name="asdfasd" hidden="1">{"cap_structure",#N/A,FALSE,"Graph-Mkt Cap";"price",#N/A,FALSE,"Graph-Price";"ebit",#N/A,FALSE,"Graph-EBITDA";"ebitda",#N/A,FALSE,"Graph-EBITDA"}</definedName>
    <definedName name="asdfasdf" localSheetId="0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" localSheetId="0" hidden="1">{"summary1",#N/A,TRUE,"Comps";"summary2",#N/A,TRUE,"Comps";"summary3",#N/A,TRUE,"Comps"}</definedName>
    <definedName name="asdfasdfasd" hidden="1">{"summary1",#N/A,TRUE,"Comps";"summary2",#N/A,TRUE,"Comps";"summary3",#N/A,TRUE,"Comps"}</definedName>
    <definedName name="asdfg" localSheetId="0" hidden="1">{"rtn",#N/A,FALSE,"RTN";"tables",#N/A,FALSE,"RTN";"cf",#N/A,FALSE,"CF";"stats",#N/A,FALSE,"Stats";"prop",#N/A,FALSE,"Prop"}</definedName>
    <definedName name="asdfg" hidden="1">{"rtn",#N/A,FALSE,"RTN";"tables",#N/A,FALSE,"RTN";"cf",#N/A,FALSE,"CF";"stats",#N/A,FALSE,"Stats";"prop",#N/A,FALSE,"Prop"}</definedName>
    <definedName name="asfdgsdfg" localSheetId="0" hidden="1">{"inputs raw data",#N/A,TRUE,"INPUT"}</definedName>
    <definedName name="asfdgsdfg" hidden="1">{"inputs raw data",#N/A,TRUE,"INPUT"}</definedName>
    <definedName name="ass" localSheetId="0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0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b" localSheetId="0" hidden="1">{"Assump",#N/A,TRUE,"Proforma";"first",#N/A,TRUE,"Proforma";"second",#N/A,TRUE,"Proforma";"lease1",#N/A,TRUE,"Proforma";"lease2",#N/A,TRUE,"Proforma"}</definedName>
    <definedName name="b" hidden="1">{"Assump",#N/A,TRUE,"Proforma";"first",#N/A,TRUE,"Proforma";"second",#N/A,TRUE,"Proforma";"lease1",#N/A,TRUE,"Proforma";"lease2",#N/A,TRUE,"Proforma"}</definedName>
    <definedName name="BadLink" hidden="1">#REF!</definedName>
    <definedName name="bb" localSheetId="0" hidden="1">{#N/A,#N/A,FALSE,"ExitStratigy"}</definedName>
    <definedName name="bb" hidden="1">{#N/A,#N/A,FALSE,"ExitStratigy"}</definedName>
    <definedName name="bbb" localSheetId="0" hidden="1">{#N/A,#N/A,FALSE,"ExitStratigy"}</definedName>
    <definedName name="bbb" hidden="1">{#N/A,#N/A,FALSE,"ExitStratigy"}</definedName>
    <definedName name="c.LTMYear" hidden="1">#REF!</definedName>
    <definedName name="cc" localSheetId="0" hidden="1">{#N/A,#N/A,FALSE,"LoanAssumptions"}</definedName>
    <definedName name="cc" hidden="1">{#N/A,#N/A,FALSE,"LoanAssumptions"}</definedName>
    <definedName name="ccc" localSheetId="0" hidden="1">{#N/A,#N/A,FALSE,"LoanAssumptions"}</definedName>
    <definedName name="ccc" hidden="1">{#N/A,#N/A,FALSE,"LoanAssumptions"}</definedName>
    <definedName name="COO" localSheetId="0" hidden="1">{#N/A,#N/A,FALSE,"Matrix";#N/A,#N/A,FALSE,"Cash Flow";#N/A,#N/A,FALSE,"10 Year Cost Analysis"}</definedName>
    <definedName name="COO" hidden="1">{#N/A,#N/A,FALSE,"Matrix";#N/A,#N/A,FALSE,"Cash Flow";#N/A,#N/A,FALSE,"10 Year Cost Analysis"}</definedName>
    <definedName name="CreditStats" hidden="1">#REF!</definedName>
    <definedName name="DAFAD" localSheetId="0" hidden="1">{"cap_structure",#N/A,FALSE,"Graph-Mkt Cap";"price",#N/A,FALSE,"Graph-Price";"ebit",#N/A,FALSE,"Graph-EBITDA";"ebitda",#N/A,FALSE,"Graph-EBITDA"}</definedName>
    <definedName name="DAFAD" hidden="1">{"cap_structure",#N/A,FALSE,"Graph-Mkt Cap";"price",#N/A,FALSE,"Graph-Price";"ebit",#N/A,FALSE,"Graph-EBITDA";"ebitda",#N/A,FALSE,"Graph-EBITDA"}</definedName>
    <definedName name="dafgdfg" localSheetId="0" hidden="1">{"inputs raw data",#N/A,TRUE,"INPUT"}</definedName>
    <definedName name="dafgdfg" hidden="1">{"inputs raw data",#N/A,TRUE,"INPUT"}</definedName>
    <definedName name="data" localSheetId="0" hidden="1">{"data",#N/A,FALSE,"INPUT"}</definedName>
    <definedName name="data" hidden="1">{"data",#N/A,FALSE,"INPUT"}</definedName>
    <definedName name="dd" localSheetId="0" hidden="1">{"MonthlyRentRoll",#N/A,FALSE,"RentRoll"}</definedName>
    <definedName name="dd" hidden="1">{"MonthlyRentRoll",#N/A,FALSE,"RentRoll"}</definedName>
    <definedName name="ddd" localSheetId="0" hidden="1">{"MonthlyRentRoll",#N/A,FALSE,"RentRoll"}</definedName>
    <definedName name="ddd" hidden="1">{"MonthlyRentRoll",#N/A,FALSE,"RentRoll"}</definedName>
    <definedName name="dfahgadf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d" localSheetId="0" hidden="1">{"FCB_ALL",#N/A,FALSE,"FCB";"GREY_ALL",#N/A,FALSE,"GREY"}</definedName>
    <definedName name="dfd" hidden="1">{"FCB_ALL",#N/A,FALSE,"FCB";"GREY_ALL",#N/A,FALSE,"GREY"}</definedName>
    <definedName name="dfdas" localSheetId="0" hidden="1">{"FCB_ALL",#N/A,FALSE,"FCB";"GREY_ALL",#N/A,FALSE,"GREY"}</definedName>
    <definedName name="dfdas" hidden="1">{"FCB_ALL",#N/A,FALSE,"FCB";"GREY_ALL",#N/A,FALSE,"GREY"}</definedName>
    <definedName name="dfdfd" localSheetId="0" hidden="1">{"FCB_ALL",#N/A,FALSE,"FCB";"GREY_ALL",#N/A,FALSE,"GREY"}</definedName>
    <definedName name="dfdfd" hidden="1">{"FCB_ALL",#N/A,FALSE,"FCB";"GREY_ALL",#N/A,FALSE,"GREY"}</definedName>
    <definedName name="dfdfdfd" localSheetId="0" hidden="1">{"FCB_ALL",#N/A,FALSE,"FCB"}</definedName>
    <definedName name="dfdfdfd" hidden="1">{"FCB_ALL",#N/A,FALSE,"FCB"}</definedName>
    <definedName name="dfhdfagdf" localSheetId="0" hidden="1">{"cap_structure",#N/A,FALSE,"Graph-Mkt Cap";"price",#N/A,FALSE,"Graph-Price";"ebit",#N/A,FALSE,"Graph-EBITDA";"ebitda",#N/A,FALSE,"Graph-EBITDA"}</definedName>
    <definedName name="dfhdfagdf" hidden="1">{"cap_structure",#N/A,FALSE,"Graph-Mkt Cap";"price",#N/A,FALSE,"Graph-Price";"ebit",#N/A,FALSE,"Graph-EBITDA";"ebitda",#N/A,FALSE,"Graph-EBITDA"}</definedName>
    <definedName name="DHG" localSheetId="0" hidden="1">{"cap_structure",#N/A,FALSE,"Graph-Mkt Cap";"price",#N/A,FALSE,"Graph-Price";"ebit",#N/A,FALSE,"Graph-EBITDA";"ebitda",#N/A,FALSE,"Graph-EBITDA"}</definedName>
    <definedName name="DHG" hidden="1">{"cap_structure",#N/A,FALSE,"Graph-Mkt Cap";"price",#N/A,FALSE,"Graph-Price";"ebit",#N/A,FALSE,"Graph-EBITDA";"ebitda",#N/A,FALSE,"Graph-EBITDA"}</definedName>
    <definedName name="DZ.IndSpec_Left" hidden="1">#REF!</definedName>
    <definedName name="DZ.IndSpec_Right" hidden="1">#REF!</definedName>
    <definedName name="DZ.LTM" hidden="1">#REF!</definedName>
    <definedName name="DZ.LTMPlus" hidden="1">#REF!</definedName>
    <definedName name="earghdfh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e" localSheetId="0" hidden="1">{#N/A,#N/A,FALSE,"OperatingAssumptions"}</definedName>
    <definedName name="ee" hidden="1">{#N/A,#N/A,FALSE,"OperatingAssumptions"}</definedName>
    <definedName name="eee" localSheetId="0" hidden="1">{#N/A,#N/A,FALSE,"OperatingAssumptions"}</definedName>
    <definedName name="eee" hidden="1">{#N/A,#N/A,FALSE,"OperatingAssumptions"}</definedName>
    <definedName name="er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tyui" localSheetId="0" hidden="1">{"FCB_ALL",#N/A,FALSE,"FCB";"GREY_ALL",#N/A,FALSE,"GREY"}</definedName>
    <definedName name="ertyui" hidden="1">{"FCB_ALL",#N/A,FALSE,"FCB";"GREY_ALL",#N/A,FALSE,"GREY"}</definedName>
    <definedName name="ev.Calculation" hidden="1">-4135</definedName>
    <definedName name="ev.Initialized" hidden="1">FALSE</definedName>
    <definedName name="EV__LASTREFTIME__" hidden="1">38433.706724537</definedName>
    <definedName name="Exchange_Rates" hidden="1">#REF!</definedName>
    <definedName name="ExRate_Yr1" hidden="1">#REF!</definedName>
    <definedName name="ExRate_Yr2" hidden="1">#REF!</definedName>
    <definedName name="ExRate_Yr3" hidden="1">#REF!</definedName>
    <definedName name="ExRate_Yr4" hidden="1">#REF!</definedName>
    <definedName name="ExRate_Yr5" hidden="1">#REF!</definedName>
    <definedName name="ExRate_Yr6" hidden="1">#REF!</definedName>
    <definedName name="ExRate_Yr7" hidden="1">#REF!</definedName>
    <definedName name="ExRateLTM_Yr1" hidden="1">#REF!</definedName>
    <definedName name="ExRateLTM_Yr2" hidden="1">#REF!</definedName>
    <definedName name="ExRateLTM_Yr3" hidden="1">#REF!</definedName>
    <definedName name="fadsf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dgad" localSheetId="0" hidden="1">{"inputs raw data",#N/A,TRUE,"INPUT"}</definedName>
    <definedName name="fdgad" hidden="1">{"inputs raw data",#N/A,TRUE,"INPUT"}</definedName>
    <definedName name="ff" localSheetId="0" hidden="1">{#N/A,#N/A,TRUE,"Summary";"AnnualRentRoll",#N/A,TRUE,"RentRoll";#N/A,#N/A,TRUE,"ExitStratigy";#N/A,#N/A,TRUE,"OperatingAssumptions"}</definedName>
    <definedName name="ff" hidden="1">{#N/A,#N/A,TRUE,"Summary";"AnnualRentRoll",#N/A,TRUE,"RentRoll";#N/A,#N/A,TRUE,"ExitStratigy";#N/A,#N/A,TRUE,"OperatingAssumptions"}</definedName>
    <definedName name="fff" localSheetId="0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hg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m" localSheetId="0" hidden="1">{"summary1",#N/A,TRUE,"Comps";"summary2",#N/A,TRUE,"Comps";"summary3",#N/A,TRUE,"Comps"}</definedName>
    <definedName name="fm" hidden="1">{"summary1",#N/A,TRUE,"Comps";"summary2",#N/A,TRUE,"Comps";"summary3",#N/A,TRUE,"Comps"}</definedName>
    <definedName name="fuckface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gfhs" localSheetId="0" hidden="1">{"summary1",#N/A,TRUE,"Comps";"summary2",#N/A,TRUE,"Comps";"summary3",#N/A,TRUE,"Comps"}</definedName>
    <definedName name="gfhs" hidden="1">{"summary1",#N/A,TRUE,"Comps";"summary2",#N/A,TRUE,"Comps";"summary3",#N/A,TRUE,"Comps"}</definedName>
    <definedName name="gg" localSheetId="0" hidden="1">{#N/A,#N/A,FALSE,"PropertyInfo"}</definedName>
    <definedName name="gg" hidden="1">{#N/A,#N/A,FALSE,"PropertyInfo"}</definedName>
    <definedName name="ggg" localSheetId="0" hidden="1">{#N/A,#N/A,FALSE,"PropertyInfo"}</definedName>
    <definedName name="ggg" hidden="1">{#N/A,#N/A,FALSE,"PropertyInfo"}</definedName>
    <definedName name="gh" localSheetId="0" hidden="1">{"FCB_ALL",#N/A,FALSE,"FCB";"GREY_ALL",#N/A,FALSE,"GREY"}</definedName>
    <definedName name="gh" hidden="1">{"FCB_ALL",#N/A,FALSE,"FCB";"GREY_ALL",#N/A,FALSE,"GREY"}</definedName>
    <definedName name="GKUY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HD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h" localSheetId="0" hidden="1">{#N/A,#N/A,FALSE,"Summary"}</definedName>
    <definedName name="hh" hidden="1">{#N/A,#N/A,FALSE,"Summary"}</definedName>
    <definedName name="hhh" localSheetId="0" hidden="1">{#N/A,#N/A,FALSE,"Summary"}</definedName>
    <definedName name="hhh" hidden="1">{#N/A,#N/A,FALSE,"Summary"}</definedName>
    <definedName name="hjf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44" hidden="1">#REF!</definedName>
    <definedName name="hn._I051" hidden="1">#REF!</definedName>
    <definedName name="hn._I059" hidden="1">#REF!</definedName>
    <definedName name="hn._I062" hidden="1">#REF!</definedName>
    <definedName name="hn._I070" hidden="1">#REF!</definedName>
    <definedName name="hn._I071" hidden="1">#REF!</definedName>
    <definedName name="hn._I075" hidden="1">#REF!</definedName>
    <definedName name="hn._I077" hidden="1">#REF!</definedName>
    <definedName name="hn._I083" hidden="1">#REF!</definedName>
    <definedName name="hn._I085" hidden="1">#REF!</definedName>
    <definedName name="hn._P001" hidden="1">#REF!</definedName>
    <definedName name="hn._P002" hidden="1">#REF!</definedName>
    <definedName name="hn._P004" hidden="1">#REF!</definedName>
    <definedName name="hn._P014" hidden="1">#REF!</definedName>
    <definedName name="hn._P016" hidden="1">#REF!</definedName>
    <definedName name="hn._P017" hidden="1">#REF!</definedName>
    <definedName name="hn._P017g" hidden="1">#REF!</definedName>
    <definedName name="hn._P021" hidden="1">#REF!</definedName>
    <definedName name="hn._P024" hidden="1">#REF!</definedName>
    <definedName name="hn.Add015" hidden="1">#REF!</definedName>
    <definedName name="hn.ConvertVal1" hidden="1">#REF!</definedName>
    <definedName name="hn.ConvertZero1" localSheetId="0" hidden="1">#REF!,#REF!,#REF!,#REF!,#REF!,#REF!,#REF!,#REF!,#REF!,#REF!</definedName>
    <definedName name="hn.ConvertZero1" hidden="1">#REF!,#REF!,#REF!,#REF!,#REF!,#REF!,#REF!,#REF!,#REF!,#REF!</definedName>
    <definedName name="hn.ConvertZero2" hidden="1">#REF!,#REF!,#REF!,#REF!,#REF!,#REF!,#REF!,#REF!</definedName>
    <definedName name="hn.ConvertZero3" hidden="1">#REF!,#REF!,#REF!,#REF!,#REF!</definedName>
    <definedName name="hn.ConvertZero4" hidden="1">#REF!,#REF!,#REF!,#REF!,#REF!,#REF!,#REF!,#REF!</definedName>
    <definedName name="hn.ConvertZeroUnhide1" hidden="1">#REF!,#REF!,#REF!</definedName>
    <definedName name="hn.CopyforPR" hidden="1">#REF!</definedName>
    <definedName name="hn.Delete015" hidden="1">#REF!,#REF!,#REF!,#REF!</definedName>
    <definedName name="hn.domestic" hidden="1">#REF!</definedName>
    <definedName name="hn.DZ_MultByFXRates" hidden="1">[2]DropZone!$B$2:$I$118,[2]DropZone!$B$120:$I$132,[2]DropZone!$B$134:$I$136,[2]DropZone!$B$138:$I$146</definedName>
    <definedName name="hn.ExtDb" hidden="1">FALSE</definedName>
    <definedName name="hn.FromMain" hidden="1">#REF!</definedName>
    <definedName name="hn.FromMain1" hidden="1">#REF!</definedName>
    <definedName name="hn.FromMain2" hidden="1">#REF!</definedName>
    <definedName name="hn.FromMain3" hidden="1">#REF!</definedName>
    <definedName name="hn.FromMain4" hidden="1">#REF!</definedName>
    <definedName name="hn.FromMain5" hidden="1">#REF!</definedName>
    <definedName name="hn.Global" hidden="1">#REF!</definedName>
    <definedName name="hn.LTM_MultByFXRates" hidden="1">#REF!,#REF!,#REF!,#REF!,#REF!,#REF!,#REF!</definedName>
    <definedName name="hn.LTMData" hidden="1">#REF!</definedName>
    <definedName name="hn.ModelType" hidden="1">"DEAL"</definedName>
    <definedName name="hn.ModelVersion" hidden="1">1</definedName>
    <definedName name="hn.MultbyFXRates" hidden="1">#REF!,#REF!,#REF!,#REF!,#REF!,#REF!,#REF!</definedName>
    <definedName name="hn.MultByFXRates1" hidden="1">#REF!,#REF!,#REF!,#REF!,#REF!</definedName>
    <definedName name="hn.MultByFXRates2" hidden="1">#REF!,#REF!,#REF!,#REF!,#REF!</definedName>
    <definedName name="hn.MultByFXRates3" hidden="1">#REF!,#REF!,#REF!,#REF!,#REF!</definedName>
    <definedName name="hn.MultbyFxrates4" hidden="1">#REF!,#REF!,#REF!,#REF!,#REF!,#REF!,#REF!</definedName>
    <definedName name="hn.multbyfxrates5" hidden="1">#REF!,#REF!,#REF!,#REF!,#REF!</definedName>
    <definedName name="hn.multbyfxrates6" hidden="1">#REF!,#REF!,#REF!,#REF!,#REF!</definedName>
    <definedName name="hn.multbyfxrates7" hidden="1">#REF!,#REF!,#REF!,#REF!,#REF!</definedName>
    <definedName name="hn.MultByFXRatesBot1" localSheetId="0" hidden="1">#REF!,#REF!,#REF!,#REF!,#REF!,#REF!,#REF!,#REF!,#REF!,#REF!,#REF!,#REF!</definedName>
    <definedName name="hn.MultByFXRatesBot1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localSheetId="0" hidden="1">#REF!,#REF!,#REF!,#REF!,#REF!,#REF!,#REF!,#REF!,#REF!,#REF!,#REF!,#REF!,#REF!</definedName>
    <definedName name="hn.MultByFXRatesBot4" hidden="1">#REF!,#REF!,#REF!,#REF!,#REF!,#REF!,#REF!,#REF!,#REF!,#REF!,#REF!,#REF!,#REF!</definedName>
    <definedName name="hn.MultByFXRatesBot5" hidden="1">#REF!,#REF!,#REF!,#REF!,#REF!,#REF!,#REF!,#REF!,#REF!,#REF!,#REF!</definedName>
    <definedName name="hn.MultByFXRatesBot6" hidden="1">#REF!,#REF!,#REF!,#REF!,#REF!,#REF!,#REF!,#REF!,#REF!,#REF!,#REF!</definedName>
    <definedName name="hn.MultByFXRatesBot7" hidden="1">#REF!,#REF!,#REF!,#REF!,#REF!,#REF!,#REF!,#REF!,#REF!,#REF!,#REF!</definedName>
    <definedName name="hn.MultByFXRatesTop1" hidden="1">#REF!,#REF!,#REF!,#REF!,#REF!,#REF!,#REF!,#REF!,#REF!,#REF!,#REF!,#REF!</definedName>
    <definedName name="hn.MultByFXRatesTop2" localSheetId="0" hidden="1">#REF!,#REF!,#REF!,#REF!,#REF!,#REF!,#REF!,#REF!,#REF!,#REF!,#REF!,#REF!,#REF!,#REF!,#REF!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hidden="1">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 hidden="1">0</definedName>
    <definedName name="hn.ParityCheck" hidden="1">#REF!</definedName>
    <definedName name="hn.PrivateLTMYear" hidden="1">#REF!</definedName>
    <definedName name="hn.USLast" hidden="1">#REF!</definedName>
    <definedName name="hn.YearLabel" hidden="1">#REF!</definedName>
    <definedName name="huh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IsColHidden" hidden="1">FALSE</definedName>
    <definedName name="IsLTMColHidden" hidden="1">FALSE</definedName>
    <definedName name="jb" localSheetId="0" hidden="1">{"summary1",#N/A,TRUE,"Comps";"summary2",#N/A,TRUE,"Comps";"summary3",#N/A,TRUE,"Comps"}</definedName>
    <definedName name="jb" hidden="1">{"summary1",#N/A,TRUE,"Comps";"summary2",#N/A,TRUE,"Comps";"summary3",#N/A,TRUE,"Comps"}</definedName>
    <definedName name="jk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" localSheetId="0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GKHJ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lll" localSheetId="0" hidden="1">{"Outflow 1",#N/A,FALSE,"Outflows-Inflows";"Outflow 2",#N/A,FALSE,"Outflows-Inflows";"Inflow 1",#N/A,FALSE,"Outflows-Inflows";"Inflow 2",#N/A,FALSE,"Outflows-Inflows"}</definedName>
    <definedName name="lll" hidden="1">{"Outflow 1",#N/A,FALSE,"Outflows-Inflows";"Outflow 2",#N/A,FALSE,"Outflows-Inflows";"Inflow 1",#N/A,FALSE,"Outflows-Inflows";"Inflow 2",#N/A,FALSE,"Outflows-Inflows"}</definedName>
    <definedName name="ltm_BalanceSheet" hidden="1">#REF!</definedName>
    <definedName name="ltm_IncomeStatement" hidden="1">#REF!</definedName>
    <definedName name="MGHM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o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p.Covenants" hidden="1">#REF!</definedName>
    <definedName name="p.Covenants_Titles" hidden="1">#REF!</definedName>
    <definedName name="p.CreditStats" hidden="1">#REF!</definedName>
    <definedName name="p.LTM_BS" hidden="1">#REF!</definedName>
    <definedName name="p.LTM_IS" hidden="1">#REF!</definedName>
    <definedName name="p.Summary" hidden="1">#REF!</definedName>
    <definedName name="p.Summary_Titles" hidden="1">#REF!</definedName>
    <definedName name="q" localSheetId="0" hidden="1">{"summary1",#N/A,TRUE,"Comps";"summary2",#N/A,TRUE,"Comps";"summary3",#N/A,TRUE,"Comps"}</definedName>
    <definedName name="q" hidden="1">{"summary1",#N/A,TRUE,"Comps";"summary2",#N/A,TRUE,"Comps";"summary3",#N/A,TRUE,"Comps"}</definedName>
    <definedName name="qre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wert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r.CashFlow" hidden="1">#REF!</definedName>
    <definedName name="r.Leverage" hidden="1">#REF!</definedName>
    <definedName name="r.Liquidity" hidden="1">#REF!</definedName>
    <definedName name="r.LTM" hidden="1">#REF!</definedName>
    <definedName name="r.LTMInterim" hidden="1">#REF!</definedName>
    <definedName name="r.Market" hidden="1">#REF!</definedName>
    <definedName name="r.Profitability" hidden="1">#REF!</definedName>
    <definedName name="r.Summary" hidden="1">#REF!</definedName>
    <definedName name="report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t" localSheetId="0" hidden="1">{"inputs raw data",#N/A,TRUE,"INPUT"}</definedName>
    <definedName name="rt" hidden="1">{"inputs raw data",#N/A,TRUE,"INPUT"}</definedName>
    <definedName name="sa" localSheetId="0" hidden="1">{"cap_structure",#N/A,FALSE,"Graph-Mkt Cap";"price",#N/A,FALSE,"Graph-Price";"ebit",#N/A,FALSE,"Graph-EBITDA";"ebitda",#N/A,FALSE,"Graph-EBITDA"}</definedName>
    <definedName name="sa" hidden="1">{"cap_structure",#N/A,FALSE,"Graph-Mkt Cap";"price",#N/A,FALSE,"Graph-Price";"ebit",#N/A,FALSE,"Graph-EBITDA";"ebitda",#N/A,FALSE,"Graph-EBITDA"}</definedName>
    <definedName name="saa" localSheetId="0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gf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s" localSheetId="0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0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ga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SO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t" localSheetId="0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trial" localSheetId="0" hidden="1">{"Outflow 1",#N/A,FALSE,"Outflows-Inflows";"Outflow 2",#N/A,FALSE,"Outflows-Inflows";"Inflow 1",#N/A,FALSE,"Outflows-Inflows";"Inflow 2",#N/A,FALSE,"Outflows-Inflows"}</definedName>
    <definedName name="trial" hidden="1">{"Outflow 1",#N/A,FALSE,"Outflows-Inflows";"Outflow 2",#N/A,FALSE,"Outflows-Inflows";"Inflow 1",#N/A,FALSE,"Outflows-Inflows";"Inflow 2",#N/A,FALSE,"Outflows-Inflows"}</definedName>
    <definedName name="USDollar" hidden="1">#REF!</definedName>
    <definedName name="uyfkf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j" localSheetId="0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" localSheetId="0" hidden="1">{"cap_structure",#N/A,FALSE,"Graph-Mkt Cap";"price",#N/A,FALSE,"Graph-Price";"ebit",#N/A,FALSE,"Graph-EBITDA";"ebitda",#N/A,FALSE,"Graph-EBITDA"}</definedName>
    <definedName name="w" hidden="1">{"cap_structure",#N/A,FALSE,"Graph-Mkt Cap";"price",#N/A,FALSE,"Graph-Price";"ebit",#N/A,FALSE,"Graph-EBITDA";"ebitda",#N/A,FALSE,"Graph-EBITDA"}</definedName>
    <definedName name="wafe" localSheetId="0" hidden="1">{"summary1",#N/A,TRUE,"Comps";"summary2",#N/A,TRUE,"Comps";"summary3",#N/A,TRUE,"Comps"}</definedName>
    <definedName name="wafe" hidden="1">{"summary1",#N/A,TRUE,"Comps";"summary2",#N/A,TRUE,"Comps";"summary3",#N/A,TRUE,"Comps"}</definedName>
    <definedName name="WEA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QQE" localSheetId="0" hidden="1">{"summary1",#N/A,TRUE,"Comps";"summary2",#N/A,TRUE,"Comps";"summary3",#N/A,TRUE,"Comps"}</definedName>
    <definedName name="WEQQE" hidden="1">{"summary1",#N/A,TRUE,"Comps";"summary2",#N/A,TRUE,"Comps";"summary3",#N/A,TRUE,"Comps"}</definedName>
    <definedName name="wetrwergfwer" localSheetId="0" hidden="1">{"cap_structure",#N/A,FALSE,"Graph-Mkt Cap";"price",#N/A,FALSE,"Graph-Price";"ebit",#N/A,FALSE,"Graph-EBITDA";"ebitda",#N/A,FALSE,"Graph-EBITDA"}</definedName>
    <definedName name="wetrwergfwer" hidden="1">{"cap_structure",#N/A,FALSE,"Graph-Mkt Cap";"price",#N/A,FALSE,"Graph-Price";"ebit",#N/A,FALSE,"Graph-EBITDA";"ebitda",#N/A,FALSE,"Graph-EBITDA"}</definedName>
    <definedName name="WQE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n.275PricingBook." localSheetId="0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localSheetId="0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Accretion." localSheetId="0" hidden="1">{"Accretion",#N/A,FALSE,"Assum"}</definedName>
    <definedName name="wrn.Accretion." hidden="1">{"Accretion",#N/A,FALSE,"Assum"}</definedName>
    <definedName name="wrn.Acq._.Model." localSheetId="0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0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_.Schedules." localSheetId="0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tock_10_12_14." localSheetId="0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nnualRentRoll." localSheetId="0" hidden="1">{"AnnualRentRoll",#N/A,FALSE,"RentRoll"}</definedName>
    <definedName name="wrn.AnnualRentRoll." hidden="1">{"AnnualRentRoll",#N/A,FALSE,"RentRoll"}</definedName>
    <definedName name="wrn.Assumptions." localSheetId="0" hidden="1">{"Assumptions",#N/A,FALSE,"Assum"}</definedName>
    <definedName name="wrn.Assumptions." hidden="1">{"Assumptions",#N/A,FALSE,"Assum"}</definedName>
    <definedName name="wrn.Basic." localSheetId="0" hidden="1">{#N/A,#N/A,FALSE,"Cover";#N/A,#N/A,FALSE,"Assumptions";#N/A,#N/A,FALSE,"Acquirer";#N/A,#N/A,FALSE,"Target";#N/A,#N/A,FALSE,"Income Statement";#N/A,#N/A,FALSE,"Summary Tables"}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lackWhite." localSheetId="0" hidden="1">{#N/A,#N/A,FALSE,"NNN sum";#N/A,#N/A,FALSE,"10-yr Opt. A Sum";#N/A,#N/A,FALSE,"10-yr Opt A Other Costs";#N/A,#N/A,FALSE,"Purchase Sum";#N/A,#N/A,FALSE,"Purchase Other Costs"}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localSheetId="0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onds." localSheetId="0" hidden="1">{#N/A,#N/A,FALSE,"Bonds - Consol";#N/A,#N/A,FALSE,"Bonds - Lakes";#N/A,#N/A,FALSE,"Bonds - Chabot";#N/A,#N/A,FALSE,"Bonds - Diablo"}</definedName>
    <definedName name="wrn.Bonds." hidden="1">{#N/A,#N/A,FALSE,"Bonds - Consol";#N/A,#N/A,FALSE,"Bonds - Lakes";#N/A,#N/A,FALSE,"Bonds - Chabot";#N/A,#N/A,FALSE,"Bonds - Diablo"}</definedName>
    <definedName name="wrn.Capx." localSheetId="0" hidden="1">{"Capx/exp",#N/A,FALSE,"CapX"}</definedName>
    <definedName name="wrn.Capx." hidden="1">{"Capx/exp",#N/A,FALSE,"CapX"}</definedName>
    <definedName name="wrn.Cash._.Flow._.and._.Matrix." localSheetId="0" hidden="1">{#N/A,#N/A,FALSE,"Matrix";#N/A,#N/A,FALSE,"Cash Flow";#N/A,#N/A,FALSE,"10 Year Cost Analysis"}</definedName>
    <definedName name="wrn.Cash._.Flow._.and._.Matrix." hidden="1">{#N/A,#N/A,FALSE,"Matrix";#N/A,#N/A,FALSE,"Cash Flow";#N/A,#N/A,FALSE,"10 Year Cost Analysis"}</definedName>
    <definedName name="wrn.CASH._.FLOWS._.ONLY." localSheetId="0" hidden="1">{#N/A,#N/A,FALSE,"Assumptions";#N/A,#N/A,FALSE,"Consol CF";#N/A,#N/A,FALSE,"Hacienda CF";#N/A,#N/A,FALSE,"Chabot CF";#N/A,#N/A,FALSE,"Diablo CF"}</definedName>
    <definedName name="wrn.CASH._.FLOWS._.ONLY." hidden="1">{#N/A,#N/A,FALSE,"Assumptions";#N/A,#N/A,FALSE,"Consol CF";#N/A,#N/A,FALSE,"Hacienda CF";#N/A,#N/A,FALSE,"Chabot CF";#N/A,#N/A,FALSE,"Diablo CF"}</definedName>
    <definedName name="wrn.CF._.Print." localSheetId="0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data." localSheetId="0" hidden="1">{"data",#N/A,FALSE,"INPUT"}</definedName>
    <definedName name="wrn.data." hidden="1">{"data",#N/A,FALSE,"INPUT"}</definedName>
    <definedName name="wrn.data5" localSheetId="0" hidden="1">{"data",#N/A,FALSE,"INPUT"}</definedName>
    <definedName name="wrn.data5" hidden="1">{"data",#N/A,FALSE,"INPUT"}</definedName>
    <definedName name="wrn.detail." localSheetId="0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velopment._.Budget." localSheetId="0" hidden="1">{"Year 1",#N/A,FALSE,"Budget";"Year 2",#N/A,FALSE,"Budget";"Year 3",#N/A,FALSE,"Budget";"Year 4",#N/A,FALSE,"Budget"}</definedName>
    <definedName name="wrn.Development._.Budget." hidden="1">{"Year 1",#N/A,FALSE,"Budget";"Year 2",#N/A,FALSE,"Budget";"Year 3",#N/A,FALSE,"Budget";"Year 4",#N/A,FALSE,"Budget"}</definedName>
    <definedName name="wrn.Earnings._.Model." localSheetId="0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tire._.Package." localSheetId="0" hidden="1">{"Summary",#N/A,FALSE,"Assumptions";"Development 1 2",#N/A,FALSE,"Budget";"Operating Income",#N/A,FALSE,"Budget"}</definedName>
    <definedName name="wrn.Entire._.Package." hidden="1">{"Summary",#N/A,FALSE,"Assumptions";"Development 1 2",#N/A,FALSE,"Budget";"Operating Income",#N/A,FALSE,"Budget"}</definedName>
    <definedName name="wrn.Exhibits." localSheetId="0" hidden="1">{#N/A,#N/A,FALSE,"Historical";#N/A,#N/A,FALSE,"Adjusted";#N/A,#N/A,FALSE,"CAM Alloc.";#N/A,#N/A,FALSE,"Projected CAM"}</definedName>
    <definedName name="wrn.Exhibits." hidden="1">{#N/A,#N/A,FALSE,"Historical";#N/A,#N/A,FALSE,"Adjusted";#N/A,#N/A,FALSE,"CAM Alloc.";#N/A,#N/A,FALSE,"Projected CAM"}</definedName>
    <definedName name="wrn.ExitAndSalesAssumptions." localSheetId="0" hidden="1">{#N/A,#N/A,FALSE,"ExitStratigy"}</definedName>
    <definedName name="wrn.ExitAndSalesAssumptions." hidden="1">{#N/A,#N/A,FALSE,"ExitStratigy"}</definedName>
    <definedName name="wrn.FCB." localSheetId="0" hidden="1">{"FCB_ALL",#N/A,FALSE,"FCB"}</definedName>
    <definedName name="wrn.FCB." hidden="1">{"FCB_ALL",#N/A,FALSE,"FCB"}</definedName>
    <definedName name="wrn.fcb2" localSheetId="0" hidden="1">{"FCB_ALL",#N/A,FALSE,"FCB"}</definedName>
    <definedName name="wrn.fcb2" hidden="1">{"FCB_ALL",#N/A,FALSE,"FCB"}</definedName>
    <definedName name="wrn.FOschedules." localSheetId="0" hidden="1">{"FOschedule1",#N/A,FALSE,"Sheet1";"FOschedule2",#N/A,FALSE,"Sheet1";"FOschedule3",#N/A,FALSE,"Sheet1"}</definedName>
    <definedName name="wrn.FOschedules." hidden="1">{"FOschedule1",#N/A,FALSE,"Sheet1";"FOschedule2",#N/A,FALSE,"Sheet1";"FOschedule3",#N/A,FALSE,"Sheet1"}</definedName>
    <definedName name="wrn.Garage." localSheetId="0" hidden="1">{#N/A,#N/A,FALSE,"Garage Assumpt 1";#N/A,#N/A,FALSE,"Garage Op Proj";#N/A,#N/A,FALSE,"Hist I&amp;E";#N/A,#N/A,FALSE,"Garage Lease"}</definedName>
    <definedName name="wrn.Garage." hidden="1">{#N/A,#N/A,FALSE,"Garage Assumpt 1";#N/A,#N/A,FALSE,"Garage Op Proj";#N/A,#N/A,FALSE,"Hist I&amp;E";#N/A,#N/A,FALSE,"Garage Lease"}</definedName>
    <definedName name="wrn.GSA._.PRINT." localSheetId="0" hidden="1">{#N/A,#N/A,FALSE,"DEV COSTS";#N/A,#N/A,FALSE,"10-YR C. F."}</definedName>
    <definedName name="wrn.GSA._.PRINT." hidden="1">{#N/A,#N/A,FALSE,"DEV COSTS";#N/A,#N/A,FALSE,"10-YR C. F."}</definedName>
    <definedName name="wrn.gsa._PRINT5" localSheetId="0" hidden="1">{#N/A,#N/A,FALSE,"DEV COSTS";#N/A,#N/A,FALSE,"10-YR C. F."}</definedName>
    <definedName name="wrn.gsa._PRINT5" hidden="1">{#N/A,#N/A,FALSE,"DEV COSTS";#N/A,#N/A,FALSE,"10-YR C. F."}</definedName>
    <definedName name="wrn.Hist._.InE." localSheetId="0" hidden="1">{#N/A,#N/A,FALSE,"Hist I&amp;E - Consol";#N/A,#N/A,FALSE,"Hist I&amp;E - Lakes";#N/A,#N/A,FALSE,"Hist I&amp;E - Chabot";#N/A,#N/A,FALSE,"Hist I&amp;E - Diablo"}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localSheetId="0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Income._.Statements." localSheetId="0" hidden="1">{"Annual Income",#N/A,FALSE,"Revenues";"Quarter Income",#N/A,FALSE,"Revenues"}</definedName>
    <definedName name="wrn.Income._.Statements." hidden="1">{"Annual Income",#N/A,FALSE,"Revenues";"Quarter Income",#N/A,FALSE,"Revenues"}</definedName>
    <definedName name="wrn.LoanInformation." localSheetId="0" hidden="1">{#N/A,#N/A,FALSE,"LoanAssumptions"}</definedName>
    <definedName name="wrn.LoanInformation." hidden="1">{#N/A,#N/A,FALSE,"LoanAssumptions"}</definedName>
    <definedName name="wrn.MATRICES._.and._.CFs." localSheetId="0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localSheetId="0" hidden="1">{#N/A,#N/A,FALSE,"matx B4 DS";#N/A,#N/A,FALSE,"matx B4 DS Hac";#N/A,#N/A,FALSE,"matx B4 DS Chabot";#N/A,#N/A,FALSE,"matx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ODEL." localSheetId="0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0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RentRoll." localSheetId="0" hidden="1">{"MonthlyRentRoll",#N/A,FALSE,"RentRoll"}</definedName>
    <definedName name="wrn.MonthlyRentRoll." hidden="1">{"MonthlyRentRoll",#N/A,FALSE,"RentRoll"}</definedName>
    <definedName name="wrn.OperatingAssumtions." localSheetId="0" hidden="1">{#N/A,#N/A,FALSE,"OperatingAssumptions"}</definedName>
    <definedName name="wrn.OperatingAssumtions." hidden="1">{#N/A,#N/A,FALSE,"OperatingAssumptions"}</definedName>
    <definedName name="wrn.PR_TRIAL_BALANCE." localSheetId="0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esentation." localSheetId="0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nt." localSheetId="0" hidden="1">{"Assump",#N/A,TRUE,"Proforma";"first",#N/A,TRUE,"Proforma";"second",#N/A,TRUE,"Proforma";"lease1",#N/A,TRUE,"Proforma";"lease2",#N/A,TRUE,"Proforma"}</definedName>
    <definedName name="wrn.print." hidden="1">{"Assump",#N/A,TRUE,"Proforma";"first",#N/A,TRUE,"Proforma";"second",#N/A,TRUE,"Proforma";"lease1",#N/A,TRUE,"Proforma";"lease2",#N/A,TRUE,"Proforma"}</definedName>
    <definedName name="wrn.Print._.4." localSheetId="0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0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graphs." localSheetId="0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0" hidden="1">{"inputs raw data",#N/A,TRUE,"INPUT"}</definedName>
    <definedName name="wrn.print._.raw._.data._.entry." hidden="1">{"inputs raw data",#N/A,TRUE,"INPUT"}</definedName>
    <definedName name="wrn.print._.summary._.sheets." localSheetId="0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2." localSheetId="0" hidden="1">{"Assump",#N/A,TRUE,"Proforma";"first",#N/A,TRUE,"Proforma";"second",#N/A,TRUE,"Proforma";"lease1",#N/A,TRUE,"Proforma";"lease2",#N/A,TRUE,"Proforma"}</definedName>
    <definedName name="wrn.print2." hidden="1">{"Assump",#N/A,TRUE,"Proforma";"first",#N/A,TRUE,"Proforma";"second",#N/A,TRUE,"Proforma";"lease1",#N/A,TRUE,"Proforma";"lease2",#N/A,TRUE,"Proforma"}</definedName>
    <definedName name="wrn.print5" localSheetId="0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opertyInformation." localSheetId="0" hidden="1">{#N/A,#N/A,FALSE,"PropertyInfo"}</definedName>
    <definedName name="wrn.PropertyInformation." hidden="1">{#N/A,#N/A,FALSE,"PropertyInfo"}</definedName>
    <definedName name="wrn.Report.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0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schedules." localSheetId="0" hidden="1">{"schedule1",#N/A,FALSE,"Sheet1";"schedule2",#N/A,FALSE,"Sheet1";"schedule3",#N/A,FALSE,"Sheet1";"schedule4",#N/A,FALSE,"Sheet1";"schedule5",#N/A,FALSE,"Sheet1";"schedule6",#N/A,FALSE,"Sheet1"}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hort._.Print." localSheetId="0" hidden="1">{#N/A,#N/A,FALSE,"Cover";#N/A,#N/A,FALSE,"Stack";#N/A,#N/A,FALSE,"Cost S";#N/A,#N/A,FALSE," CF";#N/A,#N/A,FALSE,"Investor"}</definedName>
    <definedName name="wrn.Short._.Print." hidden="1">{#N/A,#N/A,FALSE,"Cover";#N/A,#N/A,FALSE,"Stack";#N/A,#N/A,FALSE,"Cost S";#N/A,#N/A,FALSE," CF";#N/A,#N/A,FALSE,"Investor"}</definedName>
    <definedName name="wrn.Side._.by._.Side." localSheetId="0" hidden="1">{"Side 99",#N/A,FALSE,"S&amp;U Side by Side"}</definedName>
    <definedName name="wrn.Side._.by._.Side." hidden="1">{"Side 99",#N/A,FALSE,"S&amp;U Side by Side"}</definedName>
    <definedName name="wrn.STAND_ALONE_BOTH." localSheetId="0" hidden="1">{"FCB_ALL",#N/A,FALSE,"FCB";"GREY_ALL",#N/A,FALSE,"GREY"}</definedName>
    <definedName name="wrn.STAND_ALONE_BOTH." hidden="1">{"FCB_ALL",#N/A,FALSE,"FCB";"GREY_ALL",#N/A,FALSE,"GREY"}</definedName>
    <definedName name="wrn.Summary." localSheetId="0" hidden="1">{#N/A,#N/A,FALSE,"Summary"}</definedName>
    <definedName name="wrn.Summary." hidden="1">{#N/A,#N/A,FALSE,"Summary"}</definedName>
    <definedName name="wrn.Total." localSheetId="0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localSheetId="0" hidden="1">{#N/A,#N/A,FALSE,"DEV COSTS";#N/A,#N/A,FALSE,"10-YR C. F."}</definedName>
    <definedName name="wrn.TOTAL._.SHEETS." hidden="1">{#N/A,#N/A,FALSE,"DEV COSTS";#N/A,#N/A,FALSE,"10-YR C. F."}</definedName>
    <definedName name="wrn.TOTAL._.SHEETS5" localSheetId="0" hidden="1">{#N/A,#N/A,FALSE,"DEV COSTS";#N/A,#N/A,FALSE,"10-YR C. F."}</definedName>
    <definedName name="wrn.TOTAL._.SHEETS5" hidden="1">{#N/A,#N/A,FALSE,"DEV COSTS";#N/A,#N/A,FALSE,"10-YR C. F."}</definedName>
    <definedName name="wrn.Total5" localSheetId="0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ycon._.Model." localSheetId="0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t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inputs._.raw._.data.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0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0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0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lg" localSheetId="0" hidden="1">{"schedule1",#N/A,FALSE,"Sheet1";"schedule2",#N/A,FALSE,"Sheet1";"schedule3",#N/A,FALSE,"Sheet1";"schedule4",#N/A,FALSE,"Sheet1";"schedule5",#N/A,FALSE,"Sheet1";"schedule6",#N/A,FALSE,"Sheet1"}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localSheetId="0" hidden="1">{"Year 1",#N/A,FALSE,"Budget";"Year 2",#N/A,FALSE,"Budget";"Year 3",#N/A,FALSE,"Budget";"Year 4",#N/A,FALSE,"Budget"}</definedName>
    <definedName name="xlg1" hidden="1">{"Year 1",#N/A,FALSE,"Budget";"Year 2",#N/A,FALSE,"Budget";"Year 3",#N/A,FALSE,"Budget";"Year 4",#N/A,FALSE,"Budget"}</definedName>
    <definedName name="YGJ" localSheetId="0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0" l="1"/>
  <c r="D5" i="3" l="1"/>
  <c r="G35" i="3"/>
  <c r="F35" i="3"/>
  <c r="E35" i="3"/>
  <c r="D35" i="3"/>
  <c r="G34" i="3"/>
  <c r="F34" i="3"/>
  <c r="E34" i="3"/>
  <c r="D34" i="3"/>
  <c r="C35" i="3"/>
  <c r="C34" i="3"/>
  <c r="C11" i="11"/>
  <c r="D10" i="11"/>
  <c r="E10" i="11" s="1"/>
  <c r="D11" i="11"/>
  <c r="D14" i="11" s="1"/>
  <c r="C2" i="11"/>
  <c r="D5" i="11"/>
  <c r="D7" i="11"/>
  <c r="D6" i="11"/>
  <c r="H9" i="3"/>
  <c r="I9" i="3"/>
  <c r="J9" i="3"/>
  <c r="K9" i="3"/>
  <c r="L9" i="3"/>
  <c r="N9" i="3"/>
  <c r="P2" i="3"/>
  <c r="P5" i="3" s="1"/>
  <c r="C11" i="3"/>
  <c r="C13" i="3" s="1"/>
  <c r="C2" i="3"/>
  <c r="D10" i="3"/>
  <c r="D11" i="3"/>
  <c r="D13" i="3" s="1"/>
  <c r="D12" i="3"/>
  <c r="E10" i="3"/>
  <c r="F10" i="3" s="1"/>
  <c r="E12" i="3"/>
  <c r="F12" i="3"/>
  <c r="G10" i="3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0" i="3" s="1"/>
  <c r="AG10" i="3" s="1"/>
  <c r="AH10" i="3" s="1"/>
  <c r="AI10" i="3" s="1"/>
  <c r="AJ10" i="3" s="1"/>
  <c r="AK10" i="3" s="1"/>
  <c r="AL10" i="3" s="1"/>
  <c r="AM10" i="3" s="1"/>
  <c r="AN10" i="3" s="1"/>
  <c r="AO10" i="3" s="1"/>
  <c r="AP10" i="3" s="1"/>
  <c r="AQ10" i="3" s="1"/>
  <c r="G12" i="3"/>
  <c r="H11" i="3"/>
  <c r="K11" i="3"/>
  <c r="N11" i="3"/>
  <c r="P6" i="3"/>
  <c r="C36" i="3"/>
  <c r="D36" i="3"/>
  <c r="E36" i="3"/>
  <c r="F36" i="3"/>
  <c r="G36" i="3"/>
  <c r="D6" i="3"/>
  <c r="D7" i="3"/>
  <c r="D17" i="3"/>
  <c r="D53" i="3"/>
  <c r="D27" i="3"/>
  <c r="P2" i="10"/>
  <c r="D12" i="10" s="1"/>
  <c r="D14" i="10" s="1"/>
  <c r="D2" i="10"/>
  <c r="D31" i="10" s="1"/>
  <c r="D33" i="10" s="1"/>
  <c r="G7" i="10"/>
  <c r="E13" i="10"/>
  <c r="E11" i="10"/>
  <c r="F13" i="10"/>
  <c r="F11" i="10"/>
  <c r="G13" i="10"/>
  <c r="G11" i="10"/>
  <c r="I10" i="10"/>
  <c r="H13" i="10" s="1"/>
  <c r="H11" i="10"/>
  <c r="I11" i="10" s="1"/>
  <c r="J11" i="10" s="1"/>
  <c r="J10" i="10"/>
  <c r="I13" i="10"/>
  <c r="K10" i="10"/>
  <c r="L10" i="10"/>
  <c r="K11" i="10"/>
  <c r="L11" i="10" s="1"/>
  <c r="M11" i="10" s="1"/>
  <c r="N11" i="10" s="1"/>
  <c r="O11" i="10" s="1"/>
  <c r="P11" i="10" s="1"/>
  <c r="Q11" i="10" s="1"/>
  <c r="R11" i="10" s="1"/>
  <c r="S11" i="10" s="1"/>
  <c r="T11" i="10" s="1"/>
  <c r="U11" i="10" s="1"/>
  <c r="V11" i="10" s="1"/>
  <c r="W11" i="10" s="1"/>
  <c r="X11" i="10" s="1"/>
  <c r="Y11" i="10" s="1"/>
  <c r="Z11" i="10" s="1"/>
  <c r="AA11" i="10" s="1"/>
  <c r="AB11" i="10" s="1"/>
  <c r="AC11" i="10" s="1"/>
  <c r="AD11" i="10" s="1"/>
  <c r="AE11" i="10" s="1"/>
  <c r="AF11" i="10" s="1"/>
  <c r="M10" i="10"/>
  <c r="L13" i="10"/>
  <c r="N10" i="10"/>
  <c r="M13" i="10"/>
  <c r="O10" i="10"/>
  <c r="N13" i="10" s="1"/>
  <c r="P10" i="10"/>
  <c r="Q10" i="10"/>
  <c r="P13" i="10"/>
  <c r="R10" i="10"/>
  <c r="U10" i="10"/>
  <c r="Y10" i="10"/>
  <c r="Y21" i="10" s="1"/>
  <c r="P6" i="10"/>
  <c r="AG11" i="10"/>
  <c r="AH11" i="10" s="1"/>
  <c r="AI11" i="10" s="1"/>
  <c r="AJ11" i="10" s="1"/>
  <c r="AK11" i="10" s="1"/>
  <c r="AL11" i="10" s="1"/>
  <c r="AM11" i="10" s="1"/>
  <c r="AN11" i="10" s="1"/>
  <c r="AO11" i="10" s="1"/>
  <c r="AP11" i="10" s="1"/>
  <c r="AQ11" i="10" s="1"/>
  <c r="AR11" i="10" s="1"/>
  <c r="D17" i="10"/>
  <c r="D50" i="10" s="1"/>
  <c r="D20" i="11"/>
  <c r="D54" i="11"/>
  <c r="D48" i="11" s="1"/>
  <c r="D30" i="10"/>
  <c r="D32" i="10" s="1"/>
  <c r="G6" i="10"/>
  <c r="F6" i="10"/>
  <c r="G5" i="10"/>
  <c r="F5" i="10"/>
  <c r="O2" i="12"/>
  <c r="O5" i="12"/>
  <c r="D14" i="12"/>
  <c r="D16" i="12" s="1"/>
  <c r="D20" i="12" s="1"/>
  <c r="D7" i="12"/>
  <c r="C14" i="12"/>
  <c r="C16" i="12"/>
  <c r="C20" i="12" s="1"/>
  <c r="C2" i="12"/>
  <c r="D15" i="12"/>
  <c r="D13" i="12"/>
  <c r="E13" i="12"/>
  <c r="F13" i="12" s="1"/>
  <c r="G13" i="12" s="1"/>
  <c r="H13" i="12" s="1"/>
  <c r="I13" i="12" s="1"/>
  <c r="J13" i="12" s="1"/>
  <c r="K13" i="12" s="1"/>
  <c r="L13" i="12" s="1"/>
  <c r="M13" i="12" s="1"/>
  <c r="N13" i="12" s="1"/>
  <c r="O13" i="12" s="1"/>
  <c r="P13" i="12" s="1"/>
  <c r="Q13" i="12" s="1"/>
  <c r="R13" i="12" s="1"/>
  <c r="S13" i="12" s="1"/>
  <c r="T13" i="12" s="1"/>
  <c r="U13" i="12" s="1"/>
  <c r="V13" i="12" s="1"/>
  <c r="W13" i="12" s="1"/>
  <c r="X13" i="12" s="1"/>
  <c r="Y13" i="12" s="1"/>
  <c r="Z13" i="12" s="1"/>
  <c r="AA13" i="12" s="1"/>
  <c r="AB13" i="12" s="1"/>
  <c r="AC13" i="12" s="1"/>
  <c r="AD13" i="12" s="1"/>
  <c r="AE13" i="12" s="1"/>
  <c r="AF13" i="12" s="1"/>
  <c r="AG13" i="12" s="1"/>
  <c r="AH13" i="12" s="1"/>
  <c r="AI13" i="12" s="1"/>
  <c r="AJ13" i="12" s="1"/>
  <c r="AK13" i="12" s="1"/>
  <c r="AL13" i="12" s="1"/>
  <c r="AM13" i="12" s="1"/>
  <c r="AN13" i="12" s="1"/>
  <c r="AO13" i="12" s="1"/>
  <c r="AP13" i="12" s="1"/>
  <c r="AQ13" i="12" s="1"/>
  <c r="H12" i="12"/>
  <c r="I12" i="12"/>
  <c r="H15" i="12" s="1"/>
  <c r="J12" i="12"/>
  <c r="K12" i="12"/>
  <c r="L12" i="12"/>
  <c r="M12" i="12"/>
  <c r="N12" i="12"/>
  <c r="O12" i="12"/>
  <c r="P12" i="12"/>
  <c r="Q12" i="12"/>
  <c r="S12" i="12"/>
  <c r="T12" i="12"/>
  <c r="U12" i="12"/>
  <c r="W12" i="12"/>
  <c r="X12" i="12"/>
  <c r="Y12" i="12"/>
  <c r="AA12" i="12"/>
  <c r="AB12" i="12"/>
  <c r="AC12" i="12"/>
  <c r="AE12" i="12"/>
  <c r="AF12" i="12"/>
  <c r="AG12" i="12"/>
  <c r="AI12" i="12"/>
  <c r="AJ12" i="12"/>
  <c r="AK12" i="12"/>
  <c r="AM12" i="12"/>
  <c r="AN12" i="12"/>
  <c r="AO12" i="12"/>
  <c r="AQ12" i="12"/>
  <c r="E14" i="12"/>
  <c r="E15" i="12"/>
  <c r="F14" i="12"/>
  <c r="F15" i="12"/>
  <c r="G14" i="12"/>
  <c r="G15" i="12"/>
  <c r="H14" i="12"/>
  <c r="S1" i="12"/>
  <c r="I14" i="12"/>
  <c r="J14" i="12"/>
  <c r="K14" i="12"/>
  <c r="K15" i="12"/>
  <c r="L14" i="12"/>
  <c r="L15" i="12"/>
  <c r="T1" i="12"/>
  <c r="O14" i="12"/>
  <c r="O15" i="12"/>
  <c r="O16" i="12"/>
  <c r="P14" i="12"/>
  <c r="P15" i="12"/>
  <c r="P16" i="12"/>
  <c r="P20" i="12" s="1"/>
  <c r="Q14" i="12"/>
  <c r="S14" i="12"/>
  <c r="S15" i="12"/>
  <c r="S16" i="12"/>
  <c r="S20" i="12"/>
  <c r="T14" i="12"/>
  <c r="T15" i="12"/>
  <c r="T16" i="12"/>
  <c r="U14" i="12"/>
  <c r="W14" i="12"/>
  <c r="W15" i="12"/>
  <c r="X14" i="12"/>
  <c r="X15" i="12"/>
  <c r="Y14" i="12"/>
  <c r="AA14" i="12"/>
  <c r="AA15" i="12"/>
  <c r="AB14" i="12"/>
  <c r="AB15" i="12"/>
  <c r="AC14" i="12"/>
  <c r="AE14" i="12"/>
  <c r="AE15" i="12"/>
  <c r="AE16" i="12"/>
  <c r="AF14" i="12"/>
  <c r="AF15" i="12"/>
  <c r="AF42" i="12" s="1"/>
  <c r="AG14" i="12"/>
  <c r="AI14" i="12"/>
  <c r="AI16" i="12" s="1"/>
  <c r="AI15" i="12"/>
  <c r="AJ14" i="12"/>
  <c r="AJ16" i="12" s="1"/>
  <c r="AJ15" i="12"/>
  <c r="AK14" i="12"/>
  <c r="AM14" i="12"/>
  <c r="AM15" i="12"/>
  <c r="AM16" i="12"/>
  <c r="AM19" i="12" s="1"/>
  <c r="AM55" i="12" s="1"/>
  <c r="AM20" i="12"/>
  <c r="AM47" i="12" s="1"/>
  <c r="AN14" i="12"/>
  <c r="AN15" i="12"/>
  <c r="AN16" i="12"/>
  <c r="AN20" i="12"/>
  <c r="AO14" i="12"/>
  <c r="AQ14" i="12"/>
  <c r="O6" i="12"/>
  <c r="AQ15" i="12"/>
  <c r="AQ16" i="12"/>
  <c r="D37" i="12"/>
  <c r="E37" i="12"/>
  <c r="F37" i="12"/>
  <c r="H37" i="12"/>
  <c r="I37" i="12"/>
  <c r="J37" i="12"/>
  <c r="J38" i="12" s="1"/>
  <c r="L37" i="12"/>
  <c r="N37" i="12"/>
  <c r="P37" i="12"/>
  <c r="T37" i="12"/>
  <c r="X37" i="12"/>
  <c r="AB37" i="12"/>
  <c r="AF37" i="12"/>
  <c r="AJ37" i="12"/>
  <c r="AN37" i="12"/>
  <c r="D42" i="12"/>
  <c r="E42" i="12"/>
  <c r="F42" i="12"/>
  <c r="G42" i="12"/>
  <c r="H42" i="12"/>
  <c r="K42" i="12"/>
  <c r="L42" i="12"/>
  <c r="O42" i="12"/>
  <c r="P42" i="12"/>
  <c r="S42" i="12"/>
  <c r="T42" i="12"/>
  <c r="W42" i="12"/>
  <c r="X42" i="12"/>
  <c r="AA42" i="12"/>
  <c r="AB42" i="12"/>
  <c r="AI42" i="12"/>
  <c r="AJ42" i="12"/>
  <c r="AM42" i="12"/>
  <c r="AN42" i="12"/>
  <c r="C19" i="12"/>
  <c r="D19" i="12"/>
  <c r="P19" i="12"/>
  <c r="S19" i="12"/>
  <c r="AN19" i="12"/>
  <c r="C55" i="12"/>
  <c r="C56" i="12"/>
  <c r="D55" i="12"/>
  <c r="S55" i="12"/>
  <c r="D36" i="12"/>
  <c r="E36" i="12"/>
  <c r="E38" i="12" s="1"/>
  <c r="F36" i="12"/>
  <c r="F38" i="12" s="1"/>
  <c r="D8" i="12"/>
  <c r="H36" i="12"/>
  <c r="I36" i="12"/>
  <c r="J36" i="12"/>
  <c r="L36" i="12"/>
  <c r="P36" i="12"/>
  <c r="T36" i="12"/>
  <c r="X36" i="12"/>
  <c r="X38" i="12" s="1"/>
  <c r="AB36" i="12"/>
  <c r="AB38" i="12" s="1"/>
  <c r="AF36" i="12"/>
  <c r="AJ36" i="12"/>
  <c r="AN36" i="12"/>
  <c r="C47" i="12"/>
  <c r="C48" i="12"/>
  <c r="C49" i="12"/>
  <c r="D47" i="12"/>
  <c r="D10" i="12"/>
  <c r="F41" i="12" s="1"/>
  <c r="F43" i="12" s="1"/>
  <c r="F44" i="12" s="1"/>
  <c r="D41" i="12"/>
  <c r="D43" i="12" s="1"/>
  <c r="P47" i="12"/>
  <c r="S47" i="12"/>
  <c r="X41" i="12"/>
  <c r="X43" i="12" s="1"/>
  <c r="X44" i="12" s="1"/>
  <c r="AN47" i="12"/>
  <c r="AN41" i="12"/>
  <c r="AN43" i="12" s="1"/>
  <c r="AN44" i="12" s="1"/>
  <c r="D38" i="12"/>
  <c r="H38" i="12"/>
  <c r="I38" i="12"/>
  <c r="L38" i="12"/>
  <c r="P38" i="12"/>
  <c r="T38" i="12"/>
  <c r="AF38" i="12"/>
  <c r="AJ38" i="12"/>
  <c r="AN38" i="12"/>
  <c r="C38" i="12"/>
  <c r="C25" i="12"/>
  <c r="D25" i="12"/>
  <c r="P25" i="12"/>
  <c r="S25" i="12"/>
  <c r="AM25" i="12"/>
  <c r="AN25" i="12"/>
  <c r="AM30" i="12"/>
  <c r="S30" i="12"/>
  <c r="D30" i="12"/>
  <c r="D27" i="12"/>
  <c r="C33" i="12"/>
  <c r="C30" i="12"/>
  <c r="C32" i="12" s="1"/>
  <c r="C28" i="12"/>
  <c r="C27" i="12"/>
  <c r="K9" i="11"/>
  <c r="O9" i="11" s="1"/>
  <c r="S9" i="11" s="1"/>
  <c r="W9" i="11" s="1"/>
  <c r="AA9" i="11" s="1"/>
  <c r="AE9" i="11" s="1"/>
  <c r="AI9" i="11" s="1"/>
  <c r="AM9" i="11" s="1"/>
  <c r="AQ9" i="11" s="1"/>
  <c r="J9" i="11"/>
  <c r="N9" i="11"/>
  <c r="R9" i="11"/>
  <c r="V9" i="11" s="1"/>
  <c r="Z9" i="11" s="1"/>
  <c r="AD9" i="11" s="1"/>
  <c r="AH9" i="11"/>
  <c r="AL9" i="11" s="1"/>
  <c r="AP9" i="11" s="1"/>
  <c r="I9" i="11"/>
  <c r="M9" i="11" s="1"/>
  <c r="Q9" i="11" s="1"/>
  <c r="U9" i="11" s="1"/>
  <c r="Y9" i="11" s="1"/>
  <c r="AC9" i="11" s="1"/>
  <c r="AG9" i="11" s="1"/>
  <c r="AK9" i="11" s="1"/>
  <c r="AO9" i="11" s="1"/>
  <c r="H9" i="11"/>
  <c r="L9" i="11" s="1"/>
  <c r="P9" i="11" s="1"/>
  <c r="T9" i="11" s="1"/>
  <c r="X9" i="11"/>
  <c r="AB9" i="11" s="1"/>
  <c r="AF9" i="11" s="1"/>
  <c r="AJ9" i="11" s="1"/>
  <c r="AN9" i="11" s="1"/>
  <c r="D44" i="12" l="1"/>
  <c r="AN30" i="12"/>
  <c r="AN55" i="12"/>
  <c r="H41" i="12"/>
  <c r="H43" i="12" s="1"/>
  <c r="H44" i="12" s="1"/>
  <c r="N14" i="12"/>
  <c r="N15" i="12"/>
  <c r="M36" i="12"/>
  <c r="M38" i="12" s="1"/>
  <c r="N36" i="12"/>
  <c r="N38" i="12" s="1"/>
  <c r="R12" i="12"/>
  <c r="AA16" i="12"/>
  <c r="AB41" i="12"/>
  <c r="AB43" i="12" s="1"/>
  <c r="AB44" i="12" s="1"/>
  <c r="C57" i="12"/>
  <c r="M37" i="12"/>
  <c r="AQ19" i="12"/>
  <c r="AQ20" i="12"/>
  <c r="AI19" i="12"/>
  <c r="AI20" i="12"/>
  <c r="O20" i="12"/>
  <c r="O19" i="12"/>
  <c r="AJ20" i="12"/>
  <c r="AJ19" i="12"/>
  <c r="E16" i="12"/>
  <c r="L41" i="12"/>
  <c r="L43" i="12" s="1"/>
  <c r="L44" i="12" s="1"/>
  <c r="AQ41" i="12"/>
  <c r="AQ42" i="12"/>
  <c r="G16" i="12"/>
  <c r="Y22" i="10"/>
  <c r="AF41" i="12"/>
  <c r="AF43" i="12" s="1"/>
  <c r="AF44" i="12" s="1"/>
  <c r="AE19" i="12"/>
  <c r="AE20" i="12"/>
  <c r="T19" i="12"/>
  <c r="T20" i="12"/>
  <c r="E41" i="12"/>
  <c r="E43" i="12" s="1"/>
  <c r="E44" i="12" s="1"/>
  <c r="G41" i="12"/>
  <c r="G43" i="12" s="1"/>
  <c r="G44" i="12" s="1"/>
  <c r="K41" i="12"/>
  <c r="K43" i="12" s="1"/>
  <c r="K44" i="12" s="1"/>
  <c r="O41" i="12"/>
  <c r="O43" i="12" s="1"/>
  <c r="O44" i="12" s="1"/>
  <c r="S41" i="12"/>
  <c r="S43" i="12" s="1"/>
  <c r="S44" i="12" s="1"/>
  <c r="W41" i="12"/>
  <c r="W43" i="12" s="1"/>
  <c r="W44" i="12" s="1"/>
  <c r="AA41" i="12"/>
  <c r="AA43" i="12" s="1"/>
  <c r="AA44" i="12" s="1"/>
  <c r="AI41" i="12"/>
  <c r="AI43" i="12" s="1"/>
  <c r="AI44" i="12" s="1"/>
  <c r="AM41" i="12"/>
  <c r="AM43" i="12" s="1"/>
  <c r="AM44" i="12" s="1"/>
  <c r="P41" i="12"/>
  <c r="P43" i="12" s="1"/>
  <c r="P44" i="12" s="1"/>
  <c r="AE42" i="12"/>
  <c r="AE41" i="12"/>
  <c r="AJ41" i="12"/>
  <c r="AJ43" i="12" s="1"/>
  <c r="AJ44" i="12" s="1"/>
  <c r="T41" i="12"/>
  <c r="T43" i="12" s="1"/>
  <c r="T44" i="12" s="1"/>
  <c r="P30" i="12"/>
  <c r="P55" i="12"/>
  <c r="M15" i="12"/>
  <c r="AF16" i="12"/>
  <c r="K16" i="12"/>
  <c r="W16" i="12"/>
  <c r="AB16" i="12"/>
  <c r="U1" i="12"/>
  <c r="D23" i="12"/>
  <c r="J16" i="12"/>
  <c r="H16" i="12"/>
  <c r="F16" i="12"/>
  <c r="I15" i="12"/>
  <c r="I16" i="12" s="1"/>
  <c r="J15" i="12"/>
  <c r="Y12" i="10"/>
  <c r="AC10" i="10"/>
  <c r="Y23" i="10"/>
  <c r="X16" i="12"/>
  <c r="L16" i="12"/>
  <c r="M14" i="12"/>
  <c r="Q13" i="10"/>
  <c r="V10" i="10"/>
  <c r="D18" i="10"/>
  <c r="D34" i="10"/>
  <c r="D38" i="10" s="1"/>
  <c r="D51" i="10" s="1"/>
  <c r="D52" i="10" s="1"/>
  <c r="K13" i="10"/>
  <c r="J13" i="10"/>
  <c r="O13" i="10"/>
  <c r="S10" i="10"/>
  <c r="T10" i="10"/>
  <c r="I12" i="3"/>
  <c r="M9" i="3"/>
  <c r="I35" i="3"/>
  <c r="I11" i="3"/>
  <c r="I34" i="3"/>
  <c r="I36" i="3" s="1"/>
  <c r="H12" i="3"/>
  <c r="H13" i="3" s="1"/>
  <c r="C16" i="3"/>
  <c r="C23" i="3"/>
  <c r="C17" i="3"/>
  <c r="P9" i="3"/>
  <c r="K12" i="3"/>
  <c r="K13" i="3" s="1"/>
  <c r="L11" i="3"/>
  <c r="P5" i="10"/>
  <c r="D16" i="3"/>
  <c r="C15" i="11"/>
  <c r="C14" i="11"/>
  <c r="C21" i="11"/>
  <c r="N35" i="3"/>
  <c r="F10" i="11"/>
  <c r="E11" i="11"/>
  <c r="E11" i="3"/>
  <c r="E13" i="3" s="1"/>
  <c r="F11" i="3"/>
  <c r="F13" i="3" s="1"/>
  <c r="O9" i="3"/>
  <c r="K35" i="3"/>
  <c r="K34" i="3"/>
  <c r="K36" i="3" s="1"/>
  <c r="D15" i="11"/>
  <c r="J35" i="3"/>
  <c r="J34" i="3"/>
  <c r="J36" i="3" s="1"/>
  <c r="J12" i="3"/>
  <c r="H35" i="3"/>
  <c r="J11" i="3"/>
  <c r="J13" i="3" s="1"/>
  <c r="G11" i="3"/>
  <c r="G13" i="3" s="1"/>
  <c r="R9" i="3"/>
  <c r="H34" i="3"/>
  <c r="I20" i="12" l="1"/>
  <c r="I19" i="12"/>
  <c r="M12" i="10"/>
  <c r="M14" i="10" s="1"/>
  <c r="N12" i="10"/>
  <c r="N14" i="10" s="1"/>
  <c r="H12" i="10"/>
  <c r="H14" i="10" s="1"/>
  <c r="I12" i="10"/>
  <c r="I14" i="10" s="1"/>
  <c r="J12" i="10"/>
  <c r="J14" i="10" s="1"/>
  <c r="Q12" i="10"/>
  <c r="Q14" i="10" s="1"/>
  <c r="L12" i="10"/>
  <c r="L14" i="10" s="1"/>
  <c r="U12" i="10"/>
  <c r="F12" i="10"/>
  <c r="F14" i="10" s="1"/>
  <c r="G12" i="10"/>
  <c r="G14" i="10" s="1"/>
  <c r="O12" i="10"/>
  <c r="O14" i="10" s="1"/>
  <c r="E12" i="10"/>
  <c r="E14" i="10" s="1"/>
  <c r="C53" i="3"/>
  <c r="C27" i="3"/>
  <c r="M12" i="3"/>
  <c r="M35" i="3"/>
  <c r="M34" i="3"/>
  <c r="M36" i="3" s="1"/>
  <c r="M11" i="3"/>
  <c r="M13" i="3" s="1"/>
  <c r="Q9" i="3"/>
  <c r="E19" i="12"/>
  <c r="E20" i="12"/>
  <c r="G16" i="3"/>
  <c r="G17" i="3"/>
  <c r="C28" i="11"/>
  <c r="C29" i="11" s="1"/>
  <c r="D43" i="10"/>
  <c r="D24" i="10"/>
  <c r="K16" i="3"/>
  <c r="K17" i="3"/>
  <c r="C22" i="3"/>
  <c r="C24" i="3" s="1"/>
  <c r="D20" i="3" s="1"/>
  <c r="C46" i="3"/>
  <c r="D37" i="10"/>
  <c r="K12" i="10"/>
  <c r="K14" i="10" s="1"/>
  <c r="R12" i="10"/>
  <c r="L20" i="12"/>
  <c r="L19" i="12"/>
  <c r="AC21" i="10"/>
  <c r="AC12" i="10"/>
  <c r="AC23" i="10"/>
  <c r="AG10" i="10"/>
  <c r="H20" i="12"/>
  <c r="H19" i="12"/>
  <c r="AJ25" i="12"/>
  <c r="AJ47" i="12"/>
  <c r="AQ30" i="12"/>
  <c r="AQ55" i="12"/>
  <c r="N16" i="12"/>
  <c r="AF20" i="12"/>
  <c r="AF19" i="12"/>
  <c r="AJ55" i="12"/>
  <c r="AJ30" i="12"/>
  <c r="O35" i="3"/>
  <c r="S9" i="3"/>
  <c r="O12" i="3"/>
  <c r="N12" i="3"/>
  <c r="N13" i="3" s="1"/>
  <c r="O34" i="3"/>
  <c r="O11" i="3"/>
  <c r="O13" i="3" s="1"/>
  <c r="F16" i="3"/>
  <c r="F17" i="3"/>
  <c r="L12" i="3"/>
  <c r="Z10" i="10"/>
  <c r="V12" i="10"/>
  <c r="U13" i="10"/>
  <c r="AE43" i="12"/>
  <c r="AE44" i="12" s="1"/>
  <c r="AE55" i="12"/>
  <c r="AE30" i="12"/>
  <c r="J16" i="3"/>
  <c r="J17" i="3"/>
  <c r="H16" i="3"/>
  <c r="H17" i="3"/>
  <c r="P12" i="10"/>
  <c r="P14" i="10" s="1"/>
  <c r="X20" i="12"/>
  <c r="X19" i="12"/>
  <c r="J20" i="12"/>
  <c r="J19" i="12"/>
  <c r="W19" i="12"/>
  <c r="W20" i="12"/>
  <c r="M41" i="12"/>
  <c r="M42" i="12"/>
  <c r="O55" i="12"/>
  <c r="O30" i="12"/>
  <c r="Q15" i="12"/>
  <c r="R15" i="12"/>
  <c r="R14" i="12"/>
  <c r="V12" i="12"/>
  <c r="R37" i="12"/>
  <c r="Q36" i="12"/>
  <c r="Q37" i="12"/>
  <c r="R36" i="12"/>
  <c r="R38" i="12" s="1"/>
  <c r="C28" i="3"/>
  <c r="M16" i="12"/>
  <c r="AQ43" i="12"/>
  <c r="AQ44" i="12" s="1"/>
  <c r="N42" i="12"/>
  <c r="N41" i="12"/>
  <c r="N43" i="12" s="1"/>
  <c r="N44" i="12" s="1"/>
  <c r="E16" i="3"/>
  <c r="E17" i="3"/>
  <c r="E14" i="11"/>
  <c r="E15" i="11"/>
  <c r="C27" i="11"/>
  <c r="C63" i="11"/>
  <c r="L34" i="3"/>
  <c r="L36" i="3" s="1"/>
  <c r="T13" i="10"/>
  <c r="X10" i="10"/>
  <c r="T12" i="10"/>
  <c r="J42" i="12"/>
  <c r="J41" i="12"/>
  <c r="J43" i="12" s="1"/>
  <c r="T25" i="12"/>
  <c r="T47" i="12"/>
  <c r="O47" i="12"/>
  <c r="O25" i="12"/>
  <c r="R35" i="3"/>
  <c r="R34" i="3"/>
  <c r="R36" i="3" s="1"/>
  <c r="V9" i="3"/>
  <c r="R12" i="3"/>
  <c r="R11" i="3"/>
  <c r="R13" i="3" s="1"/>
  <c r="F20" i="12"/>
  <c r="F19" i="12"/>
  <c r="AA20" i="12"/>
  <c r="AA19" i="12"/>
  <c r="L13" i="3"/>
  <c r="AQ25" i="12"/>
  <c r="AQ47" i="12"/>
  <c r="C20" i="11"/>
  <c r="C22" i="11" s="1"/>
  <c r="D18" i="11" s="1"/>
  <c r="C54" i="11"/>
  <c r="C48" i="11" s="1"/>
  <c r="F11" i="11"/>
  <c r="G10" i="11"/>
  <c r="D22" i="3"/>
  <c r="D46" i="3"/>
  <c r="L35" i="3"/>
  <c r="I13" i="3"/>
  <c r="S13" i="10"/>
  <c r="S12" i="10"/>
  <c r="S14" i="10" s="1"/>
  <c r="W10" i="10"/>
  <c r="I44" i="12"/>
  <c r="I42" i="12"/>
  <c r="I41" i="12"/>
  <c r="I43" i="12" s="1"/>
  <c r="V1" i="12"/>
  <c r="T55" i="12"/>
  <c r="T30" i="12"/>
  <c r="G19" i="12"/>
  <c r="G20" i="12"/>
  <c r="AI25" i="12"/>
  <c r="AI47" i="12"/>
  <c r="P11" i="3"/>
  <c r="T9" i="3"/>
  <c r="H36" i="3"/>
  <c r="D63" i="11"/>
  <c r="D27" i="11"/>
  <c r="N34" i="3"/>
  <c r="N36" i="3" s="1"/>
  <c r="R13" i="10"/>
  <c r="AB20" i="12"/>
  <c r="AB19" i="12"/>
  <c r="K20" i="12"/>
  <c r="K19" i="12"/>
  <c r="AE47" i="12"/>
  <c r="AE25" i="12"/>
  <c r="AI30" i="12"/>
  <c r="AI55" i="12"/>
  <c r="C30" i="11" l="1"/>
  <c r="C31" i="11" s="1"/>
  <c r="Q12" i="3"/>
  <c r="U9" i="3"/>
  <c r="Q35" i="3"/>
  <c r="Q34" i="3"/>
  <c r="Q36" i="3" s="1"/>
  <c r="Q11" i="3"/>
  <c r="T34" i="3"/>
  <c r="X9" i="3"/>
  <c r="T11" i="3"/>
  <c r="S17" i="10"/>
  <c r="S18" i="10"/>
  <c r="H10" i="11"/>
  <c r="G11" i="11"/>
  <c r="AA30" i="12"/>
  <c r="AA55" i="12"/>
  <c r="R42" i="12"/>
  <c r="R41" i="12"/>
  <c r="R43" i="12" s="1"/>
  <c r="R44" i="12" s="1"/>
  <c r="M43" i="12"/>
  <c r="X25" i="12"/>
  <c r="X47" i="12"/>
  <c r="V14" i="10"/>
  <c r="AC22" i="10"/>
  <c r="K53" i="3"/>
  <c r="K27" i="3"/>
  <c r="C23" i="11"/>
  <c r="M16" i="3"/>
  <c r="M17" i="3"/>
  <c r="G18" i="10"/>
  <c r="G17" i="10"/>
  <c r="N18" i="10"/>
  <c r="N17" i="10"/>
  <c r="E53" i="3"/>
  <c r="E27" i="3"/>
  <c r="E55" i="12"/>
  <c r="E30" i="12"/>
  <c r="F15" i="11"/>
  <c r="F14" i="11"/>
  <c r="AA25" i="12"/>
  <c r="AA47" i="12"/>
  <c r="Q38" i="12"/>
  <c r="Q42" i="12"/>
  <c r="Q41" i="12"/>
  <c r="Q16" i="12"/>
  <c r="P18" i="10"/>
  <c r="P17" i="10"/>
  <c r="Z21" i="10"/>
  <c r="Z12" i="10"/>
  <c r="AD10" i="10"/>
  <c r="Z13" i="10"/>
  <c r="Z23" i="10"/>
  <c r="Y13" i="10"/>
  <c r="Y14" i="10" s="1"/>
  <c r="O17" i="3"/>
  <c r="O16" i="3"/>
  <c r="AF30" i="12"/>
  <c r="AF55" i="12"/>
  <c r="L55" i="12"/>
  <c r="L30" i="12"/>
  <c r="K22" i="3"/>
  <c r="K46" i="3"/>
  <c r="G53" i="3"/>
  <c r="G27" i="3"/>
  <c r="F18" i="10"/>
  <c r="F17" i="10"/>
  <c r="M18" i="10"/>
  <c r="M17" i="10"/>
  <c r="AA10" i="10"/>
  <c r="W13" i="10"/>
  <c r="W12" i="10"/>
  <c r="Z9" i="3"/>
  <c r="V11" i="3"/>
  <c r="R16" i="12"/>
  <c r="J22" i="3"/>
  <c r="J46" i="3"/>
  <c r="D21" i="3"/>
  <c r="D23" i="3"/>
  <c r="H18" i="10"/>
  <c r="H17" i="10"/>
  <c r="G47" i="12"/>
  <c r="G25" i="12"/>
  <c r="AB25" i="12"/>
  <c r="AB47" i="12"/>
  <c r="P12" i="3"/>
  <c r="P13" i="3" s="1"/>
  <c r="I17" i="3"/>
  <c r="I16" i="3"/>
  <c r="F30" i="12"/>
  <c r="F55" i="12"/>
  <c r="T14" i="10"/>
  <c r="E63" i="11"/>
  <c r="E27" i="11"/>
  <c r="W47" i="12"/>
  <c r="W25" i="12"/>
  <c r="H27" i="3"/>
  <c r="H53" i="3"/>
  <c r="O36" i="3"/>
  <c r="AF47" i="12"/>
  <c r="AF25" i="12"/>
  <c r="H30" i="12"/>
  <c r="H55" i="12"/>
  <c r="L25" i="12"/>
  <c r="L47" i="12"/>
  <c r="G22" i="3"/>
  <c r="G46" i="3"/>
  <c r="U14" i="10"/>
  <c r="I30" i="12"/>
  <c r="I55" i="12"/>
  <c r="M20" i="12"/>
  <c r="M19" i="12"/>
  <c r="E18" i="10"/>
  <c r="E17" i="10"/>
  <c r="K30" i="12"/>
  <c r="K55" i="12"/>
  <c r="E46" i="3"/>
  <c r="E22" i="3"/>
  <c r="O18" i="10"/>
  <c r="O17" i="10"/>
  <c r="K25" i="12"/>
  <c r="K47" i="12"/>
  <c r="W1" i="12"/>
  <c r="AB55" i="12"/>
  <c r="AB30" i="12"/>
  <c r="G55" i="12"/>
  <c r="G30" i="12"/>
  <c r="P34" i="3"/>
  <c r="D19" i="11"/>
  <c r="D21" i="11" s="1"/>
  <c r="F47" i="12"/>
  <c r="F25" i="12"/>
  <c r="X13" i="10"/>
  <c r="AB10" i="10"/>
  <c r="X12" i="10"/>
  <c r="E54" i="11"/>
  <c r="E48" i="11" s="1"/>
  <c r="E20" i="11"/>
  <c r="C25" i="3"/>
  <c r="W55" i="12"/>
  <c r="W30" i="12"/>
  <c r="N16" i="3"/>
  <c r="N17" i="3"/>
  <c r="H25" i="12"/>
  <c r="H47" i="12"/>
  <c r="R14" i="10"/>
  <c r="L18" i="10"/>
  <c r="L17" i="10"/>
  <c r="I47" i="12"/>
  <c r="I25" i="12"/>
  <c r="I18" i="10"/>
  <c r="I17" i="10"/>
  <c r="J44" i="12"/>
  <c r="P35" i="3"/>
  <c r="R16" i="3"/>
  <c r="R17" i="3"/>
  <c r="H22" i="3"/>
  <c r="H46" i="3"/>
  <c r="F27" i="3"/>
  <c r="F53" i="3"/>
  <c r="N20" i="12"/>
  <c r="N19" i="12"/>
  <c r="AG23" i="10"/>
  <c r="AG12" i="10"/>
  <c r="AK10" i="10"/>
  <c r="AG21" i="10"/>
  <c r="K17" i="10"/>
  <c r="K18" i="10"/>
  <c r="D27" i="10"/>
  <c r="E23" i="10" s="1"/>
  <c r="D26" i="10"/>
  <c r="E21" i="10" s="1"/>
  <c r="D28" i="10"/>
  <c r="I27" i="12"/>
  <c r="E47" i="12"/>
  <c r="H27" i="12"/>
  <c r="J23" i="12"/>
  <c r="L23" i="12"/>
  <c r="E25" i="12"/>
  <c r="G27" i="12"/>
  <c r="M27" i="12"/>
  <c r="E27" i="12"/>
  <c r="J27" i="12"/>
  <c r="L27" i="12"/>
  <c r="K27" i="12"/>
  <c r="F27" i="12"/>
  <c r="K23" i="12"/>
  <c r="I23" i="12"/>
  <c r="O23" i="12"/>
  <c r="G23" i="12"/>
  <c r="H23" i="12"/>
  <c r="N23" i="12"/>
  <c r="M23" i="12"/>
  <c r="E23" i="12"/>
  <c r="F23" i="12"/>
  <c r="Q17" i="10"/>
  <c r="Q18" i="10"/>
  <c r="C29" i="3"/>
  <c r="J25" i="12"/>
  <c r="J47" i="12"/>
  <c r="F22" i="3"/>
  <c r="F46" i="3"/>
  <c r="L17" i="3"/>
  <c r="L16" i="3"/>
  <c r="X30" i="12"/>
  <c r="X55" i="12"/>
  <c r="C30" i="3"/>
  <c r="C31" i="3" s="1"/>
  <c r="C37" i="3" s="1"/>
  <c r="U15" i="12"/>
  <c r="V15" i="12"/>
  <c r="U36" i="12"/>
  <c r="V14" i="12"/>
  <c r="Z12" i="12"/>
  <c r="U37" i="12"/>
  <c r="V37" i="12"/>
  <c r="V36" i="12"/>
  <c r="V38" i="12" s="1"/>
  <c r="J30" i="12"/>
  <c r="J55" i="12"/>
  <c r="J53" i="3"/>
  <c r="J27" i="3"/>
  <c r="V13" i="10"/>
  <c r="W9" i="3"/>
  <c r="S35" i="3"/>
  <c r="S34" i="3"/>
  <c r="S11" i="3"/>
  <c r="S12" i="3"/>
  <c r="D44" i="10"/>
  <c r="D45" i="10" s="1"/>
  <c r="D39" i="10"/>
  <c r="J17" i="10"/>
  <c r="J18" i="10"/>
  <c r="T17" i="10" l="1"/>
  <c r="T18" i="10"/>
  <c r="P16" i="3"/>
  <c r="P17" i="3"/>
  <c r="D23" i="11"/>
  <c r="D28" i="11"/>
  <c r="D30" i="11"/>
  <c r="D31" i="11" s="1"/>
  <c r="U18" i="10"/>
  <c r="U17" i="10"/>
  <c r="Q50" i="10"/>
  <c r="Q30" i="10"/>
  <c r="U41" i="12"/>
  <c r="U43" i="12" s="1"/>
  <c r="U42" i="12"/>
  <c r="U44" i="12"/>
  <c r="U16" i="12"/>
  <c r="K50" i="10"/>
  <c r="K30" i="10"/>
  <c r="Q20" i="12"/>
  <c r="Q19" i="12"/>
  <c r="G24" i="10"/>
  <c r="G43" i="10"/>
  <c r="V18" i="10"/>
  <c r="V17" i="10"/>
  <c r="G15" i="11"/>
  <c r="G14" i="11"/>
  <c r="I43" i="10"/>
  <c r="I24" i="10"/>
  <c r="C25" i="11"/>
  <c r="D25" i="11"/>
  <c r="M44" i="12"/>
  <c r="U35" i="3"/>
  <c r="U34" i="3"/>
  <c r="U36" i="3" s="1"/>
  <c r="U11" i="3"/>
  <c r="U12" i="3"/>
  <c r="Y9" i="3"/>
  <c r="T35" i="3"/>
  <c r="T36" i="3" s="1"/>
  <c r="Z36" i="12"/>
  <c r="AD12" i="12"/>
  <c r="Z14" i="12"/>
  <c r="Z15" i="12"/>
  <c r="Y15" i="12"/>
  <c r="Y36" i="12"/>
  <c r="Z37" i="12"/>
  <c r="Y37" i="12"/>
  <c r="O50" i="10"/>
  <c r="O30" i="10"/>
  <c r="F50" i="10"/>
  <c r="F30" i="10"/>
  <c r="T12" i="3"/>
  <c r="J24" i="10"/>
  <c r="J43" i="10"/>
  <c r="E25" i="10"/>
  <c r="E27" i="10" s="1"/>
  <c r="F23" i="10" s="1"/>
  <c r="E22" i="10"/>
  <c r="E26" i="10" s="1"/>
  <c r="F21" i="10" s="1"/>
  <c r="R22" i="3"/>
  <c r="R46" i="3"/>
  <c r="Z34" i="3"/>
  <c r="Z12" i="3"/>
  <c r="AD9" i="3"/>
  <c r="Z11" i="3"/>
  <c r="Z22" i="10"/>
  <c r="N25" i="12"/>
  <c r="N47" i="12"/>
  <c r="P27" i="12"/>
  <c r="O27" i="12"/>
  <c r="Q23" i="12"/>
  <c r="P23" i="12"/>
  <c r="Q27" i="12"/>
  <c r="N27" i="12"/>
  <c r="D28" i="3"/>
  <c r="D30" i="3"/>
  <c r="D31" i="3" s="1"/>
  <c r="D37" i="3" s="1"/>
  <c r="D25" i="3"/>
  <c r="D24" i="3"/>
  <c r="E20" i="3" s="1"/>
  <c r="O22" i="3"/>
  <c r="O46" i="3"/>
  <c r="N24" i="10"/>
  <c r="N43" i="10"/>
  <c r="J50" i="10"/>
  <c r="J30" i="10"/>
  <c r="S13" i="3"/>
  <c r="C41" i="3"/>
  <c r="C40" i="3"/>
  <c r="I50" i="10"/>
  <c r="I30" i="10"/>
  <c r="L24" i="10"/>
  <c r="L43" i="10"/>
  <c r="E50" i="10"/>
  <c r="E30" i="10"/>
  <c r="R20" i="12"/>
  <c r="R19" i="12"/>
  <c r="F24" i="10"/>
  <c r="F43" i="10"/>
  <c r="AD23" i="10"/>
  <c r="AD12" i="10"/>
  <c r="AH10" i="10"/>
  <c r="AD21" i="10"/>
  <c r="AC13" i="10"/>
  <c r="AC14" i="10" s="1"/>
  <c r="F54" i="11"/>
  <c r="F20" i="11"/>
  <c r="T13" i="3"/>
  <c r="S36" i="3"/>
  <c r="Q43" i="10"/>
  <c r="Q24" i="10"/>
  <c r="K24" i="10"/>
  <c r="K43" i="10"/>
  <c r="N30" i="12"/>
  <c r="N55" i="12"/>
  <c r="R53" i="3"/>
  <c r="R27" i="3"/>
  <c r="R18" i="10"/>
  <c r="R17" i="10"/>
  <c r="P36" i="3"/>
  <c r="O24" i="10"/>
  <c r="O43" i="10"/>
  <c r="E43" i="10"/>
  <c r="E24" i="10"/>
  <c r="V13" i="3"/>
  <c r="AA23" i="10"/>
  <c r="AA12" i="10"/>
  <c r="AE10" i="10"/>
  <c r="AA21" i="10"/>
  <c r="AA13" i="10"/>
  <c r="Z14" i="10"/>
  <c r="Z25" i="10" s="1"/>
  <c r="Q43" i="12"/>
  <c r="Q44" i="12" s="1"/>
  <c r="F63" i="11"/>
  <c r="F27" i="11"/>
  <c r="G50" i="10"/>
  <c r="G30" i="10"/>
  <c r="X34" i="3"/>
  <c r="X35" i="3"/>
  <c r="AB9" i="3"/>
  <c r="X11" i="3"/>
  <c r="X13" i="3" s="1"/>
  <c r="X12" i="3"/>
  <c r="W11" i="3"/>
  <c r="AA9" i="3"/>
  <c r="Z35" i="3" s="1"/>
  <c r="W12" i="3"/>
  <c r="V16" i="12"/>
  <c r="M55" i="12"/>
  <c r="M30" i="12"/>
  <c r="I22" i="3"/>
  <c r="I46" i="3"/>
  <c r="V12" i="3"/>
  <c r="O53" i="3"/>
  <c r="O27" i="3"/>
  <c r="I10" i="11"/>
  <c r="H11" i="11"/>
  <c r="D40" i="10"/>
  <c r="U38" i="12"/>
  <c r="AG22" i="10"/>
  <c r="N27" i="3"/>
  <c r="N53" i="3"/>
  <c r="X14" i="10"/>
  <c r="D22" i="11"/>
  <c r="E18" i="11" s="1"/>
  <c r="X1" i="12"/>
  <c r="M47" i="12"/>
  <c r="M25" i="12"/>
  <c r="I53" i="3"/>
  <c r="I27" i="3"/>
  <c r="V34" i="3"/>
  <c r="V36" i="3" s="1"/>
  <c r="M50" i="10"/>
  <c r="M30" i="10"/>
  <c r="M53" i="3"/>
  <c r="M27" i="3"/>
  <c r="S24" i="10"/>
  <c r="S43" i="10"/>
  <c r="Q13" i="3"/>
  <c r="L22" i="3"/>
  <c r="L46" i="3"/>
  <c r="H50" i="10"/>
  <c r="H30" i="10"/>
  <c r="V35" i="3"/>
  <c r="Y17" i="10"/>
  <c r="Y18" i="10"/>
  <c r="Y25" i="10"/>
  <c r="P50" i="10"/>
  <c r="P30" i="10"/>
  <c r="M22" i="3"/>
  <c r="M46" i="3"/>
  <c r="V42" i="12"/>
  <c r="V41" i="12"/>
  <c r="L53" i="3"/>
  <c r="L27" i="3"/>
  <c r="AK21" i="10"/>
  <c r="AO10" i="10"/>
  <c r="AK12" i="10"/>
  <c r="AK23" i="10"/>
  <c r="L50" i="10"/>
  <c r="L30" i="10"/>
  <c r="N22" i="3"/>
  <c r="N46" i="3"/>
  <c r="AB13" i="10"/>
  <c r="AB21" i="10"/>
  <c r="AF10" i="10"/>
  <c r="AB12" i="10"/>
  <c r="AB23" i="10"/>
  <c r="H24" i="10"/>
  <c r="H43" i="10"/>
  <c r="W14" i="10"/>
  <c r="M43" i="10"/>
  <c r="M24" i="10"/>
  <c r="P24" i="10"/>
  <c r="P43" i="10"/>
  <c r="N50" i="10"/>
  <c r="N30" i="10"/>
  <c r="S50" i="10"/>
  <c r="S30" i="10"/>
  <c r="F22" i="10" l="1"/>
  <c r="F25" i="10" s="1"/>
  <c r="Z31" i="10"/>
  <c r="Z33" i="10"/>
  <c r="Y31" i="10"/>
  <c r="Y33" i="10"/>
  <c r="Y34" i="10" s="1"/>
  <c r="AD22" i="10"/>
  <c r="Y43" i="10"/>
  <c r="Y24" i="10"/>
  <c r="D29" i="11"/>
  <c r="R27" i="12"/>
  <c r="Y1" i="12"/>
  <c r="W13" i="3"/>
  <c r="AA14" i="10"/>
  <c r="AH21" i="10"/>
  <c r="AL10" i="10"/>
  <c r="AH12" i="10"/>
  <c r="AH23" i="10"/>
  <c r="AG13" i="10"/>
  <c r="AG14" i="10" s="1"/>
  <c r="C54" i="3"/>
  <c r="C55" i="3" s="1"/>
  <c r="E21" i="3"/>
  <c r="E23" i="3" s="1"/>
  <c r="AK22" i="10"/>
  <c r="Q17" i="3"/>
  <c r="Q16" i="3"/>
  <c r="R30" i="12"/>
  <c r="R55" i="12"/>
  <c r="Y50" i="10"/>
  <c r="Y30" i="10"/>
  <c r="T16" i="3"/>
  <c r="T17" i="3"/>
  <c r="S16" i="3"/>
  <c r="S17" i="3"/>
  <c r="Y38" i="12"/>
  <c r="Y35" i="3"/>
  <c r="AC9" i="3"/>
  <c r="Y34" i="3"/>
  <c r="Y11" i="3"/>
  <c r="Y13" i="3" s="1"/>
  <c r="Y12" i="3"/>
  <c r="G54" i="11"/>
  <c r="G20" i="11"/>
  <c r="U19" i="12"/>
  <c r="U20" i="12"/>
  <c r="U50" i="10"/>
  <c r="U30" i="10"/>
  <c r="E19" i="11"/>
  <c r="E21" i="11"/>
  <c r="E22" i="11"/>
  <c r="F18" i="11" s="1"/>
  <c r="AA22" i="10"/>
  <c r="AA25" i="10" s="1"/>
  <c r="AD14" i="12"/>
  <c r="AC15" i="12"/>
  <c r="AC36" i="12"/>
  <c r="AC38" i="12" s="1"/>
  <c r="AH12" i="12"/>
  <c r="AD15" i="12"/>
  <c r="AC37" i="12"/>
  <c r="AD36" i="12"/>
  <c r="AD38" i="12" s="1"/>
  <c r="AD37" i="12"/>
  <c r="C42" i="3"/>
  <c r="C43" i="3" s="1"/>
  <c r="C47" i="3"/>
  <c r="C48" i="3" s="1"/>
  <c r="Z38" i="12"/>
  <c r="T23" i="12"/>
  <c r="U23" i="12"/>
  <c r="Y42" i="12"/>
  <c r="Y41" i="12"/>
  <c r="Y16" i="12"/>
  <c r="G63" i="11"/>
  <c r="G27" i="11"/>
  <c r="Q30" i="12"/>
  <c r="Q55" i="12"/>
  <c r="U43" i="10"/>
  <c r="U24" i="10"/>
  <c r="AE13" i="10"/>
  <c r="AE21" i="10"/>
  <c r="AI10" i="10"/>
  <c r="AE12" i="10"/>
  <c r="AE14" i="10" s="1"/>
  <c r="AE23" i="10"/>
  <c r="Z36" i="3"/>
  <c r="H14" i="11"/>
  <c r="H15" i="11"/>
  <c r="V20" i="12"/>
  <c r="V19" i="12"/>
  <c r="V16" i="3"/>
  <c r="V17" i="3"/>
  <c r="AB14" i="10"/>
  <c r="J10" i="11"/>
  <c r="I11" i="11"/>
  <c r="AB34" i="3"/>
  <c r="AB36" i="3" s="1"/>
  <c r="AB35" i="3"/>
  <c r="AB11" i="3"/>
  <c r="AB13" i="3" s="1"/>
  <c r="AF9" i="3"/>
  <c r="AB12" i="3"/>
  <c r="R50" i="10"/>
  <c r="R30" i="10"/>
  <c r="T27" i="12"/>
  <c r="S27" i="12"/>
  <c r="W23" i="12"/>
  <c r="U13" i="3"/>
  <c r="V50" i="10"/>
  <c r="V30" i="10"/>
  <c r="Q47" i="12"/>
  <c r="Q25" i="12"/>
  <c r="S23" i="12"/>
  <c r="P27" i="3"/>
  <c r="P53" i="3"/>
  <c r="T24" i="10"/>
  <c r="T43" i="10"/>
  <c r="AD13" i="10"/>
  <c r="AD14" i="10" s="1"/>
  <c r="Z34" i="10"/>
  <c r="Z17" i="10"/>
  <c r="Z18" i="10"/>
  <c r="R43" i="10"/>
  <c r="R24" i="10"/>
  <c r="F48" i="11"/>
  <c r="D41" i="3"/>
  <c r="D54" i="3" s="1"/>
  <c r="D55" i="3" s="1"/>
  <c r="D40" i="3"/>
  <c r="W27" i="12"/>
  <c r="Z13" i="3"/>
  <c r="Z42" i="12"/>
  <c r="Z41" i="12"/>
  <c r="Z43" i="12" s="1"/>
  <c r="Z44" i="12" s="1"/>
  <c r="V24" i="10"/>
  <c r="V43" i="10"/>
  <c r="P22" i="3"/>
  <c r="P46" i="3"/>
  <c r="T50" i="10"/>
  <c r="T30" i="10"/>
  <c r="E31" i="10"/>
  <c r="E32" i="10" s="1"/>
  <c r="E28" i="10"/>
  <c r="X17" i="10"/>
  <c r="X18" i="10"/>
  <c r="R25" i="12"/>
  <c r="R47" i="12"/>
  <c r="V27" i="12"/>
  <c r="X16" i="3"/>
  <c r="X17" i="3"/>
  <c r="AF21" i="10"/>
  <c r="AF12" i="10"/>
  <c r="AJ10" i="10"/>
  <c r="AF13" i="10"/>
  <c r="AF23" i="10"/>
  <c r="W18" i="10"/>
  <c r="W17" i="10"/>
  <c r="AB22" i="10"/>
  <c r="AB25" i="10"/>
  <c r="AO23" i="10"/>
  <c r="AO21" i="10"/>
  <c r="AO12" i="10"/>
  <c r="V43" i="12"/>
  <c r="V44" i="12" s="1"/>
  <c r="R23" i="12"/>
  <c r="AA35" i="3"/>
  <c r="AA34" i="3"/>
  <c r="AA36" i="3" s="1"/>
  <c r="AA12" i="3"/>
  <c r="AE9" i="3"/>
  <c r="AA11" i="3"/>
  <c r="AA13" i="3" s="1"/>
  <c r="X36" i="3"/>
  <c r="AC17" i="10"/>
  <c r="AC18" i="10"/>
  <c r="AC25" i="10"/>
  <c r="D29" i="3"/>
  <c r="X27" i="12"/>
  <c r="AD34" i="3"/>
  <c r="AD11" i="3"/>
  <c r="AH9" i="3"/>
  <c r="AD12" i="3"/>
  <c r="Z16" i="12"/>
  <c r="AA31" i="10" l="1"/>
  <c r="AA33" i="10" s="1"/>
  <c r="AA34" i="10" s="1"/>
  <c r="E28" i="3"/>
  <c r="E30" i="3" s="1"/>
  <c r="E25" i="3"/>
  <c r="AD17" i="10"/>
  <c r="AD18" i="10"/>
  <c r="AD25" i="10"/>
  <c r="F33" i="10"/>
  <c r="F34" i="10" s="1"/>
  <c r="F31" i="10"/>
  <c r="F28" i="10"/>
  <c r="F27" i="10"/>
  <c r="G23" i="10" s="1"/>
  <c r="F26" i="10"/>
  <c r="G21" i="10" s="1"/>
  <c r="X43" i="10"/>
  <c r="X24" i="10"/>
  <c r="F19" i="11"/>
  <c r="F21" i="11" s="1"/>
  <c r="S22" i="3"/>
  <c r="S46" i="3"/>
  <c r="AA17" i="10"/>
  <c r="AA18" i="10"/>
  <c r="Y27" i="10"/>
  <c r="Y26" i="10"/>
  <c r="AB16" i="3"/>
  <c r="AB17" i="3"/>
  <c r="V30" i="12"/>
  <c r="V55" i="12"/>
  <c r="E23" i="11"/>
  <c r="E28" i="11"/>
  <c r="E30" i="11"/>
  <c r="E31" i="11" s="1"/>
  <c r="G48" i="11"/>
  <c r="Y32" i="10"/>
  <c r="AH34" i="3"/>
  <c r="AH12" i="3"/>
  <c r="AH11" i="3"/>
  <c r="AL9" i="3"/>
  <c r="AA16" i="3"/>
  <c r="AA17" i="3"/>
  <c r="X50" i="10"/>
  <c r="X30" i="10"/>
  <c r="Z43" i="10"/>
  <c r="Z24" i="10"/>
  <c r="U16" i="3"/>
  <c r="U17" i="3"/>
  <c r="V25" i="12"/>
  <c r="V47" i="12"/>
  <c r="AI23" i="10"/>
  <c r="AM10" i="10"/>
  <c r="AI21" i="10"/>
  <c r="AI13" i="10"/>
  <c r="AI12" i="10"/>
  <c r="AI14" i="10" s="1"/>
  <c r="AC41" i="12"/>
  <c r="AC43" i="12" s="1"/>
  <c r="AC44" i="12" s="1"/>
  <c r="AC16" i="12"/>
  <c r="AC42" i="12"/>
  <c r="AC50" i="10"/>
  <c r="AC30" i="10"/>
  <c r="J11" i="11"/>
  <c r="K10" i="11"/>
  <c r="AD13" i="3"/>
  <c r="AB17" i="10"/>
  <c r="AB18" i="10"/>
  <c r="AE22" i="10"/>
  <c r="AE25" i="10"/>
  <c r="Y38" i="10"/>
  <c r="Y51" i="10" s="1"/>
  <c r="Y52" i="10" s="1"/>
  <c r="Y37" i="10"/>
  <c r="AE35" i="3"/>
  <c r="AE34" i="3"/>
  <c r="AE36" i="3" s="1"/>
  <c r="AI9" i="3"/>
  <c r="AH35" i="3" s="1"/>
  <c r="AE12" i="3"/>
  <c r="AE11" i="3"/>
  <c r="AE13" i="3" s="1"/>
  <c r="W50" i="10"/>
  <c r="W30" i="10"/>
  <c r="AJ12" i="10"/>
  <c r="AN10" i="10"/>
  <c r="AJ13" i="10"/>
  <c r="AJ21" i="10"/>
  <c r="AJ23" i="10"/>
  <c r="D42" i="3"/>
  <c r="D43" i="3" s="1"/>
  <c r="D47" i="3"/>
  <c r="D48" i="3" s="1"/>
  <c r="Z50" i="10"/>
  <c r="Z30" i="10"/>
  <c r="Y16" i="3"/>
  <c r="Y17" i="3"/>
  <c r="T53" i="3"/>
  <c r="T27" i="3"/>
  <c r="Z20" i="12"/>
  <c r="Z19" i="12"/>
  <c r="AD35" i="3"/>
  <c r="W43" i="10"/>
  <c r="W24" i="10"/>
  <c r="AF14" i="10"/>
  <c r="Z38" i="10"/>
  <c r="Z37" i="10"/>
  <c r="AD16" i="12"/>
  <c r="Y36" i="3"/>
  <c r="T22" i="3"/>
  <c r="T46" i="3"/>
  <c r="E24" i="3"/>
  <c r="F20" i="3" s="1"/>
  <c r="AL23" i="10"/>
  <c r="AP10" i="10"/>
  <c r="AL21" i="10"/>
  <c r="AL12" i="10"/>
  <c r="AL13" i="10"/>
  <c r="AK13" i="10"/>
  <c r="AK14" i="10" s="1"/>
  <c r="Z1" i="12"/>
  <c r="Z51" i="10"/>
  <c r="Z32" i="10"/>
  <c r="V27" i="3"/>
  <c r="V53" i="3"/>
  <c r="H63" i="11"/>
  <c r="H27" i="11"/>
  <c r="Y20" i="12"/>
  <c r="Z27" i="12" s="1"/>
  <c r="Y19" i="12"/>
  <c r="AC35" i="3"/>
  <c r="AC34" i="3"/>
  <c r="AC36" i="3" s="1"/>
  <c r="AC12" i="3"/>
  <c r="AC11" i="3"/>
  <c r="AG9" i="3"/>
  <c r="AF35" i="3" s="1"/>
  <c r="AH22" i="10"/>
  <c r="AB33" i="10"/>
  <c r="AB34" i="10" s="1"/>
  <c r="AB31" i="10"/>
  <c r="AE18" i="10"/>
  <c r="AE17" i="10"/>
  <c r="AG18" i="10"/>
  <c r="AG17" i="10"/>
  <c r="AG25" i="10"/>
  <c r="X27" i="3"/>
  <c r="X53" i="3"/>
  <c r="E33" i="10"/>
  <c r="E34" i="10" s="1"/>
  <c r="Z16" i="3"/>
  <c r="Z17" i="3"/>
  <c r="H20" i="11"/>
  <c r="H54" i="11"/>
  <c r="U47" i="12"/>
  <c r="U25" i="12"/>
  <c r="X23" i="12"/>
  <c r="Q22" i="3"/>
  <c r="Q46" i="3"/>
  <c r="AH13" i="10"/>
  <c r="AH14" i="10" s="1"/>
  <c r="V23" i="12"/>
  <c r="AJ9" i="3"/>
  <c r="AF11" i="3"/>
  <c r="AF13" i="3" s="1"/>
  <c r="AF12" i="3"/>
  <c r="AG15" i="12"/>
  <c r="AH15" i="12"/>
  <c r="AH14" i="12"/>
  <c r="AG36" i="12"/>
  <c r="AH36" i="12"/>
  <c r="AH38" i="12" s="1"/>
  <c r="AL12" i="12"/>
  <c r="AG37" i="12"/>
  <c r="AH37" i="12"/>
  <c r="W17" i="3"/>
  <c r="W16" i="3"/>
  <c r="AD36" i="3"/>
  <c r="AC28" i="10"/>
  <c r="AC31" i="10"/>
  <c r="AC32" i="10" s="1"/>
  <c r="AF22" i="10"/>
  <c r="AF25" i="10" s="1"/>
  <c r="AC24" i="10"/>
  <c r="AC43" i="10"/>
  <c r="AO22" i="10"/>
  <c r="X46" i="3"/>
  <c r="X22" i="3"/>
  <c r="I14" i="11"/>
  <c r="I15" i="11"/>
  <c r="V22" i="3"/>
  <c r="V46" i="3"/>
  <c r="Y43" i="12"/>
  <c r="Y44" i="12" s="1"/>
  <c r="AD42" i="12"/>
  <c r="AD41" i="12"/>
  <c r="AD43" i="12" s="1"/>
  <c r="AD44" i="12" s="1"/>
  <c r="U55" i="12"/>
  <c r="U30" i="12"/>
  <c r="S53" i="3"/>
  <c r="S27" i="3"/>
  <c r="Q53" i="3"/>
  <c r="Q27" i="3"/>
  <c r="Y28" i="10"/>
  <c r="U27" i="12"/>
  <c r="AA38" i="10" l="1"/>
  <c r="AA37" i="10"/>
  <c r="AH17" i="10"/>
  <c r="AH18" i="10"/>
  <c r="AH25" i="10"/>
  <c r="F23" i="11"/>
  <c r="F28" i="11"/>
  <c r="AB37" i="10"/>
  <c r="AB38" i="10"/>
  <c r="AF31" i="10"/>
  <c r="AF33" i="10" s="1"/>
  <c r="AF34" i="10" s="1"/>
  <c r="E31" i="3"/>
  <c r="E37" i="3" s="1"/>
  <c r="S2" i="12" a="1"/>
  <c r="S2" i="12" s="1"/>
  <c r="AE33" i="10"/>
  <c r="AE34" i="10" s="1"/>
  <c r="AE31" i="10"/>
  <c r="AB22" i="3"/>
  <c r="AB46" i="3"/>
  <c r="G26" i="10"/>
  <c r="H21" i="10" s="1"/>
  <c r="G25" i="10"/>
  <c r="G22" i="10"/>
  <c r="AD43" i="10"/>
  <c r="AD24" i="10"/>
  <c r="AF16" i="3"/>
  <c r="AF17" i="3"/>
  <c r="AE50" i="10"/>
  <c r="AE30" i="10"/>
  <c r="Y47" i="12"/>
  <c r="Y25" i="12"/>
  <c r="AA27" i="12"/>
  <c r="Y23" i="12"/>
  <c r="AA23" i="12"/>
  <c r="Z23" i="12"/>
  <c r="AB27" i="12"/>
  <c r="AJ11" i="3"/>
  <c r="AN9" i="3"/>
  <c r="AK17" i="10"/>
  <c r="AK18" i="10"/>
  <c r="AF18" i="10"/>
  <c r="AF17" i="10"/>
  <c r="AE16" i="3"/>
  <c r="AE17" i="3"/>
  <c r="Y39" i="10"/>
  <c r="Y40" i="10" s="1"/>
  <c r="Y44" i="10"/>
  <c r="Y45" i="10" s="1"/>
  <c r="U53" i="3"/>
  <c r="U27" i="3"/>
  <c r="AH36" i="3"/>
  <c r="G27" i="10"/>
  <c r="H23" i="10" s="1"/>
  <c r="AD50" i="10"/>
  <c r="AD30" i="10"/>
  <c r="AC27" i="10"/>
  <c r="AC26" i="10"/>
  <c r="AC33" i="10"/>
  <c r="AC34" i="10" s="1"/>
  <c r="AG38" i="12"/>
  <c r="AF34" i="3"/>
  <c r="AF36" i="3" s="1"/>
  <c r="Y53" i="3"/>
  <c r="Y27" i="3"/>
  <c r="AI17" i="10"/>
  <c r="AI18" i="10"/>
  <c r="U22" i="3"/>
  <c r="U46" i="3"/>
  <c r="E29" i="11"/>
  <c r="AK25" i="10"/>
  <c r="AL14" i="12"/>
  <c r="AP12" i="12"/>
  <c r="AK15" i="12"/>
  <c r="AL15" i="12"/>
  <c r="AL36" i="12"/>
  <c r="AL37" i="12"/>
  <c r="AK37" i="12"/>
  <c r="AK36" i="12"/>
  <c r="AK38" i="12" s="1"/>
  <c r="U2" i="12" a="1"/>
  <c r="U2" i="12" s="1"/>
  <c r="I27" i="11"/>
  <c r="I63" i="11"/>
  <c r="AH16" i="12"/>
  <c r="T4" i="12"/>
  <c r="AL14" i="10"/>
  <c r="Y27" i="12"/>
  <c r="Y22" i="3"/>
  <c r="Y46" i="3"/>
  <c r="AJ22" i="10"/>
  <c r="AJ25" i="10" s="1"/>
  <c r="AI35" i="3"/>
  <c r="AI34" i="3"/>
  <c r="AM9" i="3"/>
  <c r="AI11" i="3"/>
  <c r="AI12" i="3"/>
  <c r="AB43" i="10"/>
  <c r="AB24" i="10"/>
  <c r="E25" i="11"/>
  <c r="F22" i="11"/>
  <c r="G18" i="11" s="1"/>
  <c r="W4" i="12"/>
  <c r="Y2" i="12" a="1"/>
  <c r="Y2" i="12" s="1"/>
  <c r="AL22" i="10"/>
  <c r="Z39" i="10"/>
  <c r="Z40" i="10" s="1"/>
  <c r="Z44" i="10"/>
  <c r="Z45" i="10" s="1"/>
  <c r="X2" i="12" a="1"/>
  <c r="X2" i="12" s="1"/>
  <c r="AB50" i="10"/>
  <c r="AB30" i="10"/>
  <c r="AB32" i="10" s="1"/>
  <c r="AI22" i="10"/>
  <c r="AI25" i="10" s="1"/>
  <c r="AA53" i="3"/>
  <c r="AA27" i="3"/>
  <c r="F51" i="10"/>
  <c r="F52" i="10" s="1"/>
  <c r="F32" i="10"/>
  <c r="T2" i="12" a="1"/>
  <c r="T2" i="12" s="1"/>
  <c r="AG31" i="10"/>
  <c r="AG28" i="10"/>
  <c r="AG33" i="10"/>
  <c r="AG34" i="10" s="1"/>
  <c r="AH42" i="12"/>
  <c r="AH41" i="12"/>
  <c r="Z53" i="3"/>
  <c r="Z27" i="3"/>
  <c r="AG30" i="10"/>
  <c r="AG50" i="10"/>
  <c r="AG35" i="3"/>
  <c r="AG34" i="3"/>
  <c r="AG36" i="3" s="1"/>
  <c r="AK9" i="3"/>
  <c r="AJ12" i="3" s="1"/>
  <c r="AG11" i="3"/>
  <c r="AG12" i="3"/>
  <c r="AP12" i="10"/>
  <c r="AP21" i="10"/>
  <c r="AP23" i="10"/>
  <c r="AO13" i="10"/>
  <c r="AO14" i="10" s="1"/>
  <c r="Z30" i="12"/>
  <c r="Z55" i="12"/>
  <c r="AN13" i="10"/>
  <c r="AN21" i="10"/>
  <c r="AN23" i="10"/>
  <c r="AN12" i="10"/>
  <c r="AR10" i="10"/>
  <c r="L10" i="11"/>
  <c r="K11" i="11"/>
  <c r="AM12" i="10"/>
  <c r="AM14" i="10" s="1"/>
  <c r="AQ10" i="10"/>
  <c r="AP13" i="10" s="1"/>
  <c r="AM13" i="10"/>
  <c r="AM21" i="10"/>
  <c r="AM23" i="10"/>
  <c r="Z27" i="10"/>
  <c r="Z26" i="10"/>
  <c r="Z28" i="10"/>
  <c r="AA22" i="3"/>
  <c r="AA46" i="3"/>
  <c r="AA43" i="10"/>
  <c r="AA24" i="10"/>
  <c r="F38" i="10"/>
  <c r="F37" i="10"/>
  <c r="H48" i="11"/>
  <c r="AE43" i="10"/>
  <c r="AE24" i="10"/>
  <c r="AE28" i="10" s="1"/>
  <c r="U4" i="12"/>
  <c r="I54" i="11"/>
  <c r="I20" i="11"/>
  <c r="W22" i="3"/>
  <c r="W46" i="3"/>
  <c r="AG42" i="12"/>
  <c r="AG41" i="12"/>
  <c r="AG43" i="12" s="1"/>
  <c r="AG44" i="12" s="1"/>
  <c r="AG16" i="12"/>
  <c r="Z22" i="3"/>
  <c r="Z46" i="3"/>
  <c r="AG43" i="10"/>
  <c r="AG24" i="10"/>
  <c r="AB51" i="10"/>
  <c r="AC13" i="3"/>
  <c r="Z4" i="12"/>
  <c r="Z2" i="12" a="1"/>
  <c r="Z2" i="12" s="1"/>
  <c r="AA1" i="12"/>
  <c r="Z25" i="12"/>
  <c r="Z47" i="12"/>
  <c r="AB23" i="12"/>
  <c r="Z52" i="10"/>
  <c r="AJ14" i="10"/>
  <c r="R2" i="12" a="1"/>
  <c r="R2" i="12" s="1"/>
  <c r="J15" i="11"/>
  <c r="J14" i="11"/>
  <c r="AC19" i="12"/>
  <c r="AC20" i="12"/>
  <c r="AL35" i="3"/>
  <c r="AL34" i="3"/>
  <c r="AL36" i="3" s="1"/>
  <c r="AP9" i="3"/>
  <c r="AL11" i="3"/>
  <c r="AL12" i="3"/>
  <c r="E38" i="10"/>
  <c r="E51" i="10" s="1"/>
  <c r="E52" i="10" s="1"/>
  <c r="E37" i="10"/>
  <c r="W53" i="3"/>
  <c r="W27" i="3"/>
  <c r="Y30" i="12"/>
  <c r="Y55" i="12"/>
  <c r="W2" i="12" a="1"/>
  <c r="W2" i="12" s="1"/>
  <c r="X24" i="12" s="1"/>
  <c r="X26" i="12" s="1"/>
  <c r="Y4" i="12"/>
  <c r="F21" i="3"/>
  <c r="F23" i="3"/>
  <c r="AD20" i="12"/>
  <c r="AD19" i="12"/>
  <c r="AD16" i="3"/>
  <c r="AD17" i="3"/>
  <c r="AH13" i="3"/>
  <c r="AB53" i="3"/>
  <c r="AB27" i="3"/>
  <c r="AA50" i="10"/>
  <c r="AA30" i="10"/>
  <c r="AA32" i="10" s="1"/>
  <c r="AD31" i="10"/>
  <c r="AD33" i="10"/>
  <c r="AD34" i="10" s="1"/>
  <c r="AD28" i="10"/>
  <c r="E29" i="3"/>
  <c r="AA51" i="10"/>
  <c r="AI31" i="10" l="1"/>
  <c r="AI33" i="10" s="1"/>
  <c r="AI34" i="10" s="1"/>
  <c r="X31" i="12"/>
  <c r="X33" i="12" s="1"/>
  <c r="X28" i="12"/>
  <c r="X48" i="12"/>
  <c r="X49" i="12" s="1"/>
  <c r="AJ31" i="10"/>
  <c r="AJ33" i="10" s="1"/>
  <c r="AJ34" i="10" s="1"/>
  <c r="AF38" i="10"/>
  <c r="AF51" i="10" s="1"/>
  <c r="AF37" i="10"/>
  <c r="AN35" i="3"/>
  <c r="AN11" i="3"/>
  <c r="AH17" i="3"/>
  <c r="AH16" i="3"/>
  <c r="F28" i="3"/>
  <c r="F30" i="3"/>
  <c r="F25" i="3"/>
  <c r="AD38" i="10"/>
  <c r="AD37" i="10"/>
  <c r="F24" i="3"/>
  <c r="G20" i="3" s="1"/>
  <c r="AM18" i="10"/>
  <c r="AM17" i="10"/>
  <c r="AD51" i="10"/>
  <c r="AD32" i="10"/>
  <c r="AD27" i="3"/>
  <c r="AD53" i="3"/>
  <c r="E39" i="10"/>
  <c r="E44" i="10"/>
  <c r="E45" i="10" s="1"/>
  <c r="AC47" i="12"/>
  <c r="AC25" i="12"/>
  <c r="AB24" i="12"/>
  <c r="AB26" i="12" s="1"/>
  <c r="AN22" i="10"/>
  <c r="AN25" i="10" s="1"/>
  <c r="AP14" i="10"/>
  <c r="AB52" i="10"/>
  <c r="AI36" i="3"/>
  <c r="AL18" i="10"/>
  <c r="AL17" i="10"/>
  <c r="AI50" i="10"/>
  <c r="AI30" i="10"/>
  <c r="AC38" i="10"/>
  <c r="AC51" i="10" s="1"/>
  <c r="AC52" i="10" s="1"/>
  <c r="AC37" i="10"/>
  <c r="AE22" i="3"/>
  <c r="AE46" i="3"/>
  <c r="AD23" i="12"/>
  <c r="AD24" i="12" s="1"/>
  <c r="AD26" i="12" s="1"/>
  <c r="AE27" i="12"/>
  <c r="F29" i="11"/>
  <c r="F39" i="10"/>
  <c r="F40" i="10" s="1"/>
  <c r="F44" i="10"/>
  <c r="F45" i="10" s="1"/>
  <c r="AG38" i="10"/>
  <c r="AG37" i="10"/>
  <c r="AC17" i="3"/>
  <c r="AC16" i="3"/>
  <c r="Q24" i="12"/>
  <c r="Q26" i="12" s="1"/>
  <c r="P24" i="12"/>
  <c r="P26" i="12" s="1"/>
  <c r="S24" i="12"/>
  <c r="S26" i="12" s="1"/>
  <c r="R24" i="12"/>
  <c r="R26" i="12" s="1"/>
  <c r="AL38" i="12"/>
  <c r="AF43" i="10"/>
  <c r="AF24" i="10"/>
  <c r="AJ13" i="3"/>
  <c r="AA24" i="12"/>
  <c r="AA26" i="12" s="1"/>
  <c r="AD27" i="10"/>
  <c r="AD26" i="10"/>
  <c r="AH33" i="10"/>
  <c r="AH34" i="10" s="1"/>
  <c r="AH31" i="10"/>
  <c r="AH28" i="10"/>
  <c r="AK33" i="10"/>
  <c r="AK34" i="10" s="1"/>
  <c r="AK31" i="10"/>
  <c r="Z24" i="12"/>
  <c r="Z26" i="12" s="1"/>
  <c r="AA52" i="10"/>
  <c r="AG20" i="12"/>
  <c r="AG19" i="12"/>
  <c r="AG13" i="3"/>
  <c r="AD30" i="12"/>
  <c r="AD55" i="12"/>
  <c r="AL13" i="3"/>
  <c r="J20" i="11"/>
  <c r="J54" i="11"/>
  <c r="I48" i="11"/>
  <c r="AA27" i="10"/>
  <c r="AA28" i="10"/>
  <c r="AA26" i="10"/>
  <c r="K14" i="11"/>
  <c r="K15" i="11"/>
  <c r="AK35" i="3"/>
  <c r="AK34" i="3"/>
  <c r="AK36" i="3" s="1"/>
  <c r="AK12" i="3"/>
  <c r="AO9" i="3"/>
  <c r="AN12" i="3" s="1"/>
  <c r="AK11" i="3"/>
  <c r="AG32" i="10"/>
  <c r="AG51" i="10"/>
  <c r="G19" i="11"/>
  <c r="G21" i="11"/>
  <c r="G22" i="11" s="1"/>
  <c r="H18" i="11" s="1"/>
  <c r="AB27" i="10"/>
  <c r="AB26" i="10"/>
  <c r="AB28" i="10"/>
  <c r="AJ35" i="3"/>
  <c r="Y24" i="12"/>
  <c r="Y26" i="12" s="1"/>
  <c r="AF23" i="12"/>
  <c r="AF24" i="12" s="1"/>
  <c r="AF26" i="12" s="1"/>
  <c r="AH43" i="10"/>
  <c r="AH24" i="10"/>
  <c r="J24" i="12"/>
  <c r="J26" i="12" s="1"/>
  <c r="I24" i="12"/>
  <c r="I26" i="12" s="1"/>
  <c r="H24" i="12"/>
  <c r="H26" i="12" s="1"/>
  <c r="K24" i="12"/>
  <c r="K26" i="12" s="1"/>
  <c r="AD46" i="3"/>
  <c r="AD22" i="3"/>
  <c r="AD25" i="12"/>
  <c r="AD47" i="12"/>
  <c r="AE23" i="12"/>
  <c r="AE24" i="12" s="1"/>
  <c r="AE26" i="12" s="1"/>
  <c r="AP11" i="3"/>
  <c r="J63" i="11"/>
  <c r="J27" i="11"/>
  <c r="AA2" i="12" a="1"/>
  <c r="AA2" i="12" s="1"/>
  <c r="AM22" i="10"/>
  <c r="AM25" i="10" s="1"/>
  <c r="M10" i="11"/>
  <c r="L11" i="11"/>
  <c r="AO17" i="10"/>
  <c r="AO18" i="10"/>
  <c r="AH43" i="12"/>
  <c r="AH44" i="12" s="1"/>
  <c r="AL25" i="10"/>
  <c r="AL42" i="12"/>
  <c r="AL41" i="12"/>
  <c r="AD52" i="10"/>
  <c r="AK43" i="10"/>
  <c r="AK24" i="10"/>
  <c r="AJ34" i="3"/>
  <c r="AJ36" i="3" s="1"/>
  <c r="E40" i="3"/>
  <c r="E41" i="3"/>
  <c r="AB39" i="10"/>
  <c r="AB40" i="10" s="1"/>
  <c r="AB44" i="10"/>
  <c r="AB45" i="10" s="1"/>
  <c r="AH50" i="10"/>
  <c r="AH30" i="10"/>
  <c r="AC55" i="12"/>
  <c r="AC30" i="12"/>
  <c r="D24" i="12"/>
  <c r="D26" i="12" s="1"/>
  <c r="E24" i="12"/>
  <c r="E26" i="12" s="1"/>
  <c r="G24" i="12"/>
  <c r="G26" i="12" s="1"/>
  <c r="F24" i="12"/>
  <c r="F26" i="12" s="1"/>
  <c r="AG26" i="10"/>
  <c r="AG27" i="10"/>
  <c r="AE27" i="10"/>
  <c r="AE26" i="10"/>
  <c r="AR23" i="10"/>
  <c r="AR12" i="10"/>
  <c r="AR13" i="10"/>
  <c r="AR21" i="10"/>
  <c r="AK16" i="12"/>
  <c r="AK41" i="12"/>
  <c r="AK43" i="12" s="1"/>
  <c r="AK44" i="12" s="1"/>
  <c r="AK42" i="12"/>
  <c r="AK30" i="10"/>
  <c r="AK50" i="10"/>
  <c r="G33" i="10"/>
  <c r="G34" i="10" s="1"/>
  <c r="G31" i="10"/>
  <c r="G28" i="10"/>
  <c r="AE32" i="10"/>
  <c r="AO25" i="10"/>
  <c r="AF50" i="10"/>
  <c r="AF30" i="10"/>
  <c r="AF32" i="10" s="1"/>
  <c r="AJ17" i="10"/>
  <c r="AJ18" i="10"/>
  <c r="AQ21" i="10"/>
  <c r="AQ23" i="10"/>
  <c r="AQ13" i="10"/>
  <c r="AQ12" i="10"/>
  <c r="AQ14" i="10" s="1"/>
  <c r="AN14" i="10"/>
  <c r="AP25" i="10"/>
  <c r="AP22" i="10"/>
  <c r="AG52" i="10"/>
  <c r="M24" i="12"/>
  <c r="M26" i="12" s="1"/>
  <c r="O24" i="12"/>
  <c r="O26" i="12" s="1"/>
  <c r="L24" i="12"/>
  <c r="L26" i="12" s="1"/>
  <c r="N24" i="12"/>
  <c r="N26" i="12" s="1"/>
  <c r="AI13" i="3"/>
  <c r="AH20" i="12"/>
  <c r="AH19" i="12"/>
  <c r="AP14" i="12"/>
  <c r="AA4" i="12" s="1"/>
  <c r="AO15" i="12"/>
  <c r="AP15" i="12"/>
  <c r="AP36" i="12"/>
  <c r="AP38" i="12" s="1"/>
  <c r="AO37" i="12"/>
  <c r="AP37" i="12"/>
  <c r="AO36" i="12"/>
  <c r="AO38" i="12" s="1"/>
  <c r="R4" i="12"/>
  <c r="V4" i="12"/>
  <c r="X4" i="12"/>
  <c r="S4" i="12"/>
  <c r="AI43" i="10"/>
  <c r="AI24" i="10"/>
  <c r="AI27" i="10" s="1"/>
  <c r="AC23" i="12"/>
  <c r="AC24" i="12" s="1"/>
  <c r="AC26" i="12" s="1"/>
  <c r="AC27" i="12"/>
  <c r="AF27" i="3"/>
  <c r="AF53" i="3"/>
  <c r="H22" i="10"/>
  <c r="H25" i="10" s="1"/>
  <c r="AE37" i="10"/>
  <c r="AE38" i="10"/>
  <c r="AE51" i="10" s="1"/>
  <c r="AE52" i="10" s="1"/>
  <c r="AA39" i="10"/>
  <c r="AA40" i="10" s="1"/>
  <c r="AA44" i="10"/>
  <c r="AA45" i="10" s="1"/>
  <c r="F25" i="11"/>
  <c r="AM35" i="3"/>
  <c r="AM34" i="3"/>
  <c r="AM36" i="3" s="1"/>
  <c r="AQ9" i="3"/>
  <c r="AP35" i="3" s="1"/>
  <c r="AM11" i="3"/>
  <c r="AM13" i="3" s="1"/>
  <c r="AM12" i="3"/>
  <c r="V2" i="12" a="1"/>
  <c r="V2" i="12" s="1"/>
  <c r="AL16" i="12"/>
  <c r="AE53" i="3"/>
  <c r="AE27" i="3"/>
  <c r="AD27" i="12"/>
  <c r="AF27" i="12"/>
  <c r="AF22" i="3"/>
  <c r="AF46" i="3"/>
  <c r="F30" i="11"/>
  <c r="F31" i="11" s="1"/>
  <c r="AM31" i="10" l="1"/>
  <c r="AM33" i="10" s="1"/>
  <c r="AM34" i="10" s="1"/>
  <c r="AJ37" i="10"/>
  <c r="AJ38" i="10"/>
  <c r="AN31" i="10"/>
  <c r="H31" i="10"/>
  <c r="H33" i="10"/>
  <c r="H34" i="10" s="1"/>
  <c r="H28" i="10"/>
  <c r="H27" i="10"/>
  <c r="I23" i="10" s="1"/>
  <c r="H19" i="11"/>
  <c r="H21" i="11" s="1"/>
  <c r="AI38" i="10"/>
  <c r="AI37" i="10"/>
  <c r="G37" i="10"/>
  <c r="G38" i="10"/>
  <c r="AH25" i="12"/>
  <c r="AH47" i="12"/>
  <c r="AJ23" i="12"/>
  <c r="AJ24" i="12" s="1"/>
  <c r="AJ26" i="12" s="1"/>
  <c r="AO31" i="10"/>
  <c r="AO33" i="10"/>
  <c r="AO34" i="10" s="1"/>
  <c r="AI27" i="12"/>
  <c r="R3" i="12"/>
  <c r="D31" i="12"/>
  <c r="D28" i="12"/>
  <c r="D33" i="12"/>
  <c r="D48" i="12"/>
  <c r="D49" i="12" s="1"/>
  <c r="AI26" i="10"/>
  <c r="K31" i="12"/>
  <c r="K33" i="12" s="1"/>
  <c r="K28" i="12"/>
  <c r="Y31" i="12"/>
  <c r="Y33" i="12"/>
  <c r="AA37" i="12" s="1"/>
  <c r="Y48" i="12"/>
  <c r="Y49" i="12" s="1"/>
  <c r="Y28" i="12"/>
  <c r="AK13" i="3"/>
  <c r="K20" i="11"/>
  <c r="K54" i="11"/>
  <c r="AG30" i="12"/>
  <c r="AG55" i="12"/>
  <c r="AK32" i="10"/>
  <c r="R48" i="12"/>
  <c r="R49" i="12" s="1"/>
  <c r="R31" i="12"/>
  <c r="R28" i="12"/>
  <c r="AG39" i="10"/>
  <c r="AG40" i="10" s="1"/>
  <c r="AG44" i="10"/>
  <c r="AG45" i="10" s="1"/>
  <c r="U24" i="12"/>
  <c r="U26" i="12" s="1"/>
  <c r="W24" i="12"/>
  <c r="W26" i="12" s="1"/>
  <c r="T24" i="12"/>
  <c r="T26" i="12" s="1"/>
  <c r="V24" i="12"/>
  <c r="V26" i="12" s="1"/>
  <c r="AI16" i="3"/>
  <c r="AI17" i="3"/>
  <c r="E42" i="3"/>
  <c r="E43" i="3" s="1"/>
  <c r="E47" i="3"/>
  <c r="E48" i="3" s="1"/>
  <c r="AL43" i="12"/>
  <c r="AL44" i="12" s="1"/>
  <c r="L14" i="11"/>
  <c r="L15" i="11"/>
  <c r="AH27" i="12"/>
  <c r="H31" i="12"/>
  <c r="S3" i="12"/>
  <c r="H33" i="12"/>
  <c r="H48" i="12"/>
  <c r="H49" i="12" s="1"/>
  <c r="H28" i="12"/>
  <c r="AO35" i="3"/>
  <c r="AO34" i="3"/>
  <c r="AO36" i="3" s="1"/>
  <c r="AO12" i="3"/>
  <c r="AO11" i="3"/>
  <c r="AO13" i="3" s="1"/>
  <c r="AL16" i="3"/>
  <c r="AL17" i="3"/>
  <c r="AG47" i="12"/>
  <c r="AG25" i="12"/>
  <c r="AG23" i="12"/>
  <c r="AG24" i="12" s="1"/>
  <c r="AG26" i="12" s="1"/>
  <c r="AG27" i="12"/>
  <c r="AK38" i="10"/>
  <c r="AK51" i="10" s="1"/>
  <c r="AK52" i="10" s="1"/>
  <c r="AK37" i="10"/>
  <c r="S33" i="12"/>
  <c r="S31" i="12"/>
  <c r="S28" i="12"/>
  <c r="AN13" i="3"/>
  <c r="AP31" i="10"/>
  <c r="AP33" i="10"/>
  <c r="AJ43" i="10"/>
  <c r="AJ24" i="10"/>
  <c r="N10" i="11"/>
  <c r="M11" i="11"/>
  <c r="AE31" i="12"/>
  <c r="AE33" i="12" s="1"/>
  <c r="AE28" i="12"/>
  <c r="I31" i="12"/>
  <c r="I33" i="12"/>
  <c r="I28" i="12"/>
  <c r="I48" i="12"/>
  <c r="I49" i="12" s="1"/>
  <c r="AI23" i="12"/>
  <c r="AI24" i="12" s="1"/>
  <c r="AI26" i="12" s="1"/>
  <c r="P31" i="12"/>
  <c r="P33" i="12"/>
  <c r="P48" i="12"/>
  <c r="P49" i="12" s="1"/>
  <c r="P28" i="12"/>
  <c r="U3" i="12"/>
  <c r="AM50" i="10"/>
  <c r="AM30" i="10"/>
  <c r="AN34" i="3"/>
  <c r="AN36" i="3" s="1"/>
  <c r="AP16" i="12"/>
  <c r="AE44" i="10"/>
  <c r="AE45" i="10" s="1"/>
  <c r="AE39" i="10"/>
  <c r="AE40" i="10" s="1"/>
  <c r="N31" i="12"/>
  <c r="N33" i="12" s="1"/>
  <c r="N28" i="12"/>
  <c r="N48" i="12"/>
  <c r="N49" i="12" s="1"/>
  <c r="AN17" i="10"/>
  <c r="AN18" i="10"/>
  <c r="AH23" i="12"/>
  <c r="AH24" i="12" s="1"/>
  <c r="AH26" i="12" s="1"/>
  <c r="AJ27" i="12"/>
  <c r="AO24" i="10"/>
  <c r="AO28" i="10" s="1"/>
  <c r="AO43" i="10"/>
  <c r="AD49" i="12"/>
  <c r="J31" i="12"/>
  <c r="J33" i="12" s="1"/>
  <c r="J48" i="12"/>
  <c r="J49" i="12" s="1"/>
  <c r="J28" i="12"/>
  <c r="G30" i="11"/>
  <c r="G31" i="11" s="1"/>
  <c r="G28" i="11"/>
  <c r="G23" i="11"/>
  <c r="AA31" i="12"/>
  <c r="AA33" i="12" s="1"/>
  <c r="AA28" i="12"/>
  <c r="Q33" i="12"/>
  <c r="Q28" i="12"/>
  <c r="Q31" i="12"/>
  <c r="Q48" i="12"/>
  <c r="Q49" i="12" s="1"/>
  <c r="AD31" i="12"/>
  <c r="AD33" i="12" s="1"/>
  <c r="AD48" i="12"/>
  <c r="AD28" i="12"/>
  <c r="AP34" i="10"/>
  <c r="AP17" i="10"/>
  <c r="AP18" i="10"/>
  <c r="E40" i="10"/>
  <c r="AM43" i="10"/>
  <c r="AM24" i="10"/>
  <c r="F31" i="3"/>
  <c r="F37" i="3" s="1"/>
  <c r="X32" i="12"/>
  <c r="X56" i="12"/>
  <c r="X57" i="12" s="1"/>
  <c r="AL20" i="12"/>
  <c r="AL19" i="12"/>
  <c r="AM17" i="3"/>
  <c r="AM16" i="3"/>
  <c r="AC31" i="12"/>
  <c r="AC33" i="12" s="1"/>
  <c r="AC28" i="12"/>
  <c r="AC48" i="12"/>
  <c r="AC49" i="12" s="1"/>
  <c r="AQ35" i="3"/>
  <c r="AQ34" i="3"/>
  <c r="AQ36" i="3" s="1"/>
  <c r="AQ11" i="3"/>
  <c r="AQ12" i="3"/>
  <c r="H26" i="10"/>
  <c r="I21" i="10" s="1"/>
  <c r="AP42" i="12"/>
  <c r="C64" i="12" s="1"/>
  <c r="AP41" i="12"/>
  <c r="AP43" i="12" s="1"/>
  <c r="L31" i="12"/>
  <c r="T3" i="12"/>
  <c r="L48" i="12"/>
  <c r="L49" i="12" s="1"/>
  <c r="L28" i="12"/>
  <c r="AQ17" i="10"/>
  <c r="AQ18" i="10"/>
  <c r="AJ50" i="10"/>
  <c r="AJ52" i="10" s="1"/>
  <c r="AJ30" i="10"/>
  <c r="AH27" i="10"/>
  <c r="AH26" i="10"/>
  <c r="AH32" i="10"/>
  <c r="AJ17" i="3"/>
  <c r="AJ16" i="3"/>
  <c r="AC22" i="3"/>
  <c r="AC46" i="3"/>
  <c r="AL50" i="10"/>
  <c r="AL30" i="10"/>
  <c r="F29" i="3"/>
  <c r="F3" i="12"/>
  <c r="AO44" i="12"/>
  <c r="AO42" i="12"/>
  <c r="AO41" i="12"/>
  <c r="AO43" i="12" s="1"/>
  <c r="AO16" i="12"/>
  <c r="O31" i="12"/>
  <c r="O33" i="12" s="1"/>
  <c r="O28" i="12"/>
  <c r="G51" i="10"/>
  <c r="G52" i="10" s="1"/>
  <c r="G32" i="10"/>
  <c r="AR22" i="10"/>
  <c r="AR25" i="10" s="1"/>
  <c r="F31" i="12"/>
  <c r="F48" i="12"/>
  <c r="F49" i="12" s="1"/>
  <c r="F28" i="12"/>
  <c r="AK26" i="10"/>
  <c r="AK27" i="10"/>
  <c r="AO50" i="10"/>
  <c r="AO30" i="10"/>
  <c r="AP12" i="3"/>
  <c r="AL23" i="12"/>
  <c r="AL24" i="12" s="1"/>
  <c r="AL26" i="12" s="1"/>
  <c r="AG17" i="3"/>
  <c r="AG16" i="3"/>
  <c r="Z31" i="12"/>
  <c r="W6" i="12" s="1"/>
  <c r="Z33" i="12"/>
  <c r="Z28" i="12"/>
  <c r="Z48" i="12"/>
  <c r="Z49" i="12" s="1"/>
  <c r="AH38" i="10"/>
  <c r="AH51" i="10" s="1"/>
  <c r="AH52" i="10" s="1"/>
  <c r="AH37" i="10"/>
  <c r="AF27" i="10"/>
  <c r="AF28" i="10"/>
  <c r="AF26" i="10"/>
  <c r="AC53" i="3"/>
  <c r="AC27" i="3"/>
  <c r="AL43" i="10"/>
  <c r="AL24" i="10"/>
  <c r="G21" i="3"/>
  <c r="G23" i="3" s="1"/>
  <c r="AH22" i="3"/>
  <c r="AH46" i="3"/>
  <c r="AF39" i="10"/>
  <c r="AF40" i="10" s="1"/>
  <c r="AF44" i="10"/>
  <c r="AF45" i="10" s="1"/>
  <c r="AJ51" i="10"/>
  <c r="AJ32" i="10"/>
  <c r="AI28" i="10"/>
  <c r="M31" i="12"/>
  <c r="M33" i="12"/>
  <c r="M28" i="12"/>
  <c r="M48" i="12"/>
  <c r="M49" i="12" s="1"/>
  <c r="G31" i="12"/>
  <c r="G33" i="12"/>
  <c r="G28" i="12"/>
  <c r="AP13" i="3"/>
  <c r="AC39" i="10"/>
  <c r="AC40" i="10" s="1"/>
  <c r="AC44" i="10"/>
  <c r="AC45" i="10" s="1"/>
  <c r="AD39" i="10"/>
  <c r="AD40" i="10" s="1"/>
  <c r="AD44" i="10"/>
  <c r="AD45" i="10" s="1"/>
  <c r="AH53" i="3"/>
  <c r="AH27" i="3"/>
  <c r="AF52" i="10"/>
  <c r="AH30" i="12"/>
  <c r="AH55" i="12"/>
  <c r="AQ22" i="10"/>
  <c r="AQ25" i="10" s="1"/>
  <c r="AK19" i="12"/>
  <c r="AK20" i="12"/>
  <c r="AR14" i="10"/>
  <c r="E31" i="12"/>
  <c r="E33" i="12"/>
  <c r="E28" i="12"/>
  <c r="E48" i="12"/>
  <c r="E49" i="12" s="1"/>
  <c r="E54" i="3"/>
  <c r="E55" i="3" s="1"/>
  <c r="AL31" i="10"/>
  <c r="AL33" i="10"/>
  <c r="AL34" i="10" s="1"/>
  <c r="AL28" i="10"/>
  <c r="AP34" i="3"/>
  <c r="AP36" i="3" s="1"/>
  <c r="AF28" i="12"/>
  <c r="AF31" i="12"/>
  <c r="AF33" i="12" s="1"/>
  <c r="AF48" i="12"/>
  <c r="AF49" i="12" s="1"/>
  <c r="Y3" i="12"/>
  <c r="K63" i="11"/>
  <c r="K27" i="11"/>
  <c r="J48" i="11"/>
  <c r="AK28" i="10"/>
  <c r="AB31" i="12"/>
  <c r="AB33" i="12"/>
  <c r="AB48" i="12"/>
  <c r="AB49" i="12" s="1"/>
  <c r="AB28" i="12"/>
  <c r="X3" i="12"/>
  <c r="W3" i="12"/>
  <c r="AI51" i="10"/>
  <c r="AI52" i="10" s="1"/>
  <c r="AI32" i="10"/>
  <c r="G28" i="3" l="1"/>
  <c r="G30" i="3"/>
  <c r="G25" i="3"/>
  <c r="AR31" i="10"/>
  <c r="AR33" i="10"/>
  <c r="AR34" i="10" s="1"/>
  <c r="AQ33" i="10"/>
  <c r="AQ34" i="10" s="1"/>
  <c r="AQ31" i="10"/>
  <c r="AQ28" i="10"/>
  <c r="H28" i="11"/>
  <c r="H30" i="11"/>
  <c r="H31" i="11" s="1"/>
  <c r="H23" i="11"/>
  <c r="AM37" i="10"/>
  <c r="AM38" i="10"/>
  <c r="AE37" i="12"/>
  <c r="X6" i="12" s="1"/>
  <c r="AE36" i="12"/>
  <c r="E32" i="12"/>
  <c r="E56" i="12"/>
  <c r="E57" i="12" s="1"/>
  <c r="G24" i="3"/>
  <c r="H20" i="3" s="1"/>
  <c r="AH39" i="10"/>
  <c r="AH40" i="10" s="1"/>
  <c r="AH44" i="10"/>
  <c r="AH45" i="10" s="1"/>
  <c r="AG53" i="3"/>
  <c r="AG27" i="3"/>
  <c r="AQ43" i="10"/>
  <c r="AQ24" i="10"/>
  <c r="L56" i="12"/>
  <c r="L57" i="12" s="1"/>
  <c r="L32" i="12"/>
  <c r="AL30" i="12"/>
  <c r="AL55" i="12"/>
  <c r="F40" i="3"/>
  <c r="F41" i="3"/>
  <c r="AH48" i="12"/>
  <c r="AH31" i="12"/>
  <c r="AH28" i="12"/>
  <c r="I56" i="12"/>
  <c r="I57" i="12" s="1"/>
  <c r="I32" i="12"/>
  <c r="M15" i="11"/>
  <c r="M14" i="11"/>
  <c r="AP51" i="10"/>
  <c r="S32" i="12"/>
  <c r="AI22" i="3"/>
  <c r="AI46" i="3"/>
  <c r="AH49" i="12"/>
  <c r="H22" i="11"/>
  <c r="I18" i="11" s="1"/>
  <c r="AB56" i="12"/>
  <c r="AB57" i="12" s="1"/>
  <c r="AB32" i="12"/>
  <c r="AL38" i="10"/>
  <c r="AL37" i="10"/>
  <c r="AR18" i="10"/>
  <c r="AR17" i="10"/>
  <c r="G2" i="10"/>
  <c r="G1" i="10"/>
  <c r="AL27" i="10"/>
  <c r="AL26" i="10"/>
  <c r="F32" i="12"/>
  <c r="F56" i="12"/>
  <c r="F57" i="12" s="1"/>
  <c r="AQ50" i="10"/>
  <c r="AQ30" i="10"/>
  <c r="AM26" i="10"/>
  <c r="AM27" i="10"/>
  <c r="R56" i="12"/>
  <c r="R57" i="12" s="1"/>
  <c r="R32" i="12"/>
  <c r="AK17" i="3"/>
  <c r="AK16" i="3"/>
  <c r="K32" i="12"/>
  <c r="AN32" i="10"/>
  <c r="AG22" i="3"/>
  <c r="AG46" i="3"/>
  <c r="AL33" i="12"/>
  <c r="AL31" i="12"/>
  <c r="AL48" i="12"/>
  <c r="AL28" i="12"/>
  <c r="A43" i="12"/>
  <c r="AL47" i="12"/>
  <c r="AL25" i="12"/>
  <c r="AN23" i="12"/>
  <c r="AN24" i="12" s="1"/>
  <c r="AN26" i="12" s="1"/>
  <c r="AM23" i="12"/>
  <c r="AM24" i="12" s="1"/>
  <c r="AM26" i="12" s="1"/>
  <c r="AN27" i="12"/>
  <c r="AM27" i="12"/>
  <c r="AN43" i="10"/>
  <c r="AN24" i="10"/>
  <c r="S37" i="12"/>
  <c r="S56" i="12" s="1"/>
  <c r="S57" i="12" s="1"/>
  <c r="N11" i="11"/>
  <c r="O10" i="11"/>
  <c r="L27" i="11"/>
  <c r="L63" i="11"/>
  <c r="AL51" i="10"/>
  <c r="AL52" i="10" s="1"/>
  <c r="AL32" i="10"/>
  <c r="AK47" i="12"/>
  <c r="AK25" i="12"/>
  <c r="AK23" i="12"/>
  <c r="AK24" i="12" s="1"/>
  <c r="AK26" i="12" s="1"/>
  <c r="AK27" i="12"/>
  <c r="G32" i="12"/>
  <c r="F33" i="12"/>
  <c r="AP44" i="12"/>
  <c r="AN50" i="10"/>
  <c r="AN30" i="10"/>
  <c r="P32" i="12"/>
  <c r="P56" i="12"/>
  <c r="P57" i="12" s="1"/>
  <c r="U6" i="12"/>
  <c r="AN16" i="3"/>
  <c r="AN17" i="3"/>
  <c r="AK39" i="10"/>
  <c r="AK40" i="10" s="1"/>
  <c r="AK44" i="10"/>
  <c r="AK45" i="10" s="1"/>
  <c r="AL53" i="3"/>
  <c r="AL27" i="3"/>
  <c r="L20" i="11"/>
  <c r="L54" i="11"/>
  <c r="V31" i="12"/>
  <c r="V48" i="12"/>
  <c r="V49" i="12" s="1"/>
  <c r="V28" i="12"/>
  <c r="AN33" i="10"/>
  <c r="AN34" i="10" s="1"/>
  <c r="AF32" i="12"/>
  <c r="AF56" i="12"/>
  <c r="AF57" i="12" s="1"/>
  <c r="AK30" i="12"/>
  <c r="AK55" i="12"/>
  <c r="O32" i="12"/>
  <c r="AJ22" i="3"/>
  <c r="AJ46" i="3"/>
  <c r="AD32" i="12"/>
  <c r="AD56" i="12"/>
  <c r="AD57" i="12" s="1"/>
  <c r="AA32" i="12"/>
  <c r="AA56" i="12"/>
  <c r="AA57" i="12" s="1"/>
  <c r="J32" i="12"/>
  <c r="J56" i="12"/>
  <c r="J57" i="12" s="1"/>
  <c r="AI33" i="12"/>
  <c r="AI28" i="12"/>
  <c r="AI31" i="12"/>
  <c r="AJ27" i="10"/>
  <c r="AJ26" i="10"/>
  <c r="AJ28" i="10"/>
  <c r="AL22" i="3"/>
  <c r="AL46" i="3"/>
  <c r="T31" i="12"/>
  <c r="T33" i="12" s="1"/>
  <c r="T48" i="12"/>
  <c r="T49" i="12" s="1"/>
  <c r="T28" i="12"/>
  <c r="V3" i="12"/>
  <c r="R33" i="12"/>
  <c r="S36" i="12" s="1"/>
  <c r="G39" i="10"/>
  <c r="G44" i="10"/>
  <c r="G45" i="10" s="1"/>
  <c r="AO19" i="12"/>
  <c r="AO20" i="12"/>
  <c r="AJ53" i="3"/>
  <c r="AJ27" i="3"/>
  <c r="I25" i="10"/>
  <c r="I26" i="10" s="1"/>
  <c r="J21" i="10" s="1"/>
  <c r="I22" i="10"/>
  <c r="AC32" i="12"/>
  <c r="AC56" i="12"/>
  <c r="AC57" i="12" s="1"/>
  <c r="AL27" i="12"/>
  <c r="AE56" i="12"/>
  <c r="AE57" i="12" s="1"/>
  <c r="AE32" i="12"/>
  <c r="K36" i="12"/>
  <c r="W33" i="12"/>
  <c r="W31" i="12"/>
  <c r="W28" i="12"/>
  <c r="G37" i="12"/>
  <c r="R6" i="12" s="1"/>
  <c r="G36" i="12"/>
  <c r="AO38" i="10"/>
  <c r="AO37" i="10"/>
  <c r="AI39" i="10"/>
  <c r="AI40" i="10" s="1"/>
  <c r="AI44" i="10"/>
  <c r="AI45" i="10" s="1"/>
  <c r="H38" i="10"/>
  <c r="H51" i="10" s="1"/>
  <c r="H52" i="10" s="1"/>
  <c r="H37" i="10"/>
  <c r="AJ39" i="10"/>
  <c r="AJ40" i="10" s="1"/>
  <c r="AJ44" i="10"/>
  <c r="AJ45" i="10" s="1"/>
  <c r="Z56" i="12"/>
  <c r="Z57" i="12" s="1"/>
  <c r="Z32" i="12"/>
  <c r="AP43" i="10"/>
  <c r="AP24" i="10"/>
  <c r="Q56" i="12"/>
  <c r="Q57" i="12" s="1"/>
  <c r="Q32" i="12"/>
  <c r="G25" i="11"/>
  <c r="H25" i="11"/>
  <c r="AP19" i="12"/>
  <c r="AP20" i="12"/>
  <c r="AQ27" i="12" s="1"/>
  <c r="F2" i="12"/>
  <c r="F1" i="12"/>
  <c r="AO16" i="3"/>
  <c r="AO17" i="3"/>
  <c r="U33" i="12"/>
  <c r="U28" i="12"/>
  <c r="U48" i="12"/>
  <c r="U49" i="12" s="1"/>
  <c r="U31" i="12"/>
  <c r="Y56" i="12"/>
  <c r="Y57" i="12" s="1"/>
  <c r="Y32" i="12"/>
  <c r="H32" i="10"/>
  <c r="AM28" i="10"/>
  <c r="AP16" i="3"/>
  <c r="AP17" i="3"/>
  <c r="M32" i="12"/>
  <c r="M56" i="12"/>
  <c r="M57" i="12" s="1"/>
  <c r="L33" i="12"/>
  <c r="AQ13" i="3"/>
  <c r="AM22" i="3"/>
  <c r="AM46" i="3"/>
  <c r="AP30" i="10"/>
  <c r="AP32" i="10" s="1"/>
  <c r="AP50" i="10"/>
  <c r="G29" i="11"/>
  <c r="AO27" i="10"/>
  <c r="AO26" i="10"/>
  <c r="H32" i="12"/>
  <c r="H56" i="12"/>
  <c r="H57" i="12" s="1"/>
  <c r="AI53" i="3"/>
  <c r="AI27" i="3"/>
  <c r="D56" i="12"/>
  <c r="D57" i="12" s="1"/>
  <c r="D32" i="12"/>
  <c r="AO32" i="10"/>
  <c r="AO51" i="10"/>
  <c r="AO52" i="10" s="1"/>
  <c r="AM53" i="3"/>
  <c r="AM27" i="3"/>
  <c r="AP38" i="10"/>
  <c r="AP37" i="10"/>
  <c r="N56" i="12"/>
  <c r="N57" i="12" s="1"/>
  <c r="N32" i="12"/>
  <c r="AG31" i="12"/>
  <c r="AG28" i="12"/>
  <c r="AG48" i="12"/>
  <c r="AG49" i="12" s="1"/>
  <c r="K48" i="11"/>
  <c r="AJ31" i="12"/>
  <c r="AJ33" i="12"/>
  <c r="AJ48" i="12"/>
  <c r="AJ49" i="12" s="1"/>
  <c r="AJ28" i="12"/>
  <c r="AM51" i="10"/>
  <c r="AM52" i="10" s="1"/>
  <c r="AM32" i="10"/>
  <c r="J22" i="10" l="1"/>
  <c r="J25" i="10" s="1"/>
  <c r="W37" i="12"/>
  <c r="W56" i="12" s="1"/>
  <c r="W57" i="12" s="1"/>
  <c r="AR38" i="10"/>
  <c r="AR51" i="10" s="1"/>
  <c r="AR37" i="10"/>
  <c r="S38" i="12"/>
  <c r="S48" i="12"/>
  <c r="S49" i="12" s="1"/>
  <c r="U5" i="12"/>
  <c r="N15" i="11"/>
  <c r="N14" i="11"/>
  <c r="AG56" i="12"/>
  <c r="AG57" i="12" s="1"/>
  <c r="AG32" i="12"/>
  <c r="AP30" i="12"/>
  <c r="AP55" i="12"/>
  <c r="AJ56" i="12"/>
  <c r="AJ57" i="12" s="1"/>
  <c r="AJ32" i="12"/>
  <c r="AP52" i="10"/>
  <c r="AP27" i="10"/>
  <c r="AP26" i="10"/>
  <c r="AP28" i="10"/>
  <c r="H39" i="10"/>
  <c r="H40" i="10" s="1"/>
  <c r="H44" i="10"/>
  <c r="H45" i="10" s="1"/>
  <c r="L48" i="11"/>
  <c r="AN22" i="3"/>
  <c r="AN46" i="3"/>
  <c r="G56" i="12"/>
  <c r="G57" i="12" s="1"/>
  <c r="P10" i="11"/>
  <c r="O11" i="11"/>
  <c r="AL56" i="12"/>
  <c r="AL32" i="12"/>
  <c r="AH56" i="12"/>
  <c r="AH57" i="12" s="1"/>
  <c r="AH32" i="12"/>
  <c r="AP53" i="3"/>
  <c r="AP27" i="3"/>
  <c r="AO22" i="3"/>
  <c r="AO46" i="3"/>
  <c r="W32" i="12"/>
  <c r="AO30" i="12"/>
  <c r="AO55" i="12"/>
  <c r="AN31" i="12"/>
  <c r="AN33" i="12" s="1"/>
  <c r="AN28" i="12"/>
  <c r="AN48" i="12"/>
  <c r="AN49" i="12" s="1"/>
  <c r="AQ32" i="10"/>
  <c r="AO53" i="3"/>
  <c r="AO27" i="3"/>
  <c r="AO47" i="12"/>
  <c r="AO25" i="12"/>
  <c r="AO23" i="12"/>
  <c r="AO24" i="12" s="1"/>
  <c r="AO26" i="12" s="1"/>
  <c r="AO27" i="12"/>
  <c r="AN38" i="10"/>
  <c r="AN51" i="10" s="1"/>
  <c r="AN52" i="10" s="1"/>
  <c r="AN37" i="10"/>
  <c r="AK22" i="3"/>
  <c r="AK46" i="3"/>
  <c r="AR50" i="10"/>
  <c r="AR30" i="10"/>
  <c r="AR32" i="10" s="1"/>
  <c r="I19" i="11"/>
  <c r="I21" i="11" s="1"/>
  <c r="AH33" i="12"/>
  <c r="H21" i="3"/>
  <c r="H24" i="3"/>
  <c r="I20" i="3" s="1"/>
  <c r="H23" i="3"/>
  <c r="AM44" i="10"/>
  <c r="AM45" i="10" s="1"/>
  <c r="AM39" i="10"/>
  <c r="AM40" i="10" s="1"/>
  <c r="AQ38" i="10"/>
  <c r="AQ51" i="10" s="1"/>
  <c r="AQ52" i="10" s="1"/>
  <c r="AQ37" i="10"/>
  <c r="AK33" i="12"/>
  <c r="AK28" i="12"/>
  <c r="AK31" i="12"/>
  <c r="AK48" i="12"/>
  <c r="AP23" i="12"/>
  <c r="AP24" i="12" s="1"/>
  <c r="AP26" i="12" s="1"/>
  <c r="AA3" i="12" s="1"/>
  <c r="AL49" i="12"/>
  <c r="AK53" i="3"/>
  <c r="AK27" i="3"/>
  <c r="AR43" i="10"/>
  <c r="AR24" i="10"/>
  <c r="M54" i="11"/>
  <c r="M20" i="11"/>
  <c r="AM31" i="12"/>
  <c r="AM28" i="12"/>
  <c r="Z3" i="12"/>
  <c r="AP39" i="10"/>
  <c r="AP40" i="10" s="1"/>
  <c r="AP44" i="10"/>
  <c r="AP45" i="10" s="1"/>
  <c r="AQ17" i="3"/>
  <c r="AQ16" i="3"/>
  <c r="G1" i="3"/>
  <c r="G2" i="3"/>
  <c r="AP22" i="3"/>
  <c r="AP46" i="3"/>
  <c r="U56" i="12"/>
  <c r="U57" i="12" s="1"/>
  <c r="U32" i="12"/>
  <c r="AO39" i="10"/>
  <c r="AO40" i="10" s="1"/>
  <c r="AO44" i="10"/>
  <c r="AO45" i="10" s="1"/>
  <c r="AG33" i="12"/>
  <c r="O36" i="12"/>
  <c r="O37" i="12"/>
  <c r="AP25" i="12"/>
  <c r="AP47" i="12"/>
  <c r="AQ23" i="12"/>
  <c r="AQ24" i="12" s="1"/>
  <c r="AQ26" i="12" s="1"/>
  <c r="G40" i="10"/>
  <c r="AI32" i="12"/>
  <c r="AN27" i="10"/>
  <c r="AN26" i="10"/>
  <c r="AN28" i="10"/>
  <c r="M27" i="11"/>
  <c r="M63" i="11"/>
  <c r="F54" i="3"/>
  <c r="F55" i="3" s="1"/>
  <c r="AQ27" i="10"/>
  <c r="AQ26" i="10"/>
  <c r="K48" i="12"/>
  <c r="K49" i="12" s="1"/>
  <c r="S5" i="12"/>
  <c r="I31" i="10"/>
  <c r="I28" i="10"/>
  <c r="T56" i="12"/>
  <c r="T57" i="12" s="1"/>
  <c r="T32" i="12"/>
  <c r="V32" i="12"/>
  <c r="V56" i="12"/>
  <c r="V57" i="12" s="1"/>
  <c r="AN27" i="3"/>
  <c r="AN53" i="3"/>
  <c r="AK49" i="12"/>
  <c r="AL39" i="10"/>
  <c r="AL40" i="10" s="1"/>
  <c r="AL44" i="10"/>
  <c r="AL45" i="10" s="1"/>
  <c r="F42" i="3"/>
  <c r="F43" i="3" s="1"/>
  <c r="F47" i="3"/>
  <c r="F48" i="3" s="1"/>
  <c r="AE38" i="12"/>
  <c r="X5" i="12"/>
  <c r="AE48" i="12"/>
  <c r="AE49" i="12" s="1"/>
  <c r="AP27" i="12"/>
  <c r="G31" i="3"/>
  <c r="G37" i="3" s="1"/>
  <c r="G38" i="12"/>
  <c r="R5" i="12"/>
  <c r="G48" i="12"/>
  <c r="G49" i="12" s="1"/>
  <c r="V33" i="12"/>
  <c r="W36" i="12" s="1"/>
  <c r="I27" i="10"/>
  <c r="J23" i="10" s="1"/>
  <c r="AL57" i="12"/>
  <c r="H29" i="11"/>
  <c r="G29" i="3"/>
  <c r="I28" i="11" l="1"/>
  <c r="I30" i="11" s="1"/>
  <c r="I31" i="11" s="1"/>
  <c r="I23" i="11"/>
  <c r="W38" i="12"/>
  <c r="V5" i="12"/>
  <c r="W48" i="12"/>
  <c r="W49" i="12" s="1"/>
  <c r="J31" i="10"/>
  <c r="J33" i="10"/>
  <c r="J34" i="10" s="1"/>
  <c r="J28" i="10"/>
  <c r="AQ31" i="12"/>
  <c r="AQ28" i="12"/>
  <c r="AQ39" i="10"/>
  <c r="AQ40" i="10" s="1"/>
  <c r="AQ44" i="10"/>
  <c r="AQ45" i="10" s="1"/>
  <c r="G41" i="3"/>
  <c r="G40" i="3"/>
  <c r="I32" i="10"/>
  <c r="AI37" i="12"/>
  <c r="AI36" i="12"/>
  <c r="V6" i="12"/>
  <c r="AQ53" i="3"/>
  <c r="AQ27" i="3"/>
  <c r="Q10" i="11"/>
  <c r="P11" i="11"/>
  <c r="N54" i="11"/>
  <c r="N20" i="11"/>
  <c r="AR52" i="10"/>
  <c r="N63" i="11"/>
  <c r="N27" i="11"/>
  <c r="AM33" i="12"/>
  <c r="AP28" i="12"/>
  <c r="AP31" i="12"/>
  <c r="AP48" i="12"/>
  <c r="AP49" i="12" s="1"/>
  <c r="I22" i="11"/>
  <c r="J18" i="11" s="1"/>
  <c r="AN39" i="10"/>
  <c r="AN40" i="10" s="1"/>
  <c r="AN44" i="10"/>
  <c r="AN45" i="10" s="1"/>
  <c r="O56" i="12"/>
  <c r="O57" i="12" s="1"/>
  <c r="T6" i="12"/>
  <c r="M48" i="11"/>
  <c r="AK56" i="12"/>
  <c r="AK57" i="12" s="1"/>
  <c r="AK32" i="12"/>
  <c r="J27" i="10"/>
  <c r="K23" i="10" s="1"/>
  <c r="I33" i="10"/>
  <c r="I34" i="10" s="1"/>
  <c r="O38" i="12"/>
  <c r="T5" i="12"/>
  <c r="O48" i="12"/>
  <c r="O49" i="12" s="1"/>
  <c r="AR27" i="10"/>
  <c r="AR26" i="10"/>
  <c r="AR28" i="10"/>
  <c r="H28" i="3"/>
  <c r="H30" i="3" s="1"/>
  <c r="H25" i="3"/>
  <c r="AN56" i="12"/>
  <c r="AN57" i="12" s="1"/>
  <c r="AN32" i="12"/>
  <c r="I21" i="3"/>
  <c r="I23" i="3"/>
  <c r="I24" i="3"/>
  <c r="J20" i="3" s="1"/>
  <c r="J26" i="10"/>
  <c r="K21" i="10" s="1"/>
  <c r="AM32" i="12"/>
  <c r="AQ46" i="3"/>
  <c r="AQ22" i="3"/>
  <c r="AO33" i="12"/>
  <c r="AO31" i="12"/>
  <c r="AO28" i="12"/>
  <c r="AO48" i="12"/>
  <c r="AO49" i="12" s="1"/>
  <c r="O15" i="11"/>
  <c r="O14" i="11"/>
  <c r="AR39" i="10"/>
  <c r="AR40" i="10" s="1"/>
  <c r="AR44" i="10"/>
  <c r="AR45" i="10" s="1"/>
  <c r="H31" i="3" l="1"/>
  <c r="H37" i="3" s="1"/>
  <c r="O27" i="11"/>
  <c r="O63" i="11"/>
  <c r="G42" i="3"/>
  <c r="G43" i="3" s="1"/>
  <c r="G47" i="3"/>
  <c r="G48" i="3" s="1"/>
  <c r="AI38" i="12"/>
  <c r="Y5" i="12"/>
  <c r="AI48" i="12"/>
  <c r="AI49" i="12" s="1"/>
  <c r="G54" i="3"/>
  <c r="G55" i="3" s="1"/>
  <c r="AM37" i="12"/>
  <c r="AM36" i="12"/>
  <c r="J21" i="3"/>
  <c r="J24" i="3" s="1"/>
  <c r="K20" i="3" s="1"/>
  <c r="J23" i="3"/>
  <c r="Y6" i="12"/>
  <c r="AI56" i="12"/>
  <c r="AI57" i="12" s="1"/>
  <c r="J38" i="10"/>
  <c r="J37" i="10"/>
  <c r="AQ37" i="12"/>
  <c r="AA6" i="12" s="1"/>
  <c r="I28" i="3"/>
  <c r="I30" i="3"/>
  <c r="I31" i="3" s="1"/>
  <c r="I37" i="3" s="1"/>
  <c r="I25" i="3"/>
  <c r="J19" i="11"/>
  <c r="J22" i="11" s="1"/>
  <c r="K18" i="11" s="1"/>
  <c r="J21" i="11"/>
  <c r="AO56" i="12"/>
  <c r="AO57" i="12" s="1"/>
  <c r="AO32" i="12"/>
  <c r="P15" i="11"/>
  <c r="P14" i="11"/>
  <c r="J32" i="10"/>
  <c r="J51" i="10"/>
  <c r="J52" i="10" s="1"/>
  <c r="H29" i="3"/>
  <c r="AP32" i="12"/>
  <c r="AP56" i="12"/>
  <c r="AP57" i="12" s="1"/>
  <c r="R10" i="11"/>
  <c r="Q11" i="11"/>
  <c r="AP33" i="12"/>
  <c r="AQ36" i="12" s="1"/>
  <c r="I25" i="11"/>
  <c r="K22" i="10"/>
  <c r="K26" i="10" s="1"/>
  <c r="L21" i="10" s="1"/>
  <c r="K25" i="10"/>
  <c r="I38" i="10"/>
  <c r="I51" i="10" s="1"/>
  <c r="I52" i="10" s="1"/>
  <c r="I37" i="10"/>
  <c r="AQ32" i="12"/>
  <c r="O54" i="11"/>
  <c r="O20" i="11"/>
  <c r="N48" i="11"/>
  <c r="AQ33" i="12"/>
  <c r="I29" i="11"/>
  <c r="L22" i="10" l="1"/>
  <c r="L25" i="10" s="1"/>
  <c r="K19" i="11"/>
  <c r="K22" i="11" s="1"/>
  <c r="L18" i="11" s="1"/>
  <c r="K21" i="11"/>
  <c r="K21" i="3"/>
  <c r="K23" i="3" s="1"/>
  <c r="AQ38" i="12"/>
  <c r="AQ48" i="12"/>
  <c r="AQ49" i="12" s="1"/>
  <c r="AA5" i="12"/>
  <c r="AQ56" i="12"/>
  <c r="AQ57" i="12" s="1"/>
  <c r="I41" i="3"/>
  <c r="I54" i="3" s="1"/>
  <c r="I55" i="3" s="1"/>
  <c r="I40" i="3"/>
  <c r="I29" i="3"/>
  <c r="AM38" i="12"/>
  <c r="AM48" i="12"/>
  <c r="AM49" i="12" s="1"/>
  <c r="Z5" i="12"/>
  <c r="AA36" i="12"/>
  <c r="K37" i="12"/>
  <c r="I39" i="10"/>
  <c r="I44" i="10"/>
  <c r="I45" i="10" s="1"/>
  <c r="J28" i="11"/>
  <c r="J30" i="11"/>
  <c r="J31" i="11" s="1"/>
  <c r="J23" i="11"/>
  <c r="J39" i="10"/>
  <c r="J40" i="10" s="1"/>
  <c r="J44" i="10"/>
  <c r="J45" i="10" s="1"/>
  <c r="AM56" i="12"/>
  <c r="AM57" i="12" s="1"/>
  <c r="Z6" i="12"/>
  <c r="K33" i="10"/>
  <c r="K34" i="10" s="1"/>
  <c r="K31" i="10"/>
  <c r="K32" i="10" s="1"/>
  <c r="K28" i="10"/>
  <c r="Q14" i="11"/>
  <c r="Q15" i="11"/>
  <c r="K27" i="10"/>
  <c r="L23" i="10" s="1"/>
  <c r="R11" i="11"/>
  <c r="S10" i="11"/>
  <c r="O48" i="11"/>
  <c r="P20" i="11"/>
  <c r="P54" i="11"/>
  <c r="H41" i="3"/>
  <c r="H40" i="3"/>
  <c r="P63" i="11"/>
  <c r="P27" i="11"/>
  <c r="J28" i="3"/>
  <c r="J25" i="3"/>
  <c r="K28" i="3" l="1"/>
  <c r="K30" i="3"/>
  <c r="K31" i="3" s="1"/>
  <c r="K37" i="3" s="1"/>
  <c r="K25" i="3"/>
  <c r="K24" i="3"/>
  <c r="L20" i="3" s="1"/>
  <c r="L21" i="11"/>
  <c r="L22" i="11" s="1"/>
  <c r="M18" i="11" s="1"/>
  <c r="L19" i="11"/>
  <c r="L31" i="10"/>
  <c r="L32" i="10" s="1"/>
  <c r="L33" i="10"/>
  <c r="L34" i="10" s="1"/>
  <c r="L28" i="10"/>
  <c r="L26" i="10"/>
  <c r="M21" i="10" s="1"/>
  <c r="AA38" i="12"/>
  <c r="W5" i="12"/>
  <c r="C52" i="12" s="1"/>
  <c r="I3" i="12" s="1"/>
  <c r="AA48" i="12"/>
  <c r="AA49" i="12" s="1"/>
  <c r="C51" i="12" s="1"/>
  <c r="I2" i="12" s="1"/>
  <c r="I42" i="3"/>
  <c r="I43" i="3" s="1"/>
  <c r="I47" i="3"/>
  <c r="I48" i="3" s="1"/>
  <c r="R15" i="11"/>
  <c r="R14" i="11"/>
  <c r="J25" i="11"/>
  <c r="K28" i="11"/>
  <c r="K30" i="11" s="1"/>
  <c r="K31" i="11" s="1"/>
  <c r="K23" i="11"/>
  <c r="K25" i="11" s="1"/>
  <c r="L27" i="10"/>
  <c r="M23" i="10" s="1"/>
  <c r="H42" i="3"/>
  <c r="H43" i="3" s="1"/>
  <c r="H47" i="3"/>
  <c r="H48" i="3" s="1"/>
  <c r="K38" i="10"/>
  <c r="K51" i="10" s="1"/>
  <c r="K52" i="10" s="1"/>
  <c r="K37" i="10"/>
  <c r="C50" i="12"/>
  <c r="I1" i="12" s="1"/>
  <c r="S11" i="11"/>
  <c r="T10" i="11"/>
  <c r="J29" i="11"/>
  <c r="H54" i="3"/>
  <c r="H55" i="3" s="1"/>
  <c r="Q63" i="11"/>
  <c r="Q27" i="11"/>
  <c r="P48" i="11"/>
  <c r="Q54" i="11"/>
  <c r="Q20" i="11"/>
  <c r="I40" i="10"/>
  <c r="J29" i="3"/>
  <c r="J30" i="3"/>
  <c r="J31" i="3" s="1"/>
  <c r="J37" i="3" s="1"/>
  <c r="S6" i="12"/>
  <c r="C60" i="12" s="1"/>
  <c r="I7" i="12" s="1"/>
  <c r="K56" i="12"/>
  <c r="K57" i="12" s="1"/>
  <c r="K38" i="12"/>
  <c r="A38" i="12" s="1"/>
  <c r="C63" i="12"/>
  <c r="C65" i="12" s="1"/>
  <c r="I8" i="12" s="1"/>
  <c r="M21" i="11" l="1"/>
  <c r="M22" i="11" s="1"/>
  <c r="N18" i="11" s="1"/>
  <c r="M19" i="11"/>
  <c r="K29" i="11"/>
  <c r="Q48" i="11"/>
  <c r="J41" i="3"/>
  <c r="J54" i="3" s="1"/>
  <c r="J55" i="3" s="1"/>
  <c r="J40" i="3"/>
  <c r="U10" i="11"/>
  <c r="T11" i="11"/>
  <c r="L28" i="11"/>
  <c r="L30" i="11" s="1"/>
  <c r="L31" i="11" s="1"/>
  <c r="L23" i="11"/>
  <c r="L25" i="11" s="1"/>
  <c r="S14" i="11"/>
  <c r="S15" i="11"/>
  <c r="R54" i="11"/>
  <c r="R20" i="11"/>
  <c r="M22" i="10"/>
  <c r="M26" i="10" s="1"/>
  <c r="N21" i="10" s="1"/>
  <c r="M25" i="10"/>
  <c r="M27" i="10" s="1"/>
  <c r="N23" i="10" s="1"/>
  <c r="L21" i="3"/>
  <c r="L23" i="3"/>
  <c r="L24" i="3" s="1"/>
  <c r="M20" i="3" s="1"/>
  <c r="C59" i="12"/>
  <c r="I6" i="12" s="1"/>
  <c r="C58" i="12"/>
  <c r="I5" i="12" s="1"/>
  <c r="R27" i="11"/>
  <c r="R63" i="11"/>
  <c r="K39" i="10"/>
  <c r="K40" i="10" s="1"/>
  <c r="K44" i="10"/>
  <c r="K45" i="10" s="1"/>
  <c r="L38" i="10"/>
  <c r="L51" i="10" s="1"/>
  <c r="L52" i="10" s="1"/>
  <c r="L37" i="10"/>
  <c r="K41" i="3"/>
  <c r="K54" i="3" s="1"/>
  <c r="K55" i="3" s="1"/>
  <c r="K40" i="3"/>
  <c r="K29" i="3"/>
  <c r="N22" i="10" l="1"/>
  <c r="N25" i="10" s="1"/>
  <c r="M21" i="3"/>
  <c r="M23" i="3"/>
  <c r="M24" i="3" s="1"/>
  <c r="N20" i="3" s="1"/>
  <c r="N19" i="11"/>
  <c r="N21" i="11" s="1"/>
  <c r="R48" i="11"/>
  <c r="L28" i="3"/>
  <c r="L30" i="3" s="1"/>
  <c r="L31" i="3" s="1"/>
  <c r="L37" i="3" s="1"/>
  <c r="L25" i="3"/>
  <c r="S63" i="11"/>
  <c r="S27" i="11"/>
  <c r="J42" i="3"/>
  <c r="J43" i="3" s="1"/>
  <c r="J47" i="3"/>
  <c r="J48" i="3" s="1"/>
  <c r="S20" i="11"/>
  <c r="S54" i="11"/>
  <c r="M31" i="10"/>
  <c r="M28" i="10"/>
  <c r="T14" i="11"/>
  <c r="T15" i="11"/>
  <c r="K42" i="3"/>
  <c r="K43" i="3" s="1"/>
  <c r="K47" i="3"/>
  <c r="K48" i="3" s="1"/>
  <c r="V10" i="11"/>
  <c r="U11" i="11"/>
  <c r="L39" i="10"/>
  <c r="L40" i="10" s="1"/>
  <c r="L44" i="10"/>
  <c r="L45" i="10" s="1"/>
  <c r="L29" i="11"/>
  <c r="M23" i="11"/>
  <c r="M25" i="11" s="1"/>
  <c r="M28" i="11"/>
  <c r="N33" i="10" l="1"/>
  <c r="N34" i="10" s="1"/>
  <c r="N28" i="10"/>
  <c r="N31" i="10"/>
  <c r="N27" i="10"/>
  <c r="O23" i="10" s="1"/>
  <c r="N26" i="10"/>
  <c r="O21" i="10" s="1"/>
  <c r="L41" i="3"/>
  <c r="L40" i="3"/>
  <c r="N23" i="11"/>
  <c r="N28" i="11"/>
  <c r="N30" i="11"/>
  <c r="N31" i="11" s="1"/>
  <c r="N21" i="3"/>
  <c r="N23" i="3" s="1"/>
  <c r="M29" i="11"/>
  <c r="M32" i="10"/>
  <c r="M30" i="11"/>
  <c r="M31" i="11" s="1"/>
  <c r="T63" i="11"/>
  <c r="T27" i="11"/>
  <c r="T54" i="11"/>
  <c r="T20" i="11"/>
  <c r="S48" i="11"/>
  <c r="U15" i="11"/>
  <c r="U14" i="11"/>
  <c r="N22" i="11"/>
  <c r="O18" i="11" s="1"/>
  <c r="V11" i="11"/>
  <c r="W10" i="11"/>
  <c r="M33" i="10"/>
  <c r="M34" i="10" s="1"/>
  <c r="L54" i="3"/>
  <c r="L55" i="3" s="1"/>
  <c r="L29" i="3"/>
  <c r="M28" i="3"/>
  <c r="M30" i="3" s="1"/>
  <c r="M31" i="3" s="1"/>
  <c r="M37" i="3" s="1"/>
  <c r="M25" i="3"/>
  <c r="M40" i="3" l="1"/>
  <c r="M41" i="3"/>
  <c r="N28" i="3"/>
  <c r="N30" i="3" s="1"/>
  <c r="N31" i="3" s="1"/>
  <c r="N37" i="3" s="1"/>
  <c r="N25" i="3"/>
  <c r="N24" i="3"/>
  <c r="O20" i="3" s="1"/>
  <c r="U20" i="11"/>
  <c r="U54" i="11"/>
  <c r="U27" i="11"/>
  <c r="U63" i="11"/>
  <c r="L42" i="3"/>
  <c r="L43" i="3" s="1"/>
  <c r="L47" i="3"/>
  <c r="L48" i="3" s="1"/>
  <c r="N38" i="10"/>
  <c r="N37" i="10"/>
  <c r="O19" i="11"/>
  <c r="T48" i="11"/>
  <c r="M38" i="10"/>
  <c r="M51" i="10" s="1"/>
  <c r="M52" i="10" s="1"/>
  <c r="M37" i="10"/>
  <c r="N25" i="11"/>
  <c r="M54" i="3"/>
  <c r="M55" i="3" s="1"/>
  <c r="M29" i="3"/>
  <c r="X10" i="11"/>
  <c r="W11" i="11"/>
  <c r="O22" i="10"/>
  <c r="N29" i="11"/>
  <c r="N51" i="10"/>
  <c r="N52" i="10" s="1"/>
  <c r="N32" i="10"/>
  <c r="V15" i="11"/>
  <c r="V14" i="11"/>
  <c r="N40" i="3" l="1"/>
  <c r="N41" i="3"/>
  <c r="N54" i="3" s="1"/>
  <c r="N55" i="3" s="1"/>
  <c r="M39" i="10"/>
  <c r="M40" i="10" s="1"/>
  <c r="M44" i="10"/>
  <c r="M45" i="10" s="1"/>
  <c r="N39" i="10"/>
  <c r="N40" i="10" s="1"/>
  <c r="N44" i="10"/>
  <c r="N45" i="10" s="1"/>
  <c r="O24" i="3"/>
  <c r="P20" i="3" s="1"/>
  <c r="O21" i="3"/>
  <c r="O23" i="3"/>
  <c r="O25" i="10"/>
  <c r="O26" i="10" s="1"/>
  <c r="P21" i="10" s="1"/>
  <c r="W15" i="11"/>
  <c r="W14" i="11"/>
  <c r="M42" i="3"/>
  <c r="M43" i="3" s="1"/>
  <c r="M47" i="3"/>
  <c r="M48" i="3" s="1"/>
  <c r="Y10" i="11"/>
  <c r="X11" i="11"/>
  <c r="N29" i="3"/>
  <c r="V54" i="11"/>
  <c r="V20" i="11"/>
  <c r="O21" i="11"/>
  <c r="O22" i="11" s="1"/>
  <c r="P18" i="11" s="1"/>
  <c r="V63" i="11"/>
  <c r="V27" i="11"/>
  <c r="U48" i="11"/>
  <c r="P25" i="10" l="1"/>
  <c r="P22" i="10"/>
  <c r="P26" i="10" s="1"/>
  <c r="Q21" i="10" s="1"/>
  <c r="P19" i="11"/>
  <c r="P21" i="3"/>
  <c r="P24" i="3" s="1"/>
  <c r="Q20" i="3" s="1"/>
  <c r="P23" i="3"/>
  <c r="O31" i="10"/>
  <c r="O28" i="10"/>
  <c r="O27" i="10"/>
  <c r="P23" i="10" s="1"/>
  <c r="W54" i="11"/>
  <c r="W20" i="11"/>
  <c r="O23" i="11"/>
  <c r="O28" i="11"/>
  <c r="O30" i="11" s="1"/>
  <c r="O31" i="11" s="1"/>
  <c r="W27" i="11"/>
  <c r="W63" i="11"/>
  <c r="X14" i="11"/>
  <c r="X15" i="11"/>
  <c r="O28" i="3"/>
  <c r="O30" i="3"/>
  <c r="O31" i="3" s="1"/>
  <c r="O37" i="3" s="1"/>
  <c r="O25" i="3"/>
  <c r="V48" i="11"/>
  <c r="Z10" i="11"/>
  <c r="Y11" i="11"/>
  <c r="N42" i="3"/>
  <c r="N43" i="3" s="1"/>
  <c r="N47" i="3"/>
  <c r="N48" i="3" s="1"/>
  <c r="Q21" i="3" l="1"/>
  <c r="Q23" i="3" s="1"/>
  <c r="Q22" i="10"/>
  <c r="P31" i="10"/>
  <c r="P33" i="10"/>
  <c r="P34" i="10" s="1"/>
  <c r="P28" i="10"/>
  <c r="P28" i="3"/>
  <c r="P30" i="3"/>
  <c r="P31" i="3" s="1"/>
  <c r="P37" i="3" s="1"/>
  <c r="P25" i="3"/>
  <c r="W48" i="11"/>
  <c r="O41" i="3"/>
  <c r="O40" i="3"/>
  <c r="P27" i="10"/>
  <c r="Q23" i="10" s="1"/>
  <c r="P21" i="11"/>
  <c r="P22" i="11" s="1"/>
  <c r="Q18" i="11" s="1"/>
  <c r="Y15" i="11"/>
  <c r="Y14" i="11"/>
  <c r="O54" i="3"/>
  <c r="O55" i="3" s="1"/>
  <c r="O29" i="3"/>
  <c r="O29" i="11"/>
  <c r="Z11" i="11"/>
  <c r="AA10" i="11"/>
  <c r="X27" i="11"/>
  <c r="X63" i="11"/>
  <c r="O25" i="11"/>
  <c r="O32" i="10"/>
  <c r="X20" i="11"/>
  <c r="X54" i="11"/>
  <c r="O33" i="10"/>
  <c r="O34" i="10" s="1"/>
  <c r="Q28" i="3" l="1"/>
  <c r="Q25" i="3"/>
  <c r="Q19" i="11"/>
  <c r="Q21" i="11" s="1"/>
  <c r="P41" i="3"/>
  <c r="P54" i="3" s="1"/>
  <c r="P55" i="3" s="1"/>
  <c r="P40" i="3"/>
  <c r="Q25" i="10"/>
  <c r="Q26" i="10" s="1"/>
  <c r="R21" i="10" s="1"/>
  <c r="AA11" i="11"/>
  <c r="AB10" i="11"/>
  <c r="P29" i="3"/>
  <c r="O42" i="3"/>
  <c r="O43" i="3" s="1"/>
  <c r="O47" i="3"/>
  <c r="O48" i="3" s="1"/>
  <c r="Q24" i="3"/>
  <c r="R20" i="3" s="1"/>
  <c r="P38" i="10"/>
  <c r="P51" i="10" s="1"/>
  <c r="P52" i="10" s="1"/>
  <c r="P37" i="10"/>
  <c r="O37" i="10"/>
  <c r="O38" i="10"/>
  <c r="O51" i="10" s="1"/>
  <c r="O52" i="10" s="1"/>
  <c r="Y54" i="11"/>
  <c r="Y20" i="11"/>
  <c r="P32" i="10"/>
  <c r="X48" i="11"/>
  <c r="Y27" i="11"/>
  <c r="Y63" i="11"/>
  <c r="Z15" i="11"/>
  <c r="Z14" i="11"/>
  <c r="P28" i="11"/>
  <c r="P23" i="11"/>
  <c r="R22" i="10" l="1"/>
  <c r="Q23" i="11"/>
  <c r="Q25" i="11" s="1"/>
  <c r="Q28" i="11"/>
  <c r="Q22" i="11"/>
  <c r="R18" i="11" s="1"/>
  <c r="Q29" i="3"/>
  <c r="P25" i="11"/>
  <c r="AC10" i="11"/>
  <c r="AB11" i="11"/>
  <c r="P29" i="11"/>
  <c r="Y48" i="11"/>
  <c r="Q31" i="10"/>
  <c r="Q33" i="10"/>
  <c r="Q34" i="10" s="1"/>
  <c r="Q28" i="10"/>
  <c r="AA14" i="11"/>
  <c r="AA15" i="11"/>
  <c r="O39" i="10"/>
  <c r="O40" i="10" s="1"/>
  <c r="O44" i="10"/>
  <c r="O45" i="10" s="1"/>
  <c r="P42" i="3"/>
  <c r="P43" i="3" s="1"/>
  <c r="P47" i="3"/>
  <c r="P48" i="3" s="1"/>
  <c r="R21" i="3"/>
  <c r="R23" i="3" s="1"/>
  <c r="Z54" i="11"/>
  <c r="Z20" i="11"/>
  <c r="Z63" i="11"/>
  <c r="Z27" i="11"/>
  <c r="P30" i="11"/>
  <c r="P31" i="11" s="1"/>
  <c r="P39" i="10"/>
  <c r="P40" i="10" s="1"/>
  <c r="P44" i="10"/>
  <c r="P45" i="10" s="1"/>
  <c r="Q27" i="10"/>
  <c r="R23" i="10" s="1"/>
  <c r="R25" i="10" s="1"/>
  <c r="Q30" i="3"/>
  <c r="Q31" i="3" s="1"/>
  <c r="Q37" i="3" s="1"/>
  <c r="R28" i="3" l="1"/>
  <c r="R30" i="3"/>
  <c r="R31" i="3" s="1"/>
  <c r="R37" i="3" s="1"/>
  <c r="R25" i="3"/>
  <c r="R31" i="10"/>
  <c r="R28" i="10"/>
  <c r="R26" i="10"/>
  <c r="S21" i="10" s="1"/>
  <c r="R19" i="11"/>
  <c r="R22" i="11" s="1"/>
  <c r="S18" i="11" s="1"/>
  <c r="R21" i="11"/>
  <c r="R24" i="3"/>
  <c r="S20" i="3" s="1"/>
  <c r="Q29" i="11"/>
  <c r="AA20" i="11"/>
  <c r="AA54" i="11"/>
  <c r="Q38" i="10"/>
  <c r="Q51" i="10" s="1"/>
  <c r="Q52" i="10" s="1"/>
  <c r="Q37" i="10"/>
  <c r="Q30" i="11"/>
  <c r="Q31" i="11" s="1"/>
  <c r="Q32" i="10"/>
  <c r="AB14" i="11"/>
  <c r="AB15" i="11"/>
  <c r="Q40" i="3"/>
  <c r="Q41" i="3"/>
  <c r="Q54" i="3" s="1"/>
  <c r="Q55" i="3" s="1"/>
  <c r="AD10" i="11"/>
  <c r="AC11" i="11"/>
  <c r="R27" i="10"/>
  <c r="S23" i="10" s="1"/>
  <c r="Z48" i="11"/>
  <c r="AA27" i="11"/>
  <c r="AA63" i="11"/>
  <c r="S19" i="11" l="1"/>
  <c r="S22" i="11"/>
  <c r="T18" i="11" s="1"/>
  <c r="S21" i="11"/>
  <c r="S24" i="3"/>
  <c r="T20" i="3" s="1"/>
  <c r="S21" i="3"/>
  <c r="S23" i="3"/>
  <c r="Q42" i="3"/>
  <c r="Q43" i="3" s="1"/>
  <c r="Q47" i="3"/>
  <c r="Q48" i="3" s="1"/>
  <c r="Q39" i="10"/>
  <c r="Q40" i="10" s="1"/>
  <c r="Q44" i="10"/>
  <c r="Q45" i="10" s="1"/>
  <c r="R32" i="10"/>
  <c r="AB63" i="11"/>
  <c r="AB27" i="11"/>
  <c r="R33" i="10"/>
  <c r="R34" i="10" s="1"/>
  <c r="AB20" i="11"/>
  <c r="AB54" i="11"/>
  <c r="AA48" i="11"/>
  <c r="R28" i="11"/>
  <c r="R23" i="11"/>
  <c r="R30" i="11"/>
  <c r="R31" i="11" s="1"/>
  <c r="AC15" i="11"/>
  <c r="AC14" i="11"/>
  <c r="AD11" i="11"/>
  <c r="AE10" i="11"/>
  <c r="R40" i="3"/>
  <c r="R41" i="3"/>
  <c r="S22" i="10"/>
  <c r="S25" i="10" s="1"/>
  <c r="R54" i="3"/>
  <c r="R55" i="3" s="1"/>
  <c r="R29" i="3"/>
  <c r="S28" i="10" l="1"/>
  <c r="S31" i="10"/>
  <c r="S32" i="10" s="1"/>
  <c r="S26" i="10"/>
  <c r="T21" i="10" s="1"/>
  <c r="S27" i="10"/>
  <c r="T23" i="10" s="1"/>
  <c r="AD15" i="11"/>
  <c r="AD14" i="11"/>
  <c r="R29" i="11"/>
  <c r="S28" i="3"/>
  <c r="S30" i="3"/>
  <c r="S31" i="3" s="1"/>
  <c r="S37" i="3" s="1"/>
  <c r="S25" i="3"/>
  <c r="T21" i="3"/>
  <c r="T24" i="3"/>
  <c r="U20" i="3" s="1"/>
  <c r="T23" i="3"/>
  <c r="AC54" i="11"/>
  <c r="AC20" i="11"/>
  <c r="R42" i="3"/>
  <c r="R43" i="3" s="1"/>
  <c r="R47" i="3"/>
  <c r="R48" i="3" s="1"/>
  <c r="AC27" i="11"/>
  <c r="AC63" i="11"/>
  <c r="AB48" i="11"/>
  <c r="R38" i="10"/>
  <c r="R51" i="10" s="1"/>
  <c r="R52" i="10" s="1"/>
  <c r="R37" i="10"/>
  <c r="S23" i="11"/>
  <c r="S28" i="11"/>
  <c r="S30" i="11"/>
  <c r="S31" i="11" s="1"/>
  <c r="T21" i="11"/>
  <c r="T19" i="11"/>
  <c r="T22" i="11" s="1"/>
  <c r="U18" i="11" s="1"/>
  <c r="AF10" i="11"/>
  <c r="AE11" i="11"/>
  <c r="R25" i="11"/>
  <c r="U19" i="11" l="1"/>
  <c r="U21" i="11" s="1"/>
  <c r="AE15" i="11"/>
  <c r="AE14" i="11"/>
  <c r="S25" i="11"/>
  <c r="S41" i="3"/>
  <c r="S40" i="3"/>
  <c r="AD54" i="11"/>
  <c r="AD20" i="11"/>
  <c r="AG10" i="11"/>
  <c r="AF11" i="11"/>
  <c r="R39" i="10"/>
  <c r="R40" i="10" s="1"/>
  <c r="R44" i="10"/>
  <c r="R45" i="10" s="1"/>
  <c r="S54" i="3"/>
  <c r="S55" i="3" s="1"/>
  <c r="S29" i="3"/>
  <c r="AD63" i="11"/>
  <c r="AD27" i="11"/>
  <c r="AC48" i="11"/>
  <c r="T28" i="3"/>
  <c r="T30" i="3"/>
  <c r="T31" i="3" s="1"/>
  <c r="T37" i="3" s="1"/>
  <c r="T25" i="3"/>
  <c r="T22" i="10"/>
  <c r="U21" i="3"/>
  <c r="U23" i="3"/>
  <c r="U24" i="3"/>
  <c r="V20" i="3" s="1"/>
  <c r="T30" i="11"/>
  <c r="T31" i="11" s="1"/>
  <c r="T28" i="11"/>
  <c r="T23" i="11"/>
  <c r="S29" i="11"/>
  <c r="S33" i="10"/>
  <c r="S34" i="10" s="1"/>
  <c r="U23" i="11" l="1"/>
  <c r="U28" i="11"/>
  <c r="U30" i="11" s="1"/>
  <c r="U31" i="11" s="1"/>
  <c r="V21" i="3"/>
  <c r="V23" i="3" s="1"/>
  <c r="T29" i="3"/>
  <c r="AH10" i="11"/>
  <c r="AG11" i="11"/>
  <c r="AE54" i="11"/>
  <c r="AE20" i="11"/>
  <c r="T25" i="10"/>
  <c r="AD48" i="11"/>
  <c r="AE63" i="11"/>
  <c r="AE27" i="11"/>
  <c r="AF14" i="11"/>
  <c r="AF15" i="11"/>
  <c r="T25" i="11"/>
  <c r="U28" i="3"/>
  <c r="U30" i="3"/>
  <c r="U31" i="3" s="1"/>
  <c r="U37" i="3" s="1"/>
  <c r="U25" i="3"/>
  <c r="S38" i="10"/>
  <c r="S51" i="10" s="1"/>
  <c r="S52" i="10" s="1"/>
  <c r="S37" i="10"/>
  <c r="T29" i="11"/>
  <c r="S42" i="3"/>
  <c r="S43" i="3" s="1"/>
  <c r="S47" i="3"/>
  <c r="S48" i="3" s="1"/>
  <c r="U22" i="11"/>
  <c r="V18" i="11" s="1"/>
  <c r="T41" i="3"/>
  <c r="T54" i="3" s="1"/>
  <c r="T55" i="3" s="1"/>
  <c r="T40" i="3"/>
  <c r="V28" i="3" l="1"/>
  <c r="V30" i="3"/>
  <c r="V31" i="3" s="1"/>
  <c r="V37" i="3" s="1"/>
  <c r="V25" i="3"/>
  <c r="T42" i="3"/>
  <c r="T43" i="3" s="1"/>
  <c r="T47" i="3"/>
  <c r="T48" i="3" s="1"/>
  <c r="V24" i="3"/>
  <c r="W20" i="3" s="1"/>
  <c r="S39" i="10"/>
  <c r="S40" i="10" s="1"/>
  <c r="S44" i="10"/>
  <c r="S45" i="10" s="1"/>
  <c r="V19" i="11"/>
  <c r="V22" i="11"/>
  <c r="W18" i="11" s="1"/>
  <c r="V21" i="11"/>
  <c r="AG14" i="11"/>
  <c r="AG15" i="11"/>
  <c r="T31" i="10"/>
  <c r="T32" i="10" s="1"/>
  <c r="T28" i="10"/>
  <c r="T33" i="10"/>
  <c r="T34" i="10" s="1"/>
  <c r="T27" i="10"/>
  <c r="U23" i="10" s="1"/>
  <c r="AH11" i="11"/>
  <c r="AI10" i="11"/>
  <c r="U29" i="11"/>
  <c r="U41" i="3"/>
  <c r="U54" i="3" s="1"/>
  <c r="U55" i="3" s="1"/>
  <c r="U40" i="3"/>
  <c r="U29" i="3"/>
  <c r="U25" i="11"/>
  <c r="AF27" i="11"/>
  <c r="AF63" i="11"/>
  <c r="AE48" i="11"/>
  <c r="AF20" i="11"/>
  <c r="AF54" i="11"/>
  <c r="T26" i="10"/>
  <c r="U21" i="10" s="1"/>
  <c r="V23" i="11" l="1"/>
  <c r="V28" i="11"/>
  <c r="T38" i="10"/>
  <c r="T51" i="10" s="1"/>
  <c r="T52" i="10" s="1"/>
  <c r="T37" i="10"/>
  <c r="W21" i="3"/>
  <c r="W23" i="3" s="1"/>
  <c r="U22" i="10"/>
  <c r="U25" i="10" s="1"/>
  <c r="AI11" i="11"/>
  <c r="AJ10" i="11"/>
  <c r="AG27" i="11"/>
  <c r="AG63" i="11"/>
  <c r="V41" i="3"/>
  <c r="V40" i="3"/>
  <c r="W19" i="11"/>
  <c r="W21" i="11" s="1"/>
  <c r="AF48" i="11"/>
  <c r="U42" i="3"/>
  <c r="U43" i="3" s="1"/>
  <c r="U47" i="3"/>
  <c r="U48" i="3" s="1"/>
  <c r="AH15" i="11"/>
  <c r="AH14" i="11"/>
  <c r="AG20" i="11"/>
  <c r="AG54" i="11"/>
  <c r="V54" i="3"/>
  <c r="V55" i="3" s="1"/>
  <c r="V29" i="3"/>
  <c r="U28" i="10" l="1"/>
  <c r="U31" i="10"/>
  <c r="U33" i="10" s="1"/>
  <c r="U34" i="10" s="1"/>
  <c r="U27" i="10"/>
  <c r="V23" i="10" s="1"/>
  <c r="W28" i="11"/>
  <c r="W30" i="11" s="1"/>
  <c r="W31" i="11" s="1"/>
  <c r="W23" i="11"/>
  <c r="W28" i="3"/>
  <c r="W30" i="3" s="1"/>
  <c r="W25" i="3"/>
  <c r="AH54" i="11"/>
  <c r="AH20" i="11"/>
  <c r="AK10" i="11"/>
  <c r="AJ11" i="11"/>
  <c r="T39" i="10"/>
  <c r="T40" i="10" s="1"/>
  <c r="T44" i="10"/>
  <c r="T45" i="10" s="1"/>
  <c r="U26" i="10"/>
  <c r="V21" i="10" s="1"/>
  <c r="W22" i="11"/>
  <c r="X18" i="11" s="1"/>
  <c r="V29" i="11"/>
  <c r="AH63" i="11"/>
  <c r="AH27" i="11"/>
  <c r="V42" i="3"/>
  <c r="V43" i="3" s="1"/>
  <c r="V47" i="3"/>
  <c r="V48" i="3" s="1"/>
  <c r="V30" i="11"/>
  <c r="V31" i="11" s="1"/>
  <c r="AI14" i="11"/>
  <c r="AI15" i="11"/>
  <c r="AG48" i="11"/>
  <c r="W24" i="3"/>
  <c r="X20" i="3" s="1"/>
  <c r="V25" i="11"/>
  <c r="W31" i="3" l="1"/>
  <c r="W35" i="3"/>
  <c r="W34" i="3"/>
  <c r="U38" i="10"/>
  <c r="U37" i="10"/>
  <c r="X19" i="11"/>
  <c r="X22" i="11" s="1"/>
  <c r="Y18" i="11" s="1"/>
  <c r="X21" i="11"/>
  <c r="AL10" i="11"/>
  <c r="AK11" i="11"/>
  <c r="W25" i="11"/>
  <c r="V22" i="10"/>
  <c r="X21" i="3"/>
  <c r="X23" i="3" s="1"/>
  <c r="AH48" i="11"/>
  <c r="W29" i="11"/>
  <c r="AI63" i="11"/>
  <c r="AI27" i="11"/>
  <c r="W29" i="3"/>
  <c r="U32" i="10"/>
  <c r="U51" i="10"/>
  <c r="U52" i="10" s="1"/>
  <c r="AI54" i="11"/>
  <c r="AI20" i="11"/>
  <c r="AJ14" i="11"/>
  <c r="AJ15" i="11"/>
  <c r="X28" i="3" l="1"/>
  <c r="X30" i="3" s="1"/>
  <c r="X31" i="3" s="1"/>
  <c r="X37" i="3" s="1"/>
  <c r="X25" i="3"/>
  <c r="X24" i="3"/>
  <c r="Y20" i="3" s="1"/>
  <c r="Y21" i="11"/>
  <c r="Y19" i="11"/>
  <c r="Y22" i="11" s="1"/>
  <c r="Z18" i="11" s="1"/>
  <c r="AI48" i="11"/>
  <c r="V25" i="10"/>
  <c r="AK15" i="11"/>
  <c r="AK14" i="11"/>
  <c r="U39" i="10"/>
  <c r="U40" i="10" s="1"/>
  <c r="U44" i="10"/>
  <c r="U45" i="10" s="1"/>
  <c r="AL11" i="11"/>
  <c r="AM10" i="11"/>
  <c r="X23" i="11"/>
  <c r="X30" i="11"/>
  <c r="X31" i="11" s="1"/>
  <c r="X28" i="11"/>
  <c r="AJ54" i="11"/>
  <c r="AJ20" i="11"/>
  <c r="W36" i="3"/>
  <c r="C60" i="3" s="1"/>
  <c r="AJ27" i="11"/>
  <c r="AJ63" i="11"/>
  <c r="Z19" i="11" l="1"/>
  <c r="Z21" i="11" s="1"/>
  <c r="X40" i="3"/>
  <c r="X41" i="3"/>
  <c r="X54" i="3" s="1"/>
  <c r="X55" i="3" s="1"/>
  <c r="Y28" i="11"/>
  <c r="Y30" i="11" s="1"/>
  <c r="Y31" i="11" s="1"/>
  <c r="Y23" i="11"/>
  <c r="Y25" i="11" s="1"/>
  <c r="AK27" i="11"/>
  <c r="AK63" i="11"/>
  <c r="Y21" i="3"/>
  <c r="Y23" i="3" s="1"/>
  <c r="V33" i="10"/>
  <c r="V34" i="10" s="1"/>
  <c r="V28" i="10"/>
  <c r="V31" i="10"/>
  <c r="V27" i="10"/>
  <c r="W23" i="10" s="1"/>
  <c r="X25" i="11"/>
  <c r="AN10" i="11"/>
  <c r="AM11" i="11"/>
  <c r="W37" i="3"/>
  <c r="AJ48" i="11"/>
  <c r="AL15" i="11"/>
  <c r="AL14" i="11"/>
  <c r="AK20" i="11"/>
  <c r="AK54" i="11"/>
  <c r="X29" i="11"/>
  <c r="V26" i="10"/>
  <c r="W21" i="10" s="1"/>
  <c r="X29" i="3"/>
  <c r="Y28" i="3" l="1"/>
  <c r="Y25" i="3"/>
  <c r="Y24" i="3"/>
  <c r="Z20" i="3" s="1"/>
  <c r="Z23" i="11"/>
  <c r="Z28" i="11"/>
  <c r="Z22" i="11"/>
  <c r="AA18" i="11" s="1"/>
  <c r="X42" i="3"/>
  <c r="X43" i="3" s="1"/>
  <c r="X47" i="3"/>
  <c r="X48" i="3" s="1"/>
  <c r="AO10" i="11"/>
  <c r="AN11" i="11"/>
  <c r="AK48" i="11"/>
  <c r="AL63" i="11"/>
  <c r="AL27" i="11"/>
  <c r="V51" i="10"/>
  <c r="V52" i="10" s="1"/>
  <c r="V32" i="10"/>
  <c r="W41" i="3"/>
  <c r="W54" i="3" s="1"/>
  <c r="W55" i="3" s="1"/>
  <c r="W40" i="3"/>
  <c r="V37" i="10"/>
  <c r="V38" i="10"/>
  <c r="W22" i="10"/>
  <c r="W25" i="10"/>
  <c r="W27" i="10" s="1"/>
  <c r="X23" i="10" s="1"/>
  <c r="AL54" i="11"/>
  <c r="AL20" i="11"/>
  <c r="AM15" i="11"/>
  <c r="AM14" i="11"/>
  <c r="Y29" i="11"/>
  <c r="AM20" i="11" l="1"/>
  <c r="AM54" i="11"/>
  <c r="V44" i="10"/>
  <c r="V45" i="10" s="1"/>
  <c r="V39" i="10"/>
  <c r="V40" i="10" s="1"/>
  <c r="AL48" i="11"/>
  <c r="AA19" i="11"/>
  <c r="AA21" i="11" s="1"/>
  <c r="Z21" i="3"/>
  <c r="Z23" i="3" s="1"/>
  <c r="W31" i="10"/>
  <c r="W33" i="10"/>
  <c r="W34" i="10" s="1"/>
  <c r="W28" i="10"/>
  <c r="Z29" i="11"/>
  <c r="AM27" i="11"/>
  <c r="AM63" i="11"/>
  <c r="W26" i="10"/>
  <c r="X21" i="10" s="1"/>
  <c r="Z25" i="11"/>
  <c r="Y29" i="3"/>
  <c r="AP10" i="11"/>
  <c r="AO11" i="11"/>
  <c r="W42" i="3"/>
  <c r="W43" i="3" s="1"/>
  <c r="W47" i="3"/>
  <c r="W48" i="3" s="1"/>
  <c r="AN14" i="11"/>
  <c r="AN15" i="11"/>
  <c r="Z30" i="11"/>
  <c r="Z31" i="11" s="1"/>
  <c r="Y30" i="3"/>
  <c r="Y31" i="3" s="1"/>
  <c r="Y37" i="3" s="1"/>
  <c r="AA23" i="11" l="1"/>
  <c r="AA28" i="11"/>
  <c r="Z28" i="3"/>
  <c r="Z25" i="3"/>
  <c r="W38" i="10"/>
  <c r="W37" i="10"/>
  <c r="X22" i="10"/>
  <c r="X25" i="10" s="1"/>
  <c r="W51" i="10"/>
  <c r="W52" i="10" s="1"/>
  <c r="W32" i="10"/>
  <c r="Y40" i="3"/>
  <c r="Y41" i="3"/>
  <c r="Y54" i="3" s="1"/>
  <c r="Y55" i="3" s="1"/>
  <c r="AO14" i="11"/>
  <c r="AO15" i="11"/>
  <c r="Z24" i="3"/>
  <c r="AA20" i="3" s="1"/>
  <c r="AP11" i="11"/>
  <c r="AQ10" i="11"/>
  <c r="AM48" i="11"/>
  <c r="AN54" i="11"/>
  <c r="AN20" i="11"/>
  <c r="AA22" i="11"/>
  <c r="AB18" i="11" s="1"/>
  <c r="AN27" i="11"/>
  <c r="AN63" i="11"/>
  <c r="X31" i="10" l="1"/>
  <c r="X32" i="10" s="1"/>
  <c r="X28" i="10"/>
  <c r="X27" i="10"/>
  <c r="AO27" i="11"/>
  <c r="AO63" i="11"/>
  <c r="Z29" i="3"/>
  <c r="X26" i="10"/>
  <c r="Z30" i="3"/>
  <c r="Z31" i="3" s="1"/>
  <c r="Z37" i="3" s="1"/>
  <c r="AO20" i="11"/>
  <c r="AO54" i="11"/>
  <c r="AP15" i="11"/>
  <c r="AP14" i="11"/>
  <c r="AA29" i="11"/>
  <c r="AB19" i="11"/>
  <c r="AA21" i="3"/>
  <c r="W39" i="10"/>
  <c r="W40" i="10" s="1"/>
  <c r="W44" i="10"/>
  <c r="W45" i="10" s="1"/>
  <c r="AA30" i="11"/>
  <c r="AA31" i="11" s="1"/>
  <c r="AQ11" i="11"/>
  <c r="AN48" i="11"/>
  <c r="Y42" i="3"/>
  <c r="Y43" i="3" s="1"/>
  <c r="Y47" i="3"/>
  <c r="Y48" i="3" s="1"/>
  <c r="AA25" i="11"/>
  <c r="AP20" i="11" l="1"/>
  <c r="AP54" i="11"/>
  <c r="AA23" i="3"/>
  <c r="AP63" i="11"/>
  <c r="AP27" i="11"/>
  <c r="AQ14" i="11"/>
  <c r="AQ15" i="11"/>
  <c r="G2" i="11"/>
  <c r="G1" i="11"/>
  <c r="AB21" i="11"/>
  <c r="AO48" i="11"/>
  <c r="Z41" i="3"/>
  <c r="Z54" i="3" s="1"/>
  <c r="Z55" i="3" s="1"/>
  <c r="Z40" i="3"/>
  <c r="B28" i="10"/>
  <c r="A28" i="10"/>
  <c r="B32" i="10"/>
  <c r="A32" i="10"/>
  <c r="X33" i="10"/>
  <c r="X34" i="10" s="1"/>
  <c r="AB28" i="11" l="1"/>
  <c r="AB30" i="11" s="1"/>
  <c r="AB31" i="11" s="1"/>
  <c r="AB23" i="11"/>
  <c r="AA28" i="3"/>
  <c r="AA25" i="3"/>
  <c r="AP48" i="11"/>
  <c r="Z42" i="3"/>
  <c r="Z43" i="3" s="1"/>
  <c r="Z47" i="3"/>
  <c r="Z48" i="3" s="1"/>
  <c r="X38" i="10"/>
  <c r="X51" i="10" s="1"/>
  <c r="X52" i="10" s="1"/>
  <c r="X37" i="10"/>
  <c r="AQ63" i="11"/>
  <c r="AQ27" i="11"/>
  <c r="AA24" i="3"/>
  <c r="AB20" i="3" s="1"/>
  <c r="AQ54" i="11"/>
  <c r="AQ20" i="11"/>
  <c r="AB22" i="11"/>
  <c r="AC18" i="11" s="1"/>
  <c r="D54" i="10" l="1"/>
  <c r="J5" i="10" s="1"/>
  <c r="D53" i="10"/>
  <c r="J4" i="10" s="1"/>
  <c r="AC19" i="11"/>
  <c r="AA29" i="3"/>
  <c r="AQ48" i="11"/>
  <c r="X39" i="10"/>
  <c r="X44" i="10"/>
  <c r="X45" i="10" s="1"/>
  <c r="AA30" i="3"/>
  <c r="AA31" i="3" s="1"/>
  <c r="AA37" i="3" s="1"/>
  <c r="AB21" i="3"/>
  <c r="AB25" i="11"/>
  <c r="AB29" i="11"/>
  <c r="AC21" i="11" l="1"/>
  <c r="AA41" i="3"/>
  <c r="AA54" i="3" s="1"/>
  <c r="AA55" i="3" s="1"/>
  <c r="AA40" i="3"/>
  <c r="D46" i="10"/>
  <c r="J1" i="10" s="1"/>
  <c r="D47" i="10"/>
  <c r="J2" i="10" s="1"/>
  <c r="AB23" i="3"/>
  <c r="AB24" i="3" s="1"/>
  <c r="AC20" i="3" s="1"/>
  <c r="X40" i="10"/>
  <c r="D57" i="10"/>
  <c r="J6" i="10" s="1"/>
  <c r="AC21" i="3" l="1"/>
  <c r="AC23" i="3" s="1"/>
  <c r="AA42" i="3"/>
  <c r="AA43" i="3" s="1"/>
  <c r="AA47" i="3"/>
  <c r="AA48" i="3" s="1"/>
  <c r="AC23" i="11"/>
  <c r="AC28" i="11"/>
  <c r="AB28" i="3"/>
  <c r="AB30" i="3" s="1"/>
  <c r="AB31" i="3" s="1"/>
  <c r="AB37" i="3" s="1"/>
  <c r="AB25" i="3"/>
  <c r="AC22" i="11"/>
  <c r="AD18" i="11" s="1"/>
  <c r="AB41" i="3" l="1"/>
  <c r="AB40" i="3"/>
  <c r="AC28" i="3"/>
  <c r="AC30" i="3" s="1"/>
  <c r="AC31" i="3" s="1"/>
  <c r="AC37" i="3" s="1"/>
  <c r="AC25" i="3"/>
  <c r="AD19" i="11"/>
  <c r="AD21" i="11" s="1"/>
  <c r="AC29" i="11"/>
  <c r="AC24" i="3"/>
  <c r="AD20" i="3" s="1"/>
  <c r="AC25" i="11"/>
  <c r="AC30" i="11"/>
  <c r="AC31" i="11" s="1"/>
  <c r="AB54" i="3"/>
  <c r="AB55" i="3" s="1"/>
  <c r="AB29" i="3"/>
  <c r="AD28" i="11" l="1"/>
  <c r="AD30" i="11"/>
  <c r="AD31" i="11" s="1"/>
  <c r="AD23" i="11"/>
  <c r="AD22" i="11"/>
  <c r="AE18" i="11" s="1"/>
  <c r="AC40" i="3"/>
  <c r="AC41" i="3"/>
  <c r="AD21" i="3"/>
  <c r="AD23" i="3"/>
  <c r="AC54" i="3"/>
  <c r="AC55" i="3" s="1"/>
  <c r="AC29" i="3"/>
  <c r="AB42" i="3"/>
  <c r="AB43" i="3" s="1"/>
  <c r="AB47" i="3"/>
  <c r="AB48" i="3" s="1"/>
  <c r="AE19" i="11" l="1"/>
  <c r="AD28" i="3"/>
  <c r="AD30" i="3" s="1"/>
  <c r="AD31" i="3" s="1"/>
  <c r="AD37" i="3" s="1"/>
  <c r="AD25" i="3"/>
  <c r="AD25" i="11"/>
  <c r="AC42" i="3"/>
  <c r="AC43" i="3" s="1"/>
  <c r="AC47" i="3"/>
  <c r="AC48" i="3" s="1"/>
  <c r="AD24" i="3"/>
  <c r="AE20" i="3" s="1"/>
  <c r="AD29" i="11"/>
  <c r="AD40" i="3" l="1"/>
  <c r="AD41" i="3"/>
  <c r="AE22" i="11"/>
  <c r="AF18" i="11" s="1"/>
  <c r="AE21" i="3"/>
  <c r="AE23" i="3" s="1"/>
  <c r="AD54" i="3"/>
  <c r="AD55" i="3" s="1"/>
  <c r="AD29" i="3"/>
  <c r="AE21" i="11"/>
  <c r="AE28" i="3" l="1"/>
  <c r="AE25" i="3"/>
  <c r="AF19" i="11"/>
  <c r="AF22" i="11" s="1"/>
  <c r="AG18" i="11" s="1"/>
  <c r="AF21" i="11"/>
  <c r="AE24" i="3"/>
  <c r="AF20" i="3" s="1"/>
  <c r="AE28" i="11"/>
  <c r="AE30" i="11" s="1"/>
  <c r="AE31" i="11" s="1"/>
  <c r="AE23" i="11"/>
  <c r="AD42" i="3"/>
  <c r="AD43" i="3" s="1"/>
  <c r="AD47" i="3"/>
  <c r="AD48" i="3" s="1"/>
  <c r="AG19" i="11" l="1"/>
  <c r="AG22" i="11" s="1"/>
  <c r="AH18" i="11" s="1"/>
  <c r="AG21" i="11"/>
  <c r="AF28" i="11"/>
  <c r="AF23" i="11"/>
  <c r="AF25" i="11" s="1"/>
  <c r="AE25" i="11"/>
  <c r="AE29" i="3"/>
  <c r="AF21" i="3"/>
  <c r="AF23" i="3" s="1"/>
  <c r="AE29" i="11"/>
  <c r="AE30" i="3"/>
  <c r="AE31" i="3" s="1"/>
  <c r="AE37" i="3" s="1"/>
  <c r="AF28" i="3" l="1"/>
  <c r="AF30" i="3"/>
  <c r="AF31" i="3" s="1"/>
  <c r="AF37" i="3" s="1"/>
  <c r="AF25" i="3"/>
  <c r="AF24" i="3"/>
  <c r="AG20" i="3" s="1"/>
  <c r="AH19" i="11"/>
  <c r="AF29" i="11"/>
  <c r="AG28" i="11"/>
  <c r="AG23" i="11"/>
  <c r="AG25" i="11" s="1"/>
  <c r="AE41" i="3"/>
  <c r="AE54" i="3" s="1"/>
  <c r="AE55" i="3" s="1"/>
  <c r="AE40" i="3"/>
  <c r="AF30" i="11"/>
  <c r="AF31" i="11" s="1"/>
  <c r="AE42" i="3" l="1"/>
  <c r="AE43" i="3" s="1"/>
  <c r="AE47" i="3"/>
  <c r="AE48" i="3" s="1"/>
  <c r="AH21" i="11"/>
  <c r="AG29" i="11"/>
  <c r="AG30" i="11"/>
  <c r="AG31" i="11" s="1"/>
  <c r="AG21" i="3"/>
  <c r="AG23" i="3" s="1"/>
  <c r="AF41" i="3"/>
  <c r="AF54" i="3" s="1"/>
  <c r="AF55" i="3" s="1"/>
  <c r="AF40" i="3"/>
  <c r="AF29" i="3"/>
  <c r="AG28" i="3" l="1"/>
  <c r="AG25" i="3"/>
  <c r="AH28" i="11"/>
  <c r="AH23" i="11"/>
  <c r="AH25" i="11" s="1"/>
  <c r="AF42" i="3"/>
  <c r="AF43" i="3" s="1"/>
  <c r="AF47" i="3"/>
  <c r="AF48" i="3" s="1"/>
  <c r="AG24" i="3"/>
  <c r="AH20" i="3" s="1"/>
  <c r="AH22" i="11"/>
  <c r="AI18" i="11" s="1"/>
  <c r="AH29" i="11" l="1"/>
  <c r="AI19" i="11"/>
  <c r="AI21" i="11" s="1"/>
  <c r="AH21" i="3"/>
  <c r="AH23" i="3" s="1"/>
  <c r="AG29" i="3"/>
  <c r="AH30" i="11"/>
  <c r="AH31" i="11" s="1"/>
  <c r="AG30" i="3"/>
  <c r="AG31" i="3" s="1"/>
  <c r="AG37" i="3" s="1"/>
  <c r="AH28" i="3" l="1"/>
  <c r="AH25" i="3"/>
  <c r="AI28" i="11"/>
  <c r="AI23" i="11"/>
  <c r="AI25" i="11" s="1"/>
  <c r="AI30" i="11"/>
  <c r="AI31" i="11" s="1"/>
  <c r="AG41" i="3"/>
  <c r="AG54" i="3" s="1"/>
  <c r="AG55" i="3" s="1"/>
  <c r="AG40" i="3"/>
  <c r="AI22" i="11"/>
  <c r="AJ18" i="11" s="1"/>
  <c r="AH24" i="3"/>
  <c r="AI20" i="3" s="1"/>
  <c r="AI29" i="11" l="1"/>
  <c r="AJ19" i="11"/>
  <c r="AJ21" i="11" s="1"/>
  <c r="AI21" i="3"/>
  <c r="AI23" i="3" s="1"/>
  <c r="AH29" i="3"/>
  <c r="AG42" i="3"/>
  <c r="AG43" i="3" s="1"/>
  <c r="AG47" i="3"/>
  <c r="AG48" i="3" s="1"/>
  <c r="AH30" i="3"/>
  <c r="AH31" i="3" s="1"/>
  <c r="AH37" i="3" s="1"/>
  <c r="AI28" i="3" l="1"/>
  <c r="AI30" i="3" s="1"/>
  <c r="AI31" i="3" s="1"/>
  <c r="AI37" i="3" s="1"/>
  <c r="AI25" i="3"/>
  <c r="AJ28" i="11"/>
  <c r="AJ30" i="11"/>
  <c r="AJ31" i="11" s="1"/>
  <c r="AJ23" i="11"/>
  <c r="AJ25" i="11" s="1"/>
  <c r="AJ22" i="11"/>
  <c r="AK18" i="11" s="1"/>
  <c r="AH41" i="3"/>
  <c r="AH54" i="3" s="1"/>
  <c r="AH55" i="3" s="1"/>
  <c r="AH40" i="3"/>
  <c r="AI24" i="3"/>
  <c r="AJ20" i="3" s="1"/>
  <c r="AI41" i="3" l="1"/>
  <c r="AI40" i="3"/>
  <c r="AJ29" i="11"/>
  <c r="AJ21" i="3"/>
  <c r="AJ23" i="3" s="1"/>
  <c r="AH42" i="3"/>
  <c r="AH43" i="3" s="1"/>
  <c r="AH47" i="3"/>
  <c r="AH48" i="3" s="1"/>
  <c r="AK19" i="11"/>
  <c r="AK21" i="11" s="1"/>
  <c r="AI54" i="3"/>
  <c r="AI55" i="3" s="1"/>
  <c r="AI29" i="3"/>
  <c r="AK28" i="11" l="1"/>
  <c r="AK30" i="11" s="1"/>
  <c r="AK31" i="11" s="1"/>
  <c r="AK23" i="11"/>
  <c r="AK25" i="11" s="1"/>
  <c r="AJ28" i="3"/>
  <c r="AJ30" i="3" s="1"/>
  <c r="AJ31" i="3" s="1"/>
  <c r="AJ37" i="3" s="1"/>
  <c r="AJ25" i="3"/>
  <c r="AJ24" i="3"/>
  <c r="AK20" i="3" s="1"/>
  <c r="AK22" i="11"/>
  <c r="AL18" i="11" s="1"/>
  <c r="AI42" i="3"/>
  <c r="AI43" i="3" s="1"/>
  <c r="AI47" i="3"/>
  <c r="AI48" i="3" s="1"/>
  <c r="AJ41" i="3" l="1"/>
  <c r="AJ40" i="3"/>
  <c r="AL19" i="11"/>
  <c r="AJ54" i="3"/>
  <c r="AJ55" i="3" s="1"/>
  <c r="AJ29" i="3"/>
  <c r="AK21" i="3"/>
  <c r="AK23" i="3" s="1"/>
  <c r="AK29" i="11"/>
  <c r="AK28" i="3" l="1"/>
  <c r="AK30" i="3"/>
  <c r="AK31" i="3" s="1"/>
  <c r="AK37" i="3" s="1"/>
  <c r="AK25" i="3"/>
  <c r="AL21" i="11"/>
  <c r="AL22" i="11" s="1"/>
  <c r="AM18" i="11" s="1"/>
  <c r="AJ42" i="3"/>
  <c r="AJ43" i="3" s="1"/>
  <c r="AJ47" i="3"/>
  <c r="AJ48" i="3" s="1"/>
  <c r="AK24" i="3"/>
  <c r="AL20" i="3" s="1"/>
  <c r="AM19" i="11" l="1"/>
  <c r="AM21" i="11" s="1"/>
  <c r="AK41" i="3"/>
  <c r="AK40" i="3"/>
  <c r="AL23" i="11"/>
  <c r="AL25" i="11" s="1"/>
  <c r="AL30" i="11"/>
  <c r="AL31" i="11" s="1"/>
  <c r="AL28" i="11"/>
  <c r="AL21" i="3"/>
  <c r="AK54" i="3"/>
  <c r="AK55" i="3" s="1"/>
  <c r="AK29" i="3"/>
  <c r="AM28" i="11" l="1"/>
  <c r="AM30" i="11" s="1"/>
  <c r="AM31" i="11" s="1"/>
  <c r="AM23" i="11"/>
  <c r="AM25" i="11" s="1"/>
  <c r="AK42" i="3"/>
  <c r="AK43" i="3" s="1"/>
  <c r="AK47" i="3"/>
  <c r="AK48" i="3" s="1"/>
  <c r="AL23" i="3"/>
  <c r="AM22" i="11"/>
  <c r="AN18" i="11" s="1"/>
  <c r="AL29" i="11"/>
  <c r="AL28" i="3" l="1"/>
  <c r="AL25" i="3"/>
  <c r="AM29" i="11"/>
  <c r="AN19" i="11"/>
  <c r="AN22" i="11" s="1"/>
  <c r="AO18" i="11" s="1"/>
  <c r="AN21" i="11"/>
  <c r="AL24" i="3"/>
  <c r="AM20" i="3" s="1"/>
  <c r="AO19" i="11" l="1"/>
  <c r="AO21" i="11" s="1"/>
  <c r="AL29" i="3"/>
  <c r="AM21" i="3"/>
  <c r="AM23" i="3" s="1"/>
  <c r="AL30" i="3"/>
  <c r="AL31" i="3" s="1"/>
  <c r="AL37" i="3" s="1"/>
  <c r="AN23" i="11"/>
  <c r="AN25" i="11" s="1"/>
  <c r="AN28" i="11"/>
  <c r="AM28" i="3" l="1"/>
  <c r="AM30" i="3" s="1"/>
  <c r="AM31" i="3" s="1"/>
  <c r="AM37" i="3" s="1"/>
  <c r="AM25" i="3"/>
  <c r="AM24" i="3"/>
  <c r="AN20" i="3" s="1"/>
  <c r="AO23" i="11"/>
  <c r="AO25" i="11" s="1"/>
  <c r="AO28" i="11"/>
  <c r="AO22" i="11"/>
  <c r="AP18" i="11" s="1"/>
  <c r="AN29" i="11"/>
  <c r="AN30" i="11"/>
  <c r="AN31" i="11" s="1"/>
  <c r="AL41" i="3"/>
  <c r="AL54" i="3" s="1"/>
  <c r="AL55" i="3" s="1"/>
  <c r="AL40" i="3"/>
  <c r="AM40" i="3" l="1"/>
  <c r="AM41" i="3"/>
  <c r="AM54" i="3" s="1"/>
  <c r="AM55" i="3" s="1"/>
  <c r="AL42" i="3"/>
  <c r="AL43" i="3" s="1"/>
  <c r="AL47" i="3"/>
  <c r="AL48" i="3" s="1"/>
  <c r="AO29" i="11"/>
  <c r="AO30" i="11"/>
  <c r="AO31" i="11" s="1"/>
  <c r="AP19" i="11"/>
  <c r="AN21" i="3"/>
  <c r="AM29" i="3"/>
  <c r="AN23" i="3" l="1"/>
  <c r="AP21" i="11"/>
  <c r="AM42" i="3"/>
  <c r="AM43" i="3" s="1"/>
  <c r="AM47" i="3"/>
  <c r="AM48" i="3" s="1"/>
  <c r="AP23" i="11" l="1"/>
  <c r="AP25" i="11" s="1"/>
  <c r="AP28" i="11"/>
  <c r="AN28" i="3"/>
  <c r="AN30" i="3"/>
  <c r="AN31" i="3" s="1"/>
  <c r="AN37" i="3" s="1"/>
  <c r="AN25" i="3"/>
  <c r="AN24" i="3"/>
  <c r="AO20" i="3" s="1"/>
  <c r="AP22" i="11"/>
  <c r="AQ18" i="11" s="1"/>
  <c r="AN54" i="3" l="1"/>
  <c r="AN55" i="3" s="1"/>
  <c r="AN29" i="3"/>
  <c r="AO21" i="3"/>
  <c r="AO23" i="3" s="1"/>
  <c r="AP29" i="11"/>
  <c r="AN41" i="3"/>
  <c r="AN40" i="3"/>
  <c r="AQ19" i="11"/>
  <c r="AQ21" i="11" s="1"/>
  <c r="AP30" i="11"/>
  <c r="AP31" i="11" s="1"/>
  <c r="AQ23" i="11" l="1"/>
  <c r="AQ28" i="11"/>
  <c r="AO28" i="3"/>
  <c r="AO30" i="3" s="1"/>
  <c r="AO31" i="3" s="1"/>
  <c r="AO37" i="3" s="1"/>
  <c r="AO25" i="3"/>
  <c r="AQ22" i="11"/>
  <c r="AO24" i="3"/>
  <c r="AP20" i="3" s="1"/>
  <c r="AN42" i="3"/>
  <c r="AN43" i="3" s="1"/>
  <c r="AN47" i="3"/>
  <c r="AN48" i="3" s="1"/>
  <c r="AO40" i="3" l="1"/>
  <c r="AO41" i="3"/>
  <c r="AQ29" i="11"/>
  <c r="A29" i="11" s="1"/>
  <c r="AO54" i="3"/>
  <c r="AO55" i="3" s="1"/>
  <c r="AO29" i="3"/>
  <c r="AP24" i="3"/>
  <c r="AQ20" i="3" s="1"/>
  <c r="AP21" i="3"/>
  <c r="AP23" i="3"/>
  <c r="AQ30" i="11"/>
  <c r="AQ31" i="11" s="1"/>
  <c r="A23" i="11"/>
  <c r="AQ25" i="11"/>
  <c r="AQ21" i="3" l="1"/>
  <c r="AQ23" i="3" s="1"/>
  <c r="AP28" i="3"/>
  <c r="AP30" i="3" s="1"/>
  <c r="AP31" i="3" s="1"/>
  <c r="AP37" i="3" s="1"/>
  <c r="AP25" i="3"/>
  <c r="AO42" i="3"/>
  <c r="AO43" i="3" s="1"/>
  <c r="AO47" i="3"/>
  <c r="AO48" i="3" s="1"/>
  <c r="AP40" i="3" l="1"/>
  <c r="AP41" i="3"/>
  <c r="AQ28" i="3"/>
  <c r="AQ25" i="3"/>
  <c r="A25" i="3" s="1"/>
  <c r="AP54" i="3"/>
  <c r="AP55" i="3" s="1"/>
  <c r="AP29" i="3"/>
  <c r="AQ24" i="3"/>
  <c r="AQ29" i="3" l="1"/>
  <c r="A29" i="3" s="1"/>
  <c r="A35" i="3"/>
  <c r="AQ30" i="3"/>
  <c r="AP42" i="3"/>
  <c r="AP43" i="3" s="1"/>
  <c r="AP47" i="3"/>
  <c r="AP48" i="3" s="1"/>
  <c r="AQ31" i="3" l="1"/>
  <c r="AQ37" i="3" s="1"/>
  <c r="A34" i="3"/>
  <c r="AQ41" i="3" l="1"/>
  <c r="AQ40" i="3"/>
  <c r="AQ54" i="3" l="1"/>
  <c r="AQ55" i="3" s="1"/>
  <c r="AQ42" i="3"/>
  <c r="AQ43" i="3" s="1"/>
  <c r="AQ47" i="3"/>
  <c r="AQ48" i="3" s="1"/>
  <c r="A55" i="3" l="1"/>
  <c r="C57" i="3"/>
  <c r="J5" i="3" s="1"/>
  <c r="C56" i="3"/>
  <c r="J4" i="3" s="1"/>
  <c r="C49" i="3"/>
  <c r="J1" i="3" s="1"/>
  <c r="C50" i="3"/>
  <c r="J2" i="3" s="1"/>
  <c r="C61" i="3"/>
  <c r="C62" i="3" s="1"/>
  <c r="J6" i="3" s="1"/>
  <c r="J1" i="11"/>
  <c r="J2" i="11"/>
  <c r="J4" i="11"/>
  <c r="J5" i="11"/>
  <c r="J6" i="11"/>
  <c r="A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51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56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58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C59" i="11"/>
  <c r="C60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C66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C67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C68" i="11"/>
  <c r="C69" i="11"/>
  <c r="C72" i="11"/>
  <c r="C73" i="11"/>
  <c r="C74" i="11"/>
  <c r="C75" i="11"/>
</calcChain>
</file>

<file path=xl/sharedStrings.xml><?xml version="1.0" encoding="utf-8"?>
<sst xmlns="http://schemas.openxmlformats.org/spreadsheetml/2006/main" count="325" uniqueCount="105">
  <si>
    <t>GP Equity</t>
  </si>
  <si>
    <t>LP Equity</t>
  </si>
  <si>
    <t>Project-Level IRR</t>
  </si>
  <si>
    <t>Project-Level EM</t>
  </si>
  <si>
    <t>LP IRR</t>
  </si>
  <si>
    <t>LP EM</t>
  </si>
  <si>
    <t>GP IRR</t>
  </si>
  <si>
    <t>GP EM</t>
  </si>
  <si>
    <t>GP Promote</t>
  </si>
  <si>
    <t>Waterfall Structure</t>
  </si>
  <si>
    <t>Preferred Return</t>
  </si>
  <si>
    <t>Return</t>
  </si>
  <si>
    <t>GP Cash Flow</t>
  </si>
  <si>
    <t>LP Cash Flow</t>
  </si>
  <si>
    <t>Month Ending</t>
  </si>
  <si>
    <t>Acquisition</t>
  </si>
  <si>
    <t>Total Cash Flows</t>
  </si>
  <si>
    <t>Equity Contributions</t>
  </si>
  <si>
    <t>GP Contributions</t>
  </si>
  <si>
    <t>LP Contributions</t>
  </si>
  <si>
    <t>Beginning Balance</t>
  </si>
  <si>
    <t>Preferred Interest Accrual</t>
  </si>
  <si>
    <t>LP Distributions</t>
  </si>
  <si>
    <t>Ending Balance</t>
  </si>
  <si>
    <t>Total LP Cash Flow</t>
  </si>
  <si>
    <t>IRR</t>
  </si>
  <si>
    <t>GP Distributions</t>
  </si>
  <si>
    <t>Total Distributions</t>
  </si>
  <si>
    <t>Cash Flow Remaining</t>
  </si>
  <si>
    <t>LP Cash Flows</t>
  </si>
  <si>
    <t>Contributions</t>
  </si>
  <si>
    <t>Distributions</t>
  </si>
  <si>
    <t>LP Net Cash Flow</t>
  </si>
  <si>
    <t>GP Cash Flows</t>
  </si>
  <si>
    <t>GP Net Cash Flow</t>
  </si>
  <si>
    <t>Total GP Promote</t>
  </si>
  <si>
    <t>Year</t>
  </si>
  <si>
    <t>Catch-Up Hurdle</t>
  </si>
  <si>
    <t>Catch-Up</t>
  </si>
  <si>
    <t>Over Catch-Up</t>
  </si>
  <si>
    <t>Catch-Up Profit GP %</t>
  </si>
  <si>
    <t>Cash Flows Over Catch-Up</t>
  </si>
  <si>
    <t>Profit Split Over Catch-Up</t>
  </si>
  <si>
    <t>Purchase Price</t>
  </si>
  <si>
    <t>Going-In Cap Rate</t>
  </si>
  <si>
    <t>Annual NOI Growth</t>
  </si>
  <si>
    <t>Exit Cap Rate</t>
  </si>
  <si>
    <t>Sale @ EOY</t>
  </si>
  <si>
    <t>Preferred Cash-on-Cash Return</t>
  </si>
  <si>
    <t>Cash-on-Cash Promote</t>
  </si>
  <si>
    <t>Cash Flow Split</t>
  </si>
  <si>
    <t>Sale Proceeds Split</t>
  </si>
  <si>
    <t>Net Sale Proceeds</t>
  </si>
  <si>
    <t>CF From Operations</t>
  </si>
  <si>
    <t>Above Preferred Return</t>
  </si>
  <si>
    <t>Up To Preferred Return</t>
  </si>
  <si>
    <t>Days in Year</t>
  </si>
  <si>
    <t>Cash Flow From Operations Split</t>
  </si>
  <si>
    <t>LTV</t>
  </si>
  <si>
    <t>Interest Rate</t>
  </si>
  <si>
    <t>Amortization</t>
  </si>
  <si>
    <t>Loan Amount</t>
  </si>
  <si>
    <t>Monthly Payment</t>
  </si>
  <si>
    <t>Ending Balance @ Sale</t>
  </si>
  <si>
    <t>Net Sale Proceeds Distributions</t>
  </si>
  <si>
    <t>Net Sale Proceeds Remaining</t>
  </si>
  <si>
    <t>GP Share</t>
  </si>
  <si>
    <t>LP Share</t>
  </si>
  <si>
    <t>Cash-on-Cash</t>
  </si>
  <si>
    <t>Sale Proceeds</t>
  </si>
  <si>
    <t>Promoted Interest</t>
  </si>
  <si>
    <t>Date</t>
  </si>
  <si>
    <t>Capital Raised</t>
  </si>
  <si>
    <t>Property</t>
  </si>
  <si>
    <t>Net Proceeds</t>
  </si>
  <si>
    <t>Starting EM Balance</t>
  </si>
  <si>
    <t>Ending Pref Balance</t>
  </si>
  <si>
    <t>Ending EM Balance</t>
  </si>
  <si>
    <t>EM Check</t>
  </si>
  <si>
    <t>IRR Check</t>
  </si>
  <si>
    <t>Preferred Return (IRR)</t>
  </si>
  <si>
    <t>Preferred Return (EM)</t>
  </si>
  <si>
    <t>LP Clawback</t>
  </si>
  <si>
    <t>Clawback</t>
  </si>
  <si>
    <t>In Promoted Interest?</t>
  </si>
  <si>
    <t>Total Clawback</t>
  </si>
  <si>
    <t>LP Net Cash Flow Before Clawback</t>
  </si>
  <si>
    <t>LP Net Cash Flow After Clawback</t>
  </si>
  <si>
    <t>LP Clawback Calculations</t>
  </si>
  <si>
    <t>GP CF Check</t>
  </si>
  <si>
    <t>All CF Distributed?</t>
  </si>
  <si>
    <t>All Sale Proceeds</t>
  </si>
  <si>
    <t>Distributed?</t>
  </si>
  <si>
    <t>Total CF Check</t>
  </si>
  <si>
    <t>Project-Level Avg. C-o-C</t>
  </si>
  <si>
    <t>LP Avg. C-o-C</t>
  </si>
  <si>
    <t>Preferred Cash-on-Cash Check</t>
  </si>
  <si>
    <t>Total Project-Level Cash-on-Cash</t>
  </si>
  <si>
    <t>Total LP Cash-on-Cash</t>
  </si>
  <si>
    <t>Total GP Cash-on-Cash</t>
  </si>
  <si>
    <t>GP Avg. C-o-C</t>
  </si>
  <si>
    <t>LP Average Cash-on-Cash</t>
  </si>
  <si>
    <t>GP Average Cash-on-Cash</t>
  </si>
  <si>
    <t>Fund Liquidation</t>
  </si>
  <si>
    <t>GP Net Cash Flow After Clawback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</si>
</sst>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6" formatCode="&quot;$&quot;#,##0_);[Red]\(&quot;$&quot;#,##0\)"/>
    <numFmt numFmtId="8" formatCode="&quot;$&quot;#,##0.00_);[Red]\(&quot;$&quot;#,##0.00\)"/>
    <numFmt numFmtId="164" formatCode="0.00&quot;x&quot;"/>
    <numFmt numFmtId="165" formatCode="&quot;$&quot;#,##0"/>
    <numFmt numFmtId="166" formatCode="0\ &quot;Years&quot;"/>
    <numFmt numFmtId="167" formatCode="0.0000%"/>
    <numFmt numFmtId="168" formatCode="&quot;Year&quot;\ 0"/>
    <numFmt numFmtId="169" formatCode="0.00000%"/>
    <numFmt numFmtId="170" formatCode="&quot;$&quot;#,##0.00"/>
    <numFmt numFmtId="171" formatCode="&quot;Acquisition&quot;"/>
    <numFmt numFmtId="172" formatCode="0\ &quot;Months&quot;"/>
    <numFmt numFmtId="173" formatCode="&quot;Property Sale #&quot;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0"/>
      <name val="Franklin Gothic Book"/>
      <family val="2"/>
    </font>
    <font>
      <sz val="10"/>
      <name val="Franklin Gothic Book"/>
      <family val="2"/>
    </font>
    <font>
      <sz val="11"/>
      <color theme="1"/>
      <name val="Calibri"/>
      <family val="2"/>
      <scheme val="minor"/>
    </font>
    <font>
      <b/>
      <i/>
      <sz val="10"/>
      <color theme="0"/>
      <name val="Franklin Gothic Book"/>
      <family val="2"/>
    </font>
    <font>
      <b/>
      <sz val="10"/>
      <color theme="1"/>
      <name val="Franklin Gothic Book"/>
      <family val="2"/>
    </font>
    <font>
      <b/>
      <u/>
      <sz val="10"/>
      <color theme="0"/>
      <name val="Franklin Gothic Book"/>
      <family val="2"/>
    </font>
    <font>
      <sz val="10"/>
      <color rgb="FF0000FF"/>
      <name val="Franklin Gothic Book"/>
      <family val="2"/>
    </font>
    <font>
      <b/>
      <sz val="10"/>
      <color rgb="FF0000FF"/>
      <name val="Franklin Gothic Book"/>
      <family val="2"/>
    </font>
    <font>
      <b/>
      <sz val="10"/>
      <name val="Franklin Gothic Book"/>
      <family val="2"/>
    </font>
    <font>
      <u/>
      <sz val="10"/>
      <color rgb="FF0000FF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4" fillId="0" borderId="0"/>
  </cellStyleXfs>
  <cellXfs count="1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8" fontId="1" fillId="0" borderId="0" xfId="0" applyNumberFormat="1" applyFont="1"/>
    <xf numFmtId="38" fontId="1" fillId="0" borderId="0" xfId="0" applyNumberFormat="1" applyFont="1" applyAlignment="1">
      <alignment horizontal="center"/>
    </xf>
    <xf numFmtId="10" fontId="1" fillId="0" borderId="0" xfId="1" applyNumberFormat="1" applyFont="1"/>
    <xf numFmtId="9" fontId="8" fillId="0" borderId="0" xfId="0" applyNumberFormat="1" applyFont="1"/>
    <xf numFmtId="0" fontId="8" fillId="0" borderId="0" xfId="0" applyFont="1"/>
    <xf numFmtId="165" fontId="8" fillId="0" borderId="0" xfId="0" applyNumberFormat="1" applyFont="1"/>
    <xf numFmtId="165" fontId="1" fillId="0" borderId="0" xfId="0" applyNumberFormat="1" applyFont="1"/>
    <xf numFmtId="0" fontId="1" fillId="0" borderId="0" xfId="0" applyFont="1" applyProtection="1">
      <protection hidden="1"/>
    </xf>
    <xf numFmtId="0" fontId="2" fillId="2" borderId="5" xfId="0" applyFont="1" applyFill="1" applyBorder="1" applyAlignment="1" applyProtection="1">
      <alignment horizontal="right"/>
      <protection hidden="1"/>
    </xf>
    <xf numFmtId="9" fontId="8" fillId="4" borderId="5" xfId="0" applyNumberFormat="1" applyFont="1" applyFill="1" applyBorder="1" applyAlignment="1" applyProtection="1">
      <alignment horizontal="center"/>
      <protection hidden="1"/>
    </xf>
    <xf numFmtId="10" fontId="3" fillId="0" borderId="2" xfId="0" applyNumberFormat="1" applyFont="1" applyBorder="1" applyAlignment="1" applyProtection="1">
      <alignment horizontal="center"/>
      <protection hidden="1"/>
    </xf>
    <xf numFmtId="6" fontId="2" fillId="2" borderId="0" xfId="0" applyNumberFormat="1" applyFont="1" applyFill="1" applyAlignment="1" applyProtection="1">
      <alignment horizontal="right"/>
      <protection hidden="1"/>
    </xf>
    <xf numFmtId="6" fontId="8" fillId="0" borderId="5" xfId="0" applyNumberFormat="1" applyFont="1" applyBorder="1" applyAlignment="1" applyProtection="1">
      <alignment horizontal="center"/>
      <protection hidden="1"/>
    </xf>
    <xf numFmtId="0" fontId="2" fillId="0" borderId="0" xfId="0" applyFont="1" applyAlignment="1" applyProtection="1">
      <alignment horizontal="right"/>
      <protection hidden="1"/>
    </xf>
    <xf numFmtId="9" fontId="8" fillId="0" borderId="5" xfId="0" applyNumberFormat="1" applyFont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right"/>
      <protection hidden="1"/>
    </xf>
    <xf numFmtId="0" fontId="2" fillId="2" borderId="10" xfId="0" applyFont="1" applyFill="1" applyBorder="1" applyAlignment="1" applyProtection="1">
      <alignment horizontal="center"/>
      <protection hidden="1"/>
    </xf>
    <xf numFmtId="1" fontId="2" fillId="2" borderId="10" xfId="0" applyNumberFormat="1" applyFont="1" applyFill="1" applyBorder="1" applyAlignment="1" applyProtection="1">
      <alignment horizontal="center"/>
      <protection hidden="1"/>
    </xf>
    <xf numFmtId="1" fontId="2" fillId="2" borderId="11" xfId="0" applyNumberFormat="1" applyFont="1" applyFill="1" applyBorder="1" applyAlignment="1" applyProtection="1">
      <alignment horizontal="center"/>
      <protection hidden="1"/>
    </xf>
    <xf numFmtId="0" fontId="2" fillId="2" borderId="6" xfId="0" applyFont="1" applyFill="1" applyBorder="1" applyAlignment="1" applyProtection="1">
      <alignment horizontal="right"/>
      <protection hidden="1"/>
    </xf>
    <xf numFmtId="9" fontId="1" fillId="4" borderId="6" xfId="0" applyNumberFormat="1" applyFont="1" applyFill="1" applyBorder="1" applyAlignment="1" applyProtection="1">
      <alignment horizontal="center"/>
      <protection hidden="1"/>
    </xf>
    <xf numFmtId="0" fontId="2" fillId="2" borderId="7" xfId="0" applyFont="1" applyFill="1" applyBorder="1" applyAlignment="1" applyProtection="1">
      <alignment horizontal="right"/>
      <protection hidden="1"/>
    </xf>
    <xf numFmtId="164" fontId="3" fillId="0" borderId="8" xfId="0" applyNumberFormat="1" applyFont="1" applyBorder="1" applyAlignment="1" applyProtection="1">
      <alignment horizontal="center"/>
      <protection hidden="1"/>
    </xf>
    <xf numFmtId="10" fontId="8" fillId="0" borderId="7" xfId="1" applyNumberFormat="1" applyFont="1" applyBorder="1" applyAlignment="1" applyProtection="1">
      <alignment horizontal="center"/>
      <protection hidden="1"/>
    </xf>
    <xf numFmtId="165" fontId="3" fillId="0" borderId="7" xfId="1" applyNumberFormat="1" applyFont="1" applyBorder="1" applyAlignment="1" applyProtection="1">
      <alignment horizontal="center"/>
      <protection hidden="1"/>
    </xf>
    <xf numFmtId="0" fontId="1" fillId="3" borderId="5" xfId="0" applyFont="1" applyFill="1" applyBorder="1" applyAlignment="1" applyProtection="1">
      <alignment horizontal="right"/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12" xfId="0" applyFont="1" applyBorder="1" applyAlignment="1" applyProtection="1">
      <alignment horizont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10" fontId="3" fillId="0" borderId="4" xfId="1" applyNumberFormat="1" applyFont="1" applyBorder="1" applyAlignment="1" applyProtection="1">
      <alignment horizontal="center"/>
      <protection hidden="1"/>
    </xf>
    <xf numFmtId="166" fontId="3" fillId="3" borderId="7" xfId="0" applyNumberFormat="1" applyFont="1" applyFill="1" applyBorder="1" applyAlignment="1" applyProtection="1">
      <alignment horizontal="right"/>
      <protection hidden="1"/>
    </xf>
    <xf numFmtId="169" fontId="1" fillId="0" borderId="13" xfId="1" applyNumberFormat="1" applyFont="1" applyBorder="1" applyAlignment="1" applyProtection="1">
      <alignment horizontal="center"/>
      <protection hidden="1"/>
    </xf>
    <xf numFmtId="169" fontId="1" fillId="0" borderId="0" xfId="1" applyNumberFormat="1" applyFont="1" applyAlignment="1" applyProtection="1">
      <alignment horizontal="center"/>
      <protection hidden="1"/>
    </xf>
    <xf numFmtId="169" fontId="1" fillId="0" borderId="8" xfId="1" applyNumberFormat="1" applyFont="1" applyBorder="1" applyAlignment="1" applyProtection="1">
      <alignment horizontal="center"/>
      <protection hidden="1"/>
    </xf>
    <xf numFmtId="0" fontId="2" fillId="2" borderId="15" xfId="0" applyFont="1" applyFill="1" applyBorder="1" applyAlignment="1" applyProtection="1">
      <alignment horizontal="right"/>
      <protection hidden="1"/>
    </xf>
    <xf numFmtId="10" fontId="8" fillId="4" borderId="15" xfId="0" applyNumberFormat="1" applyFont="1" applyFill="1" applyBorder="1" applyAlignment="1" applyProtection="1">
      <alignment horizontal="center"/>
      <protection hidden="1"/>
    </xf>
    <xf numFmtId="168" fontId="8" fillId="0" borderId="7" xfId="1" applyNumberFormat="1" applyFont="1" applyBorder="1" applyAlignment="1" applyProtection="1">
      <alignment horizontal="center"/>
      <protection hidden="1"/>
    </xf>
    <xf numFmtId="172" fontId="8" fillId="0" borderId="7" xfId="1" applyNumberFormat="1" applyFont="1" applyBorder="1" applyAlignment="1" applyProtection="1">
      <alignment horizontal="center"/>
      <protection hidden="1"/>
    </xf>
    <xf numFmtId="10" fontId="1" fillId="0" borderId="0" xfId="1" applyNumberFormat="1" applyFont="1" applyAlignment="1" applyProtection="1">
      <alignment horizontal="center"/>
      <protection hidden="1"/>
    </xf>
    <xf numFmtId="10" fontId="1" fillId="0" borderId="8" xfId="1" applyNumberFormat="1" applyFont="1" applyBorder="1" applyAlignment="1" applyProtection="1">
      <alignment horizontal="center"/>
      <protection hidden="1"/>
    </xf>
    <xf numFmtId="10" fontId="8" fillId="0" borderId="6" xfId="1" applyNumberFormat="1" applyFont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/>
      <protection hidden="1"/>
    </xf>
    <xf numFmtId="0" fontId="2" fillId="2" borderId="11" xfId="0" applyFont="1" applyFill="1" applyBorder="1" applyAlignment="1" applyProtection="1">
      <alignment horizontal="center"/>
      <protection hidden="1"/>
    </xf>
    <xf numFmtId="6" fontId="2" fillId="2" borderId="14" xfId="0" applyNumberFormat="1" applyFont="1" applyFill="1" applyBorder="1" applyAlignment="1" applyProtection="1">
      <alignment horizontal="right"/>
      <protection hidden="1"/>
    </xf>
    <xf numFmtId="165" fontId="3" fillId="0" borderId="6" xfId="1" applyNumberFormat="1" applyFont="1" applyBorder="1" applyAlignment="1" applyProtection="1">
      <alignment horizontal="center"/>
      <protection hidden="1"/>
    </xf>
    <xf numFmtId="166" fontId="3" fillId="3" borderId="6" xfId="0" applyNumberFormat="1" applyFont="1" applyFill="1" applyBorder="1" applyAlignment="1" applyProtection="1">
      <alignment horizontal="right"/>
      <protection hidden="1"/>
    </xf>
    <xf numFmtId="10" fontId="1" fillId="0" borderId="14" xfId="1" applyNumberFormat="1" applyFont="1" applyBorder="1" applyAlignment="1" applyProtection="1">
      <alignment horizontal="center"/>
      <protection hidden="1"/>
    </xf>
    <xf numFmtId="10" fontId="1" fillId="0" borderId="4" xfId="1" applyNumberFormat="1" applyFont="1" applyBorder="1" applyAlignment="1" applyProtection="1">
      <alignment horizontal="center"/>
      <protection hidden="1"/>
    </xf>
    <xf numFmtId="10" fontId="8" fillId="4" borderId="12" xfId="0" applyNumberFormat="1" applyFont="1" applyFill="1" applyBorder="1" applyAlignment="1" applyProtection="1">
      <alignment horizontal="center"/>
      <protection hidden="1"/>
    </xf>
    <xf numFmtId="10" fontId="3" fillId="4" borderId="2" xfId="0" applyNumberFormat="1" applyFont="1" applyFill="1" applyBorder="1" applyAlignment="1" applyProtection="1">
      <alignment horizontal="center"/>
      <protection hidden="1"/>
    </xf>
    <xf numFmtId="10" fontId="3" fillId="0" borderId="8" xfId="1" applyNumberFormat="1" applyFont="1" applyBorder="1" applyAlignment="1" applyProtection="1">
      <alignment horizontal="center"/>
      <protection hidden="1"/>
    </xf>
    <xf numFmtId="8" fontId="1" fillId="0" borderId="0" xfId="0" applyNumberFormat="1" applyFont="1" applyProtection="1">
      <protection hidden="1"/>
    </xf>
    <xf numFmtId="0" fontId="1" fillId="3" borderId="6" xfId="0" applyFont="1" applyFill="1" applyBorder="1" applyAlignment="1" applyProtection="1">
      <alignment horizontal="right"/>
      <protection hidden="1"/>
    </xf>
    <xf numFmtId="10" fontId="8" fillId="4" borderId="14" xfId="0" applyNumberFormat="1" applyFont="1" applyFill="1" applyBorder="1" applyAlignment="1" applyProtection="1">
      <alignment horizontal="center"/>
      <protection hidden="1"/>
    </xf>
    <xf numFmtId="10" fontId="3" fillId="4" borderId="4" xfId="0" applyNumberFormat="1" applyFont="1" applyFill="1" applyBorder="1" applyAlignment="1" applyProtection="1">
      <alignment horizontal="center"/>
      <protection hidden="1"/>
    </xf>
    <xf numFmtId="165" fontId="3" fillId="0" borderId="4" xfId="0" applyNumberFormat="1" applyFont="1" applyBorder="1" applyAlignment="1" applyProtection="1">
      <alignment horizontal="center"/>
      <protection hidden="1"/>
    </xf>
    <xf numFmtId="0" fontId="2" fillId="2" borderId="3" xfId="0" applyFont="1" applyFill="1" applyBorder="1" applyAlignment="1" applyProtection="1">
      <alignment horizontal="center"/>
      <protection hidden="1"/>
    </xf>
    <xf numFmtId="0" fontId="2" fillId="2" borderId="14" xfId="0" applyFont="1" applyFill="1" applyBorder="1" applyAlignment="1" applyProtection="1">
      <alignment horizontal="center"/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170" fontId="1" fillId="0" borderId="0" xfId="0" applyNumberFormat="1" applyFont="1" applyProtection="1">
      <protection hidden="1"/>
    </xf>
    <xf numFmtId="0" fontId="5" fillId="2" borderId="1" xfId="0" applyFont="1" applyFill="1" applyBorder="1" applyAlignment="1" applyProtection="1">
      <alignment horizontal="right"/>
      <protection hidden="1"/>
    </xf>
    <xf numFmtId="171" fontId="2" fillId="2" borderId="12" xfId="0" applyNumberFormat="1" applyFont="1" applyFill="1" applyBorder="1" applyAlignment="1" applyProtection="1">
      <alignment horizontal="center"/>
      <protection hidden="1"/>
    </xf>
    <xf numFmtId="0" fontId="2" fillId="2" borderId="12" xfId="0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Alignment="1" applyProtection="1">
      <alignment horizontal="center"/>
      <protection hidden="1"/>
    </xf>
    <xf numFmtId="0" fontId="5" fillId="2" borderId="3" xfId="0" applyFont="1" applyFill="1" applyBorder="1" applyAlignment="1" applyProtection="1">
      <alignment horizontal="right"/>
      <protection hidden="1"/>
    </xf>
    <xf numFmtId="14" fontId="2" fillId="2" borderId="14" xfId="0" applyNumberFormat="1" applyFont="1" applyFill="1" applyBorder="1" applyAlignment="1" applyProtection="1">
      <alignment horizontal="center"/>
      <protection hidden="1"/>
    </xf>
    <xf numFmtId="14" fontId="2" fillId="2" borderId="4" xfId="0" applyNumberFormat="1" applyFont="1" applyFill="1" applyBorder="1" applyAlignment="1" applyProtection="1">
      <alignment horizontal="center"/>
      <protection hidden="1"/>
    </xf>
    <xf numFmtId="38" fontId="1" fillId="0" borderId="1" xfId="0" applyNumberFormat="1" applyFont="1" applyBorder="1" applyAlignment="1" applyProtection="1">
      <alignment horizontal="center"/>
      <protection hidden="1"/>
    </xf>
    <xf numFmtId="38" fontId="1" fillId="0" borderId="12" xfId="0" applyNumberFormat="1" applyFont="1" applyBorder="1" applyAlignment="1" applyProtection="1">
      <alignment horizontal="center"/>
      <protection hidden="1"/>
    </xf>
    <xf numFmtId="38" fontId="1" fillId="0" borderId="2" xfId="0" applyNumberFormat="1" applyFont="1" applyBorder="1" applyAlignment="1" applyProtection="1">
      <alignment horizontal="center"/>
      <protection hidden="1"/>
    </xf>
    <xf numFmtId="0" fontId="1" fillId="3" borderId="7" xfId="0" applyFont="1" applyFill="1" applyBorder="1" applyAlignment="1" applyProtection="1">
      <alignment horizontal="right"/>
      <protection hidden="1"/>
    </xf>
    <xf numFmtId="38" fontId="1" fillId="0" borderId="13" xfId="0" applyNumberFormat="1" applyFont="1" applyBorder="1" applyAlignment="1" applyProtection="1">
      <alignment horizontal="center"/>
      <protection hidden="1"/>
    </xf>
    <xf numFmtId="38" fontId="1" fillId="0" borderId="0" xfId="0" applyNumberFormat="1" applyFont="1" applyAlignment="1" applyProtection="1">
      <alignment horizontal="center"/>
      <protection hidden="1"/>
    </xf>
    <xf numFmtId="38" fontId="1" fillId="0" borderId="8" xfId="0" applyNumberFormat="1" applyFont="1" applyBorder="1" applyAlignment="1" applyProtection="1">
      <alignment horizontal="center"/>
      <protection hidden="1"/>
    </xf>
    <xf numFmtId="0" fontId="6" fillId="3" borderId="15" xfId="0" applyFont="1" applyFill="1" applyBorder="1" applyAlignment="1" applyProtection="1">
      <alignment horizontal="right"/>
      <protection hidden="1"/>
    </xf>
    <xf numFmtId="38" fontId="6" fillId="0" borderId="9" xfId="0" applyNumberFormat="1" applyFont="1" applyBorder="1" applyAlignment="1" applyProtection="1">
      <alignment horizontal="center"/>
      <protection hidden="1"/>
    </xf>
    <xf numFmtId="38" fontId="6" fillId="0" borderId="10" xfId="0" applyNumberFormat="1" applyFont="1" applyBorder="1" applyAlignment="1" applyProtection="1">
      <alignment horizontal="center"/>
      <protection hidden="1"/>
    </xf>
    <xf numFmtId="38" fontId="6" fillId="0" borderId="11" xfId="0" applyNumberFormat="1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38" fontId="1" fillId="0" borderId="0" xfId="0" applyNumberFormat="1" applyFont="1" applyProtection="1">
      <protection hidden="1"/>
    </xf>
    <xf numFmtId="38" fontId="1" fillId="0" borderId="8" xfId="0" applyNumberFormat="1" applyFont="1" applyBorder="1" applyProtection="1">
      <protection hidden="1"/>
    </xf>
    <xf numFmtId="38" fontId="2" fillId="2" borderId="10" xfId="0" applyNumberFormat="1" applyFont="1" applyFill="1" applyBorder="1" applyProtection="1">
      <protection hidden="1"/>
    </xf>
    <xf numFmtId="38" fontId="2" fillId="2" borderId="11" xfId="0" applyNumberFormat="1" applyFont="1" applyFill="1" applyBorder="1" applyProtection="1">
      <protection hidden="1"/>
    </xf>
    <xf numFmtId="38" fontId="1" fillId="0" borderId="3" xfId="0" applyNumberFormat="1" applyFont="1" applyBorder="1" applyAlignment="1" applyProtection="1">
      <alignment horizontal="center"/>
      <protection hidden="1"/>
    </xf>
    <xf numFmtId="38" fontId="1" fillId="0" borderId="14" xfId="0" applyNumberFormat="1" applyFont="1" applyBorder="1" applyAlignment="1" applyProtection="1">
      <alignment horizontal="center"/>
      <protection hidden="1"/>
    </xf>
    <xf numFmtId="38" fontId="1" fillId="0" borderId="4" xfId="0" applyNumberFormat="1" applyFont="1" applyBorder="1" applyAlignment="1" applyProtection="1">
      <alignment horizontal="center"/>
      <protection hidden="1"/>
    </xf>
    <xf numFmtId="0" fontId="1" fillId="3" borderId="15" xfId="0" applyFont="1" applyFill="1" applyBorder="1" applyAlignment="1" applyProtection="1">
      <alignment horizontal="right"/>
      <protection hidden="1"/>
    </xf>
    <xf numFmtId="38" fontId="1" fillId="0" borderId="10" xfId="0" applyNumberFormat="1" applyFont="1" applyBorder="1" applyAlignment="1" applyProtection="1">
      <alignment horizontal="center"/>
      <protection hidden="1"/>
    </xf>
    <xf numFmtId="38" fontId="1" fillId="0" borderId="11" xfId="0" applyNumberFormat="1" applyFont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167" fontId="1" fillId="0" borderId="15" xfId="1" applyNumberFormat="1" applyFont="1" applyBorder="1" applyAlignment="1" applyProtection="1">
      <alignment horizontal="center"/>
      <protection hidden="1"/>
    </xf>
    <xf numFmtId="38" fontId="6" fillId="0" borderId="0" xfId="0" applyNumberFormat="1" applyFont="1" applyAlignment="1" applyProtection="1">
      <alignment horizontal="center"/>
      <protection hidden="1"/>
    </xf>
    <xf numFmtId="38" fontId="6" fillId="0" borderId="8" xfId="0" applyNumberFormat="1" applyFont="1" applyBorder="1" applyAlignment="1" applyProtection="1">
      <alignment horizontal="center"/>
      <protection hidden="1"/>
    </xf>
    <xf numFmtId="0" fontId="7" fillId="2" borderId="5" xfId="0" applyFont="1" applyFill="1" applyBorder="1" applyAlignment="1" applyProtection="1">
      <alignment horizontal="center"/>
      <protection hidden="1"/>
    </xf>
    <xf numFmtId="0" fontId="1" fillId="3" borderId="2" xfId="0" applyFont="1" applyFill="1" applyBorder="1" applyAlignment="1" applyProtection="1">
      <alignment horizontal="right"/>
      <protection hidden="1"/>
    </xf>
    <xf numFmtId="0" fontId="7" fillId="2" borderId="6" xfId="0" applyFont="1" applyFill="1" applyBorder="1" applyAlignment="1" applyProtection="1">
      <alignment horizontal="center"/>
      <protection hidden="1"/>
    </xf>
    <xf numFmtId="0" fontId="1" fillId="3" borderId="8" xfId="0" applyFont="1" applyFill="1" applyBorder="1" applyAlignment="1" applyProtection="1">
      <alignment horizontal="right"/>
      <protection hidden="1"/>
    </xf>
    <xf numFmtId="38" fontId="1" fillId="0" borderId="5" xfId="0" applyNumberFormat="1" applyFont="1" applyBorder="1" applyAlignment="1" applyProtection="1">
      <alignment horizontal="center"/>
      <protection hidden="1"/>
    </xf>
    <xf numFmtId="38" fontId="1" fillId="0" borderId="7" xfId="0" applyNumberFormat="1" applyFont="1" applyBorder="1" applyAlignment="1" applyProtection="1">
      <alignment horizontal="center"/>
      <protection hidden="1"/>
    </xf>
    <xf numFmtId="38" fontId="6" fillId="0" borderId="15" xfId="0" applyNumberFormat="1" applyFont="1" applyBorder="1" applyAlignment="1" applyProtection="1">
      <alignment horizontal="center"/>
      <protection hidden="1"/>
    </xf>
    <xf numFmtId="9" fontId="8" fillId="4" borderId="2" xfId="0" applyNumberFormat="1" applyFont="1" applyFill="1" applyBorder="1" applyAlignment="1" applyProtection="1">
      <alignment horizontal="center"/>
      <protection hidden="1"/>
    </xf>
    <xf numFmtId="9" fontId="1" fillId="4" borderId="4" xfId="0" applyNumberFormat="1" applyFont="1" applyFill="1" applyBorder="1" applyAlignment="1" applyProtection="1">
      <alignment horizontal="center"/>
      <protection hidden="1"/>
    </xf>
    <xf numFmtId="164" fontId="3" fillId="0" borderId="4" xfId="0" applyNumberFormat="1" applyFont="1" applyBorder="1" applyAlignment="1" applyProtection="1">
      <alignment horizontal="center"/>
      <protection hidden="1"/>
    </xf>
    <xf numFmtId="10" fontId="8" fillId="0" borderId="7" xfId="1" applyNumberFormat="1" applyFont="1" applyFill="1" applyBorder="1" applyAlignment="1" applyProtection="1">
      <alignment horizontal="center"/>
      <protection hidden="1"/>
    </xf>
    <xf numFmtId="165" fontId="3" fillId="0" borderId="7" xfId="1" applyNumberFormat="1" applyFont="1" applyFill="1" applyBorder="1" applyAlignment="1" applyProtection="1">
      <alignment horizontal="center"/>
      <protection hidden="1"/>
    </xf>
    <xf numFmtId="168" fontId="8" fillId="0" borderId="7" xfId="1" applyNumberFormat="1" applyFont="1" applyFill="1" applyBorder="1" applyAlignment="1" applyProtection="1">
      <alignment horizontal="center"/>
      <protection hidden="1"/>
    </xf>
    <xf numFmtId="172" fontId="8" fillId="0" borderId="7" xfId="1" applyNumberFormat="1" applyFont="1" applyFill="1" applyBorder="1" applyAlignment="1" applyProtection="1">
      <alignment horizontal="center"/>
      <protection hidden="1"/>
    </xf>
    <xf numFmtId="10" fontId="8" fillId="4" borderId="1" xfId="0" applyNumberFormat="1" applyFont="1" applyFill="1" applyBorder="1" applyAlignment="1" applyProtection="1">
      <alignment horizontal="center"/>
      <protection hidden="1"/>
    </xf>
    <xf numFmtId="10" fontId="1" fillId="4" borderId="12" xfId="0" applyNumberFormat="1" applyFont="1" applyFill="1" applyBorder="1" applyAlignment="1" applyProtection="1">
      <alignment horizontal="center"/>
      <protection hidden="1"/>
    </xf>
    <xf numFmtId="10" fontId="1" fillId="4" borderId="2" xfId="0" applyNumberFormat="1" applyFont="1" applyFill="1" applyBorder="1" applyAlignment="1" applyProtection="1">
      <alignment horizontal="center"/>
      <protection hidden="1"/>
    </xf>
    <xf numFmtId="10" fontId="8" fillId="0" borderId="6" xfId="1" applyNumberFormat="1" applyFont="1" applyFill="1" applyBorder="1" applyAlignment="1" applyProtection="1">
      <alignment horizontal="center"/>
      <protection hidden="1"/>
    </xf>
    <xf numFmtId="164" fontId="8" fillId="4" borderId="13" xfId="0" applyNumberFormat="1" applyFont="1" applyFill="1" applyBorder="1" applyAlignment="1" applyProtection="1">
      <alignment horizontal="center"/>
      <protection hidden="1"/>
    </xf>
    <xf numFmtId="10" fontId="8" fillId="4" borderId="0" xfId="0" applyNumberFormat="1" applyFont="1" applyFill="1" applyAlignment="1" applyProtection="1">
      <alignment horizontal="center"/>
      <protection hidden="1"/>
    </xf>
    <xf numFmtId="10" fontId="1" fillId="4" borderId="0" xfId="0" applyNumberFormat="1" applyFont="1" applyFill="1" applyAlignment="1" applyProtection="1">
      <alignment horizontal="center"/>
      <protection hidden="1"/>
    </xf>
    <xf numFmtId="10" fontId="1" fillId="4" borderId="8" xfId="0" applyNumberFormat="1" applyFont="1" applyFill="1" applyBorder="1" applyAlignment="1" applyProtection="1">
      <alignment horizontal="center"/>
      <protection hidden="1"/>
    </xf>
    <xf numFmtId="165" fontId="3" fillId="0" borderId="6" xfId="1" applyNumberFormat="1" applyFont="1" applyFill="1" applyBorder="1" applyAlignment="1" applyProtection="1">
      <alignment horizontal="center"/>
      <protection hidden="1"/>
    </xf>
    <xf numFmtId="10" fontId="8" fillId="4" borderId="3" xfId="0" applyNumberFormat="1" applyFont="1" applyFill="1" applyBorder="1" applyAlignment="1" applyProtection="1">
      <alignment horizontal="center"/>
      <protection hidden="1"/>
    </xf>
    <xf numFmtId="10" fontId="1" fillId="4" borderId="14" xfId="0" applyNumberFormat="1" applyFont="1" applyFill="1" applyBorder="1" applyAlignment="1" applyProtection="1">
      <alignment horizontal="center"/>
      <protection hidden="1"/>
    </xf>
    <xf numFmtId="10" fontId="1" fillId="4" borderId="4" xfId="0" applyNumberFormat="1" applyFont="1" applyFill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164" fontId="1" fillId="0" borderId="15" xfId="1" applyNumberFormat="1" applyFont="1" applyBorder="1" applyAlignment="1" applyProtection="1">
      <alignment horizontal="center"/>
      <protection hidden="1"/>
    </xf>
    <xf numFmtId="10" fontId="1" fillId="0" borderId="15" xfId="1" applyNumberFormat="1" applyFont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7" fillId="0" borderId="8" xfId="0" applyFont="1" applyBorder="1" applyAlignment="1" applyProtection="1">
      <alignment horizontal="center"/>
      <protection hidden="1"/>
    </xf>
    <xf numFmtId="0" fontId="6" fillId="3" borderId="11" xfId="0" applyFont="1" applyFill="1" applyBorder="1" applyAlignment="1" applyProtection="1">
      <alignment horizontal="right"/>
      <protection hidden="1"/>
    </xf>
    <xf numFmtId="164" fontId="1" fillId="0" borderId="0" xfId="1" applyNumberFormat="1" applyFont="1" applyFill="1" applyBorder="1" applyAlignment="1" applyProtection="1">
      <alignment horizontal="center"/>
      <protection hidden="1"/>
    </xf>
    <xf numFmtId="10" fontId="1" fillId="0" borderId="0" xfId="1" applyNumberFormat="1" applyFont="1" applyFill="1" applyBorder="1" applyAlignment="1" applyProtection="1">
      <alignment horizontal="center"/>
      <protection hidden="1"/>
    </xf>
    <xf numFmtId="0" fontId="1" fillId="0" borderId="8" xfId="0" applyFont="1" applyBorder="1" applyProtection="1">
      <protection hidden="1"/>
    </xf>
    <xf numFmtId="0" fontId="2" fillId="2" borderId="10" xfId="0" applyFont="1" applyFill="1" applyBorder="1" applyAlignment="1" applyProtection="1">
      <alignment horizontal="right"/>
      <protection hidden="1"/>
    </xf>
    <xf numFmtId="10" fontId="1" fillId="0" borderId="8" xfId="1" applyNumberFormat="1" applyFont="1" applyFill="1" applyBorder="1" applyAlignment="1" applyProtection="1">
      <alignment horizontal="center"/>
      <protection hidden="1"/>
    </xf>
    <xf numFmtId="8" fontId="9" fillId="0" borderId="0" xfId="0" applyNumberFormat="1" applyFont="1" applyAlignment="1" applyProtection="1">
      <alignment horizontal="right"/>
      <protection hidden="1"/>
    </xf>
    <xf numFmtId="0" fontId="8" fillId="0" borderId="0" xfId="0" applyFont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10" fontId="8" fillId="4" borderId="2" xfId="0" applyNumberFormat="1" applyFont="1" applyFill="1" applyBorder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  <protection hidden="1"/>
    </xf>
    <xf numFmtId="10" fontId="3" fillId="4" borderId="8" xfId="0" applyNumberFormat="1" applyFont="1" applyFill="1" applyBorder="1" applyAlignment="1" applyProtection="1">
      <alignment horizontal="center"/>
      <protection hidden="1"/>
    </xf>
    <xf numFmtId="10" fontId="8" fillId="4" borderId="4" xfId="0" applyNumberFormat="1" applyFont="1" applyFill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6" fontId="2" fillId="0" borderId="12" xfId="0" applyNumberFormat="1" applyFont="1" applyBorder="1" applyAlignment="1" applyProtection="1">
      <alignment horizontal="right"/>
      <protection hidden="1"/>
    </xf>
    <xf numFmtId="10" fontId="8" fillId="0" borderId="12" xfId="1" applyNumberFormat="1" applyFont="1" applyFill="1" applyBorder="1" applyAlignment="1" applyProtection="1">
      <alignment horizontal="center"/>
      <protection hidden="1"/>
    </xf>
    <xf numFmtId="10" fontId="1" fillId="0" borderId="0" xfId="0" applyNumberFormat="1" applyFont="1" applyAlignment="1" applyProtection="1">
      <alignment horizontal="center"/>
      <protection hidden="1"/>
    </xf>
    <xf numFmtId="10" fontId="8" fillId="0" borderId="0" xfId="0" applyNumberFormat="1" applyFont="1" applyAlignment="1" applyProtection="1">
      <alignment horizontal="center"/>
      <protection hidden="1"/>
    </xf>
    <xf numFmtId="9" fontId="1" fillId="0" borderId="0" xfId="0" applyNumberFormat="1" applyFont="1" applyProtection="1">
      <protection hidden="1"/>
    </xf>
    <xf numFmtId="10" fontId="1" fillId="0" borderId="0" xfId="1" applyNumberFormat="1" applyFont="1" applyProtection="1">
      <protection hidden="1"/>
    </xf>
    <xf numFmtId="165" fontId="1" fillId="0" borderId="0" xfId="0" applyNumberFormat="1" applyFont="1" applyProtection="1">
      <protection hidden="1"/>
    </xf>
    <xf numFmtId="9" fontId="8" fillId="0" borderId="0" xfId="0" applyNumberFormat="1" applyFont="1" applyProtection="1">
      <protection hidden="1"/>
    </xf>
    <xf numFmtId="0" fontId="8" fillId="0" borderId="0" xfId="0" applyFont="1" applyProtection="1">
      <protection hidden="1"/>
    </xf>
    <xf numFmtId="165" fontId="8" fillId="0" borderId="0" xfId="0" applyNumberFormat="1" applyFont="1" applyProtection="1">
      <protection hidden="1"/>
    </xf>
    <xf numFmtId="167" fontId="1" fillId="0" borderId="5" xfId="1" applyNumberFormat="1" applyFont="1" applyBorder="1" applyAlignment="1" applyProtection="1">
      <alignment horizontal="center"/>
      <protection hidden="1"/>
    </xf>
    <xf numFmtId="167" fontId="1" fillId="0" borderId="6" xfId="1" applyNumberFormat="1" applyFont="1" applyBorder="1" applyAlignment="1" applyProtection="1">
      <alignment horizontal="center"/>
      <protection hidden="1"/>
    </xf>
    <xf numFmtId="167" fontId="1" fillId="0" borderId="7" xfId="1" applyNumberFormat="1" applyFont="1" applyBorder="1" applyAlignment="1" applyProtection="1">
      <alignment horizontal="center"/>
      <protection hidden="1"/>
    </xf>
    <xf numFmtId="9" fontId="8" fillId="0" borderId="2" xfId="0" applyNumberFormat="1" applyFont="1" applyBorder="1" applyAlignment="1" applyProtection="1">
      <alignment horizontal="center"/>
      <protection hidden="1"/>
    </xf>
    <xf numFmtId="6" fontId="2" fillId="0" borderId="0" xfId="0" applyNumberFormat="1" applyFont="1" applyAlignment="1" applyProtection="1">
      <alignment horizontal="right"/>
      <protection hidden="1"/>
    </xf>
    <xf numFmtId="9" fontId="8" fillId="0" borderId="0" xfId="0" applyNumberFormat="1" applyFont="1" applyAlignment="1" applyProtection="1">
      <alignment horizontal="center"/>
      <protection hidden="1"/>
    </xf>
    <xf numFmtId="9" fontId="1" fillId="0" borderId="4" xfId="0" applyNumberFormat="1" applyFont="1" applyBorder="1" applyAlignment="1" applyProtection="1">
      <alignment horizontal="center"/>
      <protection hidden="1"/>
    </xf>
    <xf numFmtId="173" fontId="3" fillId="3" borderId="5" xfId="0" applyNumberFormat="1" applyFont="1" applyFill="1" applyBorder="1" applyAlignment="1" applyProtection="1">
      <alignment horizontal="right"/>
      <protection hidden="1"/>
    </xf>
    <xf numFmtId="14" fontId="8" fillId="0" borderId="2" xfId="0" applyNumberFormat="1" applyFont="1" applyBorder="1" applyAlignment="1" applyProtection="1">
      <alignment horizontal="center"/>
      <protection hidden="1"/>
    </xf>
    <xf numFmtId="6" fontId="8" fillId="0" borderId="2" xfId="0" applyNumberFormat="1" applyFont="1" applyBorder="1" applyAlignment="1" applyProtection="1">
      <alignment horizontal="center"/>
      <protection hidden="1"/>
    </xf>
    <xf numFmtId="165" fontId="3" fillId="0" borderId="0" xfId="1" applyNumberFormat="1" applyFont="1" applyFill="1" applyBorder="1" applyAlignment="1" applyProtection="1">
      <alignment horizontal="center"/>
      <protection hidden="1"/>
    </xf>
    <xf numFmtId="173" fontId="3" fillId="3" borderId="7" xfId="0" applyNumberFormat="1" applyFont="1" applyFill="1" applyBorder="1" applyAlignment="1" applyProtection="1">
      <alignment horizontal="right"/>
      <protection hidden="1"/>
    </xf>
    <xf numFmtId="14" fontId="8" fillId="0" borderId="8" xfId="0" applyNumberFormat="1" applyFont="1" applyBorder="1" applyAlignment="1" applyProtection="1">
      <alignment horizontal="center"/>
      <protection hidden="1"/>
    </xf>
    <xf numFmtId="6" fontId="8" fillId="0" borderId="8" xfId="0" applyNumberFormat="1" applyFont="1" applyBorder="1" applyAlignment="1" applyProtection="1">
      <alignment horizontal="center"/>
      <protection hidden="1"/>
    </xf>
    <xf numFmtId="10" fontId="8" fillId="0" borderId="0" xfId="1" applyNumberFormat="1" applyFont="1" applyFill="1" applyBorder="1" applyAlignment="1" applyProtection="1">
      <alignment horizontal="center"/>
      <protection hidden="1"/>
    </xf>
    <xf numFmtId="10" fontId="8" fillId="0" borderId="2" xfId="0" applyNumberFormat="1" applyFont="1" applyBorder="1" applyAlignment="1" applyProtection="1">
      <alignment horizontal="center"/>
      <protection hidden="1"/>
    </xf>
    <xf numFmtId="172" fontId="8" fillId="0" borderId="0" xfId="1" applyNumberFormat="1" applyFont="1" applyFill="1" applyBorder="1" applyAlignment="1" applyProtection="1">
      <alignment horizontal="center"/>
      <protection hidden="1"/>
    </xf>
    <xf numFmtId="10" fontId="3" fillId="0" borderId="8" xfId="0" applyNumberFormat="1" applyFont="1" applyBorder="1" applyAlignment="1" applyProtection="1">
      <alignment horizontal="center"/>
      <protection hidden="1"/>
    </xf>
    <xf numFmtId="10" fontId="8" fillId="0" borderId="4" xfId="0" applyNumberFormat="1" applyFont="1" applyBorder="1" applyAlignment="1" applyProtection="1">
      <alignment horizontal="center"/>
      <protection hidden="1"/>
    </xf>
    <xf numFmtId="173" fontId="3" fillId="3" borderId="6" xfId="0" applyNumberFormat="1" applyFont="1" applyFill="1" applyBorder="1" applyAlignment="1" applyProtection="1">
      <alignment horizontal="right"/>
      <protection hidden="1"/>
    </xf>
    <xf numFmtId="14" fontId="8" fillId="0" borderId="4" xfId="0" applyNumberFormat="1" applyFont="1" applyBorder="1" applyAlignment="1" applyProtection="1">
      <alignment horizontal="center"/>
      <protection hidden="1"/>
    </xf>
    <xf numFmtId="6" fontId="8" fillId="0" borderId="4" xfId="0" applyNumberFormat="1" applyFont="1" applyBorder="1" applyAlignment="1" applyProtection="1">
      <alignment horizontal="center"/>
      <protection hidden="1"/>
    </xf>
    <xf numFmtId="10" fontId="8" fillId="0" borderId="14" xfId="0" applyNumberFormat="1" applyFont="1" applyBorder="1" applyAlignment="1" applyProtection="1">
      <alignment horizontal="center"/>
      <protection hidden="1"/>
    </xf>
    <xf numFmtId="10" fontId="3" fillId="0" borderId="4" xfId="0" applyNumberFormat="1" applyFont="1" applyBorder="1" applyAlignment="1" applyProtection="1">
      <alignment horizontal="center"/>
      <protection hidden="1"/>
    </xf>
    <xf numFmtId="173" fontId="2" fillId="2" borderId="3" xfId="0" applyNumberFormat="1" applyFont="1" applyFill="1" applyBorder="1" applyAlignment="1" applyProtection="1">
      <alignment horizontal="right"/>
      <protection hidden="1"/>
    </xf>
    <xf numFmtId="6" fontId="8" fillId="0" borderId="15" xfId="0" applyNumberFormat="1" applyFont="1" applyBorder="1" applyAlignment="1" applyProtection="1">
      <alignment horizontal="center"/>
      <protection hidden="1"/>
    </xf>
    <xf numFmtId="173" fontId="10" fillId="3" borderId="6" xfId="0" applyNumberFormat="1" applyFont="1" applyFill="1" applyBorder="1" applyAlignment="1" applyProtection="1">
      <alignment horizontal="right"/>
      <protection hidden="1"/>
    </xf>
    <xf numFmtId="14" fontId="9" fillId="0" borderId="4" xfId="0" applyNumberFormat="1" applyFont="1" applyBorder="1" applyAlignment="1" applyProtection="1">
      <alignment horizontal="center"/>
      <protection hidden="1"/>
    </xf>
    <xf numFmtId="6" fontId="9" fillId="0" borderId="4" xfId="0" applyNumberFormat="1" applyFont="1" applyBorder="1" applyAlignment="1" applyProtection="1">
      <alignment horizontal="center"/>
      <protection hidden="1"/>
    </xf>
    <xf numFmtId="0" fontId="2" fillId="2" borderId="12" xfId="0" applyFont="1" applyFill="1" applyBorder="1" applyProtection="1">
      <protection hidden="1"/>
    </xf>
    <xf numFmtId="38" fontId="1" fillId="0" borderId="9" xfId="0" applyNumberFormat="1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right"/>
      <protection hidden="1"/>
    </xf>
    <xf numFmtId="38" fontId="1" fillId="0" borderId="15" xfId="0" applyNumberFormat="1" applyFont="1" applyBorder="1" applyAlignment="1" applyProtection="1">
      <alignment horizontal="center"/>
      <protection hidden="1"/>
    </xf>
    <xf numFmtId="167" fontId="1" fillId="0" borderId="8" xfId="1" applyNumberFormat="1" applyFont="1" applyFill="1" applyBorder="1" applyAlignment="1" applyProtection="1">
      <alignment horizontal="center"/>
      <protection hidden="1"/>
    </xf>
    <xf numFmtId="167" fontId="1" fillId="0" borderId="0" xfId="1" applyNumberFormat="1" applyFont="1" applyBorder="1" applyAlignment="1" applyProtection="1">
      <alignment horizontal="center"/>
      <protection hidden="1"/>
    </xf>
    <xf numFmtId="38" fontId="1" fillId="4" borderId="5" xfId="0" applyNumberFormat="1" applyFont="1" applyFill="1" applyBorder="1" applyAlignment="1" applyProtection="1">
      <alignment horizontal="center"/>
      <protection hidden="1"/>
    </xf>
    <xf numFmtId="38" fontId="1" fillId="4" borderId="7" xfId="0" applyNumberFormat="1" applyFont="1" applyFill="1" applyBorder="1" applyAlignment="1" applyProtection="1">
      <alignment horizontal="center"/>
      <protection hidden="1"/>
    </xf>
    <xf numFmtId="170" fontId="1" fillId="0" borderId="0" xfId="1" applyNumberFormat="1" applyFont="1" applyAlignment="1" applyProtection="1">
      <alignment horizontal="center"/>
      <protection hidden="1"/>
    </xf>
    <xf numFmtId="38" fontId="6" fillId="4" borderId="15" xfId="0" applyNumberFormat="1" applyFont="1" applyFill="1" applyBorder="1" applyAlignment="1" applyProtection="1">
      <alignment horizontal="center"/>
      <protection hidden="1"/>
    </xf>
  </cellXfs>
  <cellStyles count="3">
    <cellStyle name="Normal" xfId="0" builtinId="0"/>
    <cellStyle name="Normal 2" xfId="2" xr:uid="{2D83300E-002C-43F4-A185-3B4E83FCA632}"/>
    <cellStyle name="Percent" xfId="1" builtinId="5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9D6D7198-E59E-4177-806C-5482B63989C1}"/>
  </tableStyles>
  <colors>
    <mruColors>
      <color rgb="FFFF9999"/>
      <color rgb="FFFCD8D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sti/Documents/Course%20Files/The%20Complete%20Guide%20To%20Investing%20In%20Retail%20Properties/492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%20Analysis/2003/2003%20Budgets%20and%20Reforecasting/2003%20budget%20templates/Wells%20University/Wells%20University%202003%20budget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9 BUDG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 Employee driven"/>
      <sheetName val="Temps"/>
      <sheetName val="Internal-nonEmployee driven"/>
      <sheetName val="Wells University-Internal"/>
      <sheetName val="MAPS driven"/>
      <sheetName val="External-nonMAPS driven"/>
      <sheetName val="Wells University-External"/>
      <sheetName val="DropZo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FE06-397A-44C1-9B6B-EC6FC7786DA2}">
  <dimension ref="A1:BA71"/>
  <sheetViews>
    <sheetView showGridLines="0" zoomScaleNormal="100" workbookViewId="0">
      <selection sqref="A1:AQ65"/>
    </sheetView>
  </sheetViews>
  <sheetFormatPr defaultColWidth="16.28515625" defaultRowHeight="13.5" x14ac:dyDescent="0.25"/>
  <cols>
    <col min="1" max="1" width="18.7109375" style="1" bestFit="1" customWidth="1"/>
    <col min="2" max="2" width="32" style="1" bestFit="1" customWidth="1"/>
    <col min="3" max="3" width="13.85546875" style="1" bestFit="1" customWidth="1"/>
    <col min="4" max="4" width="13.5703125" style="1" bestFit="1" customWidth="1"/>
    <col min="5" max="5" width="23.28515625" style="1" bestFit="1" customWidth="1"/>
    <col min="6" max="7" width="12.28515625" style="1" bestFit="1" customWidth="1"/>
    <col min="8" max="8" width="13.5703125" style="1" bestFit="1" customWidth="1"/>
    <col min="9" max="9" width="13.7109375" style="1" bestFit="1" customWidth="1"/>
    <col min="10" max="10" width="12.28515625" style="1" bestFit="1" customWidth="1"/>
    <col min="11" max="11" width="18.7109375" style="1" bestFit="1" customWidth="1"/>
    <col min="12" max="12" width="12.28515625" style="1" bestFit="1" customWidth="1"/>
    <col min="13" max="13" width="13.7109375" style="1" bestFit="1" customWidth="1"/>
    <col min="14" max="14" width="22.5703125" style="1" bestFit="1" customWidth="1"/>
    <col min="15" max="16" width="12.28515625" style="1" bestFit="1" customWidth="1"/>
    <col min="17" max="17" width="27.140625" style="1" bestFit="1" customWidth="1"/>
    <col min="18" max="20" width="12.28515625" style="1" bestFit="1" customWidth="1"/>
    <col min="21" max="21" width="13.7109375" style="1" bestFit="1" customWidth="1"/>
    <col min="22" max="24" width="12.28515625" style="1" bestFit="1" customWidth="1"/>
    <col min="25" max="25" width="13.7109375" style="1" bestFit="1" customWidth="1"/>
    <col min="26" max="28" width="12.28515625" style="1" bestFit="1" customWidth="1"/>
    <col min="29" max="29" width="13.7109375" style="1" bestFit="1" customWidth="1"/>
    <col min="30" max="32" width="12.28515625" style="1" bestFit="1" customWidth="1"/>
    <col min="33" max="33" width="13.7109375" style="1" bestFit="1" customWidth="1"/>
    <col min="34" max="36" width="12.28515625" style="1" bestFit="1" customWidth="1"/>
    <col min="37" max="37" width="13.7109375" style="1" bestFit="1" customWidth="1"/>
    <col min="38" max="40" width="12.28515625" style="1" bestFit="1" customWidth="1"/>
    <col min="41" max="41" width="13.7109375" style="1" bestFit="1" customWidth="1"/>
    <col min="42" max="43" width="12.28515625" style="1" bestFit="1" customWidth="1"/>
    <col min="44" max="16384" width="16.28515625" style="1"/>
  </cols>
  <sheetData>
    <row r="1" spans="1:53" x14ac:dyDescent="0.25">
      <c r="A1" s="10"/>
      <c r="B1" s="11" t="s">
        <v>0</v>
      </c>
      <c r="C1" s="12">
        <v>0.05</v>
      </c>
      <c r="D1" s="10"/>
      <c r="E1" s="11" t="s">
        <v>2</v>
      </c>
      <c r="F1" s="13">
        <f>XIRR(C16:AQ16,C13:AQ13)</f>
        <v>0.1400486052036285</v>
      </c>
      <c r="G1" s="10"/>
      <c r="H1" s="11" t="s">
        <v>4</v>
      </c>
      <c r="I1" s="13">
        <f>C50</f>
        <v>0.12038118243217466</v>
      </c>
      <c r="J1" s="10"/>
      <c r="K1" s="14" t="s">
        <v>43</v>
      </c>
      <c r="L1" s="15">
        <v>3500000</v>
      </c>
      <c r="M1" s="16"/>
      <c r="N1" s="14" t="s">
        <v>58</v>
      </c>
      <c r="O1" s="17">
        <v>0.65</v>
      </c>
      <c r="P1" s="10"/>
      <c r="Q1" s="18" t="s">
        <v>36</v>
      </c>
      <c r="R1" s="19">
        <v>1</v>
      </c>
      <c r="S1" s="20">
        <f>R1+1</f>
        <v>2</v>
      </c>
      <c r="T1" s="20">
        <f t="shared" ref="T1:AA1" si="0">S1+1</f>
        <v>3</v>
      </c>
      <c r="U1" s="20">
        <f t="shared" si="0"/>
        <v>4</v>
      </c>
      <c r="V1" s="20">
        <f t="shared" si="0"/>
        <v>5</v>
      </c>
      <c r="W1" s="20">
        <f t="shared" si="0"/>
        <v>6</v>
      </c>
      <c r="X1" s="20">
        <f t="shared" si="0"/>
        <v>7</v>
      </c>
      <c r="Y1" s="20">
        <f t="shared" si="0"/>
        <v>8</v>
      </c>
      <c r="Z1" s="20">
        <f t="shared" si="0"/>
        <v>9</v>
      </c>
      <c r="AA1" s="21">
        <f t="shared" si="0"/>
        <v>10</v>
      </c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53" x14ac:dyDescent="0.25">
      <c r="A2" s="10"/>
      <c r="B2" s="22" t="s">
        <v>1</v>
      </c>
      <c r="C2" s="23">
        <f>1-C1</f>
        <v>0.95</v>
      </c>
      <c r="D2" s="10"/>
      <c r="E2" s="24" t="s">
        <v>3</v>
      </c>
      <c r="F2" s="25">
        <f>SUMIF(C16:AQ16,"&gt;"&amp;0,C16:AQ16)/-SUMIF(C16:AQ16,"&lt;"&amp;0,C16:AQ16)</f>
        <v>2.937933760297442</v>
      </c>
      <c r="G2" s="10"/>
      <c r="H2" s="24" t="s">
        <v>5</v>
      </c>
      <c r="I2" s="25">
        <f t="shared" ref="I2:I3" si="1">C51</f>
        <v>2.5258988855206921</v>
      </c>
      <c r="J2" s="10"/>
      <c r="K2" s="14" t="s">
        <v>44</v>
      </c>
      <c r="L2" s="26">
        <v>0.06</v>
      </c>
      <c r="M2" s="16"/>
      <c r="N2" s="14" t="s">
        <v>61</v>
      </c>
      <c r="O2" s="27">
        <f>O1*L1</f>
        <v>2275000</v>
      </c>
      <c r="P2" s="10"/>
      <c r="Q2" s="28" t="s">
        <v>56</v>
      </c>
      <c r="R2" s="29">
        <f t="array" ref="R2">MAX(IF($C$12:$AQ$12=R1,$C$13:$AQ$13))-MAX(IF($C$12:$AQ$12=R1-1,$C$13:$AQ$13))</f>
        <v>366</v>
      </c>
      <c r="S2" s="30">
        <f t="array" ref="S2">MAX(IF($C$12:$AQ$12=S1,$C$13:$AQ$13))-MAX(IF($C$12:$AQ$12=S1-1,$C$13:$AQ$13))</f>
        <v>365</v>
      </c>
      <c r="T2" s="30">
        <f t="array" ref="T2">MAX(IF($C$12:$AQ$12=T1,$C$13:$AQ$13))-MAX(IF($C$12:$AQ$12=T1-1,$C$13:$AQ$13))</f>
        <v>365</v>
      </c>
      <c r="U2" s="30">
        <f t="array" ref="U2">MAX(IF($C$12:$AQ$12=U1,$C$13:$AQ$13))-MAX(IF($C$12:$AQ$12=U1-1,$C$13:$AQ$13))</f>
        <v>365</v>
      </c>
      <c r="V2" s="30">
        <f t="array" ref="V2">MAX(IF($C$12:$AQ$12=V1,$C$13:$AQ$13))-MAX(IF($C$12:$AQ$12=V1-1,$C$13:$AQ$13))</f>
        <v>366</v>
      </c>
      <c r="W2" s="30">
        <f t="array" ref="W2">MAX(IF($C$12:$AQ$12=W1,$C$13:$AQ$13))-MAX(IF($C$12:$AQ$12=W1-1,$C$13:$AQ$13))</f>
        <v>365</v>
      </c>
      <c r="X2" s="30">
        <f t="array" ref="X2">MAX(IF($C$12:$AQ$12=X1,$C$13:$AQ$13))-MAX(IF($C$12:$AQ$12=X1-1,$C$13:$AQ$13))</f>
        <v>365</v>
      </c>
      <c r="Y2" s="30">
        <f t="array" ref="Y2">MAX(IF($C$12:$AQ$12=Y1,$C$13:$AQ$13))-MAX(IF($C$12:$AQ$12=Y1-1,$C$13:$AQ$13))</f>
        <v>365</v>
      </c>
      <c r="Z2" s="30">
        <f t="array" ref="Z2">MAX(IF($C$12:$AQ$12=Z1,$C$13:$AQ$13))-MAX(IF($C$12:$AQ$12=Z1-1,$C$13:$AQ$13))</f>
        <v>366</v>
      </c>
      <c r="AA2" s="31">
        <f t="array" ref="AA2">MAX(IF($C$12:$AQ$12=AA1,$C$13:$AQ$13))-MAX(IF($C$12:$AQ$12=AA1-1,$C$13:$AQ$13))</f>
        <v>365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53" x14ac:dyDescent="0.25">
      <c r="A3" s="10"/>
      <c r="B3" s="10"/>
      <c r="C3" s="10"/>
      <c r="D3" s="10"/>
      <c r="E3" s="22" t="s">
        <v>94</v>
      </c>
      <c r="F3" s="32">
        <f>AVERAGEIF($R$1:$AA$1,"&lt;="&amp;$L$4,$R$4:$AA$4)</f>
        <v>8.6891326756070447E-2</v>
      </c>
      <c r="G3" s="10"/>
      <c r="H3" s="22" t="s">
        <v>95</v>
      </c>
      <c r="I3" s="32">
        <f t="shared" si="1"/>
        <v>7.835658390055443E-2</v>
      </c>
      <c r="J3" s="10"/>
      <c r="K3" s="14" t="s">
        <v>45</v>
      </c>
      <c r="L3" s="26">
        <v>0.03</v>
      </c>
      <c r="M3" s="16"/>
      <c r="N3" s="14" t="s">
        <v>59</v>
      </c>
      <c r="O3" s="26">
        <v>4.2500000000000003E-2</v>
      </c>
      <c r="P3" s="10"/>
      <c r="Q3" s="33" t="s">
        <v>96</v>
      </c>
      <c r="R3" s="34">
        <f>SUMIF($D$12:$AQ$12,R1,$D$26:$AQ$26)/SUMIF($C$12:$AQ$12,"&lt;="&amp;R1,$C$25:$AQ$25)</f>
        <v>6.1796252845143639E-2</v>
      </c>
      <c r="S3" s="35">
        <f t="shared" ref="S3:AA3" si="2">SUMIF($D$12:$AQ$12,S1,$D$26:$AQ$26)/SUMIF($C$12:$AQ$12,"&lt;="&amp;S1,$C$25:$AQ$25)</f>
        <v>6.6939109988000789E-2</v>
      </c>
      <c r="T3" s="35">
        <f t="shared" si="2"/>
        <v>7.0000000000000007E-2</v>
      </c>
      <c r="U3" s="35">
        <f t="shared" si="2"/>
        <v>7.0000000000000007E-2</v>
      </c>
      <c r="V3" s="35">
        <f t="shared" si="2"/>
        <v>7.0000000000000007E-2</v>
      </c>
      <c r="W3" s="35">
        <f t="shared" si="2"/>
        <v>7.0000000000000007E-2</v>
      </c>
      <c r="X3" s="35">
        <f t="shared" si="2"/>
        <v>7.0000000000000007E-2</v>
      </c>
      <c r="Y3" s="35">
        <f t="shared" si="2"/>
        <v>7.0000000000000007E-2</v>
      </c>
      <c r="Z3" s="35">
        <f t="shared" si="2"/>
        <v>7.0000000000000007E-2</v>
      </c>
      <c r="AA3" s="36">
        <f t="shared" si="2"/>
        <v>7.0000000000000007E-2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53" x14ac:dyDescent="0.25">
      <c r="A4" s="10"/>
      <c r="B4" s="37" t="s">
        <v>48</v>
      </c>
      <c r="C4" s="38">
        <v>7.0000000000000007E-2</v>
      </c>
      <c r="D4" s="10"/>
      <c r="E4" s="10"/>
      <c r="F4" s="10"/>
      <c r="G4" s="10"/>
      <c r="H4" s="10"/>
      <c r="I4" s="10"/>
      <c r="J4" s="10"/>
      <c r="K4" s="14" t="s">
        <v>47</v>
      </c>
      <c r="L4" s="39">
        <v>10</v>
      </c>
      <c r="M4" s="10"/>
      <c r="N4" s="14" t="s">
        <v>60</v>
      </c>
      <c r="O4" s="40">
        <v>360</v>
      </c>
      <c r="P4" s="10"/>
      <c r="Q4" s="33" t="s">
        <v>97</v>
      </c>
      <c r="R4" s="41">
        <f>SUMIF($D$12:$AQ$12,R1,$D$14:$AQ$14)/-SUMIFS($C$14:$AQ$14,$C$12:$AQ$12,"&lt;="&amp;R1,$C$14:$AQ$14,"&lt;"&amp;0)</f>
        <v>6.1796252845143639E-2</v>
      </c>
      <c r="S4" s="41">
        <f t="shared" ref="S4:AA4" si="3">SUMIF($D$12:$AQ$12,S1,$D$14:$AQ$14)/-SUMIFS($C$14:$AQ$14,$C$12:$AQ$12,"&lt;="&amp;S1,$C$14:$AQ$14,"&lt;"&amp;0)</f>
        <v>6.6939109988000775E-2</v>
      </c>
      <c r="T4" s="41">
        <f t="shared" si="3"/>
        <v>7.2236252845143636E-2</v>
      </c>
      <c r="U4" s="41">
        <f t="shared" si="3"/>
        <v>7.7692309988000793E-2</v>
      </c>
      <c r="V4" s="41">
        <f t="shared" si="3"/>
        <v>8.3312048845143621E-2</v>
      </c>
      <c r="W4" s="41">
        <f t="shared" si="3"/>
        <v>8.9100379868000748E-2</v>
      </c>
      <c r="X4" s="41">
        <f t="shared" si="3"/>
        <v>9.5062360821543623E-2</v>
      </c>
      <c r="Y4" s="41">
        <f t="shared" si="3"/>
        <v>0.10120320120369276</v>
      </c>
      <c r="Z4" s="41">
        <f t="shared" si="3"/>
        <v>0.10752826679730638</v>
      </c>
      <c r="AA4" s="42">
        <f t="shared" si="3"/>
        <v>0.11404308435872841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53" x14ac:dyDescent="0.25">
      <c r="A5" s="10"/>
      <c r="B5" s="10"/>
      <c r="C5" s="10"/>
      <c r="D5" s="10"/>
      <c r="E5" s="10"/>
      <c r="F5" s="10"/>
      <c r="G5" s="10"/>
      <c r="H5" s="11" t="s">
        <v>6</v>
      </c>
      <c r="I5" s="13">
        <f>C58</f>
        <v>0.31398575901985171</v>
      </c>
      <c r="J5" s="10"/>
      <c r="K5" s="14" t="s">
        <v>46</v>
      </c>
      <c r="L5" s="43">
        <v>6.5000000000000002E-2</v>
      </c>
      <c r="M5" s="16"/>
      <c r="N5" s="14" t="s">
        <v>62</v>
      </c>
      <c r="O5" s="27">
        <f>PMT(O3/12,O4,-O2,,0)</f>
        <v>11191.632522058253</v>
      </c>
      <c r="P5" s="10"/>
      <c r="Q5" s="33" t="s">
        <v>98</v>
      </c>
      <c r="R5" s="41">
        <f>(SUMIF($D$12:$AQ$12,R$1,$D$26:$AQ$26)+SUMIF($D$12:$AQ$12,R$1,$D$36:$AQ$36))/-SUMIF($C$12:$AQ$12,"&lt;="&amp;R$1,$C$20:$AQ$20)</f>
        <v>6.1796252845143639E-2</v>
      </c>
      <c r="S5" s="41">
        <f t="shared" ref="S5:AA5" si="4">(SUMIF($D$12:$AQ$12,S$1,$D$26:$AQ$26)+SUMIF($D$12:$AQ$12,S$1,$D$36:$AQ$36))/-SUMIF($C$12:$AQ$12,"&lt;="&amp;S$1,$C$20:$AQ$20)</f>
        <v>6.6939109988000789E-2</v>
      </c>
      <c r="T5" s="41">
        <f t="shared" si="4"/>
        <v>7.1176975181654528E-2</v>
      </c>
      <c r="U5" s="41">
        <f t="shared" si="4"/>
        <v>7.404858420421094E-2</v>
      </c>
      <c r="V5" s="41">
        <f t="shared" si="4"/>
        <v>7.7006341497444022E-2</v>
      </c>
      <c r="W5" s="41">
        <f t="shared" si="4"/>
        <v>8.0052831509474079E-2</v>
      </c>
      <c r="X5" s="41">
        <f t="shared" si="4"/>
        <v>8.3190716221865052E-2</v>
      </c>
      <c r="Y5" s="41">
        <f t="shared" si="4"/>
        <v>8.6422737475627759E-2</v>
      </c>
      <c r="Z5" s="41">
        <f t="shared" si="4"/>
        <v>8.9751719367003366E-2</v>
      </c>
      <c r="AA5" s="42">
        <f t="shared" si="4"/>
        <v>9.3180570715120203E-2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spans="1:53" x14ac:dyDescent="0.25">
      <c r="A6" s="10"/>
      <c r="B6" s="44" t="s">
        <v>57</v>
      </c>
      <c r="C6" s="19" t="s">
        <v>12</v>
      </c>
      <c r="D6" s="45" t="s">
        <v>13</v>
      </c>
      <c r="E6" s="10"/>
      <c r="F6" s="10"/>
      <c r="G6" s="10"/>
      <c r="H6" s="24" t="s">
        <v>7</v>
      </c>
      <c r="I6" s="25">
        <f t="shared" ref="I6:I7" si="5">C59</f>
        <v>10.766596381055695</v>
      </c>
      <c r="J6" s="10"/>
      <c r="K6" s="10"/>
      <c r="L6" s="10"/>
      <c r="M6" s="10"/>
      <c r="N6" s="46" t="s">
        <v>63</v>
      </c>
      <c r="O6" s="47">
        <f>O2+CUMPRINC(O3/12,O4,O2,1,L4*12,0)</f>
        <v>1807333.5835092743</v>
      </c>
      <c r="P6" s="10"/>
      <c r="Q6" s="48" t="s">
        <v>99</v>
      </c>
      <c r="R6" s="49">
        <f>(SUMIF($D$12:$AQ$12,R$1,$D$31:$AQ$31)+SUMIF($D$12:$AQ$12,R$1,$D$37:$AQ$37))/-SUMIF($C$12:$AQ$12,"&lt;="&amp;R$1,$C$19:$AQ$19)</f>
        <v>6.1796252845143645E-2</v>
      </c>
      <c r="S6" s="49">
        <f t="shared" ref="S6:AA6" si="6">(SUMIF($D$12:$AQ$12,S$1,$D$31:$AQ$31)+SUMIF($D$12:$AQ$12,S$1,$D$37:$AQ$37))/-SUMIF($C$12:$AQ$12,"&lt;="&amp;S$1,$C$19:$AQ$19)</f>
        <v>6.6939109988000789E-2</v>
      </c>
      <c r="T6" s="49">
        <f t="shared" si="6"/>
        <v>9.2362528451436277E-2</v>
      </c>
      <c r="U6" s="49">
        <f t="shared" si="6"/>
        <v>0.14692309988000779</v>
      </c>
      <c r="V6" s="49">
        <f t="shared" si="6"/>
        <v>0.2031204884514361</v>
      </c>
      <c r="W6" s="49">
        <f t="shared" si="6"/>
        <v>0.26100379868000734</v>
      </c>
      <c r="X6" s="49">
        <f t="shared" si="6"/>
        <v>0.32062360821543606</v>
      </c>
      <c r="Y6" s="49">
        <f t="shared" si="6"/>
        <v>0.38203201203692755</v>
      </c>
      <c r="Z6" s="49">
        <f t="shared" si="6"/>
        <v>0.44528266797306371</v>
      </c>
      <c r="AA6" s="50">
        <f t="shared" si="6"/>
        <v>0.51043084358728397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53" x14ac:dyDescent="0.25">
      <c r="A7" s="10"/>
      <c r="B7" s="28" t="s">
        <v>55</v>
      </c>
      <c r="C7" s="51">
        <v>0.05</v>
      </c>
      <c r="D7" s="52">
        <f>1-C7</f>
        <v>0.95</v>
      </c>
      <c r="E7" s="10"/>
      <c r="F7" s="10"/>
      <c r="G7" s="10"/>
      <c r="H7" s="24" t="s">
        <v>100</v>
      </c>
      <c r="I7" s="53">
        <f t="shared" si="5"/>
        <v>0.24905144101087434</v>
      </c>
      <c r="J7" s="10"/>
      <c r="K7" s="10"/>
      <c r="L7" s="10"/>
      <c r="M7" s="10"/>
      <c r="N7" s="10"/>
      <c r="O7" s="10"/>
      <c r="P7" s="54"/>
      <c r="Q7" s="5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1:53" x14ac:dyDescent="0.25">
      <c r="A8" s="10"/>
      <c r="B8" s="55" t="s">
        <v>54</v>
      </c>
      <c r="C8" s="56">
        <v>0.5</v>
      </c>
      <c r="D8" s="57">
        <f>1-C8</f>
        <v>0.5</v>
      </c>
      <c r="E8" s="10"/>
      <c r="F8" s="10"/>
      <c r="G8" s="10"/>
      <c r="H8" s="22" t="s">
        <v>8</v>
      </c>
      <c r="I8" s="58">
        <f>C65</f>
        <v>479505.58552144293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53" x14ac:dyDescent="0.25">
      <c r="A9" s="10"/>
      <c r="B9" s="59" t="s">
        <v>51</v>
      </c>
      <c r="C9" s="60" t="s">
        <v>66</v>
      </c>
      <c r="D9" s="61" t="s">
        <v>67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53" x14ac:dyDescent="0.25">
      <c r="A10" s="10"/>
      <c r="B10" s="55" t="s">
        <v>50</v>
      </c>
      <c r="C10" s="56">
        <v>0.2</v>
      </c>
      <c r="D10" s="57">
        <f>1-C10</f>
        <v>0.8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53" x14ac:dyDescent="0.25">
      <c r="A11" s="10"/>
      <c r="B11" s="10"/>
      <c r="C11" s="10"/>
      <c r="D11" s="10"/>
      <c r="E11" s="54"/>
      <c r="F11" s="54"/>
      <c r="G11" s="54"/>
      <c r="H11" s="54"/>
      <c r="I11" s="54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62"/>
      <c r="Z11" s="10"/>
      <c r="AA11" s="10"/>
      <c r="AB11" s="10"/>
      <c r="AC11" s="10"/>
      <c r="AD11" s="10"/>
      <c r="AE11" s="10"/>
      <c r="AF11" s="10"/>
      <c r="AG11" s="62"/>
      <c r="AH11" s="10"/>
      <c r="AI11" s="10"/>
      <c r="AJ11" s="10"/>
      <c r="AK11" s="10"/>
      <c r="AL11" s="10"/>
      <c r="AM11" s="10"/>
      <c r="AN11" s="10"/>
      <c r="AO11" s="62"/>
      <c r="AP11" s="10"/>
      <c r="AQ11" s="10"/>
    </row>
    <row r="12" spans="1:53" x14ac:dyDescent="0.25">
      <c r="A12" s="10"/>
      <c r="B12" s="63" t="s">
        <v>36</v>
      </c>
      <c r="C12" s="64">
        <v>0</v>
      </c>
      <c r="D12" s="65">
        <v>1</v>
      </c>
      <c r="E12" s="65">
        <v>1</v>
      </c>
      <c r="F12" s="65">
        <v>1</v>
      </c>
      <c r="G12" s="65">
        <v>1</v>
      </c>
      <c r="H12" s="65">
        <f>D12+1</f>
        <v>2</v>
      </c>
      <c r="I12" s="65">
        <f t="shared" ref="I12:AQ12" si="7">E12+1</f>
        <v>2</v>
      </c>
      <c r="J12" s="65">
        <f t="shared" si="7"/>
        <v>2</v>
      </c>
      <c r="K12" s="65">
        <f t="shared" si="7"/>
        <v>2</v>
      </c>
      <c r="L12" s="65">
        <f t="shared" si="7"/>
        <v>3</v>
      </c>
      <c r="M12" s="65">
        <f t="shared" si="7"/>
        <v>3</v>
      </c>
      <c r="N12" s="65">
        <f t="shared" si="7"/>
        <v>3</v>
      </c>
      <c r="O12" s="65">
        <f t="shared" si="7"/>
        <v>3</v>
      </c>
      <c r="P12" s="65">
        <f t="shared" si="7"/>
        <v>4</v>
      </c>
      <c r="Q12" s="65">
        <f t="shared" si="7"/>
        <v>4</v>
      </c>
      <c r="R12" s="65">
        <f t="shared" si="7"/>
        <v>4</v>
      </c>
      <c r="S12" s="65">
        <f t="shared" si="7"/>
        <v>4</v>
      </c>
      <c r="T12" s="65">
        <f t="shared" si="7"/>
        <v>5</v>
      </c>
      <c r="U12" s="65">
        <f t="shared" si="7"/>
        <v>5</v>
      </c>
      <c r="V12" s="65">
        <f t="shared" si="7"/>
        <v>5</v>
      </c>
      <c r="W12" s="65">
        <f t="shared" si="7"/>
        <v>5</v>
      </c>
      <c r="X12" s="65">
        <f t="shared" si="7"/>
        <v>6</v>
      </c>
      <c r="Y12" s="65">
        <f t="shared" si="7"/>
        <v>6</v>
      </c>
      <c r="Z12" s="65">
        <f t="shared" si="7"/>
        <v>6</v>
      </c>
      <c r="AA12" s="65">
        <f t="shared" si="7"/>
        <v>6</v>
      </c>
      <c r="AB12" s="65">
        <f t="shared" si="7"/>
        <v>7</v>
      </c>
      <c r="AC12" s="65">
        <f t="shared" si="7"/>
        <v>7</v>
      </c>
      <c r="AD12" s="65">
        <f t="shared" si="7"/>
        <v>7</v>
      </c>
      <c r="AE12" s="65">
        <f t="shared" si="7"/>
        <v>7</v>
      </c>
      <c r="AF12" s="65">
        <f t="shared" si="7"/>
        <v>8</v>
      </c>
      <c r="AG12" s="65">
        <f t="shared" si="7"/>
        <v>8</v>
      </c>
      <c r="AH12" s="65">
        <f t="shared" si="7"/>
        <v>8</v>
      </c>
      <c r="AI12" s="65">
        <f t="shared" si="7"/>
        <v>8</v>
      </c>
      <c r="AJ12" s="65">
        <f t="shared" si="7"/>
        <v>9</v>
      </c>
      <c r="AK12" s="65">
        <f t="shared" si="7"/>
        <v>9</v>
      </c>
      <c r="AL12" s="65">
        <f t="shared" si="7"/>
        <v>9</v>
      </c>
      <c r="AM12" s="65">
        <f t="shared" si="7"/>
        <v>9</v>
      </c>
      <c r="AN12" s="65">
        <f t="shared" si="7"/>
        <v>10</v>
      </c>
      <c r="AO12" s="65">
        <f t="shared" si="7"/>
        <v>10</v>
      </c>
      <c r="AP12" s="65">
        <f t="shared" si="7"/>
        <v>10</v>
      </c>
      <c r="AQ12" s="66">
        <f t="shared" si="7"/>
        <v>10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A13" s="10"/>
      <c r="B13" s="67" t="s">
        <v>14</v>
      </c>
      <c r="C13" s="68">
        <v>43646</v>
      </c>
      <c r="D13" s="68">
        <f>EOMONTH(C13,3)</f>
        <v>43738</v>
      </c>
      <c r="E13" s="68">
        <f t="shared" ref="E13:AQ13" si="8">EOMONTH(D13,3)</f>
        <v>43830</v>
      </c>
      <c r="F13" s="68">
        <f t="shared" si="8"/>
        <v>43921</v>
      </c>
      <c r="G13" s="68">
        <f t="shared" si="8"/>
        <v>44012</v>
      </c>
      <c r="H13" s="68">
        <f t="shared" si="8"/>
        <v>44104</v>
      </c>
      <c r="I13" s="68">
        <f t="shared" si="8"/>
        <v>44196</v>
      </c>
      <c r="J13" s="68">
        <f t="shared" si="8"/>
        <v>44286</v>
      </c>
      <c r="K13" s="68">
        <f t="shared" si="8"/>
        <v>44377</v>
      </c>
      <c r="L13" s="68">
        <f t="shared" si="8"/>
        <v>44469</v>
      </c>
      <c r="M13" s="68">
        <f t="shared" si="8"/>
        <v>44561</v>
      </c>
      <c r="N13" s="68">
        <f t="shared" si="8"/>
        <v>44651</v>
      </c>
      <c r="O13" s="68">
        <f t="shared" si="8"/>
        <v>44742</v>
      </c>
      <c r="P13" s="68">
        <f t="shared" si="8"/>
        <v>44834</v>
      </c>
      <c r="Q13" s="68">
        <f t="shared" si="8"/>
        <v>44926</v>
      </c>
      <c r="R13" s="68">
        <f t="shared" si="8"/>
        <v>45016</v>
      </c>
      <c r="S13" s="68">
        <f t="shared" si="8"/>
        <v>45107</v>
      </c>
      <c r="T13" s="68">
        <f t="shared" si="8"/>
        <v>45199</v>
      </c>
      <c r="U13" s="68">
        <f t="shared" si="8"/>
        <v>45291</v>
      </c>
      <c r="V13" s="68">
        <f t="shared" si="8"/>
        <v>45382</v>
      </c>
      <c r="W13" s="68">
        <f t="shared" si="8"/>
        <v>45473</v>
      </c>
      <c r="X13" s="68">
        <f t="shared" si="8"/>
        <v>45565</v>
      </c>
      <c r="Y13" s="68">
        <f t="shared" si="8"/>
        <v>45657</v>
      </c>
      <c r="Z13" s="68">
        <f t="shared" si="8"/>
        <v>45747</v>
      </c>
      <c r="AA13" s="68">
        <f t="shared" si="8"/>
        <v>45838</v>
      </c>
      <c r="AB13" s="68">
        <f t="shared" si="8"/>
        <v>45930</v>
      </c>
      <c r="AC13" s="68">
        <f t="shared" si="8"/>
        <v>46022</v>
      </c>
      <c r="AD13" s="68">
        <f t="shared" si="8"/>
        <v>46112</v>
      </c>
      <c r="AE13" s="68">
        <f t="shared" si="8"/>
        <v>46203</v>
      </c>
      <c r="AF13" s="68">
        <f t="shared" si="8"/>
        <v>46295</v>
      </c>
      <c r="AG13" s="68">
        <f t="shared" si="8"/>
        <v>46387</v>
      </c>
      <c r="AH13" s="68">
        <f t="shared" si="8"/>
        <v>46477</v>
      </c>
      <c r="AI13" s="68">
        <f t="shared" si="8"/>
        <v>46568</v>
      </c>
      <c r="AJ13" s="68">
        <f t="shared" si="8"/>
        <v>46660</v>
      </c>
      <c r="AK13" s="68">
        <f t="shared" si="8"/>
        <v>46752</v>
      </c>
      <c r="AL13" s="68">
        <f t="shared" si="8"/>
        <v>46843</v>
      </c>
      <c r="AM13" s="68">
        <f t="shared" si="8"/>
        <v>46934</v>
      </c>
      <c r="AN13" s="68">
        <f t="shared" si="8"/>
        <v>47026</v>
      </c>
      <c r="AO13" s="68">
        <f t="shared" si="8"/>
        <v>47118</v>
      </c>
      <c r="AP13" s="68">
        <f t="shared" si="8"/>
        <v>47208</v>
      </c>
      <c r="AQ13" s="69">
        <f t="shared" si="8"/>
        <v>47299</v>
      </c>
    </row>
    <row r="14" spans="1:53" x14ac:dyDescent="0.25">
      <c r="A14" s="10"/>
      <c r="B14" s="28" t="s">
        <v>53</v>
      </c>
      <c r="C14" s="70">
        <f>-(L1-O2)</f>
        <v>-1225000</v>
      </c>
      <c r="D14" s="71">
        <f>IF(D12&gt;$L$4,0,$L$1*$L$2*(1+$L$3)^(D12-1)/4-$O$5*3)</f>
        <v>18925.102433825239</v>
      </c>
      <c r="E14" s="71">
        <f t="shared" ref="E14:AQ14" si="9">IF(E12&gt;$L$4,0,$L$1*$L$2*(1+$L$3)^(E12-1)/4-$O$5*3)</f>
        <v>18925.102433825239</v>
      </c>
      <c r="F14" s="71">
        <f t="shared" si="9"/>
        <v>18925.102433825239</v>
      </c>
      <c r="G14" s="71">
        <f t="shared" si="9"/>
        <v>18925.102433825239</v>
      </c>
      <c r="H14" s="71">
        <f t="shared" si="9"/>
        <v>20500.102433825239</v>
      </c>
      <c r="I14" s="71">
        <f t="shared" si="9"/>
        <v>20500.102433825239</v>
      </c>
      <c r="J14" s="71">
        <f t="shared" si="9"/>
        <v>20500.102433825239</v>
      </c>
      <c r="K14" s="71">
        <f t="shared" si="9"/>
        <v>20500.102433825239</v>
      </c>
      <c r="L14" s="71">
        <f t="shared" si="9"/>
        <v>22122.352433825239</v>
      </c>
      <c r="M14" s="71">
        <f t="shared" si="9"/>
        <v>22122.352433825239</v>
      </c>
      <c r="N14" s="71">
        <f t="shared" si="9"/>
        <v>22122.352433825239</v>
      </c>
      <c r="O14" s="71">
        <f t="shared" si="9"/>
        <v>22122.352433825239</v>
      </c>
      <c r="P14" s="71">
        <f t="shared" si="9"/>
        <v>23793.269933825242</v>
      </c>
      <c r="Q14" s="71">
        <f t="shared" si="9"/>
        <v>23793.269933825242</v>
      </c>
      <c r="R14" s="71">
        <f t="shared" si="9"/>
        <v>23793.269933825242</v>
      </c>
      <c r="S14" s="71">
        <f t="shared" si="9"/>
        <v>23793.269933825242</v>
      </c>
      <c r="T14" s="71">
        <f t="shared" si="9"/>
        <v>25514.314958825234</v>
      </c>
      <c r="U14" s="71">
        <f t="shared" si="9"/>
        <v>25514.314958825234</v>
      </c>
      <c r="V14" s="71">
        <f t="shared" si="9"/>
        <v>25514.314958825234</v>
      </c>
      <c r="W14" s="71">
        <f t="shared" si="9"/>
        <v>25514.314958825234</v>
      </c>
      <c r="X14" s="71">
        <f t="shared" si="9"/>
        <v>27286.991334575228</v>
      </c>
      <c r="Y14" s="71">
        <f t="shared" si="9"/>
        <v>27286.991334575228</v>
      </c>
      <c r="Z14" s="71">
        <f t="shared" si="9"/>
        <v>27286.991334575228</v>
      </c>
      <c r="AA14" s="71">
        <f t="shared" si="9"/>
        <v>27286.991334575228</v>
      </c>
      <c r="AB14" s="71">
        <f t="shared" si="9"/>
        <v>29112.848001597733</v>
      </c>
      <c r="AC14" s="71">
        <f t="shared" si="9"/>
        <v>29112.848001597733</v>
      </c>
      <c r="AD14" s="71">
        <f t="shared" si="9"/>
        <v>29112.848001597733</v>
      </c>
      <c r="AE14" s="71">
        <f t="shared" si="9"/>
        <v>29112.848001597733</v>
      </c>
      <c r="AF14" s="71">
        <f t="shared" si="9"/>
        <v>30993.48036863091</v>
      </c>
      <c r="AG14" s="71">
        <f t="shared" si="9"/>
        <v>30993.48036863091</v>
      </c>
      <c r="AH14" s="71">
        <f t="shared" si="9"/>
        <v>30993.48036863091</v>
      </c>
      <c r="AI14" s="71">
        <f t="shared" si="9"/>
        <v>30993.48036863091</v>
      </c>
      <c r="AJ14" s="71">
        <f t="shared" si="9"/>
        <v>32930.531706675079</v>
      </c>
      <c r="AK14" s="71">
        <f t="shared" si="9"/>
        <v>32930.531706675079</v>
      </c>
      <c r="AL14" s="71">
        <f t="shared" si="9"/>
        <v>32930.531706675079</v>
      </c>
      <c r="AM14" s="71">
        <f t="shared" si="9"/>
        <v>32930.531706675079</v>
      </c>
      <c r="AN14" s="71">
        <f t="shared" si="9"/>
        <v>34925.694584860576</v>
      </c>
      <c r="AO14" s="71">
        <f t="shared" si="9"/>
        <v>34925.694584860576</v>
      </c>
      <c r="AP14" s="71">
        <f t="shared" si="9"/>
        <v>34925.694584860576</v>
      </c>
      <c r="AQ14" s="72">
        <f t="shared" si="9"/>
        <v>34925.694584860576</v>
      </c>
    </row>
    <row r="15" spans="1:53" x14ac:dyDescent="0.25">
      <c r="A15" s="10"/>
      <c r="B15" s="73" t="s">
        <v>52</v>
      </c>
      <c r="C15" s="74">
        <v>0</v>
      </c>
      <c r="D15" s="75">
        <f>IF(AND(D12=$L$4,E12-D12&lt;&gt;0),$L$1*$L$2*(1+$L$3)^D12/$L$5-$O$6,0)</f>
        <v>0</v>
      </c>
      <c r="E15" s="75">
        <f t="shared" ref="E15:AQ15" si="10">IF(AND(E12=$L$4,F12-E12&lt;&gt;0),$L$1*$L$2*(1+$L$3)^E12/$L$5-$O$6,0)</f>
        <v>0</v>
      </c>
      <c r="F15" s="75">
        <f t="shared" si="10"/>
        <v>0</v>
      </c>
      <c r="G15" s="75">
        <f t="shared" si="10"/>
        <v>0</v>
      </c>
      <c r="H15" s="75">
        <f t="shared" si="10"/>
        <v>0</v>
      </c>
      <c r="I15" s="75">
        <f t="shared" si="10"/>
        <v>0</v>
      </c>
      <c r="J15" s="75">
        <f t="shared" si="10"/>
        <v>0</v>
      </c>
      <c r="K15" s="75">
        <f t="shared" si="10"/>
        <v>0</v>
      </c>
      <c r="L15" s="75">
        <f t="shared" si="10"/>
        <v>0</v>
      </c>
      <c r="M15" s="75">
        <f t="shared" si="10"/>
        <v>0</v>
      </c>
      <c r="N15" s="75">
        <f t="shared" si="10"/>
        <v>0</v>
      </c>
      <c r="O15" s="75">
        <f t="shared" si="10"/>
        <v>0</v>
      </c>
      <c r="P15" s="75">
        <f t="shared" si="10"/>
        <v>0</v>
      </c>
      <c r="Q15" s="75">
        <f t="shared" si="10"/>
        <v>0</v>
      </c>
      <c r="R15" s="75">
        <f t="shared" si="10"/>
        <v>0</v>
      </c>
      <c r="S15" s="75">
        <f t="shared" si="10"/>
        <v>0</v>
      </c>
      <c r="T15" s="75">
        <f t="shared" si="10"/>
        <v>0</v>
      </c>
      <c r="U15" s="75">
        <f t="shared" si="10"/>
        <v>0</v>
      </c>
      <c r="V15" s="75">
        <f t="shared" si="10"/>
        <v>0</v>
      </c>
      <c r="W15" s="75">
        <f t="shared" si="10"/>
        <v>0</v>
      </c>
      <c r="X15" s="75">
        <f t="shared" si="10"/>
        <v>0</v>
      </c>
      <c r="Y15" s="75">
        <f t="shared" si="10"/>
        <v>0</v>
      </c>
      <c r="Z15" s="75">
        <f t="shared" si="10"/>
        <v>0</v>
      </c>
      <c r="AA15" s="75">
        <f t="shared" si="10"/>
        <v>0</v>
      </c>
      <c r="AB15" s="75">
        <f t="shared" si="10"/>
        <v>0</v>
      </c>
      <c r="AC15" s="75">
        <f t="shared" si="10"/>
        <v>0</v>
      </c>
      <c r="AD15" s="75">
        <f t="shared" si="10"/>
        <v>0</v>
      </c>
      <c r="AE15" s="75">
        <f t="shared" si="10"/>
        <v>0</v>
      </c>
      <c r="AF15" s="75">
        <f t="shared" si="10"/>
        <v>0</v>
      </c>
      <c r="AG15" s="75">
        <f t="shared" si="10"/>
        <v>0</v>
      </c>
      <c r="AH15" s="75">
        <f t="shared" si="10"/>
        <v>0</v>
      </c>
      <c r="AI15" s="75">
        <f t="shared" si="10"/>
        <v>0</v>
      </c>
      <c r="AJ15" s="75">
        <f t="shared" si="10"/>
        <v>0</v>
      </c>
      <c r="AK15" s="75">
        <f t="shared" si="10"/>
        <v>0</v>
      </c>
      <c r="AL15" s="75">
        <f t="shared" si="10"/>
        <v>0</v>
      </c>
      <c r="AM15" s="75">
        <f t="shared" si="10"/>
        <v>0</v>
      </c>
      <c r="AN15" s="75">
        <f t="shared" si="10"/>
        <v>0</v>
      </c>
      <c r="AO15" s="75">
        <f t="shared" si="10"/>
        <v>0</v>
      </c>
      <c r="AP15" s="75">
        <f t="shared" si="10"/>
        <v>0</v>
      </c>
      <c r="AQ15" s="76">
        <f t="shared" si="10"/>
        <v>2534550.1036025039</v>
      </c>
    </row>
    <row r="16" spans="1:53" x14ac:dyDescent="0.25">
      <c r="A16" s="10"/>
      <c r="B16" s="77" t="s">
        <v>16</v>
      </c>
      <c r="C16" s="78">
        <f>SUM(C14:C15)</f>
        <v>-1225000</v>
      </c>
      <c r="D16" s="79">
        <f t="shared" ref="D16:AQ16" si="11">SUM(D14:D15)</f>
        <v>18925.102433825239</v>
      </c>
      <c r="E16" s="79">
        <f t="shared" si="11"/>
        <v>18925.102433825239</v>
      </c>
      <c r="F16" s="79">
        <f t="shared" si="11"/>
        <v>18925.102433825239</v>
      </c>
      <c r="G16" s="79">
        <f t="shared" si="11"/>
        <v>18925.102433825239</v>
      </c>
      <c r="H16" s="79">
        <f t="shared" si="11"/>
        <v>20500.102433825239</v>
      </c>
      <c r="I16" s="79">
        <f t="shared" si="11"/>
        <v>20500.102433825239</v>
      </c>
      <c r="J16" s="79">
        <f t="shared" si="11"/>
        <v>20500.102433825239</v>
      </c>
      <c r="K16" s="79">
        <f t="shared" si="11"/>
        <v>20500.102433825239</v>
      </c>
      <c r="L16" s="79">
        <f t="shared" si="11"/>
        <v>22122.352433825239</v>
      </c>
      <c r="M16" s="79">
        <f t="shared" si="11"/>
        <v>22122.352433825239</v>
      </c>
      <c r="N16" s="79">
        <f t="shared" si="11"/>
        <v>22122.352433825239</v>
      </c>
      <c r="O16" s="79">
        <f t="shared" si="11"/>
        <v>22122.352433825239</v>
      </c>
      <c r="P16" s="79">
        <f t="shared" si="11"/>
        <v>23793.269933825242</v>
      </c>
      <c r="Q16" s="79">
        <f t="shared" si="11"/>
        <v>23793.269933825242</v>
      </c>
      <c r="R16" s="79">
        <f t="shared" si="11"/>
        <v>23793.269933825242</v>
      </c>
      <c r="S16" s="79">
        <f t="shared" si="11"/>
        <v>23793.269933825242</v>
      </c>
      <c r="T16" s="79">
        <f t="shared" si="11"/>
        <v>25514.314958825234</v>
      </c>
      <c r="U16" s="79">
        <f t="shared" si="11"/>
        <v>25514.314958825234</v>
      </c>
      <c r="V16" s="79">
        <f t="shared" si="11"/>
        <v>25514.314958825234</v>
      </c>
      <c r="W16" s="79">
        <f t="shared" si="11"/>
        <v>25514.314958825234</v>
      </c>
      <c r="X16" s="79">
        <f t="shared" si="11"/>
        <v>27286.991334575228</v>
      </c>
      <c r="Y16" s="79">
        <f t="shared" si="11"/>
        <v>27286.991334575228</v>
      </c>
      <c r="Z16" s="79">
        <f t="shared" si="11"/>
        <v>27286.991334575228</v>
      </c>
      <c r="AA16" s="79">
        <f t="shared" si="11"/>
        <v>27286.991334575228</v>
      </c>
      <c r="AB16" s="79">
        <f t="shared" si="11"/>
        <v>29112.848001597733</v>
      </c>
      <c r="AC16" s="79">
        <f t="shared" si="11"/>
        <v>29112.848001597733</v>
      </c>
      <c r="AD16" s="79">
        <f t="shared" si="11"/>
        <v>29112.848001597733</v>
      </c>
      <c r="AE16" s="79">
        <f t="shared" si="11"/>
        <v>29112.848001597733</v>
      </c>
      <c r="AF16" s="79">
        <f t="shared" si="11"/>
        <v>30993.48036863091</v>
      </c>
      <c r="AG16" s="79">
        <f t="shared" si="11"/>
        <v>30993.48036863091</v>
      </c>
      <c r="AH16" s="79">
        <f t="shared" si="11"/>
        <v>30993.48036863091</v>
      </c>
      <c r="AI16" s="79">
        <f t="shared" si="11"/>
        <v>30993.48036863091</v>
      </c>
      <c r="AJ16" s="79">
        <f t="shared" si="11"/>
        <v>32930.531706675079</v>
      </c>
      <c r="AK16" s="79">
        <f t="shared" si="11"/>
        <v>32930.531706675079</v>
      </c>
      <c r="AL16" s="79">
        <f t="shared" si="11"/>
        <v>32930.531706675079</v>
      </c>
      <c r="AM16" s="79">
        <f t="shared" si="11"/>
        <v>32930.531706675079</v>
      </c>
      <c r="AN16" s="79">
        <f t="shared" si="11"/>
        <v>34925.694584860576</v>
      </c>
      <c r="AO16" s="79">
        <f t="shared" si="11"/>
        <v>34925.694584860576</v>
      </c>
      <c r="AP16" s="79">
        <f t="shared" si="11"/>
        <v>34925.694584860576</v>
      </c>
      <c r="AQ16" s="80">
        <f t="shared" si="11"/>
        <v>2569475.7981873644</v>
      </c>
    </row>
    <row r="17" spans="1:43" x14ac:dyDescent="0.25">
      <c r="A17" s="10"/>
      <c r="B17" s="81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3"/>
    </row>
    <row r="18" spans="1:43" x14ac:dyDescent="0.25">
      <c r="A18" s="10"/>
      <c r="B18" s="18" t="s">
        <v>17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5"/>
    </row>
    <row r="19" spans="1:43" x14ac:dyDescent="0.25">
      <c r="A19" s="10"/>
      <c r="B19" s="28" t="s">
        <v>18</v>
      </c>
      <c r="C19" s="70">
        <f>IF(C$16&lt;0,C$16*$C1,0)</f>
        <v>-61250</v>
      </c>
      <c r="D19" s="71">
        <f t="shared" ref="D19:AQ19" si="12">IF(D$16&lt;0,D$16*$C1,0)</f>
        <v>0</v>
      </c>
      <c r="E19" s="71">
        <f t="shared" si="12"/>
        <v>0</v>
      </c>
      <c r="F19" s="71">
        <f t="shared" si="12"/>
        <v>0</v>
      </c>
      <c r="G19" s="71">
        <f t="shared" si="12"/>
        <v>0</v>
      </c>
      <c r="H19" s="71">
        <f t="shared" si="12"/>
        <v>0</v>
      </c>
      <c r="I19" s="71">
        <f t="shared" si="12"/>
        <v>0</v>
      </c>
      <c r="J19" s="71">
        <f t="shared" si="12"/>
        <v>0</v>
      </c>
      <c r="K19" s="71">
        <f t="shared" si="12"/>
        <v>0</v>
      </c>
      <c r="L19" s="71">
        <f t="shared" si="12"/>
        <v>0</v>
      </c>
      <c r="M19" s="71">
        <f t="shared" si="12"/>
        <v>0</v>
      </c>
      <c r="N19" s="71">
        <f t="shared" si="12"/>
        <v>0</v>
      </c>
      <c r="O19" s="71">
        <f t="shared" si="12"/>
        <v>0</v>
      </c>
      <c r="P19" s="71">
        <f t="shared" si="12"/>
        <v>0</v>
      </c>
      <c r="Q19" s="71">
        <f t="shared" si="12"/>
        <v>0</v>
      </c>
      <c r="R19" s="71">
        <f t="shared" si="12"/>
        <v>0</v>
      </c>
      <c r="S19" s="71">
        <f t="shared" si="12"/>
        <v>0</v>
      </c>
      <c r="T19" s="71">
        <f t="shared" si="12"/>
        <v>0</v>
      </c>
      <c r="U19" s="71">
        <f t="shared" si="12"/>
        <v>0</v>
      </c>
      <c r="V19" s="71">
        <f t="shared" si="12"/>
        <v>0</v>
      </c>
      <c r="W19" s="71">
        <f t="shared" si="12"/>
        <v>0</v>
      </c>
      <c r="X19" s="71">
        <f t="shared" si="12"/>
        <v>0</v>
      </c>
      <c r="Y19" s="71">
        <f t="shared" si="12"/>
        <v>0</v>
      </c>
      <c r="Z19" s="71">
        <f t="shared" si="12"/>
        <v>0</v>
      </c>
      <c r="AA19" s="71">
        <f t="shared" si="12"/>
        <v>0</v>
      </c>
      <c r="AB19" s="71">
        <f t="shared" si="12"/>
        <v>0</v>
      </c>
      <c r="AC19" s="71">
        <f t="shared" si="12"/>
        <v>0</v>
      </c>
      <c r="AD19" s="71">
        <f t="shared" si="12"/>
        <v>0</v>
      </c>
      <c r="AE19" s="71">
        <f t="shared" si="12"/>
        <v>0</v>
      </c>
      <c r="AF19" s="71">
        <f t="shared" si="12"/>
        <v>0</v>
      </c>
      <c r="AG19" s="71">
        <f t="shared" si="12"/>
        <v>0</v>
      </c>
      <c r="AH19" s="71">
        <f t="shared" si="12"/>
        <v>0</v>
      </c>
      <c r="AI19" s="71">
        <f t="shared" si="12"/>
        <v>0</v>
      </c>
      <c r="AJ19" s="71">
        <f t="shared" si="12"/>
        <v>0</v>
      </c>
      <c r="AK19" s="71">
        <f t="shared" si="12"/>
        <v>0</v>
      </c>
      <c r="AL19" s="71">
        <f t="shared" si="12"/>
        <v>0</v>
      </c>
      <c r="AM19" s="71">
        <f t="shared" si="12"/>
        <v>0</v>
      </c>
      <c r="AN19" s="71">
        <f t="shared" si="12"/>
        <v>0</v>
      </c>
      <c r="AO19" s="71">
        <f t="shared" si="12"/>
        <v>0</v>
      </c>
      <c r="AP19" s="71">
        <f t="shared" si="12"/>
        <v>0</v>
      </c>
      <c r="AQ19" s="72">
        <f t="shared" si="12"/>
        <v>0</v>
      </c>
    </row>
    <row r="20" spans="1:43" x14ac:dyDescent="0.25">
      <c r="A20" s="10"/>
      <c r="B20" s="55" t="s">
        <v>19</v>
      </c>
      <c r="C20" s="86">
        <f t="shared" ref="C20:AQ20" si="13">IF(C$16&lt;0,C$16*$C2,0)</f>
        <v>-1163750</v>
      </c>
      <c r="D20" s="87">
        <f t="shared" si="13"/>
        <v>0</v>
      </c>
      <c r="E20" s="87">
        <f t="shared" si="13"/>
        <v>0</v>
      </c>
      <c r="F20" s="87">
        <f t="shared" si="13"/>
        <v>0</v>
      </c>
      <c r="G20" s="87">
        <f t="shared" si="13"/>
        <v>0</v>
      </c>
      <c r="H20" s="87">
        <f t="shared" si="13"/>
        <v>0</v>
      </c>
      <c r="I20" s="87">
        <f t="shared" si="13"/>
        <v>0</v>
      </c>
      <c r="J20" s="87">
        <f t="shared" si="13"/>
        <v>0</v>
      </c>
      <c r="K20" s="87">
        <f t="shared" si="13"/>
        <v>0</v>
      </c>
      <c r="L20" s="87">
        <f t="shared" si="13"/>
        <v>0</v>
      </c>
      <c r="M20" s="87">
        <f t="shared" si="13"/>
        <v>0</v>
      </c>
      <c r="N20" s="87">
        <f t="shared" si="13"/>
        <v>0</v>
      </c>
      <c r="O20" s="87">
        <f t="shared" si="13"/>
        <v>0</v>
      </c>
      <c r="P20" s="87">
        <f t="shared" si="13"/>
        <v>0</v>
      </c>
      <c r="Q20" s="87">
        <f t="shared" si="13"/>
        <v>0</v>
      </c>
      <c r="R20" s="87">
        <f t="shared" si="13"/>
        <v>0</v>
      </c>
      <c r="S20" s="87">
        <f t="shared" si="13"/>
        <v>0</v>
      </c>
      <c r="T20" s="87">
        <f t="shared" si="13"/>
        <v>0</v>
      </c>
      <c r="U20" s="87">
        <f t="shared" si="13"/>
        <v>0</v>
      </c>
      <c r="V20" s="87">
        <f t="shared" si="13"/>
        <v>0</v>
      </c>
      <c r="W20" s="87">
        <f t="shared" si="13"/>
        <v>0</v>
      </c>
      <c r="X20" s="87">
        <f t="shared" si="13"/>
        <v>0</v>
      </c>
      <c r="Y20" s="87">
        <f t="shared" si="13"/>
        <v>0</v>
      </c>
      <c r="Z20" s="87">
        <f t="shared" si="13"/>
        <v>0</v>
      </c>
      <c r="AA20" s="87">
        <f t="shared" si="13"/>
        <v>0</v>
      </c>
      <c r="AB20" s="87">
        <f t="shared" si="13"/>
        <v>0</v>
      </c>
      <c r="AC20" s="87">
        <f t="shared" si="13"/>
        <v>0</v>
      </c>
      <c r="AD20" s="87">
        <f t="shared" si="13"/>
        <v>0</v>
      </c>
      <c r="AE20" s="87">
        <f t="shared" si="13"/>
        <v>0</v>
      </c>
      <c r="AF20" s="87">
        <f t="shared" si="13"/>
        <v>0</v>
      </c>
      <c r="AG20" s="87">
        <f t="shared" si="13"/>
        <v>0</v>
      </c>
      <c r="AH20" s="87">
        <f t="shared" si="13"/>
        <v>0</v>
      </c>
      <c r="AI20" s="87">
        <f t="shared" si="13"/>
        <v>0</v>
      </c>
      <c r="AJ20" s="87">
        <f t="shared" si="13"/>
        <v>0</v>
      </c>
      <c r="AK20" s="87">
        <f t="shared" si="13"/>
        <v>0</v>
      </c>
      <c r="AL20" s="87">
        <f t="shared" si="13"/>
        <v>0</v>
      </c>
      <c r="AM20" s="87">
        <f t="shared" si="13"/>
        <v>0</v>
      </c>
      <c r="AN20" s="87">
        <f t="shared" si="13"/>
        <v>0</v>
      </c>
      <c r="AO20" s="87">
        <f t="shared" si="13"/>
        <v>0</v>
      </c>
      <c r="AP20" s="87">
        <f t="shared" si="13"/>
        <v>0</v>
      </c>
      <c r="AQ20" s="88">
        <f t="shared" si="13"/>
        <v>0</v>
      </c>
    </row>
    <row r="21" spans="1:43" x14ac:dyDescent="0.25">
      <c r="A21" s="10"/>
      <c r="B21" s="81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2"/>
    </row>
    <row r="22" spans="1:43" x14ac:dyDescent="0.25">
      <c r="A22" s="10"/>
      <c r="B22" s="18" t="s">
        <v>48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5"/>
    </row>
    <row r="23" spans="1:43" x14ac:dyDescent="0.25">
      <c r="A23" s="10"/>
      <c r="B23" s="28" t="s">
        <v>20</v>
      </c>
      <c r="C23" s="75">
        <v>0</v>
      </c>
      <c r="D23" s="75">
        <f>IF(D12&gt;$L$4,0,-SUM($C$20:D20))</f>
        <v>1163750</v>
      </c>
      <c r="E23" s="75">
        <f>IF(E12&gt;$L$4,0,-SUM($C$20:E20))</f>
        <v>1163750</v>
      </c>
      <c r="F23" s="75">
        <f>IF(F12&gt;$L$4,0,-SUM($C$20:F20))</f>
        <v>1163750</v>
      </c>
      <c r="G23" s="75">
        <f>IF(G12&gt;$L$4,0,-SUM($C$20:G20))</f>
        <v>1163750</v>
      </c>
      <c r="H23" s="75">
        <f>IF(H12&gt;$L$4,0,-SUM($C$20:H20))</f>
        <v>1163750</v>
      </c>
      <c r="I23" s="75">
        <f>IF(I12&gt;$L$4,0,-SUM($C$20:I20))</f>
        <v>1163750</v>
      </c>
      <c r="J23" s="75">
        <f>IF(J12&gt;$L$4,0,-SUM($C$20:J20))</f>
        <v>1163750</v>
      </c>
      <c r="K23" s="75">
        <f>IF(K12&gt;$L$4,0,-SUM($C$20:K20))</f>
        <v>1163750</v>
      </c>
      <c r="L23" s="75">
        <f>IF(L12&gt;$L$4,0,-SUM($C$20:L20))</f>
        <v>1163750</v>
      </c>
      <c r="M23" s="75">
        <f>IF(M12&gt;$L$4,0,-SUM($C$20:M20))</f>
        <v>1163750</v>
      </c>
      <c r="N23" s="75">
        <f>IF(N12&gt;$L$4,0,-SUM($C$20:N20))</f>
        <v>1163750</v>
      </c>
      <c r="O23" s="75">
        <f>IF(O12&gt;$L$4,0,-SUM($C$20:O20))</f>
        <v>1163750</v>
      </c>
      <c r="P23" s="75">
        <f>IF(P12&gt;$L$4,0,-SUM($C$20:P20))</f>
        <v>1163750</v>
      </c>
      <c r="Q23" s="75">
        <f>IF(Q12&gt;$L$4,0,-SUM($C$20:Q20))</f>
        <v>1163750</v>
      </c>
      <c r="R23" s="75">
        <f>IF(R12&gt;$L$4,0,-SUM($C$20:R20))</f>
        <v>1163750</v>
      </c>
      <c r="S23" s="75">
        <f>IF(S12&gt;$L$4,0,-SUM($C$20:S20))</f>
        <v>1163750</v>
      </c>
      <c r="T23" s="75">
        <f>IF(T12&gt;$L$4,0,-SUM($C$20:T20))</f>
        <v>1163750</v>
      </c>
      <c r="U23" s="75">
        <f>IF(U12&gt;$L$4,0,-SUM($C$20:U20))</f>
        <v>1163750</v>
      </c>
      <c r="V23" s="75">
        <f>IF(V12&gt;$L$4,0,-SUM($C$20:V20))</f>
        <v>1163750</v>
      </c>
      <c r="W23" s="75">
        <f>IF(W12&gt;$L$4,0,-SUM($C$20:W20))</f>
        <v>1163750</v>
      </c>
      <c r="X23" s="75">
        <f>IF(X12&gt;$L$4,0,-SUM($C$20:X20))</f>
        <v>1163750</v>
      </c>
      <c r="Y23" s="75">
        <f>IF(Y12&gt;$L$4,0,-SUM($C$20:Y20))</f>
        <v>1163750</v>
      </c>
      <c r="Z23" s="75">
        <f>IF(Z12&gt;$L$4,0,-SUM($C$20:Z20))</f>
        <v>1163750</v>
      </c>
      <c r="AA23" s="75">
        <f>IF(AA12&gt;$L$4,0,-SUM($C$20:AA20))</f>
        <v>1163750</v>
      </c>
      <c r="AB23" s="75">
        <f>IF(AB12&gt;$L$4,0,-SUM($C$20:AB20))</f>
        <v>1163750</v>
      </c>
      <c r="AC23" s="75">
        <f>IF(AC12&gt;$L$4,0,-SUM($C$20:AC20))</f>
        <v>1163750</v>
      </c>
      <c r="AD23" s="75">
        <f>IF(AD12&gt;$L$4,0,-SUM($C$20:AD20))</f>
        <v>1163750</v>
      </c>
      <c r="AE23" s="75">
        <f>IF(AE12&gt;$L$4,0,-SUM($C$20:AE20))</f>
        <v>1163750</v>
      </c>
      <c r="AF23" s="75">
        <f>IF(AF12&gt;$L$4,0,-SUM($C$20:AF20))</f>
        <v>1163750</v>
      </c>
      <c r="AG23" s="75">
        <f>IF(AG12&gt;$L$4,0,-SUM($C$20:AG20))</f>
        <v>1163750</v>
      </c>
      <c r="AH23" s="75">
        <f>IF(AH12&gt;$L$4,0,-SUM($C$20:AH20))</f>
        <v>1163750</v>
      </c>
      <c r="AI23" s="75">
        <f>IF(AI12&gt;$L$4,0,-SUM($C$20:AI20))</f>
        <v>1163750</v>
      </c>
      <c r="AJ23" s="75">
        <f>IF(AJ12&gt;$L$4,0,-SUM($C$20:AJ20))</f>
        <v>1163750</v>
      </c>
      <c r="AK23" s="75">
        <f>IF(AK12&gt;$L$4,0,-SUM($C$20:AK20))</f>
        <v>1163750</v>
      </c>
      <c r="AL23" s="75">
        <f>IF(AL12&gt;$L$4,0,-SUM($C$20:AL20))</f>
        <v>1163750</v>
      </c>
      <c r="AM23" s="75">
        <f>IF(AM12&gt;$L$4,0,-SUM($C$20:AM20))</f>
        <v>1163750</v>
      </c>
      <c r="AN23" s="75">
        <f>IF(AN12&gt;$L$4,0,-SUM($C$20:AN20))</f>
        <v>1163750</v>
      </c>
      <c r="AO23" s="75">
        <f>IF(AO12&gt;$L$4,0,-SUM($C$20:AO20))</f>
        <v>1163750</v>
      </c>
      <c r="AP23" s="75">
        <f>IF(AP12&gt;$L$4,0,-SUM($C$20:AP20))</f>
        <v>1163750</v>
      </c>
      <c r="AQ23" s="76">
        <f>IF(AQ12&gt;$L$4,0,-SUM($C$20:AQ20))</f>
        <v>1163750</v>
      </c>
    </row>
    <row r="24" spans="1:43" x14ac:dyDescent="0.25">
      <c r="A24" s="10"/>
      <c r="B24" s="73" t="s">
        <v>48</v>
      </c>
      <c r="C24" s="75">
        <v>0</v>
      </c>
      <c r="D24" s="75">
        <f>D23*$C$4*((D13-C13)/HLOOKUP(D12,$R$1:$AA$2,2,0))</f>
        <v>20476.912568306016</v>
      </c>
      <c r="E24" s="75">
        <f t="shared" ref="E24:AQ24" si="14">E23*$C$4*((E13-D13)/HLOOKUP(E12,$R$1:$AA$2,2,0))</f>
        <v>20476.912568306016</v>
      </c>
      <c r="F24" s="75">
        <f t="shared" si="14"/>
        <v>20254.337431693992</v>
      </c>
      <c r="G24" s="75">
        <f t="shared" si="14"/>
        <v>20254.337431693992</v>
      </c>
      <c r="H24" s="75">
        <f t="shared" si="14"/>
        <v>20533.01369863014</v>
      </c>
      <c r="I24" s="75">
        <f t="shared" si="14"/>
        <v>20533.01369863014</v>
      </c>
      <c r="J24" s="75">
        <f t="shared" si="14"/>
        <v>20086.64383561644</v>
      </c>
      <c r="K24" s="75">
        <f t="shared" si="14"/>
        <v>20309.82876712329</v>
      </c>
      <c r="L24" s="75">
        <f t="shared" si="14"/>
        <v>20533.01369863014</v>
      </c>
      <c r="M24" s="75">
        <f t="shared" si="14"/>
        <v>20533.01369863014</v>
      </c>
      <c r="N24" s="75">
        <f t="shared" si="14"/>
        <v>20086.64383561644</v>
      </c>
      <c r="O24" s="75">
        <f t="shared" si="14"/>
        <v>20309.82876712329</v>
      </c>
      <c r="P24" s="75">
        <f t="shared" si="14"/>
        <v>20533.01369863014</v>
      </c>
      <c r="Q24" s="75">
        <f t="shared" si="14"/>
        <v>20533.01369863014</v>
      </c>
      <c r="R24" s="75">
        <f t="shared" si="14"/>
        <v>20086.64383561644</v>
      </c>
      <c r="S24" s="75">
        <f t="shared" si="14"/>
        <v>20309.82876712329</v>
      </c>
      <c r="T24" s="75">
        <f t="shared" si="14"/>
        <v>20476.912568306016</v>
      </c>
      <c r="U24" s="75">
        <f t="shared" si="14"/>
        <v>20476.912568306016</v>
      </c>
      <c r="V24" s="75">
        <f t="shared" si="14"/>
        <v>20254.337431693992</v>
      </c>
      <c r="W24" s="75">
        <f t="shared" si="14"/>
        <v>20254.337431693992</v>
      </c>
      <c r="X24" s="75">
        <f t="shared" si="14"/>
        <v>20533.01369863014</v>
      </c>
      <c r="Y24" s="75">
        <f t="shared" si="14"/>
        <v>20533.01369863014</v>
      </c>
      <c r="Z24" s="75">
        <f t="shared" si="14"/>
        <v>20086.64383561644</v>
      </c>
      <c r="AA24" s="75">
        <f t="shared" si="14"/>
        <v>20309.82876712329</v>
      </c>
      <c r="AB24" s="75">
        <f t="shared" si="14"/>
        <v>20533.01369863014</v>
      </c>
      <c r="AC24" s="75">
        <f t="shared" si="14"/>
        <v>20533.01369863014</v>
      </c>
      <c r="AD24" s="75">
        <f t="shared" si="14"/>
        <v>20086.64383561644</v>
      </c>
      <c r="AE24" s="75">
        <f t="shared" si="14"/>
        <v>20309.82876712329</v>
      </c>
      <c r="AF24" s="75">
        <f t="shared" si="14"/>
        <v>20533.01369863014</v>
      </c>
      <c r="AG24" s="75">
        <f t="shared" si="14"/>
        <v>20533.01369863014</v>
      </c>
      <c r="AH24" s="75">
        <f t="shared" si="14"/>
        <v>20086.64383561644</v>
      </c>
      <c r="AI24" s="75">
        <f t="shared" si="14"/>
        <v>20309.82876712329</v>
      </c>
      <c r="AJ24" s="75">
        <f t="shared" si="14"/>
        <v>20476.912568306016</v>
      </c>
      <c r="AK24" s="75">
        <f t="shared" si="14"/>
        <v>20476.912568306016</v>
      </c>
      <c r="AL24" s="75">
        <f t="shared" si="14"/>
        <v>20254.337431693992</v>
      </c>
      <c r="AM24" s="75">
        <f t="shared" si="14"/>
        <v>20254.337431693992</v>
      </c>
      <c r="AN24" s="75">
        <f t="shared" si="14"/>
        <v>20533.01369863014</v>
      </c>
      <c r="AO24" s="75">
        <f t="shared" si="14"/>
        <v>20533.01369863014</v>
      </c>
      <c r="AP24" s="75">
        <f t="shared" si="14"/>
        <v>20086.64383561644</v>
      </c>
      <c r="AQ24" s="76">
        <f t="shared" si="14"/>
        <v>20309.82876712329</v>
      </c>
    </row>
    <row r="25" spans="1:43" x14ac:dyDescent="0.25">
      <c r="A25" s="10"/>
      <c r="B25" s="73" t="s">
        <v>19</v>
      </c>
      <c r="C25" s="75">
        <f>-C20</f>
        <v>1163750</v>
      </c>
      <c r="D25" s="75">
        <f>-D20</f>
        <v>0</v>
      </c>
      <c r="E25" s="75">
        <f t="shared" ref="E25:AQ25" si="15">-E20</f>
        <v>0</v>
      </c>
      <c r="F25" s="75">
        <f t="shared" si="15"/>
        <v>0</v>
      </c>
      <c r="G25" s="75">
        <f t="shared" si="15"/>
        <v>0</v>
      </c>
      <c r="H25" s="75">
        <f t="shared" si="15"/>
        <v>0</v>
      </c>
      <c r="I25" s="75">
        <f t="shared" si="15"/>
        <v>0</v>
      </c>
      <c r="J25" s="75">
        <f t="shared" si="15"/>
        <v>0</v>
      </c>
      <c r="K25" s="75">
        <f t="shared" si="15"/>
        <v>0</v>
      </c>
      <c r="L25" s="75">
        <f t="shared" si="15"/>
        <v>0</v>
      </c>
      <c r="M25" s="75">
        <f t="shared" si="15"/>
        <v>0</v>
      </c>
      <c r="N25" s="75">
        <f t="shared" si="15"/>
        <v>0</v>
      </c>
      <c r="O25" s="75">
        <f t="shared" si="15"/>
        <v>0</v>
      </c>
      <c r="P25" s="75">
        <f t="shared" si="15"/>
        <v>0</v>
      </c>
      <c r="Q25" s="75">
        <f t="shared" si="15"/>
        <v>0</v>
      </c>
      <c r="R25" s="75">
        <f t="shared" si="15"/>
        <v>0</v>
      </c>
      <c r="S25" s="75">
        <f t="shared" si="15"/>
        <v>0</v>
      </c>
      <c r="T25" s="75">
        <f t="shared" si="15"/>
        <v>0</v>
      </c>
      <c r="U25" s="75">
        <f t="shared" si="15"/>
        <v>0</v>
      </c>
      <c r="V25" s="75">
        <f t="shared" si="15"/>
        <v>0</v>
      </c>
      <c r="W25" s="75">
        <f t="shared" si="15"/>
        <v>0</v>
      </c>
      <c r="X25" s="75">
        <f t="shared" si="15"/>
        <v>0</v>
      </c>
      <c r="Y25" s="75">
        <f t="shared" si="15"/>
        <v>0</v>
      </c>
      <c r="Z25" s="75">
        <f t="shared" si="15"/>
        <v>0</v>
      </c>
      <c r="AA25" s="75">
        <f t="shared" si="15"/>
        <v>0</v>
      </c>
      <c r="AB25" s="75">
        <f t="shared" si="15"/>
        <v>0</v>
      </c>
      <c r="AC25" s="75">
        <f t="shared" si="15"/>
        <v>0</v>
      </c>
      <c r="AD25" s="75">
        <f t="shared" si="15"/>
        <v>0</v>
      </c>
      <c r="AE25" s="75">
        <f t="shared" si="15"/>
        <v>0</v>
      </c>
      <c r="AF25" s="75">
        <f t="shared" si="15"/>
        <v>0</v>
      </c>
      <c r="AG25" s="75">
        <f t="shared" si="15"/>
        <v>0</v>
      </c>
      <c r="AH25" s="75">
        <f t="shared" si="15"/>
        <v>0</v>
      </c>
      <c r="AI25" s="75">
        <f t="shared" si="15"/>
        <v>0</v>
      </c>
      <c r="AJ25" s="75">
        <f t="shared" si="15"/>
        <v>0</v>
      </c>
      <c r="AK25" s="75">
        <f t="shared" si="15"/>
        <v>0</v>
      </c>
      <c r="AL25" s="75">
        <f t="shared" si="15"/>
        <v>0</v>
      </c>
      <c r="AM25" s="75">
        <f t="shared" si="15"/>
        <v>0</v>
      </c>
      <c r="AN25" s="75">
        <f t="shared" si="15"/>
        <v>0</v>
      </c>
      <c r="AO25" s="75">
        <f t="shared" si="15"/>
        <v>0</v>
      </c>
      <c r="AP25" s="75">
        <f t="shared" si="15"/>
        <v>0</v>
      </c>
      <c r="AQ25" s="76">
        <f t="shared" si="15"/>
        <v>0</v>
      </c>
    </row>
    <row r="26" spans="1:43" x14ac:dyDescent="0.25">
      <c r="A26" s="10"/>
      <c r="B26" s="73" t="s">
        <v>22</v>
      </c>
      <c r="C26" s="75">
        <v>0</v>
      </c>
      <c r="D26" s="75">
        <f>MIN(D24,D14*$D$7)</f>
        <v>17978.847312133978</v>
      </c>
      <c r="E26" s="75">
        <f t="shared" ref="E26:AQ26" si="16">MIN(E24,E14*$D$7)</f>
        <v>17978.847312133978</v>
      </c>
      <c r="F26" s="75">
        <f t="shared" si="16"/>
        <v>17978.847312133978</v>
      </c>
      <c r="G26" s="75">
        <f t="shared" si="16"/>
        <v>17978.847312133978</v>
      </c>
      <c r="H26" s="75">
        <f t="shared" si="16"/>
        <v>19475.097312133978</v>
      </c>
      <c r="I26" s="75">
        <f t="shared" si="16"/>
        <v>19475.097312133978</v>
      </c>
      <c r="J26" s="75">
        <f t="shared" si="16"/>
        <v>19475.097312133978</v>
      </c>
      <c r="K26" s="75">
        <f t="shared" si="16"/>
        <v>19475.097312133978</v>
      </c>
      <c r="L26" s="75">
        <f t="shared" si="16"/>
        <v>20533.01369863014</v>
      </c>
      <c r="M26" s="75">
        <f t="shared" si="16"/>
        <v>20533.01369863014</v>
      </c>
      <c r="N26" s="75">
        <f t="shared" si="16"/>
        <v>20086.64383561644</v>
      </c>
      <c r="O26" s="75">
        <f t="shared" si="16"/>
        <v>20309.82876712329</v>
      </c>
      <c r="P26" s="75">
        <f t="shared" si="16"/>
        <v>20533.01369863014</v>
      </c>
      <c r="Q26" s="75">
        <f t="shared" si="16"/>
        <v>20533.01369863014</v>
      </c>
      <c r="R26" s="75">
        <f t="shared" si="16"/>
        <v>20086.64383561644</v>
      </c>
      <c r="S26" s="75">
        <f t="shared" si="16"/>
        <v>20309.82876712329</v>
      </c>
      <c r="T26" s="75">
        <f t="shared" si="16"/>
        <v>20476.912568306016</v>
      </c>
      <c r="U26" s="75">
        <f t="shared" si="16"/>
        <v>20476.912568306016</v>
      </c>
      <c r="V26" s="75">
        <f t="shared" si="16"/>
        <v>20254.337431693992</v>
      </c>
      <c r="W26" s="75">
        <f t="shared" si="16"/>
        <v>20254.337431693992</v>
      </c>
      <c r="X26" s="75">
        <f t="shared" si="16"/>
        <v>20533.01369863014</v>
      </c>
      <c r="Y26" s="75">
        <f t="shared" si="16"/>
        <v>20533.01369863014</v>
      </c>
      <c r="Z26" s="75">
        <f t="shared" si="16"/>
        <v>20086.64383561644</v>
      </c>
      <c r="AA26" s="75">
        <f t="shared" si="16"/>
        <v>20309.82876712329</v>
      </c>
      <c r="AB26" s="75">
        <f t="shared" si="16"/>
        <v>20533.01369863014</v>
      </c>
      <c r="AC26" s="75">
        <f t="shared" si="16"/>
        <v>20533.01369863014</v>
      </c>
      <c r="AD26" s="75">
        <f t="shared" si="16"/>
        <v>20086.64383561644</v>
      </c>
      <c r="AE26" s="75">
        <f t="shared" si="16"/>
        <v>20309.82876712329</v>
      </c>
      <c r="AF26" s="75">
        <f t="shared" si="16"/>
        <v>20533.01369863014</v>
      </c>
      <c r="AG26" s="75">
        <f t="shared" si="16"/>
        <v>20533.01369863014</v>
      </c>
      <c r="AH26" s="75">
        <f t="shared" si="16"/>
        <v>20086.64383561644</v>
      </c>
      <c r="AI26" s="75">
        <f t="shared" si="16"/>
        <v>20309.82876712329</v>
      </c>
      <c r="AJ26" s="75">
        <f t="shared" si="16"/>
        <v>20476.912568306016</v>
      </c>
      <c r="AK26" s="75">
        <f t="shared" si="16"/>
        <v>20476.912568306016</v>
      </c>
      <c r="AL26" s="75">
        <f t="shared" si="16"/>
        <v>20254.337431693992</v>
      </c>
      <c r="AM26" s="75">
        <f t="shared" si="16"/>
        <v>20254.337431693992</v>
      </c>
      <c r="AN26" s="75">
        <f t="shared" si="16"/>
        <v>20533.01369863014</v>
      </c>
      <c r="AO26" s="75">
        <f t="shared" si="16"/>
        <v>20533.01369863014</v>
      </c>
      <c r="AP26" s="75">
        <f t="shared" si="16"/>
        <v>20086.64383561644</v>
      </c>
      <c r="AQ26" s="76">
        <f t="shared" si="16"/>
        <v>20309.82876712329</v>
      </c>
    </row>
    <row r="27" spans="1:43" x14ac:dyDescent="0.25">
      <c r="A27" s="10"/>
      <c r="B27" s="73" t="s">
        <v>23</v>
      </c>
      <c r="C27" s="75">
        <f>C23+C24+C25-C26</f>
        <v>1163750</v>
      </c>
      <c r="D27" s="75">
        <f>IF(D12&gt;$L$4,0,-SUM($C$20:D20))</f>
        <v>1163750</v>
      </c>
      <c r="E27" s="75">
        <f>IF(E12&gt;$L$4,0,-SUM($C$20:E20))</f>
        <v>1163750</v>
      </c>
      <c r="F27" s="75">
        <f>IF(F12&gt;$L$4,0,-SUM($C$20:F20))</f>
        <v>1163750</v>
      </c>
      <c r="G27" s="75">
        <f>IF(G12&gt;$L$4,0,-SUM($C$20:G20))</f>
        <v>1163750</v>
      </c>
      <c r="H27" s="75">
        <f>IF(H12&gt;$L$4,0,-SUM($C$20:H20))</f>
        <v>1163750</v>
      </c>
      <c r="I27" s="75">
        <f>IF(I12&gt;$L$4,0,-SUM($C$20:I20))</f>
        <v>1163750</v>
      </c>
      <c r="J27" s="75">
        <f>IF(J12&gt;$L$4,0,-SUM($C$20:J20))</f>
        <v>1163750</v>
      </c>
      <c r="K27" s="75">
        <f>IF(K12&gt;$L$4,0,-SUM($C$20:K20))</f>
        <v>1163750</v>
      </c>
      <c r="L27" s="75">
        <f>IF(L12&gt;$L$4,0,-SUM($C$20:L20))</f>
        <v>1163750</v>
      </c>
      <c r="M27" s="75">
        <f>IF(M12&gt;$L$4,0,-SUM($C$20:M20))</f>
        <v>1163750</v>
      </c>
      <c r="N27" s="75">
        <f>IF(N12&gt;$L$4,0,-SUM($C$20:N20))</f>
        <v>1163750</v>
      </c>
      <c r="O27" s="75">
        <f>IF(O12&gt;$L$4,0,-SUM($C$20:O20))</f>
        <v>1163750</v>
      </c>
      <c r="P27" s="75">
        <f>IF(P12&gt;$L$4,0,-SUM($C$20:P20))</f>
        <v>1163750</v>
      </c>
      <c r="Q27" s="75">
        <f>IF(Q12&gt;$L$4,0,-SUM($C$20:Q20))</f>
        <v>1163750</v>
      </c>
      <c r="R27" s="75">
        <f>IF(R12&gt;$L$4,0,-SUM($C$20:R20))</f>
        <v>1163750</v>
      </c>
      <c r="S27" s="75">
        <f>IF(S12&gt;$L$4,0,-SUM($C$20:S20))</f>
        <v>1163750</v>
      </c>
      <c r="T27" s="75">
        <f>IF(T12&gt;$L$4,0,-SUM($C$20:T20))</f>
        <v>1163750</v>
      </c>
      <c r="U27" s="75">
        <f>IF(U12&gt;$L$4,0,-SUM($C$20:U20))</f>
        <v>1163750</v>
      </c>
      <c r="V27" s="75">
        <f>IF(V12&gt;$L$4,0,-SUM($C$20:V20))</f>
        <v>1163750</v>
      </c>
      <c r="W27" s="75">
        <f>IF(W12&gt;$L$4,0,-SUM($C$20:W20))</f>
        <v>1163750</v>
      </c>
      <c r="X27" s="75">
        <f>IF(X12&gt;$L$4,0,-SUM($C$20:X20))</f>
        <v>1163750</v>
      </c>
      <c r="Y27" s="75">
        <f>IF(Y12&gt;$L$4,0,-SUM($C$20:Y20))</f>
        <v>1163750</v>
      </c>
      <c r="Z27" s="75">
        <f>IF(Z12&gt;$L$4,0,-SUM($C$20:Z20))</f>
        <v>1163750</v>
      </c>
      <c r="AA27" s="75">
        <f>IF(AA12&gt;$L$4,0,-SUM($C$20:AA20))</f>
        <v>1163750</v>
      </c>
      <c r="AB27" s="75">
        <f>IF(AB12&gt;$L$4,0,-SUM($C$20:AB20))</f>
        <v>1163750</v>
      </c>
      <c r="AC27" s="75">
        <f>IF(AC12&gt;$L$4,0,-SUM($C$20:AC20))</f>
        <v>1163750</v>
      </c>
      <c r="AD27" s="75">
        <f>IF(AD12&gt;$L$4,0,-SUM($C$20:AD20))</f>
        <v>1163750</v>
      </c>
      <c r="AE27" s="75">
        <f>IF(AE12&gt;$L$4,0,-SUM($C$20:AE20))</f>
        <v>1163750</v>
      </c>
      <c r="AF27" s="75">
        <f>IF(AF12&gt;$L$4,0,-SUM($C$20:AF20))</f>
        <v>1163750</v>
      </c>
      <c r="AG27" s="75">
        <f>IF(AG12&gt;$L$4,0,-SUM($C$20:AG20))</f>
        <v>1163750</v>
      </c>
      <c r="AH27" s="75">
        <f>IF(AH12&gt;$L$4,0,-SUM($C$20:AH20))</f>
        <v>1163750</v>
      </c>
      <c r="AI27" s="75">
        <f>IF(AI12&gt;$L$4,0,-SUM($C$20:AI20))</f>
        <v>1163750</v>
      </c>
      <c r="AJ27" s="75">
        <f>IF(AJ12&gt;$L$4,0,-SUM($C$20:AJ20))</f>
        <v>1163750</v>
      </c>
      <c r="AK27" s="75">
        <f>IF(AK12&gt;$L$4,0,-SUM($C$20:AK20))</f>
        <v>1163750</v>
      </c>
      <c r="AL27" s="75">
        <f>IF(AL12&gt;$L$4,0,-SUM($C$20:AL20))</f>
        <v>1163750</v>
      </c>
      <c r="AM27" s="75">
        <f>IF(AM12&gt;$L$4,0,-SUM($C$20:AM20))</f>
        <v>1163750</v>
      </c>
      <c r="AN27" s="75">
        <f>IF(AN12&gt;$L$4,0,-SUM($C$20:AN20))</f>
        <v>1163750</v>
      </c>
      <c r="AO27" s="75">
        <f>IF(AO12&gt;$L$4,0,-SUM($C$20:AO20))</f>
        <v>1163750</v>
      </c>
      <c r="AP27" s="75">
        <f>IF(AP12&gt;$L$4,0,-SUM($C$20:AP20))</f>
        <v>1163750</v>
      </c>
      <c r="AQ27" s="76">
        <f>IF(AQ12&gt;$L$4,0,-SUM($C$20:AQ20))</f>
        <v>1163750</v>
      </c>
    </row>
    <row r="28" spans="1:43" x14ac:dyDescent="0.25">
      <c r="A28" s="10"/>
      <c r="B28" s="77" t="s">
        <v>24</v>
      </c>
      <c r="C28" s="79">
        <f>C26-C25</f>
        <v>-1163750</v>
      </c>
      <c r="D28" s="79">
        <f>D26-D25</f>
        <v>17978.847312133978</v>
      </c>
      <c r="E28" s="79">
        <f t="shared" ref="E28:AQ28" si="17">E26-E25</f>
        <v>17978.847312133978</v>
      </c>
      <c r="F28" s="79">
        <f t="shared" si="17"/>
        <v>17978.847312133978</v>
      </c>
      <c r="G28" s="79">
        <f t="shared" si="17"/>
        <v>17978.847312133978</v>
      </c>
      <c r="H28" s="79">
        <f t="shared" si="17"/>
        <v>19475.097312133978</v>
      </c>
      <c r="I28" s="79">
        <f t="shared" si="17"/>
        <v>19475.097312133978</v>
      </c>
      <c r="J28" s="79">
        <f t="shared" si="17"/>
        <v>19475.097312133978</v>
      </c>
      <c r="K28" s="79">
        <f t="shared" si="17"/>
        <v>19475.097312133978</v>
      </c>
      <c r="L28" s="79">
        <f t="shared" si="17"/>
        <v>20533.01369863014</v>
      </c>
      <c r="M28" s="79">
        <f t="shared" si="17"/>
        <v>20533.01369863014</v>
      </c>
      <c r="N28" s="79">
        <f t="shared" si="17"/>
        <v>20086.64383561644</v>
      </c>
      <c r="O28" s="79">
        <f t="shared" si="17"/>
        <v>20309.82876712329</v>
      </c>
      <c r="P28" s="79">
        <f t="shared" si="17"/>
        <v>20533.01369863014</v>
      </c>
      <c r="Q28" s="79">
        <f t="shared" si="17"/>
        <v>20533.01369863014</v>
      </c>
      <c r="R28" s="79">
        <f t="shared" si="17"/>
        <v>20086.64383561644</v>
      </c>
      <c r="S28" s="79">
        <f t="shared" si="17"/>
        <v>20309.82876712329</v>
      </c>
      <c r="T28" s="79">
        <f t="shared" si="17"/>
        <v>20476.912568306016</v>
      </c>
      <c r="U28" s="79">
        <f t="shared" si="17"/>
        <v>20476.912568306016</v>
      </c>
      <c r="V28" s="79">
        <f t="shared" si="17"/>
        <v>20254.337431693992</v>
      </c>
      <c r="W28" s="79">
        <f t="shared" si="17"/>
        <v>20254.337431693992</v>
      </c>
      <c r="X28" s="79">
        <f t="shared" si="17"/>
        <v>20533.01369863014</v>
      </c>
      <c r="Y28" s="79">
        <f t="shared" si="17"/>
        <v>20533.01369863014</v>
      </c>
      <c r="Z28" s="79">
        <f t="shared" si="17"/>
        <v>20086.64383561644</v>
      </c>
      <c r="AA28" s="79">
        <f t="shared" si="17"/>
        <v>20309.82876712329</v>
      </c>
      <c r="AB28" s="79">
        <f t="shared" si="17"/>
        <v>20533.01369863014</v>
      </c>
      <c r="AC28" s="79">
        <f t="shared" si="17"/>
        <v>20533.01369863014</v>
      </c>
      <c r="AD28" s="79">
        <f t="shared" si="17"/>
        <v>20086.64383561644</v>
      </c>
      <c r="AE28" s="79">
        <f t="shared" si="17"/>
        <v>20309.82876712329</v>
      </c>
      <c r="AF28" s="79">
        <f t="shared" si="17"/>
        <v>20533.01369863014</v>
      </c>
      <c r="AG28" s="79">
        <f t="shared" si="17"/>
        <v>20533.01369863014</v>
      </c>
      <c r="AH28" s="79">
        <f t="shared" si="17"/>
        <v>20086.64383561644</v>
      </c>
      <c r="AI28" s="79">
        <f t="shared" si="17"/>
        <v>20309.82876712329</v>
      </c>
      <c r="AJ28" s="79">
        <f t="shared" si="17"/>
        <v>20476.912568306016</v>
      </c>
      <c r="AK28" s="79">
        <f t="shared" si="17"/>
        <v>20476.912568306016</v>
      </c>
      <c r="AL28" s="79">
        <f t="shared" si="17"/>
        <v>20254.337431693992</v>
      </c>
      <c r="AM28" s="79">
        <f t="shared" si="17"/>
        <v>20254.337431693992</v>
      </c>
      <c r="AN28" s="79">
        <f t="shared" si="17"/>
        <v>20533.01369863014</v>
      </c>
      <c r="AO28" s="79">
        <f t="shared" si="17"/>
        <v>20533.01369863014</v>
      </c>
      <c r="AP28" s="79">
        <f t="shared" si="17"/>
        <v>20086.64383561644</v>
      </c>
      <c r="AQ28" s="80">
        <f t="shared" si="17"/>
        <v>20309.82876712329</v>
      </c>
    </row>
    <row r="29" spans="1:43" x14ac:dyDescent="0.25">
      <c r="A29" s="10"/>
      <c r="B29" s="73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6"/>
    </row>
    <row r="30" spans="1:43" x14ac:dyDescent="0.25">
      <c r="A30" s="10"/>
      <c r="B30" s="73" t="s">
        <v>18</v>
      </c>
      <c r="C30" s="75">
        <f>-C19</f>
        <v>61250</v>
      </c>
      <c r="D30" s="75">
        <f>-D19</f>
        <v>0</v>
      </c>
      <c r="E30" s="75">
        <f t="shared" ref="E30:AQ30" si="18">-E19</f>
        <v>0</v>
      </c>
      <c r="F30" s="75">
        <f t="shared" si="18"/>
        <v>0</v>
      </c>
      <c r="G30" s="75">
        <f t="shared" si="18"/>
        <v>0</v>
      </c>
      <c r="H30" s="75">
        <f t="shared" si="18"/>
        <v>0</v>
      </c>
      <c r="I30" s="75">
        <f t="shared" si="18"/>
        <v>0</v>
      </c>
      <c r="J30" s="75">
        <f t="shared" si="18"/>
        <v>0</v>
      </c>
      <c r="K30" s="75">
        <f t="shared" si="18"/>
        <v>0</v>
      </c>
      <c r="L30" s="75">
        <f t="shared" si="18"/>
        <v>0</v>
      </c>
      <c r="M30" s="75">
        <f t="shared" si="18"/>
        <v>0</v>
      </c>
      <c r="N30" s="75">
        <f t="shared" si="18"/>
        <v>0</v>
      </c>
      <c r="O30" s="75">
        <f t="shared" si="18"/>
        <v>0</v>
      </c>
      <c r="P30" s="75">
        <f t="shared" si="18"/>
        <v>0</v>
      </c>
      <c r="Q30" s="75">
        <f t="shared" si="18"/>
        <v>0</v>
      </c>
      <c r="R30" s="75">
        <f t="shared" si="18"/>
        <v>0</v>
      </c>
      <c r="S30" s="75">
        <f t="shared" si="18"/>
        <v>0</v>
      </c>
      <c r="T30" s="75">
        <f t="shared" si="18"/>
        <v>0</v>
      </c>
      <c r="U30" s="75">
        <f t="shared" si="18"/>
        <v>0</v>
      </c>
      <c r="V30" s="75">
        <f t="shared" si="18"/>
        <v>0</v>
      </c>
      <c r="W30" s="75">
        <f t="shared" si="18"/>
        <v>0</v>
      </c>
      <c r="X30" s="75">
        <f t="shared" si="18"/>
        <v>0</v>
      </c>
      <c r="Y30" s="75">
        <f t="shared" si="18"/>
        <v>0</v>
      </c>
      <c r="Z30" s="75">
        <f t="shared" si="18"/>
        <v>0</v>
      </c>
      <c r="AA30" s="75">
        <f t="shared" si="18"/>
        <v>0</v>
      </c>
      <c r="AB30" s="75">
        <f t="shared" si="18"/>
        <v>0</v>
      </c>
      <c r="AC30" s="75">
        <f t="shared" si="18"/>
        <v>0</v>
      </c>
      <c r="AD30" s="75">
        <f t="shared" si="18"/>
        <v>0</v>
      </c>
      <c r="AE30" s="75">
        <f t="shared" si="18"/>
        <v>0</v>
      </c>
      <c r="AF30" s="75">
        <f t="shared" si="18"/>
        <v>0</v>
      </c>
      <c r="AG30" s="75">
        <f t="shared" si="18"/>
        <v>0</v>
      </c>
      <c r="AH30" s="75">
        <f t="shared" si="18"/>
        <v>0</v>
      </c>
      <c r="AI30" s="75">
        <f t="shared" si="18"/>
        <v>0</v>
      </c>
      <c r="AJ30" s="75">
        <f t="shared" si="18"/>
        <v>0</v>
      </c>
      <c r="AK30" s="75">
        <f t="shared" si="18"/>
        <v>0</v>
      </c>
      <c r="AL30" s="75">
        <f t="shared" si="18"/>
        <v>0</v>
      </c>
      <c r="AM30" s="75">
        <f t="shared" si="18"/>
        <v>0</v>
      </c>
      <c r="AN30" s="75">
        <f t="shared" si="18"/>
        <v>0</v>
      </c>
      <c r="AO30" s="75">
        <f t="shared" si="18"/>
        <v>0</v>
      </c>
      <c r="AP30" s="75">
        <f t="shared" si="18"/>
        <v>0</v>
      </c>
      <c r="AQ30" s="76">
        <f t="shared" si="18"/>
        <v>0</v>
      </c>
    </row>
    <row r="31" spans="1:43" x14ac:dyDescent="0.25">
      <c r="A31" s="10"/>
      <c r="B31" s="73" t="s">
        <v>26</v>
      </c>
      <c r="C31" s="75">
        <v>0</v>
      </c>
      <c r="D31" s="75">
        <f>D26/$D$7*$C$7</f>
        <v>946.25512169126205</v>
      </c>
      <c r="E31" s="75">
        <f t="shared" ref="E31:AQ31" si="19">E26/$D$7*$C$7</f>
        <v>946.25512169126205</v>
      </c>
      <c r="F31" s="75">
        <f t="shared" si="19"/>
        <v>946.25512169126205</v>
      </c>
      <c r="G31" s="75">
        <f t="shared" si="19"/>
        <v>946.25512169126205</v>
      </c>
      <c r="H31" s="75">
        <f t="shared" si="19"/>
        <v>1025.005121691262</v>
      </c>
      <c r="I31" s="75">
        <f t="shared" si="19"/>
        <v>1025.005121691262</v>
      </c>
      <c r="J31" s="75">
        <f t="shared" si="19"/>
        <v>1025.005121691262</v>
      </c>
      <c r="K31" s="75">
        <f t="shared" si="19"/>
        <v>1025.005121691262</v>
      </c>
      <c r="L31" s="75">
        <f t="shared" si="19"/>
        <v>1080.6849315068496</v>
      </c>
      <c r="M31" s="75">
        <f t="shared" si="19"/>
        <v>1080.6849315068496</v>
      </c>
      <c r="N31" s="75">
        <f t="shared" si="19"/>
        <v>1057.191780821918</v>
      </c>
      <c r="O31" s="75">
        <f t="shared" si="19"/>
        <v>1068.9383561643838</v>
      </c>
      <c r="P31" s="75">
        <f t="shared" si="19"/>
        <v>1080.6849315068496</v>
      </c>
      <c r="Q31" s="75">
        <f t="shared" si="19"/>
        <v>1080.6849315068496</v>
      </c>
      <c r="R31" s="75">
        <f t="shared" si="19"/>
        <v>1057.191780821918</v>
      </c>
      <c r="S31" s="75">
        <f t="shared" si="19"/>
        <v>1068.9383561643838</v>
      </c>
      <c r="T31" s="75">
        <f t="shared" si="19"/>
        <v>1077.7322404371587</v>
      </c>
      <c r="U31" s="75">
        <f t="shared" si="19"/>
        <v>1077.7322404371587</v>
      </c>
      <c r="V31" s="75">
        <f t="shared" si="19"/>
        <v>1066.0177595628418</v>
      </c>
      <c r="W31" s="75">
        <f t="shared" si="19"/>
        <v>1066.0177595628418</v>
      </c>
      <c r="X31" s="75">
        <f t="shared" si="19"/>
        <v>1080.6849315068496</v>
      </c>
      <c r="Y31" s="75">
        <f t="shared" si="19"/>
        <v>1080.6849315068496</v>
      </c>
      <c r="Z31" s="75">
        <f t="shared" si="19"/>
        <v>1057.191780821918</v>
      </c>
      <c r="AA31" s="75">
        <f t="shared" si="19"/>
        <v>1068.9383561643838</v>
      </c>
      <c r="AB31" s="75">
        <f t="shared" si="19"/>
        <v>1080.6849315068496</v>
      </c>
      <c r="AC31" s="75">
        <f t="shared" si="19"/>
        <v>1080.6849315068496</v>
      </c>
      <c r="AD31" s="75">
        <f t="shared" si="19"/>
        <v>1057.191780821918</v>
      </c>
      <c r="AE31" s="75">
        <f t="shared" si="19"/>
        <v>1068.9383561643838</v>
      </c>
      <c r="AF31" s="75">
        <f t="shared" si="19"/>
        <v>1080.6849315068496</v>
      </c>
      <c r="AG31" s="75">
        <f t="shared" si="19"/>
        <v>1080.6849315068496</v>
      </c>
      <c r="AH31" s="75">
        <f t="shared" si="19"/>
        <v>1057.191780821918</v>
      </c>
      <c r="AI31" s="75">
        <f t="shared" si="19"/>
        <v>1068.9383561643838</v>
      </c>
      <c r="AJ31" s="75">
        <f t="shared" si="19"/>
        <v>1077.7322404371587</v>
      </c>
      <c r="AK31" s="75">
        <f t="shared" si="19"/>
        <v>1077.7322404371587</v>
      </c>
      <c r="AL31" s="75">
        <f t="shared" si="19"/>
        <v>1066.0177595628418</v>
      </c>
      <c r="AM31" s="75">
        <f t="shared" si="19"/>
        <v>1066.0177595628418</v>
      </c>
      <c r="AN31" s="75">
        <f t="shared" si="19"/>
        <v>1080.6849315068496</v>
      </c>
      <c r="AO31" s="75">
        <f t="shared" si="19"/>
        <v>1080.6849315068496</v>
      </c>
      <c r="AP31" s="75">
        <f t="shared" si="19"/>
        <v>1057.191780821918</v>
      </c>
      <c r="AQ31" s="76">
        <f t="shared" si="19"/>
        <v>1068.9383561643838</v>
      </c>
    </row>
    <row r="32" spans="1:43" x14ac:dyDescent="0.25">
      <c r="A32" s="35"/>
      <c r="B32" s="77" t="s">
        <v>12</v>
      </c>
      <c r="C32" s="79">
        <f>C31-C30</f>
        <v>-61250</v>
      </c>
      <c r="D32" s="79">
        <f>D31-D30</f>
        <v>946.25512169126205</v>
      </c>
      <c r="E32" s="79">
        <f t="shared" ref="E32:AQ32" si="20">E31-E30</f>
        <v>946.25512169126205</v>
      </c>
      <c r="F32" s="79">
        <f t="shared" si="20"/>
        <v>946.25512169126205</v>
      </c>
      <c r="G32" s="79">
        <f t="shared" si="20"/>
        <v>946.25512169126205</v>
      </c>
      <c r="H32" s="79">
        <f t="shared" si="20"/>
        <v>1025.005121691262</v>
      </c>
      <c r="I32" s="79">
        <f t="shared" si="20"/>
        <v>1025.005121691262</v>
      </c>
      <c r="J32" s="79">
        <f t="shared" si="20"/>
        <v>1025.005121691262</v>
      </c>
      <c r="K32" s="79">
        <f t="shared" si="20"/>
        <v>1025.005121691262</v>
      </c>
      <c r="L32" s="79">
        <f t="shared" si="20"/>
        <v>1080.6849315068496</v>
      </c>
      <c r="M32" s="79">
        <f t="shared" si="20"/>
        <v>1080.6849315068496</v>
      </c>
      <c r="N32" s="79">
        <f t="shared" si="20"/>
        <v>1057.191780821918</v>
      </c>
      <c r="O32" s="79">
        <f t="shared" si="20"/>
        <v>1068.9383561643838</v>
      </c>
      <c r="P32" s="79">
        <f t="shared" si="20"/>
        <v>1080.6849315068496</v>
      </c>
      <c r="Q32" s="79">
        <f t="shared" si="20"/>
        <v>1080.6849315068496</v>
      </c>
      <c r="R32" s="79">
        <f t="shared" si="20"/>
        <v>1057.191780821918</v>
      </c>
      <c r="S32" s="79">
        <f t="shared" si="20"/>
        <v>1068.9383561643838</v>
      </c>
      <c r="T32" s="79">
        <f t="shared" si="20"/>
        <v>1077.7322404371587</v>
      </c>
      <c r="U32" s="79">
        <f t="shared" si="20"/>
        <v>1077.7322404371587</v>
      </c>
      <c r="V32" s="79">
        <f t="shared" si="20"/>
        <v>1066.0177595628418</v>
      </c>
      <c r="W32" s="79">
        <f t="shared" si="20"/>
        <v>1066.0177595628418</v>
      </c>
      <c r="X32" s="79">
        <f t="shared" si="20"/>
        <v>1080.6849315068496</v>
      </c>
      <c r="Y32" s="79">
        <f t="shared" si="20"/>
        <v>1080.6849315068496</v>
      </c>
      <c r="Z32" s="79">
        <f t="shared" si="20"/>
        <v>1057.191780821918</v>
      </c>
      <c r="AA32" s="79">
        <f t="shared" si="20"/>
        <v>1068.9383561643838</v>
      </c>
      <c r="AB32" s="79">
        <f t="shared" si="20"/>
        <v>1080.6849315068496</v>
      </c>
      <c r="AC32" s="79">
        <f t="shared" si="20"/>
        <v>1080.6849315068496</v>
      </c>
      <c r="AD32" s="79">
        <f t="shared" si="20"/>
        <v>1057.191780821918</v>
      </c>
      <c r="AE32" s="79">
        <f t="shared" si="20"/>
        <v>1068.9383561643838</v>
      </c>
      <c r="AF32" s="79">
        <f t="shared" si="20"/>
        <v>1080.6849315068496</v>
      </c>
      <c r="AG32" s="79">
        <f t="shared" si="20"/>
        <v>1080.6849315068496</v>
      </c>
      <c r="AH32" s="79">
        <f t="shared" si="20"/>
        <v>1057.191780821918</v>
      </c>
      <c r="AI32" s="79">
        <f t="shared" si="20"/>
        <v>1068.9383561643838</v>
      </c>
      <c r="AJ32" s="79">
        <f t="shared" si="20"/>
        <v>1077.7322404371587</v>
      </c>
      <c r="AK32" s="79">
        <f t="shared" si="20"/>
        <v>1077.7322404371587</v>
      </c>
      <c r="AL32" s="79">
        <f t="shared" si="20"/>
        <v>1066.0177595628418</v>
      </c>
      <c r="AM32" s="79">
        <f t="shared" si="20"/>
        <v>1066.0177595628418</v>
      </c>
      <c r="AN32" s="79">
        <f t="shared" si="20"/>
        <v>1080.6849315068496</v>
      </c>
      <c r="AO32" s="79">
        <f t="shared" si="20"/>
        <v>1080.6849315068496</v>
      </c>
      <c r="AP32" s="79">
        <f t="shared" si="20"/>
        <v>1057.191780821918</v>
      </c>
      <c r="AQ32" s="80">
        <f t="shared" si="20"/>
        <v>1068.9383561643838</v>
      </c>
    </row>
    <row r="33" spans="1:43" x14ac:dyDescent="0.25">
      <c r="A33" s="35"/>
      <c r="B33" s="89" t="s">
        <v>27</v>
      </c>
      <c r="C33" s="90">
        <f>C26+C31</f>
        <v>0</v>
      </c>
      <c r="D33" s="90">
        <f>D26+D31</f>
        <v>18925.102433825239</v>
      </c>
      <c r="E33" s="90">
        <f t="shared" ref="E33:AQ33" si="21">E26+E31</f>
        <v>18925.102433825239</v>
      </c>
      <c r="F33" s="90">
        <f t="shared" si="21"/>
        <v>18925.102433825239</v>
      </c>
      <c r="G33" s="90">
        <f t="shared" si="21"/>
        <v>18925.102433825239</v>
      </c>
      <c r="H33" s="90">
        <f t="shared" si="21"/>
        <v>20500.102433825239</v>
      </c>
      <c r="I33" s="90">
        <f t="shared" si="21"/>
        <v>20500.102433825239</v>
      </c>
      <c r="J33" s="90">
        <f t="shared" si="21"/>
        <v>20500.102433825239</v>
      </c>
      <c r="K33" s="90">
        <f t="shared" si="21"/>
        <v>20500.102433825239</v>
      </c>
      <c r="L33" s="90">
        <f t="shared" si="21"/>
        <v>21613.698630136991</v>
      </c>
      <c r="M33" s="90">
        <f t="shared" si="21"/>
        <v>21613.698630136991</v>
      </c>
      <c r="N33" s="90">
        <f t="shared" si="21"/>
        <v>21143.835616438359</v>
      </c>
      <c r="O33" s="90">
        <f t="shared" si="21"/>
        <v>21378.767123287675</v>
      </c>
      <c r="P33" s="90">
        <f t="shared" si="21"/>
        <v>21613.698630136991</v>
      </c>
      <c r="Q33" s="90">
        <f t="shared" si="21"/>
        <v>21613.698630136991</v>
      </c>
      <c r="R33" s="90">
        <f t="shared" si="21"/>
        <v>21143.835616438359</v>
      </c>
      <c r="S33" s="90">
        <f t="shared" si="21"/>
        <v>21378.767123287675</v>
      </c>
      <c r="T33" s="90">
        <f t="shared" si="21"/>
        <v>21554.644808743175</v>
      </c>
      <c r="U33" s="90">
        <f t="shared" si="21"/>
        <v>21554.644808743175</v>
      </c>
      <c r="V33" s="90">
        <f t="shared" si="21"/>
        <v>21320.355191256833</v>
      </c>
      <c r="W33" s="90">
        <f t="shared" si="21"/>
        <v>21320.355191256833</v>
      </c>
      <c r="X33" s="90">
        <f t="shared" si="21"/>
        <v>21613.698630136991</v>
      </c>
      <c r="Y33" s="90">
        <f t="shared" si="21"/>
        <v>21613.698630136991</v>
      </c>
      <c r="Z33" s="90">
        <f t="shared" si="21"/>
        <v>21143.835616438359</v>
      </c>
      <c r="AA33" s="90">
        <f t="shared" si="21"/>
        <v>21378.767123287675</v>
      </c>
      <c r="AB33" s="90">
        <f t="shared" si="21"/>
        <v>21613.698630136991</v>
      </c>
      <c r="AC33" s="90">
        <f t="shared" si="21"/>
        <v>21613.698630136991</v>
      </c>
      <c r="AD33" s="90">
        <f t="shared" si="21"/>
        <v>21143.835616438359</v>
      </c>
      <c r="AE33" s="90">
        <f t="shared" si="21"/>
        <v>21378.767123287675</v>
      </c>
      <c r="AF33" s="90">
        <f t="shared" si="21"/>
        <v>21613.698630136991</v>
      </c>
      <c r="AG33" s="90">
        <f t="shared" si="21"/>
        <v>21613.698630136991</v>
      </c>
      <c r="AH33" s="90">
        <f t="shared" si="21"/>
        <v>21143.835616438359</v>
      </c>
      <c r="AI33" s="90">
        <f t="shared" si="21"/>
        <v>21378.767123287675</v>
      </c>
      <c r="AJ33" s="90">
        <f t="shared" si="21"/>
        <v>21554.644808743175</v>
      </c>
      <c r="AK33" s="90">
        <f t="shared" si="21"/>
        <v>21554.644808743175</v>
      </c>
      <c r="AL33" s="90">
        <f t="shared" si="21"/>
        <v>21320.355191256833</v>
      </c>
      <c r="AM33" s="90">
        <f t="shared" si="21"/>
        <v>21320.355191256833</v>
      </c>
      <c r="AN33" s="90">
        <f t="shared" si="21"/>
        <v>21613.698630136991</v>
      </c>
      <c r="AO33" s="90">
        <f t="shared" si="21"/>
        <v>21613.698630136991</v>
      </c>
      <c r="AP33" s="90">
        <f t="shared" si="21"/>
        <v>21143.835616438359</v>
      </c>
      <c r="AQ33" s="91">
        <f t="shared" si="21"/>
        <v>21378.767123287675</v>
      </c>
    </row>
    <row r="34" spans="1:43" x14ac:dyDescent="0.25">
      <c r="A34" s="10"/>
      <c r="B34" s="81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6"/>
    </row>
    <row r="35" spans="1:43" x14ac:dyDescent="0.25">
      <c r="A35" s="10"/>
      <c r="B35" s="18" t="s">
        <v>49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5"/>
    </row>
    <row r="36" spans="1:43" x14ac:dyDescent="0.25">
      <c r="A36" s="10"/>
      <c r="B36" s="28" t="s">
        <v>22</v>
      </c>
      <c r="C36" s="70">
        <v>0</v>
      </c>
      <c r="D36" s="71">
        <f>IF(E$12-D$12&lt;&gt;0,(SUMIF($D$12:$AQ$12,D$12,$D$14:$AQ$14)-SUMIF($D$12:$AQ$12,D$12,$D$33:$AQ$33))*$D$8,0)</f>
        <v>0</v>
      </c>
      <c r="E36" s="71">
        <f t="shared" ref="E36:AQ36" si="22">IF(F$12-E$12&lt;&gt;0,(SUMIF($D$12:$AQ$12,E$12,$D$14:$AQ$14)-SUMIF($D$12:$AQ$12,E$12,$D$33:$AQ$33))*$D$8,0)</f>
        <v>0</v>
      </c>
      <c r="F36" s="71">
        <f t="shared" si="22"/>
        <v>0</v>
      </c>
      <c r="G36" s="71">
        <f t="shared" si="22"/>
        <v>0</v>
      </c>
      <c r="H36" s="71">
        <f t="shared" si="22"/>
        <v>0</v>
      </c>
      <c r="I36" s="71">
        <f t="shared" si="22"/>
        <v>0</v>
      </c>
      <c r="J36" s="71">
        <f t="shared" si="22"/>
        <v>0</v>
      </c>
      <c r="K36" s="71">
        <f t="shared" si="22"/>
        <v>0</v>
      </c>
      <c r="L36" s="71">
        <f t="shared" si="22"/>
        <v>0</v>
      </c>
      <c r="M36" s="71">
        <f t="shared" si="22"/>
        <v>0</v>
      </c>
      <c r="N36" s="71">
        <f t="shared" si="22"/>
        <v>0</v>
      </c>
      <c r="O36" s="71">
        <f t="shared" si="22"/>
        <v>1369.704867650471</v>
      </c>
      <c r="P36" s="71">
        <f t="shared" si="22"/>
        <v>0</v>
      </c>
      <c r="Q36" s="71">
        <f t="shared" si="22"/>
        <v>0</v>
      </c>
      <c r="R36" s="71">
        <f t="shared" si="22"/>
        <v>0</v>
      </c>
      <c r="S36" s="71">
        <f t="shared" si="22"/>
        <v>4711.5398676504774</v>
      </c>
      <c r="T36" s="71">
        <f t="shared" si="22"/>
        <v>0</v>
      </c>
      <c r="U36" s="71">
        <f t="shared" si="22"/>
        <v>0</v>
      </c>
      <c r="V36" s="71">
        <f t="shared" si="22"/>
        <v>0</v>
      </c>
      <c r="W36" s="71">
        <f t="shared" si="22"/>
        <v>8153.6299176504617</v>
      </c>
      <c r="X36" s="71">
        <f t="shared" si="22"/>
        <v>0</v>
      </c>
      <c r="Y36" s="71">
        <f t="shared" si="22"/>
        <v>0</v>
      </c>
      <c r="Z36" s="71">
        <f t="shared" si="22"/>
        <v>0</v>
      </c>
      <c r="AA36" s="71">
        <f t="shared" si="22"/>
        <v>11698.98266915045</v>
      </c>
      <c r="AB36" s="71">
        <f t="shared" si="22"/>
        <v>0</v>
      </c>
      <c r="AC36" s="71">
        <f t="shared" si="22"/>
        <v>0</v>
      </c>
      <c r="AD36" s="71">
        <f t="shared" si="22"/>
        <v>0</v>
      </c>
      <c r="AE36" s="71">
        <f t="shared" si="22"/>
        <v>15350.696003195459</v>
      </c>
      <c r="AF36" s="71">
        <f t="shared" si="22"/>
        <v>0</v>
      </c>
      <c r="AG36" s="71">
        <f t="shared" si="22"/>
        <v>0</v>
      </c>
      <c r="AH36" s="71">
        <f t="shared" si="22"/>
        <v>0</v>
      </c>
      <c r="AI36" s="71">
        <f t="shared" si="22"/>
        <v>19111.960737261812</v>
      </c>
      <c r="AJ36" s="71">
        <f t="shared" si="22"/>
        <v>0</v>
      </c>
      <c r="AK36" s="71">
        <f t="shared" si="22"/>
        <v>0</v>
      </c>
      <c r="AL36" s="71">
        <f t="shared" si="22"/>
        <v>0</v>
      </c>
      <c r="AM36" s="71">
        <f t="shared" si="22"/>
        <v>22986.063413350152</v>
      </c>
      <c r="AN36" s="71">
        <f t="shared" si="22"/>
        <v>0</v>
      </c>
      <c r="AO36" s="71">
        <f t="shared" si="22"/>
        <v>0</v>
      </c>
      <c r="AP36" s="71">
        <f t="shared" si="22"/>
        <v>0</v>
      </c>
      <c r="AQ36" s="72">
        <f t="shared" si="22"/>
        <v>26976.389169721144</v>
      </c>
    </row>
    <row r="37" spans="1:43" x14ac:dyDescent="0.25">
      <c r="A37" s="92" t="s">
        <v>90</v>
      </c>
      <c r="B37" s="73" t="s">
        <v>26</v>
      </c>
      <c r="C37" s="74">
        <v>0</v>
      </c>
      <c r="D37" s="75">
        <f>IF(E$12-D$12&lt;&gt;0,(SUMIF($D$12:$AQ$12,D$12,$D$14:$AQ$14)-SUMIF($D$12:$AQ$12,D$12,$D$33:$AQ$33))*$C$8,0)</f>
        <v>0</v>
      </c>
      <c r="E37" s="75">
        <f t="shared" ref="E37:AQ37" si="23">IF(F$12-E$12&lt;&gt;0,(SUMIF($D$12:$AQ$12,E$12,$D$14:$AQ$14)-SUMIF($D$12:$AQ$12,E$12,$D$33:$AQ$33))*$C$8,0)</f>
        <v>0</v>
      </c>
      <c r="F37" s="75">
        <f t="shared" si="23"/>
        <v>0</v>
      </c>
      <c r="G37" s="75">
        <f t="shared" si="23"/>
        <v>0</v>
      </c>
      <c r="H37" s="75">
        <f t="shared" si="23"/>
        <v>0</v>
      </c>
      <c r="I37" s="75">
        <f t="shared" si="23"/>
        <v>0</v>
      </c>
      <c r="J37" s="75">
        <f t="shared" si="23"/>
        <v>0</v>
      </c>
      <c r="K37" s="75">
        <f t="shared" si="23"/>
        <v>0</v>
      </c>
      <c r="L37" s="75">
        <f t="shared" si="23"/>
        <v>0</v>
      </c>
      <c r="M37" s="75">
        <f t="shared" si="23"/>
        <v>0</v>
      </c>
      <c r="N37" s="75">
        <f t="shared" si="23"/>
        <v>0</v>
      </c>
      <c r="O37" s="75">
        <f t="shared" si="23"/>
        <v>1369.704867650471</v>
      </c>
      <c r="P37" s="75">
        <f t="shared" si="23"/>
        <v>0</v>
      </c>
      <c r="Q37" s="75">
        <f t="shared" si="23"/>
        <v>0</v>
      </c>
      <c r="R37" s="75">
        <f t="shared" si="23"/>
        <v>0</v>
      </c>
      <c r="S37" s="75">
        <f t="shared" si="23"/>
        <v>4711.5398676504774</v>
      </c>
      <c r="T37" s="75">
        <f t="shared" si="23"/>
        <v>0</v>
      </c>
      <c r="U37" s="75">
        <f t="shared" si="23"/>
        <v>0</v>
      </c>
      <c r="V37" s="75">
        <f t="shared" si="23"/>
        <v>0</v>
      </c>
      <c r="W37" s="75">
        <f t="shared" si="23"/>
        <v>8153.6299176504617</v>
      </c>
      <c r="X37" s="75">
        <f t="shared" si="23"/>
        <v>0</v>
      </c>
      <c r="Y37" s="75">
        <f t="shared" si="23"/>
        <v>0</v>
      </c>
      <c r="Z37" s="75">
        <f t="shared" si="23"/>
        <v>0</v>
      </c>
      <c r="AA37" s="75">
        <f t="shared" si="23"/>
        <v>11698.98266915045</v>
      </c>
      <c r="AB37" s="75">
        <f t="shared" si="23"/>
        <v>0</v>
      </c>
      <c r="AC37" s="75">
        <f t="shared" si="23"/>
        <v>0</v>
      </c>
      <c r="AD37" s="75">
        <f t="shared" si="23"/>
        <v>0</v>
      </c>
      <c r="AE37" s="75">
        <f t="shared" si="23"/>
        <v>15350.696003195459</v>
      </c>
      <c r="AF37" s="75">
        <f t="shared" si="23"/>
        <v>0</v>
      </c>
      <c r="AG37" s="75">
        <f t="shared" si="23"/>
        <v>0</v>
      </c>
      <c r="AH37" s="75">
        <f t="shared" si="23"/>
        <v>0</v>
      </c>
      <c r="AI37" s="75">
        <f t="shared" si="23"/>
        <v>19111.960737261812</v>
      </c>
      <c r="AJ37" s="75">
        <f t="shared" si="23"/>
        <v>0</v>
      </c>
      <c r="AK37" s="75">
        <f t="shared" si="23"/>
        <v>0</v>
      </c>
      <c r="AL37" s="75">
        <f t="shared" si="23"/>
        <v>0</v>
      </c>
      <c r="AM37" s="75">
        <f t="shared" si="23"/>
        <v>22986.063413350152</v>
      </c>
      <c r="AN37" s="75">
        <f t="shared" si="23"/>
        <v>0</v>
      </c>
      <c r="AO37" s="75">
        <f t="shared" si="23"/>
        <v>0</v>
      </c>
      <c r="AP37" s="75">
        <f t="shared" si="23"/>
        <v>0</v>
      </c>
      <c r="AQ37" s="76">
        <f t="shared" si="23"/>
        <v>26976.389169721144</v>
      </c>
    </row>
    <row r="38" spans="1:43" x14ac:dyDescent="0.25">
      <c r="A38" s="93" t="str">
        <f>IF(ABS(SUM(D38:AQ38,D33:AQ33)-SUM(D14:AQ14))&lt;0.0001,"YES","NO")</f>
        <v>YES</v>
      </c>
      <c r="B38" s="77" t="s">
        <v>27</v>
      </c>
      <c r="C38" s="78">
        <f>SUM(C36:C37)</f>
        <v>0</v>
      </c>
      <c r="D38" s="79">
        <f t="shared" ref="D38:AQ38" si="24">SUM(D36:D37)</f>
        <v>0</v>
      </c>
      <c r="E38" s="79">
        <f t="shared" si="24"/>
        <v>0</v>
      </c>
      <c r="F38" s="79">
        <f t="shared" si="24"/>
        <v>0</v>
      </c>
      <c r="G38" s="79">
        <f t="shared" si="24"/>
        <v>0</v>
      </c>
      <c r="H38" s="79">
        <f t="shared" si="24"/>
        <v>0</v>
      </c>
      <c r="I38" s="79">
        <f t="shared" si="24"/>
        <v>0</v>
      </c>
      <c r="J38" s="79">
        <f t="shared" si="24"/>
        <v>0</v>
      </c>
      <c r="K38" s="79">
        <f t="shared" si="24"/>
        <v>0</v>
      </c>
      <c r="L38" s="79">
        <f t="shared" si="24"/>
        <v>0</v>
      </c>
      <c r="M38" s="79">
        <f t="shared" si="24"/>
        <v>0</v>
      </c>
      <c r="N38" s="79">
        <f t="shared" si="24"/>
        <v>0</v>
      </c>
      <c r="O38" s="79">
        <f t="shared" si="24"/>
        <v>2739.409735300942</v>
      </c>
      <c r="P38" s="79">
        <f t="shared" si="24"/>
        <v>0</v>
      </c>
      <c r="Q38" s="79">
        <f t="shared" si="24"/>
        <v>0</v>
      </c>
      <c r="R38" s="79">
        <f t="shared" si="24"/>
        <v>0</v>
      </c>
      <c r="S38" s="79">
        <f t="shared" si="24"/>
        <v>9423.0797353009548</v>
      </c>
      <c r="T38" s="79">
        <f t="shared" si="24"/>
        <v>0</v>
      </c>
      <c r="U38" s="79">
        <f t="shared" si="24"/>
        <v>0</v>
      </c>
      <c r="V38" s="79">
        <f t="shared" si="24"/>
        <v>0</v>
      </c>
      <c r="W38" s="79">
        <f t="shared" si="24"/>
        <v>16307.259835300923</v>
      </c>
      <c r="X38" s="79">
        <f t="shared" si="24"/>
        <v>0</v>
      </c>
      <c r="Y38" s="79">
        <f t="shared" si="24"/>
        <v>0</v>
      </c>
      <c r="Z38" s="79">
        <f t="shared" si="24"/>
        <v>0</v>
      </c>
      <c r="AA38" s="79">
        <f t="shared" si="24"/>
        <v>23397.965338300899</v>
      </c>
      <c r="AB38" s="79">
        <f t="shared" si="24"/>
        <v>0</v>
      </c>
      <c r="AC38" s="79">
        <f t="shared" si="24"/>
        <v>0</v>
      </c>
      <c r="AD38" s="79">
        <f t="shared" si="24"/>
        <v>0</v>
      </c>
      <c r="AE38" s="79">
        <f t="shared" si="24"/>
        <v>30701.392006390917</v>
      </c>
      <c r="AF38" s="79">
        <f t="shared" si="24"/>
        <v>0</v>
      </c>
      <c r="AG38" s="79">
        <f t="shared" si="24"/>
        <v>0</v>
      </c>
      <c r="AH38" s="79">
        <f t="shared" si="24"/>
        <v>0</v>
      </c>
      <c r="AI38" s="79">
        <f t="shared" si="24"/>
        <v>38223.921474523624</v>
      </c>
      <c r="AJ38" s="79">
        <f t="shared" si="24"/>
        <v>0</v>
      </c>
      <c r="AK38" s="79">
        <f t="shared" si="24"/>
        <v>0</v>
      </c>
      <c r="AL38" s="79">
        <f t="shared" si="24"/>
        <v>0</v>
      </c>
      <c r="AM38" s="79">
        <f t="shared" si="24"/>
        <v>45972.126826700303</v>
      </c>
      <c r="AN38" s="79">
        <f t="shared" si="24"/>
        <v>0</v>
      </c>
      <c r="AO38" s="79">
        <f t="shared" si="24"/>
        <v>0</v>
      </c>
      <c r="AP38" s="79">
        <f t="shared" si="24"/>
        <v>0</v>
      </c>
      <c r="AQ38" s="80">
        <f t="shared" si="24"/>
        <v>53952.778339442288</v>
      </c>
    </row>
    <row r="39" spans="1:43" x14ac:dyDescent="0.25">
      <c r="A39" s="10"/>
      <c r="B39" s="94"/>
      <c r="C39" s="10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5"/>
    </row>
    <row r="40" spans="1:43" x14ac:dyDescent="0.25">
      <c r="A40" s="10"/>
      <c r="B40" s="18" t="s">
        <v>64</v>
      </c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5"/>
    </row>
    <row r="41" spans="1:43" x14ac:dyDescent="0.25">
      <c r="A41" s="96" t="s">
        <v>91</v>
      </c>
      <c r="B41" s="97" t="s">
        <v>22</v>
      </c>
      <c r="C41" s="70">
        <v>0</v>
      </c>
      <c r="D41" s="71">
        <f>D15*$D$10</f>
        <v>0</v>
      </c>
      <c r="E41" s="71">
        <f t="shared" ref="E41:AQ41" si="25">E15*$D$10</f>
        <v>0</v>
      </c>
      <c r="F41" s="71">
        <f t="shared" si="25"/>
        <v>0</v>
      </c>
      <c r="G41" s="71">
        <f t="shared" si="25"/>
        <v>0</v>
      </c>
      <c r="H41" s="71">
        <f t="shared" si="25"/>
        <v>0</v>
      </c>
      <c r="I41" s="71">
        <f t="shared" si="25"/>
        <v>0</v>
      </c>
      <c r="J41" s="71">
        <f t="shared" si="25"/>
        <v>0</v>
      </c>
      <c r="K41" s="71">
        <f t="shared" si="25"/>
        <v>0</v>
      </c>
      <c r="L41" s="71">
        <f t="shared" si="25"/>
        <v>0</v>
      </c>
      <c r="M41" s="71">
        <f t="shared" si="25"/>
        <v>0</v>
      </c>
      <c r="N41" s="71">
        <f t="shared" si="25"/>
        <v>0</v>
      </c>
      <c r="O41" s="71">
        <f t="shared" si="25"/>
        <v>0</v>
      </c>
      <c r="P41" s="71">
        <f t="shared" si="25"/>
        <v>0</v>
      </c>
      <c r="Q41" s="71">
        <f t="shared" si="25"/>
        <v>0</v>
      </c>
      <c r="R41" s="71">
        <f t="shared" si="25"/>
        <v>0</v>
      </c>
      <c r="S41" s="71">
        <f t="shared" si="25"/>
        <v>0</v>
      </c>
      <c r="T41" s="71">
        <f t="shared" si="25"/>
        <v>0</v>
      </c>
      <c r="U41" s="71">
        <f t="shared" si="25"/>
        <v>0</v>
      </c>
      <c r="V41" s="71">
        <f t="shared" si="25"/>
        <v>0</v>
      </c>
      <c r="W41" s="71">
        <f t="shared" si="25"/>
        <v>0</v>
      </c>
      <c r="X41" s="71">
        <f t="shared" si="25"/>
        <v>0</v>
      </c>
      <c r="Y41" s="71">
        <f t="shared" si="25"/>
        <v>0</v>
      </c>
      <c r="Z41" s="71">
        <f t="shared" si="25"/>
        <v>0</v>
      </c>
      <c r="AA41" s="71">
        <f t="shared" si="25"/>
        <v>0</v>
      </c>
      <c r="AB41" s="71">
        <f t="shared" si="25"/>
        <v>0</v>
      </c>
      <c r="AC41" s="71">
        <f t="shared" si="25"/>
        <v>0</v>
      </c>
      <c r="AD41" s="71">
        <f t="shared" si="25"/>
        <v>0</v>
      </c>
      <c r="AE41" s="71">
        <f t="shared" si="25"/>
        <v>0</v>
      </c>
      <c r="AF41" s="71">
        <f t="shared" si="25"/>
        <v>0</v>
      </c>
      <c r="AG41" s="71">
        <f t="shared" si="25"/>
        <v>0</v>
      </c>
      <c r="AH41" s="71">
        <f t="shared" si="25"/>
        <v>0</v>
      </c>
      <c r="AI41" s="71">
        <f t="shared" si="25"/>
        <v>0</v>
      </c>
      <c r="AJ41" s="71">
        <f t="shared" si="25"/>
        <v>0</v>
      </c>
      <c r="AK41" s="71">
        <f t="shared" si="25"/>
        <v>0</v>
      </c>
      <c r="AL41" s="71">
        <f t="shared" si="25"/>
        <v>0</v>
      </c>
      <c r="AM41" s="71">
        <f t="shared" si="25"/>
        <v>0</v>
      </c>
      <c r="AN41" s="71">
        <f t="shared" si="25"/>
        <v>0</v>
      </c>
      <c r="AO41" s="71">
        <f t="shared" si="25"/>
        <v>0</v>
      </c>
      <c r="AP41" s="71">
        <f t="shared" si="25"/>
        <v>0</v>
      </c>
      <c r="AQ41" s="72">
        <f t="shared" si="25"/>
        <v>2027640.0828820032</v>
      </c>
    </row>
    <row r="42" spans="1:43" x14ac:dyDescent="0.25">
      <c r="A42" s="98" t="s">
        <v>92</v>
      </c>
      <c r="B42" s="99" t="s">
        <v>26</v>
      </c>
      <c r="C42" s="74">
        <v>0</v>
      </c>
      <c r="D42" s="75">
        <f>D15*$C$10</f>
        <v>0</v>
      </c>
      <c r="E42" s="75">
        <f t="shared" ref="E42:AQ42" si="26">E15*$C$10</f>
        <v>0</v>
      </c>
      <c r="F42" s="75">
        <f t="shared" si="26"/>
        <v>0</v>
      </c>
      <c r="G42" s="75">
        <f t="shared" si="26"/>
        <v>0</v>
      </c>
      <c r="H42" s="75">
        <f t="shared" si="26"/>
        <v>0</v>
      </c>
      <c r="I42" s="75">
        <f t="shared" si="26"/>
        <v>0</v>
      </c>
      <c r="J42" s="75">
        <f t="shared" si="26"/>
        <v>0</v>
      </c>
      <c r="K42" s="75">
        <f t="shared" si="26"/>
        <v>0</v>
      </c>
      <c r="L42" s="75">
        <f t="shared" si="26"/>
        <v>0</v>
      </c>
      <c r="M42" s="75">
        <f t="shared" si="26"/>
        <v>0</v>
      </c>
      <c r="N42" s="75">
        <f t="shared" si="26"/>
        <v>0</v>
      </c>
      <c r="O42" s="75">
        <f t="shared" si="26"/>
        <v>0</v>
      </c>
      <c r="P42" s="75">
        <f t="shared" si="26"/>
        <v>0</v>
      </c>
      <c r="Q42" s="75">
        <f t="shared" si="26"/>
        <v>0</v>
      </c>
      <c r="R42" s="75">
        <f t="shared" si="26"/>
        <v>0</v>
      </c>
      <c r="S42" s="75">
        <f t="shared" si="26"/>
        <v>0</v>
      </c>
      <c r="T42" s="75">
        <f t="shared" si="26"/>
        <v>0</v>
      </c>
      <c r="U42" s="75">
        <f t="shared" si="26"/>
        <v>0</v>
      </c>
      <c r="V42" s="75">
        <f t="shared" si="26"/>
        <v>0</v>
      </c>
      <c r="W42" s="75">
        <f t="shared" si="26"/>
        <v>0</v>
      </c>
      <c r="X42" s="75">
        <f t="shared" si="26"/>
        <v>0</v>
      </c>
      <c r="Y42" s="75">
        <f t="shared" si="26"/>
        <v>0</v>
      </c>
      <c r="Z42" s="75">
        <f t="shared" si="26"/>
        <v>0</v>
      </c>
      <c r="AA42" s="75">
        <f t="shared" si="26"/>
        <v>0</v>
      </c>
      <c r="AB42" s="75">
        <f t="shared" si="26"/>
        <v>0</v>
      </c>
      <c r="AC42" s="75">
        <f t="shared" si="26"/>
        <v>0</v>
      </c>
      <c r="AD42" s="75">
        <f t="shared" si="26"/>
        <v>0</v>
      </c>
      <c r="AE42" s="75">
        <f t="shared" si="26"/>
        <v>0</v>
      </c>
      <c r="AF42" s="75">
        <f t="shared" si="26"/>
        <v>0</v>
      </c>
      <c r="AG42" s="75">
        <f t="shared" si="26"/>
        <v>0</v>
      </c>
      <c r="AH42" s="75">
        <f t="shared" si="26"/>
        <v>0</v>
      </c>
      <c r="AI42" s="75">
        <f t="shared" si="26"/>
        <v>0</v>
      </c>
      <c r="AJ42" s="75">
        <f t="shared" si="26"/>
        <v>0</v>
      </c>
      <c r="AK42" s="75">
        <f t="shared" si="26"/>
        <v>0</v>
      </c>
      <c r="AL42" s="75">
        <f t="shared" si="26"/>
        <v>0</v>
      </c>
      <c r="AM42" s="75">
        <f t="shared" si="26"/>
        <v>0</v>
      </c>
      <c r="AN42" s="75">
        <f t="shared" si="26"/>
        <v>0</v>
      </c>
      <c r="AO42" s="75">
        <f t="shared" si="26"/>
        <v>0</v>
      </c>
      <c r="AP42" s="75">
        <f t="shared" si="26"/>
        <v>0</v>
      </c>
      <c r="AQ42" s="76">
        <f t="shared" si="26"/>
        <v>506910.02072050079</v>
      </c>
    </row>
    <row r="43" spans="1:43" x14ac:dyDescent="0.25">
      <c r="A43" s="93" t="str">
        <f>IF(ABS(SUM(D43:AQ43)-SUM(D15:AQ15))&lt;0.0001,"YES","NO")</f>
        <v>YES</v>
      </c>
      <c r="B43" s="73" t="s">
        <v>27</v>
      </c>
      <c r="C43" s="74">
        <v>0</v>
      </c>
      <c r="D43" s="75">
        <f>SUM(D41:D42)</f>
        <v>0</v>
      </c>
      <c r="E43" s="75">
        <f t="shared" ref="E43:AQ43" si="27">SUM(E41:E42)</f>
        <v>0</v>
      </c>
      <c r="F43" s="75">
        <f t="shared" si="27"/>
        <v>0</v>
      </c>
      <c r="G43" s="75">
        <f t="shared" si="27"/>
        <v>0</v>
      </c>
      <c r="H43" s="75">
        <f t="shared" si="27"/>
        <v>0</v>
      </c>
      <c r="I43" s="75">
        <f t="shared" si="27"/>
        <v>0</v>
      </c>
      <c r="J43" s="75">
        <f t="shared" si="27"/>
        <v>0</v>
      </c>
      <c r="K43" s="75">
        <f t="shared" si="27"/>
        <v>0</v>
      </c>
      <c r="L43" s="75">
        <f t="shared" si="27"/>
        <v>0</v>
      </c>
      <c r="M43" s="75">
        <f t="shared" si="27"/>
        <v>0</v>
      </c>
      <c r="N43" s="75">
        <f t="shared" si="27"/>
        <v>0</v>
      </c>
      <c r="O43" s="75">
        <f t="shared" si="27"/>
        <v>0</v>
      </c>
      <c r="P43" s="75">
        <f t="shared" si="27"/>
        <v>0</v>
      </c>
      <c r="Q43" s="75">
        <f t="shared" si="27"/>
        <v>0</v>
      </c>
      <c r="R43" s="75">
        <f t="shared" si="27"/>
        <v>0</v>
      </c>
      <c r="S43" s="75">
        <f t="shared" si="27"/>
        <v>0</v>
      </c>
      <c r="T43" s="75">
        <f t="shared" si="27"/>
        <v>0</v>
      </c>
      <c r="U43" s="75">
        <f t="shared" si="27"/>
        <v>0</v>
      </c>
      <c r="V43" s="75">
        <f t="shared" si="27"/>
        <v>0</v>
      </c>
      <c r="W43" s="75">
        <f t="shared" si="27"/>
        <v>0</v>
      </c>
      <c r="X43" s="75">
        <f t="shared" si="27"/>
        <v>0</v>
      </c>
      <c r="Y43" s="75">
        <f t="shared" si="27"/>
        <v>0</v>
      </c>
      <c r="Z43" s="75">
        <f t="shared" si="27"/>
        <v>0</v>
      </c>
      <c r="AA43" s="75">
        <f t="shared" si="27"/>
        <v>0</v>
      </c>
      <c r="AB43" s="75">
        <f t="shared" si="27"/>
        <v>0</v>
      </c>
      <c r="AC43" s="75">
        <f t="shared" si="27"/>
        <v>0</v>
      </c>
      <c r="AD43" s="75">
        <f t="shared" si="27"/>
        <v>0</v>
      </c>
      <c r="AE43" s="75">
        <f t="shared" si="27"/>
        <v>0</v>
      </c>
      <c r="AF43" s="75">
        <f t="shared" si="27"/>
        <v>0</v>
      </c>
      <c r="AG43" s="75">
        <f t="shared" si="27"/>
        <v>0</v>
      </c>
      <c r="AH43" s="75">
        <f t="shared" si="27"/>
        <v>0</v>
      </c>
      <c r="AI43" s="75">
        <f t="shared" si="27"/>
        <v>0</v>
      </c>
      <c r="AJ43" s="75">
        <f t="shared" si="27"/>
        <v>0</v>
      </c>
      <c r="AK43" s="75">
        <f t="shared" si="27"/>
        <v>0</v>
      </c>
      <c r="AL43" s="75">
        <f t="shared" si="27"/>
        <v>0</v>
      </c>
      <c r="AM43" s="75">
        <f t="shared" si="27"/>
        <v>0</v>
      </c>
      <c r="AN43" s="75">
        <f t="shared" si="27"/>
        <v>0</v>
      </c>
      <c r="AO43" s="75">
        <f t="shared" si="27"/>
        <v>0</v>
      </c>
      <c r="AP43" s="75">
        <f t="shared" si="27"/>
        <v>0</v>
      </c>
      <c r="AQ43" s="76">
        <f t="shared" si="27"/>
        <v>2534550.1036025039</v>
      </c>
    </row>
    <row r="44" spans="1:43" x14ac:dyDescent="0.25">
      <c r="A44" s="10"/>
      <c r="B44" s="77" t="s">
        <v>65</v>
      </c>
      <c r="C44" s="78">
        <v>0</v>
      </c>
      <c r="D44" s="79">
        <f>D15-D43</f>
        <v>0</v>
      </c>
      <c r="E44" s="79">
        <f t="shared" ref="E44:AQ44" si="28">E15-E43</f>
        <v>0</v>
      </c>
      <c r="F44" s="79">
        <f t="shared" si="28"/>
        <v>0</v>
      </c>
      <c r="G44" s="79">
        <f t="shared" si="28"/>
        <v>0</v>
      </c>
      <c r="H44" s="79">
        <f t="shared" si="28"/>
        <v>0</v>
      </c>
      <c r="I44" s="79">
        <f t="shared" si="28"/>
        <v>0</v>
      </c>
      <c r="J44" s="79">
        <f t="shared" si="28"/>
        <v>0</v>
      </c>
      <c r="K44" s="79">
        <f t="shared" si="28"/>
        <v>0</v>
      </c>
      <c r="L44" s="79">
        <f t="shared" si="28"/>
        <v>0</v>
      </c>
      <c r="M44" s="79">
        <f t="shared" si="28"/>
        <v>0</v>
      </c>
      <c r="N44" s="79">
        <f t="shared" si="28"/>
        <v>0</v>
      </c>
      <c r="O44" s="79">
        <f t="shared" si="28"/>
        <v>0</v>
      </c>
      <c r="P44" s="79">
        <f t="shared" si="28"/>
        <v>0</v>
      </c>
      <c r="Q44" s="79">
        <f t="shared" si="28"/>
        <v>0</v>
      </c>
      <c r="R44" s="79">
        <f t="shared" si="28"/>
        <v>0</v>
      </c>
      <c r="S44" s="79">
        <f t="shared" si="28"/>
        <v>0</v>
      </c>
      <c r="T44" s="79">
        <f t="shared" si="28"/>
        <v>0</v>
      </c>
      <c r="U44" s="79">
        <f t="shared" si="28"/>
        <v>0</v>
      </c>
      <c r="V44" s="79">
        <f t="shared" si="28"/>
        <v>0</v>
      </c>
      <c r="W44" s="79">
        <f t="shared" si="28"/>
        <v>0</v>
      </c>
      <c r="X44" s="79">
        <f t="shared" si="28"/>
        <v>0</v>
      </c>
      <c r="Y44" s="79">
        <f t="shared" si="28"/>
        <v>0</v>
      </c>
      <c r="Z44" s="79">
        <f t="shared" si="28"/>
        <v>0</v>
      </c>
      <c r="AA44" s="79">
        <f t="shared" si="28"/>
        <v>0</v>
      </c>
      <c r="AB44" s="79">
        <f t="shared" si="28"/>
        <v>0</v>
      </c>
      <c r="AC44" s="79">
        <f t="shared" si="28"/>
        <v>0</v>
      </c>
      <c r="AD44" s="79">
        <f t="shared" si="28"/>
        <v>0</v>
      </c>
      <c r="AE44" s="79">
        <f t="shared" si="28"/>
        <v>0</v>
      </c>
      <c r="AF44" s="79">
        <f t="shared" si="28"/>
        <v>0</v>
      </c>
      <c r="AG44" s="79">
        <f t="shared" si="28"/>
        <v>0</v>
      </c>
      <c r="AH44" s="79">
        <f t="shared" si="28"/>
        <v>0</v>
      </c>
      <c r="AI44" s="79">
        <f t="shared" si="28"/>
        <v>0</v>
      </c>
      <c r="AJ44" s="79">
        <f t="shared" si="28"/>
        <v>0</v>
      </c>
      <c r="AK44" s="79">
        <f t="shared" si="28"/>
        <v>0</v>
      </c>
      <c r="AL44" s="79">
        <f t="shared" si="28"/>
        <v>0</v>
      </c>
      <c r="AM44" s="79">
        <f t="shared" si="28"/>
        <v>0</v>
      </c>
      <c r="AN44" s="79">
        <f t="shared" si="28"/>
        <v>0</v>
      </c>
      <c r="AO44" s="79">
        <f t="shared" si="28"/>
        <v>0</v>
      </c>
      <c r="AP44" s="79">
        <f t="shared" si="28"/>
        <v>0</v>
      </c>
      <c r="AQ44" s="80">
        <f t="shared" si="28"/>
        <v>0</v>
      </c>
    </row>
    <row r="45" spans="1:43" x14ac:dyDescent="0.25">
      <c r="A45" s="10"/>
      <c r="B45" s="81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6"/>
    </row>
    <row r="46" spans="1:43" x14ac:dyDescent="0.25">
      <c r="A46" s="10"/>
      <c r="B46" s="18" t="s">
        <v>29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5"/>
    </row>
    <row r="47" spans="1:43" x14ac:dyDescent="0.25">
      <c r="A47" s="10"/>
      <c r="B47" s="28" t="s">
        <v>30</v>
      </c>
      <c r="C47" s="70">
        <f>C20</f>
        <v>-1163750</v>
      </c>
      <c r="D47" s="71">
        <f t="shared" ref="D47:AQ47" si="29">D20</f>
        <v>0</v>
      </c>
      <c r="E47" s="71">
        <f t="shared" si="29"/>
        <v>0</v>
      </c>
      <c r="F47" s="71">
        <f t="shared" si="29"/>
        <v>0</v>
      </c>
      <c r="G47" s="71">
        <f t="shared" si="29"/>
        <v>0</v>
      </c>
      <c r="H47" s="71">
        <f t="shared" si="29"/>
        <v>0</v>
      </c>
      <c r="I47" s="71">
        <f t="shared" si="29"/>
        <v>0</v>
      </c>
      <c r="J47" s="71">
        <f t="shared" si="29"/>
        <v>0</v>
      </c>
      <c r="K47" s="71">
        <f t="shared" si="29"/>
        <v>0</v>
      </c>
      <c r="L47" s="71">
        <f t="shared" si="29"/>
        <v>0</v>
      </c>
      <c r="M47" s="71">
        <f t="shared" si="29"/>
        <v>0</v>
      </c>
      <c r="N47" s="71">
        <f t="shared" si="29"/>
        <v>0</v>
      </c>
      <c r="O47" s="71">
        <f t="shared" si="29"/>
        <v>0</v>
      </c>
      <c r="P47" s="71">
        <f t="shared" si="29"/>
        <v>0</v>
      </c>
      <c r="Q47" s="71">
        <f t="shared" si="29"/>
        <v>0</v>
      </c>
      <c r="R47" s="71">
        <f t="shared" si="29"/>
        <v>0</v>
      </c>
      <c r="S47" s="71">
        <f t="shared" si="29"/>
        <v>0</v>
      </c>
      <c r="T47" s="71">
        <f t="shared" si="29"/>
        <v>0</v>
      </c>
      <c r="U47" s="71">
        <f t="shared" si="29"/>
        <v>0</v>
      </c>
      <c r="V47" s="71">
        <f t="shared" si="29"/>
        <v>0</v>
      </c>
      <c r="W47" s="71">
        <f t="shared" si="29"/>
        <v>0</v>
      </c>
      <c r="X47" s="71">
        <f t="shared" si="29"/>
        <v>0</v>
      </c>
      <c r="Y47" s="71">
        <f t="shared" si="29"/>
        <v>0</v>
      </c>
      <c r="Z47" s="71">
        <f t="shared" si="29"/>
        <v>0</v>
      </c>
      <c r="AA47" s="71">
        <f t="shared" si="29"/>
        <v>0</v>
      </c>
      <c r="AB47" s="71">
        <f t="shared" si="29"/>
        <v>0</v>
      </c>
      <c r="AC47" s="71">
        <f t="shared" si="29"/>
        <v>0</v>
      </c>
      <c r="AD47" s="71">
        <f t="shared" si="29"/>
        <v>0</v>
      </c>
      <c r="AE47" s="71">
        <f t="shared" si="29"/>
        <v>0</v>
      </c>
      <c r="AF47" s="71">
        <f t="shared" si="29"/>
        <v>0</v>
      </c>
      <c r="AG47" s="71">
        <f t="shared" si="29"/>
        <v>0</v>
      </c>
      <c r="AH47" s="71">
        <f t="shared" si="29"/>
        <v>0</v>
      </c>
      <c r="AI47" s="71">
        <f t="shared" si="29"/>
        <v>0</v>
      </c>
      <c r="AJ47" s="71">
        <f t="shared" si="29"/>
        <v>0</v>
      </c>
      <c r="AK47" s="71">
        <f t="shared" si="29"/>
        <v>0</v>
      </c>
      <c r="AL47" s="71">
        <f t="shared" si="29"/>
        <v>0</v>
      </c>
      <c r="AM47" s="71">
        <f t="shared" si="29"/>
        <v>0</v>
      </c>
      <c r="AN47" s="71">
        <f t="shared" si="29"/>
        <v>0</v>
      </c>
      <c r="AO47" s="71">
        <f t="shared" si="29"/>
        <v>0</v>
      </c>
      <c r="AP47" s="71">
        <f t="shared" si="29"/>
        <v>0</v>
      </c>
      <c r="AQ47" s="72">
        <f t="shared" si="29"/>
        <v>0</v>
      </c>
    </row>
    <row r="48" spans="1:43" x14ac:dyDescent="0.25">
      <c r="A48" s="10"/>
      <c r="B48" s="73" t="s">
        <v>31</v>
      </c>
      <c r="C48" s="74">
        <f>C26+C36+C41</f>
        <v>0</v>
      </c>
      <c r="D48" s="75">
        <f t="shared" ref="D48:AQ48" si="30">D26+D36+D41</f>
        <v>17978.847312133978</v>
      </c>
      <c r="E48" s="75">
        <f t="shared" si="30"/>
        <v>17978.847312133978</v>
      </c>
      <c r="F48" s="75">
        <f t="shared" si="30"/>
        <v>17978.847312133978</v>
      </c>
      <c r="G48" s="75">
        <f t="shared" si="30"/>
        <v>17978.847312133978</v>
      </c>
      <c r="H48" s="75">
        <f t="shared" si="30"/>
        <v>19475.097312133978</v>
      </c>
      <c r="I48" s="75">
        <f t="shared" si="30"/>
        <v>19475.097312133978</v>
      </c>
      <c r="J48" s="75">
        <f t="shared" si="30"/>
        <v>19475.097312133978</v>
      </c>
      <c r="K48" s="75">
        <f t="shared" si="30"/>
        <v>19475.097312133978</v>
      </c>
      <c r="L48" s="75">
        <f t="shared" si="30"/>
        <v>20533.01369863014</v>
      </c>
      <c r="M48" s="75">
        <f t="shared" si="30"/>
        <v>20533.01369863014</v>
      </c>
      <c r="N48" s="75">
        <f t="shared" si="30"/>
        <v>20086.64383561644</v>
      </c>
      <c r="O48" s="75">
        <f t="shared" si="30"/>
        <v>21679.533634773761</v>
      </c>
      <c r="P48" s="75">
        <f t="shared" si="30"/>
        <v>20533.01369863014</v>
      </c>
      <c r="Q48" s="75">
        <f t="shared" si="30"/>
        <v>20533.01369863014</v>
      </c>
      <c r="R48" s="75">
        <f t="shared" si="30"/>
        <v>20086.64383561644</v>
      </c>
      <c r="S48" s="75">
        <f t="shared" si="30"/>
        <v>25021.368634773768</v>
      </c>
      <c r="T48" s="75">
        <f t="shared" si="30"/>
        <v>20476.912568306016</v>
      </c>
      <c r="U48" s="75">
        <f t="shared" si="30"/>
        <v>20476.912568306016</v>
      </c>
      <c r="V48" s="75">
        <f t="shared" si="30"/>
        <v>20254.337431693992</v>
      </c>
      <c r="W48" s="75">
        <f t="shared" si="30"/>
        <v>28407.967349344453</v>
      </c>
      <c r="X48" s="75">
        <f t="shared" si="30"/>
        <v>20533.01369863014</v>
      </c>
      <c r="Y48" s="75">
        <f t="shared" si="30"/>
        <v>20533.01369863014</v>
      </c>
      <c r="Z48" s="75">
        <f t="shared" si="30"/>
        <v>20086.64383561644</v>
      </c>
      <c r="AA48" s="75">
        <f t="shared" si="30"/>
        <v>32008.81143627374</v>
      </c>
      <c r="AB48" s="75">
        <f t="shared" si="30"/>
        <v>20533.01369863014</v>
      </c>
      <c r="AC48" s="75">
        <f t="shared" si="30"/>
        <v>20533.01369863014</v>
      </c>
      <c r="AD48" s="75">
        <f t="shared" si="30"/>
        <v>20086.64383561644</v>
      </c>
      <c r="AE48" s="75">
        <f t="shared" si="30"/>
        <v>35660.524770318749</v>
      </c>
      <c r="AF48" s="75">
        <f t="shared" si="30"/>
        <v>20533.01369863014</v>
      </c>
      <c r="AG48" s="75">
        <f t="shared" si="30"/>
        <v>20533.01369863014</v>
      </c>
      <c r="AH48" s="75">
        <f t="shared" si="30"/>
        <v>20086.64383561644</v>
      </c>
      <c r="AI48" s="75">
        <f t="shared" si="30"/>
        <v>39421.789504385102</v>
      </c>
      <c r="AJ48" s="75">
        <f t="shared" si="30"/>
        <v>20476.912568306016</v>
      </c>
      <c r="AK48" s="75">
        <f t="shared" si="30"/>
        <v>20476.912568306016</v>
      </c>
      <c r="AL48" s="75">
        <f t="shared" si="30"/>
        <v>20254.337431693992</v>
      </c>
      <c r="AM48" s="75">
        <f t="shared" si="30"/>
        <v>43240.400845044147</v>
      </c>
      <c r="AN48" s="75">
        <f t="shared" si="30"/>
        <v>20533.01369863014</v>
      </c>
      <c r="AO48" s="75">
        <f t="shared" si="30"/>
        <v>20533.01369863014</v>
      </c>
      <c r="AP48" s="75">
        <f t="shared" si="30"/>
        <v>20086.64383561644</v>
      </c>
      <c r="AQ48" s="76">
        <f t="shared" si="30"/>
        <v>2074926.3008188475</v>
      </c>
    </row>
    <row r="49" spans="1:43" x14ac:dyDescent="0.25">
      <c r="A49" s="10"/>
      <c r="B49" s="77" t="s">
        <v>32</v>
      </c>
      <c r="C49" s="78">
        <f>SUM(C47:C48)</f>
        <v>-1163750</v>
      </c>
      <c r="D49" s="79">
        <f t="shared" ref="D49:AQ49" si="31">SUM(D47:D48)</f>
        <v>17978.847312133978</v>
      </c>
      <c r="E49" s="79">
        <f t="shared" si="31"/>
        <v>17978.847312133978</v>
      </c>
      <c r="F49" s="79">
        <f t="shared" si="31"/>
        <v>17978.847312133978</v>
      </c>
      <c r="G49" s="79">
        <f t="shared" si="31"/>
        <v>17978.847312133978</v>
      </c>
      <c r="H49" s="79">
        <f t="shared" si="31"/>
        <v>19475.097312133978</v>
      </c>
      <c r="I49" s="79">
        <f t="shared" si="31"/>
        <v>19475.097312133978</v>
      </c>
      <c r="J49" s="79">
        <f t="shared" si="31"/>
        <v>19475.097312133978</v>
      </c>
      <c r="K49" s="79">
        <f t="shared" si="31"/>
        <v>19475.097312133978</v>
      </c>
      <c r="L49" s="79">
        <f t="shared" si="31"/>
        <v>20533.01369863014</v>
      </c>
      <c r="M49" s="79">
        <f t="shared" si="31"/>
        <v>20533.01369863014</v>
      </c>
      <c r="N49" s="79">
        <f t="shared" si="31"/>
        <v>20086.64383561644</v>
      </c>
      <c r="O49" s="79">
        <f t="shared" si="31"/>
        <v>21679.533634773761</v>
      </c>
      <c r="P49" s="79">
        <f t="shared" si="31"/>
        <v>20533.01369863014</v>
      </c>
      <c r="Q49" s="79">
        <f t="shared" si="31"/>
        <v>20533.01369863014</v>
      </c>
      <c r="R49" s="79">
        <f t="shared" si="31"/>
        <v>20086.64383561644</v>
      </c>
      <c r="S49" s="79">
        <f t="shared" si="31"/>
        <v>25021.368634773768</v>
      </c>
      <c r="T49" s="79">
        <f t="shared" si="31"/>
        <v>20476.912568306016</v>
      </c>
      <c r="U49" s="79">
        <f t="shared" si="31"/>
        <v>20476.912568306016</v>
      </c>
      <c r="V49" s="79">
        <f t="shared" si="31"/>
        <v>20254.337431693992</v>
      </c>
      <c r="W49" s="79">
        <f t="shared" si="31"/>
        <v>28407.967349344453</v>
      </c>
      <c r="X49" s="79">
        <f t="shared" si="31"/>
        <v>20533.01369863014</v>
      </c>
      <c r="Y49" s="79">
        <f t="shared" si="31"/>
        <v>20533.01369863014</v>
      </c>
      <c r="Z49" s="79">
        <f t="shared" si="31"/>
        <v>20086.64383561644</v>
      </c>
      <c r="AA49" s="79">
        <f t="shared" si="31"/>
        <v>32008.81143627374</v>
      </c>
      <c r="AB49" s="79">
        <f t="shared" si="31"/>
        <v>20533.01369863014</v>
      </c>
      <c r="AC49" s="79">
        <f t="shared" si="31"/>
        <v>20533.01369863014</v>
      </c>
      <c r="AD49" s="79">
        <f t="shared" si="31"/>
        <v>20086.64383561644</v>
      </c>
      <c r="AE49" s="79">
        <f t="shared" si="31"/>
        <v>35660.524770318749</v>
      </c>
      <c r="AF49" s="79">
        <f t="shared" si="31"/>
        <v>20533.01369863014</v>
      </c>
      <c r="AG49" s="79">
        <f t="shared" si="31"/>
        <v>20533.01369863014</v>
      </c>
      <c r="AH49" s="79">
        <f t="shared" si="31"/>
        <v>20086.64383561644</v>
      </c>
      <c r="AI49" s="79">
        <f t="shared" si="31"/>
        <v>39421.789504385102</v>
      </c>
      <c r="AJ49" s="79">
        <f t="shared" si="31"/>
        <v>20476.912568306016</v>
      </c>
      <c r="AK49" s="79">
        <f t="shared" si="31"/>
        <v>20476.912568306016</v>
      </c>
      <c r="AL49" s="79">
        <f t="shared" si="31"/>
        <v>20254.337431693992</v>
      </c>
      <c r="AM49" s="79">
        <f t="shared" si="31"/>
        <v>43240.400845044147</v>
      </c>
      <c r="AN49" s="79">
        <f t="shared" si="31"/>
        <v>20533.01369863014</v>
      </c>
      <c r="AO49" s="79">
        <f t="shared" si="31"/>
        <v>20533.01369863014</v>
      </c>
      <c r="AP49" s="79">
        <f t="shared" si="31"/>
        <v>20086.64383561644</v>
      </c>
      <c r="AQ49" s="80">
        <f t="shared" si="31"/>
        <v>2074926.3008188475</v>
      </c>
    </row>
    <row r="50" spans="1:43" x14ac:dyDescent="0.25">
      <c r="A50" s="10"/>
      <c r="B50" s="11" t="s">
        <v>4</v>
      </c>
      <c r="C50" s="13">
        <f>XIRR(C49:AQ49,C13:AQ13)</f>
        <v>0.12038118243217466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</row>
    <row r="51" spans="1:43" x14ac:dyDescent="0.25">
      <c r="A51" s="10"/>
      <c r="B51" s="24" t="s">
        <v>5</v>
      </c>
      <c r="C51" s="25">
        <f>SUMIF(C49:AQ49,"&gt;"&amp;0,C49:AQ49)/-SUMIF(C49:AQ49,"&lt;"&amp;0,C49:AQ49)</f>
        <v>2.5258988855206921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</row>
    <row r="52" spans="1:43" x14ac:dyDescent="0.25">
      <c r="A52" s="10"/>
      <c r="B52" s="22" t="s">
        <v>101</v>
      </c>
      <c r="C52" s="32">
        <f>AVERAGEIF($R$1:$AA$1,"&lt;="&amp;$L$4,$R$5:$AA$5)</f>
        <v>7.835658390055443E-2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</row>
    <row r="53" spans="1:43" x14ac:dyDescent="0.25">
      <c r="A53" s="10"/>
      <c r="B53" s="81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</row>
    <row r="54" spans="1:43" x14ac:dyDescent="0.25">
      <c r="A54" s="10"/>
      <c r="B54" s="18" t="s">
        <v>33</v>
      </c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5"/>
    </row>
    <row r="55" spans="1:43" x14ac:dyDescent="0.25">
      <c r="A55" s="10"/>
      <c r="B55" s="28" t="s">
        <v>30</v>
      </c>
      <c r="C55" s="70">
        <f>C19</f>
        <v>-61250</v>
      </c>
      <c r="D55" s="71">
        <f t="shared" ref="D55:AQ55" si="32">D19</f>
        <v>0</v>
      </c>
      <c r="E55" s="71">
        <f t="shared" si="32"/>
        <v>0</v>
      </c>
      <c r="F55" s="71">
        <f t="shared" si="32"/>
        <v>0</v>
      </c>
      <c r="G55" s="71">
        <f t="shared" si="32"/>
        <v>0</v>
      </c>
      <c r="H55" s="71">
        <f t="shared" si="32"/>
        <v>0</v>
      </c>
      <c r="I55" s="71">
        <f t="shared" si="32"/>
        <v>0</v>
      </c>
      <c r="J55" s="71">
        <f t="shared" si="32"/>
        <v>0</v>
      </c>
      <c r="K55" s="71">
        <f t="shared" si="32"/>
        <v>0</v>
      </c>
      <c r="L55" s="71">
        <f t="shared" si="32"/>
        <v>0</v>
      </c>
      <c r="M55" s="71">
        <f t="shared" si="32"/>
        <v>0</v>
      </c>
      <c r="N55" s="71">
        <f t="shared" si="32"/>
        <v>0</v>
      </c>
      <c r="O55" s="71">
        <f t="shared" si="32"/>
        <v>0</v>
      </c>
      <c r="P55" s="71">
        <f t="shared" si="32"/>
        <v>0</v>
      </c>
      <c r="Q55" s="71">
        <f t="shared" si="32"/>
        <v>0</v>
      </c>
      <c r="R55" s="71">
        <f t="shared" si="32"/>
        <v>0</v>
      </c>
      <c r="S55" s="71">
        <f t="shared" si="32"/>
        <v>0</v>
      </c>
      <c r="T55" s="71">
        <f t="shared" si="32"/>
        <v>0</v>
      </c>
      <c r="U55" s="71">
        <f t="shared" si="32"/>
        <v>0</v>
      </c>
      <c r="V55" s="71">
        <f t="shared" si="32"/>
        <v>0</v>
      </c>
      <c r="W55" s="71">
        <f t="shared" si="32"/>
        <v>0</v>
      </c>
      <c r="X55" s="71">
        <f t="shared" si="32"/>
        <v>0</v>
      </c>
      <c r="Y55" s="71">
        <f t="shared" si="32"/>
        <v>0</v>
      </c>
      <c r="Z55" s="71">
        <f t="shared" si="32"/>
        <v>0</v>
      </c>
      <c r="AA55" s="71">
        <f t="shared" si="32"/>
        <v>0</v>
      </c>
      <c r="AB55" s="71">
        <f t="shared" si="32"/>
        <v>0</v>
      </c>
      <c r="AC55" s="71">
        <f t="shared" si="32"/>
        <v>0</v>
      </c>
      <c r="AD55" s="71">
        <f t="shared" si="32"/>
        <v>0</v>
      </c>
      <c r="AE55" s="71">
        <f t="shared" si="32"/>
        <v>0</v>
      </c>
      <c r="AF55" s="71">
        <f t="shared" si="32"/>
        <v>0</v>
      </c>
      <c r="AG55" s="71">
        <f t="shared" si="32"/>
        <v>0</v>
      </c>
      <c r="AH55" s="71">
        <f t="shared" si="32"/>
        <v>0</v>
      </c>
      <c r="AI55" s="71">
        <f t="shared" si="32"/>
        <v>0</v>
      </c>
      <c r="AJ55" s="71">
        <f t="shared" si="32"/>
        <v>0</v>
      </c>
      <c r="AK55" s="71">
        <f t="shared" si="32"/>
        <v>0</v>
      </c>
      <c r="AL55" s="71">
        <f t="shared" si="32"/>
        <v>0</v>
      </c>
      <c r="AM55" s="71">
        <f t="shared" si="32"/>
        <v>0</v>
      </c>
      <c r="AN55" s="71">
        <f t="shared" si="32"/>
        <v>0</v>
      </c>
      <c r="AO55" s="71">
        <f t="shared" si="32"/>
        <v>0</v>
      </c>
      <c r="AP55" s="71">
        <f t="shared" si="32"/>
        <v>0</v>
      </c>
      <c r="AQ55" s="72">
        <f t="shared" si="32"/>
        <v>0</v>
      </c>
    </row>
    <row r="56" spans="1:43" x14ac:dyDescent="0.25">
      <c r="A56" s="10"/>
      <c r="B56" s="73" t="s">
        <v>31</v>
      </c>
      <c r="C56" s="74">
        <f>C31+C37+C42</f>
        <v>0</v>
      </c>
      <c r="D56" s="75">
        <f t="shared" ref="D56:AQ56" si="33">D31+D37+D42</f>
        <v>946.25512169126205</v>
      </c>
      <c r="E56" s="75">
        <f t="shared" si="33"/>
        <v>946.25512169126205</v>
      </c>
      <c r="F56" s="75">
        <f t="shared" si="33"/>
        <v>946.25512169126205</v>
      </c>
      <c r="G56" s="75">
        <f t="shared" si="33"/>
        <v>946.25512169126205</v>
      </c>
      <c r="H56" s="75">
        <f t="shared" si="33"/>
        <v>1025.005121691262</v>
      </c>
      <c r="I56" s="75">
        <f t="shared" si="33"/>
        <v>1025.005121691262</v>
      </c>
      <c r="J56" s="75">
        <f t="shared" si="33"/>
        <v>1025.005121691262</v>
      </c>
      <c r="K56" s="75">
        <f t="shared" si="33"/>
        <v>1025.005121691262</v>
      </c>
      <c r="L56" s="75">
        <f t="shared" si="33"/>
        <v>1080.6849315068496</v>
      </c>
      <c r="M56" s="75">
        <f t="shared" si="33"/>
        <v>1080.6849315068496</v>
      </c>
      <c r="N56" s="75">
        <f t="shared" si="33"/>
        <v>1057.191780821918</v>
      </c>
      <c r="O56" s="75">
        <f t="shared" si="33"/>
        <v>2438.6432238148545</v>
      </c>
      <c r="P56" s="75">
        <f t="shared" si="33"/>
        <v>1080.6849315068496</v>
      </c>
      <c r="Q56" s="75">
        <f t="shared" si="33"/>
        <v>1080.6849315068496</v>
      </c>
      <c r="R56" s="75">
        <f t="shared" si="33"/>
        <v>1057.191780821918</v>
      </c>
      <c r="S56" s="75">
        <f t="shared" si="33"/>
        <v>5780.4782238148609</v>
      </c>
      <c r="T56" s="75">
        <f t="shared" si="33"/>
        <v>1077.7322404371587</v>
      </c>
      <c r="U56" s="75">
        <f t="shared" si="33"/>
        <v>1077.7322404371587</v>
      </c>
      <c r="V56" s="75">
        <f t="shared" si="33"/>
        <v>1066.0177595628418</v>
      </c>
      <c r="W56" s="75">
        <f t="shared" si="33"/>
        <v>9219.6476772133028</v>
      </c>
      <c r="X56" s="75">
        <f t="shared" si="33"/>
        <v>1080.6849315068496</v>
      </c>
      <c r="Y56" s="75">
        <f t="shared" si="33"/>
        <v>1080.6849315068496</v>
      </c>
      <c r="Z56" s="75">
        <f t="shared" si="33"/>
        <v>1057.191780821918</v>
      </c>
      <c r="AA56" s="75">
        <f t="shared" si="33"/>
        <v>12767.921025314834</v>
      </c>
      <c r="AB56" s="75">
        <f t="shared" si="33"/>
        <v>1080.6849315068496</v>
      </c>
      <c r="AC56" s="75">
        <f t="shared" si="33"/>
        <v>1080.6849315068496</v>
      </c>
      <c r="AD56" s="75">
        <f t="shared" si="33"/>
        <v>1057.191780821918</v>
      </c>
      <c r="AE56" s="75">
        <f t="shared" si="33"/>
        <v>16419.634359359843</v>
      </c>
      <c r="AF56" s="75">
        <f t="shared" si="33"/>
        <v>1080.6849315068496</v>
      </c>
      <c r="AG56" s="75">
        <f t="shared" si="33"/>
        <v>1080.6849315068496</v>
      </c>
      <c r="AH56" s="75">
        <f t="shared" si="33"/>
        <v>1057.191780821918</v>
      </c>
      <c r="AI56" s="75">
        <f t="shared" si="33"/>
        <v>20180.899093426196</v>
      </c>
      <c r="AJ56" s="75">
        <f t="shared" si="33"/>
        <v>1077.7322404371587</v>
      </c>
      <c r="AK56" s="75">
        <f t="shared" si="33"/>
        <v>1077.7322404371587</v>
      </c>
      <c r="AL56" s="75">
        <f t="shared" si="33"/>
        <v>1066.0177595628418</v>
      </c>
      <c r="AM56" s="75">
        <f t="shared" si="33"/>
        <v>24052.081172912993</v>
      </c>
      <c r="AN56" s="75">
        <f t="shared" si="33"/>
        <v>1080.6849315068496</v>
      </c>
      <c r="AO56" s="75">
        <f t="shared" si="33"/>
        <v>1080.6849315068496</v>
      </c>
      <c r="AP56" s="75">
        <f t="shared" si="33"/>
        <v>1057.191780821918</v>
      </c>
      <c r="AQ56" s="76">
        <f t="shared" si="33"/>
        <v>534955.34824638627</v>
      </c>
    </row>
    <row r="57" spans="1:43" x14ac:dyDescent="0.25">
      <c r="A57" s="10"/>
      <c r="B57" s="77" t="s">
        <v>34</v>
      </c>
      <c r="C57" s="78">
        <f>SUM(C55:C56)</f>
        <v>-61250</v>
      </c>
      <c r="D57" s="79">
        <f t="shared" ref="D57:AQ57" si="34">SUM(D55:D56)</f>
        <v>946.25512169126205</v>
      </c>
      <c r="E57" s="79">
        <f t="shared" si="34"/>
        <v>946.25512169126205</v>
      </c>
      <c r="F57" s="79">
        <f t="shared" si="34"/>
        <v>946.25512169126205</v>
      </c>
      <c r="G57" s="79">
        <f t="shared" si="34"/>
        <v>946.25512169126205</v>
      </c>
      <c r="H57" s="79">
        <f t="shared" si="34"/>
        <v>1025.005121691262</v>
      </c>
      <c r="I57" s="79">
        <f t="shared" si="34"/>
        <v>1025.005121691262</v>
      </c>
      <c r="J57" s="79">
        <f t="shared" si="34"/>
        <v>1025.005121691262</v>
      </c>
      <c r="K57" s="79">
        <f t="shared" si="34"/>
        <v>1025.005121691262</v>
      </c>
      <c r="L57" s="79">
        <f t="shared" si="34"/>
        <v>1080.6849315068496</v>
      </c>
      <c r="M57" s="79">
        <f t="shared" si="34"/>
        <v>1080.6849315068496</v>
      </c>
      <c r="N57" s="79">
        <f t="shared" si="34"/>
        <v>1057.191780821918</v>
      </c>
      <c r="O57" s="79">
        <f t="shared" si="34"/>
        <v>2438.6432238148545</v>
      </c>
      <c r="P57" s="79">
        <f t="shared" si="34"/>
        <v>1080.6849315068496</v>
      </c>
      <c r="Q57" s="79">
        <f t="shared" si="34"/>
        <v>1080.6849315068496</v>
      </c>
      <c r="R57" s="79">
        <f t="shared" si="34"/>
        <v>1057.191780821918</v>
      </c>
      <c r="S57" s="79">
        <f t="shared" si="34"/>
        <v>5780.4782238148609</v>
      </c>
      <c r="T57" s="79">
        <f t="shared" si="34"/>
        <v>1077.7322404371587</v>
      </c>
      <c r="U57" s="79">
        <f t="shared" si="34"/>
        <v>1077.7322404371587</v>
      </c>
      <c r="V57" s="79">
        <f t="shared" si="34"/>
        <v>1066.0177595628418</v>
      </c>
      <c r="W57" s="79">
        <f t="shared" si="34"/>
        <v>9219.6476772133028</v>
      </c>
      <c r="X57" s="79">
        <f t="shared" si="34"/>
        <v>1080.6849315068496</v>
      </c>
      <c r="Y57" s="79">
        <f t="shared" si="34"/>
        <v>1080.6849315068496</v>
      </c>
      <c r="Z57" s="79">
        <f t="shared" si="34"/>
        <v>1057.191780821918</v>
      </c>
      <c r="AA57" s="79">
        <f t="shared" si="34"/>
        <v>12767.921025314834</v>
      </c>
      <c r="AB57" s="79">
        <f t="shared" si="34"/>
        <v>1080.6849315068496</v>
      </c>
      <c r="AC57" s="79">
        <f t="shared" si="34"/>
        <v>1080.6849315068496</v>
      </c>
      <c r="AD57" s="79">
        <f t="shared" si="34"/>
        <v>1057.191780821918</v>
      </c>
      <c r="AE57" s="79">
        <f t="shared" si="34"/>
        <v>16419.634359359843</v>
      </c>
      <c r="AF57" s="79">
        <f t="shared" si="34"/>
        <v>1080.6849315068496</v>
      </c>
      <c r="AG57" s="79">
        <f t="shared" si="34"/>
        <v>1080.6849315068496</v>
      </c>
      <c r="AH57" s="79">
        <f t="shared" si="34"/>
        <v>1057.191780821918</v>
      </c>
      <c r="AI57" s="79">
        <f t="shared" si="34"/>
        <v>20180.899093426196</v>
      </c>
      <c r="AJ57" s="79">
        <f t="shared" si="34"/>
        <v>1077.7322404371587</v>
      </c>
      <c r="AK57" s="79">
        <f t="shared" si="34"/>
        <v>1077.7322404371587</v>
      </c>
      <c r="AL57" s="79">
        <f t="shared" si="34"/>
        <v>1066.0177595628418</v>
      </c>
      <c r="AM57" s="79">
        <f t="shared" si="34"/>
        <v>24052.081172912993</v>
      </c>
      <c r="AN57" s="79">
        <f t="shared" si="34"/>
        <v>1080.6849315068496</v>
      </c>
      <c r="AO57" s="79">
        <f t="shared" si="34"/>
        <v>1080.6849315068496</v>
      </c>
      <c r="AP57" s="79">
        <f t="shared" si="34"/>
        <v>1057.191780821918</v>
      </c>
      <c r="AQ57" s="80">
        <f t="shared" si="34"/>
        <v>534955.34824638627</v>
      </c>
    </row>
    <row r="58" spans="1:43" x14ac:dyDescent="0.25">
      <c r="A58" s="10"/>
      <c r="B58" s="11" t="s">
        <v>6</v>
      </c>
      <c r="C58" s="13">
        <f>XIRR(C57:AQ57,C13:AQ13)</f>
        <v>0.31398575901985171</v>
      </c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</row>
    <row r="59" spans="1:43" x14ac:dyDescent="0.25">
      <c r="A59" s="10"/>
      <c r="B59" s="24" t="s">
        <v>7</v>
      </c>
      <c r="C59" s="25">
        <f>SUMIF(C57:AQ57,"&gt;"&amp;0,C57:AQ57)/-SUMIF(C57:AQ57,"&lt;"&amp;0,C57:AQ57)</f>
        <v>10.766596381055695</v>
      </c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</row>
    <row r="60" spans="1:43" x14ac:dyDescent="0.25">
      <c r="A60" s="10"/>
      <c r="B60" s="22" t="s">
        <v>102</v>
      </c>
      <c r="C60" s="32">
        <f>AVERAGEIF($R$1:$AA$1,"&lt;="&amp;$L$4,$R$6:$AA$6)</f>
        <v>0.24905144101087434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spans="1:43" x14ac:dyDescent="0.25">
      <c r="A61" s="10"/>
      <c r="B61" s="81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</row>
    <row r="62" spans="1:43" x14ac:dyDescent="0.25">
      <c r="A62" s="10"/>
      <c r="B62" s="18" t="s">
        <v>8</v>
      </c>
      <c r="C62" s="8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</row>
    <row r="63" spans="1:43" x14ac:dyDescent="0.25">
      <c r="A63" s="10"/>
      <c r="B63" s="28" t="s">
        <v>68</v>
      </c>
      <c r="C63" s="100">
        <f>SUM(D31:AQ31,D37:AQ37)-SUM(D14:AQ14)*C1</f>
        <v>99323.069981067354</v>
      </c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</row>
    <row r="64" spans="1:43" x14ac:dyDescent="0.25">
      <c r="A64" s="10"/>
      <c r="B64" s="73" t="s">
        <v>69</v>
      </c>
      <c r="C64" s="101">
        <f>SUM(D42:AQ42)-SUM(D15:AQ15)*C1</f>
        <v>380182.51554037561</v>
      </c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</row>
    <row r="65" spans="1:43" x14ac:dyDescent="0.25">
      <c r="A65" s="10"/>
      <c r="B65" s="77" t="s">
        <v>35</v>
      </c>
      <c r="C65" s="102">
        <f>SUM(C63:C64)</f>
        <v>479505.58552144293</v>
      </c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</row>
    <row r="66" spans="1:43" x14ac:dyDescent="0.2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2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2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</row>
  </sheetData>
  <sheetProtection algorithmName="SHA-512" hashValue="KBDCye7xYGNP13KBG8WvpLUzAA/rOO+qsr8TiL6jfkJpIRyyRMcxcoHLBzemG39QJtO7mc5njJ46otKrrtZHzQ==" saltValue="mbV01ve3qcNBi2ZmsQ+IHw==" spinCount="100000" sheet="1" objects="1" scenarios="1"/>
  <conditionalFormatting sqref="A38">
    <cfRule type="containsText" dxfId="13" priority="3" operator="containsText" text="NO">
      <formula>NOT(ISERROR(SEARCH("NO",A38)))</formula>
    </cfRule>
    <cfRule type="containsText" dxfId="12" priority="4" operator="containsText" text="YES">
      <formula>NOT(ISERROR(SEARCH("YES",A38)))</formula>
    </cfRule>
  </conditionalFormatting>
  <conditionalFormatting sqref="A43">
    <cfRule type="containsText" dxfId="11" priority="1" operator="containsText" text="NO">
      <formula>NOT(ISERROR(SEARCH("NO",A43)))</formula>
    </cfRule>
    <cfRule type="containsText" dxfId="10" priority="2" operator="containsText" text="YES">
      <formula>NOT(ISERROR(SEARCH("YES",A43)))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0C2E-D15A-4666-8C95-09D9F67F9F73}">
  <dimension ref="A1:BB63"/>
  <sheetViews>
    <sheetView showGridLines="0" zoomScaleNormal="100" workbookViewId="0">
      <selection activeCell="K27" sqref="K27"/>
    </sheetView>
  </sheetViews>
  <sheetFormatPr defaultColWidth="8.85546875" defaultRowHeight="13.5" x14ac:dyDescent="0.25"/>
  <cols>
    <col min="1" max="1" width="10.42578125" style="10" bestFit="1" customWidth="1"/>
    <col min="2" max="2" width="10.7109375" style="10" bestFit="1" customWidth="1"/>
    <col min="3" max="3" width="21.28515625" style="10" bestFit="1" customWidth="1"/>
    <col min="4" max="4" width="12.85546875" style="10" bestFit="1" customWidth="1"/>
    <col min="5" max="5" width="12.28515625" style="10" bestFit="1" customWidth="1"/>
    <col min="6" max="6" width="17" style="10" bestFit="1" customWidth="1"/>
    <col min="7" max="7" width="13.5703125" style="10" bestFit="1" customWidth="1"/>
    <col min="8" max="9" width="12.28515625" style="10" bestFit="1" customWidth="1"/>
    <col min="10" max="10" width="13.7109375" style="10" bestFit="1" customWidth="1"/>
    <col min="11" max="11" width="12.28515625" style="10" bestFit="1" customWidth="1"/>
    <col min="12" max="12" width="18.7109375" style="10" bestFit="1" customWidth="1"/>
    <col min="13" max="13" width="12.28515625" style="10" bestFit="1" customWidth="1"/>
    <col min="14" max="14" width="13.7109375" style="10" bestFit="1" customWidth="1"/>
    <col min="15" max="15" width="22.5703125" style="10" bestFit="1" customWidth="1"/>
    <col min="16" max="17" width="12.28515625" style="10" bestFit="1" customWidth="1"/>
    <col min="18" max="18" width="13.7109375" style="10" bestFit="1" customWidth="1"/>
    <col min="19" max="21" width="12.28515625" style="10" bestFit="1" customWidth="1"/>
    <col min="22" max="22" width="13.7109375" style="10" bestFit="1" customWidth="1"/>
    <col min="23" max="25" width="12.28515625" style="10" bestFit="1" customWidth="1"/>
    <col min="26" max="26" width="13.7109375" style="10" bestFit="1" customWidth="1"/>
    <col min="27" max="29" width="12.28515625" style="10" bestFit="1" customWidth="1"/>
    <col min="30" max="30" width="13.7109375" style="10" bestFit="1" customWidth="1"/>
    <col min="31" max="33" width="12.28515625" style="10" bestFit="1" customWidth="1"/>
    <col min="34" max="34" width="13.7109375" style="10" bestFit="1" customWidth="1"/>
    <col min="35" max="37" width="12.28515625" style="10" bestFit="1" customWidth="1"/>
    <col min="38" max="38" width="13.7109375" style="10" bestFit="1" customWidth="1"/>
    <col min="39" max="41" width="12.28515625" style="10" bestFit="1" customWidth="1"/>
    <col min="42" max="42" width="13.7109375" style="10" bestFit="1" customWidth="1"/>
    <col min="43" max="44" width="12.28515625" style="10" bestFit="1" customWidth="1"/>
    <col min="45" max="16384" width="8.85546875" style="10"/>
  </cols>
  <sheetData>
    <row r="1" spans="3:54" x14ac:dyDescent="0.25">
      <c r="C1" s="11" t="s">
        <v>0</v>
      </c>
      <c r="D1" s="103">
        <v>0.05</v>
      </c>
      <c r="F1" s="11" t="s">
        <v>2</v>
      </c>
      <c r="G1" s="13">
        <f>XIRR(D14:AR14,D11:AR11)</f>
        <v>0.10546320080757143</v>
      </c>
      <c r="I1" s="11" t="s">
        <v>4</v>
      </c>
      <c r="J1" s="13">
        <f>D46</f>
        <v>0.1013444721698761</v>
      </c>
      <c r="L1" s="14" t="s">
        <v>43</v>
      </c>
      <c r="M1" s="15">
        <v>3500000</v>
      </c>
      <c r="N1" s="16"/>
      <c r="O1" s="14" t="s">
        <v>58</v>
      </c>
      <c r="P1" s="17">
        <v>0.65</v>
      </c>
    </row>
    <row r="2" spans="3:54" x14ac:dyDescent="0.25">
      <c r="C2" s="22" t="s">
        <v>1</v>
      </c>
      <c r="D2" s="104">
        <f>1-D1</f>
        <v>0.95</v>
      </c>
      <c r="F2" s="22" t="s">
        <v>3</v>
      </c>
      <c r="G2" s="105">
        <f>SUMIF(D14:AR14,"&gt;"&amp;0,D14:AR14)/-SUMIF(D14:AR14,"&lt;"&amp;0,D14:AR14)</f>
        <v>1.5935512738847071</v>
      </c>
      <c r="I2" s="22" t="s">
        <v>5</v>
      </c>
      <c r="J2" s="105">
        <f>D47</f>
        <v>1.5654858917192949</v>
      </c>
      <c r="L2" s="14" t="s">
        <v>44</v>
      </c>
      <c r="M2" s="106">
        <v>0.05</v>
      </c>
      <c r="N2" s="16"/>
      <c r="O2" s="14" t="s">
        <v>61</v>
      </c>
      <c r="P2" s="107">
        <f>P1*M1</f>
        <v>2275000</v>
      </c>
    </row>
    <row r="3" spans="3:54" x14ac:dyDescent="0.25">
      <c r="L3" s="14" t="s">
        <v>45</v>
      </c>
      <c r="M3" s="106">
        <v>0.05</v>
      </c>
      <c r="N3" s="16"/>
      <c r="O3" s="14" t="s">
        <v>59</v>
      </c>
      <c r="P3" s="106">
        <v>4.2500000000000003E-2</v>
      </c>
    </row>
    <row r="4" spans="3:54" x14ac:dyDescent="0.25">
      <c r="C4" s="44" t="s">
        <v>9</v>
      </c>
      <c r="D4" s="19" t="s">
        <v>11</v>
      </c>
      <c r="E4" s="19" t="s">
        <v>8</v>
      </c>
      <c r="F4" s="19" t="s">
        <v>12</v>
      </c>
      <c r="G4" s="45" t="s">
        <v>13</v>
      </c>
      <c r="I4" s="11" t="s">
        <v>6</v>
      </c>
      <c r="J4" s="13">
        <f>D53</f>
        <v>0.17374798655509954</v>
      </c>
      <c r="L4" s="14" t="s">
        <v>47</v>
      </c>
      <c r="M4" s="108">
        <v>5</v>
      </c>
      <c r="O4" s="14" t="s">
        <v>60</v>
      </c>
      <c r="P4" s="109">
        <v>360</v>
      </c>
    </row>
    <row r="5" spans="3:54" x14ac:dyDescent="0.25">
      <c r="C5" s="28" t="s">
        <v>80</v>
      </c>
      <c r="D5" s="110">
        <v>7.0000000000000007E-2</v>
      </c>
      <c r="E5" s="51"/>
      <c r="F5" s="111">
        <f>D1</f>
        <v>0.05</v>
      </c>
      <c r="G5" s="112">
        <f>D2</f>
        <v>0.95</v>
      </c>
      <c r="I5" s="24" t="s">
        <v>7</v>
      </c>
      <c r="J5" s="25">
        <f>D54</f>
        <v>2.1267935350275389</v>
      </c>
      <c r="L5" s="14" t="s">
        <v>46</v>
      </c>
      <c r="M5" s="113">
        <v>0.06</v>
      </c>
      <c r="N5" s="16"/>
      <c r="O5" s="14" t="s">
        <v>62</v>
      </c>
      <c r="P5" s="107">
        <f>PMT(P3/12,P4,-P2,,0)</f>
        <v>11191.632522058253</v>
      </c>
    </row>
    <row r="6" spans="3:54" x14ac:dyDescent="0.25">
      <c r="C6" s="73" t="s">
        <v>81</v>
      </c>
      <c r="D6" s="114">
        <v>1.5</v>
      </c>
      <c r="E6" s="115"/>
      <c r="F6" s="116">
        <f>D1</f>
        <v>0.05</v>
      </c>
      <c r="G6" s="117">
        <f>D2</f>
        <v>0.95</v>
      </c>
      <c r="I6" s="22" t="s">
        <v>8</v>
      </c>
      <c r="J6" s="58">
        <f>D57</f>
        <v>34380.093152629939</v>
      </c>
      <c r="O6" s="46" t="s">
        <v>63</v>
      </c>
      <c r="P6" s="118">
        <f>P2+CUMPRINC(P3/12,P4,P2,1,M4*12,0)</f>
        <v>2065875.097542739</v>
      </c>
    </row>
    <row r="7" spans="3:54" x14ac:dyDescent="0.25">
      <c r="C7" s="55" t="s">
        <v>70</v>
      </c>
      <c r="D7" s="119"/>
      <c r="E7" s="56">
        <v>0.3</v>
      </c>
      <c r="F7" s="120">
        <f>E7+(1-E7)*D1</f>
        <v>0.33499999999999996</v>
      </c>
      <c r="G7" s="121">
        <f>1-F7</f>
        <v>0.66500000000000004</v>
      </c>
    </row>
    <row r="10" spans="3:54" x14ac:dyDescent="0.25">
      <c r="C10" s="63" t="s">
        <v>36</v>
      </c>
      <c r="D10" s="64">
        <v>0</v>
      </c>
      <c r="E10" s="65">
        <v>1</v>
      </c>
      <c r="F10" s="65">
        <v>1</v>
      </c>
      <c r="G10" s="65">
        <v>1</v>
      </c>
      <c r="H10" s="65">
        <v>1</v>
      </c>
      <c r="I10" s="65">
        <f>E10+1</f>
        <v>2</v>
      </c>
      <c r="J10" s="65">
        <f t="shared" ref="J10:AR10" si="0">F10+1</f>
        <v>2</v>
      </c>
      <c r="K10" s="65">
        <f t="shared" si="0"/>
        <v>2</v>
      </c>
      <c r="L10" s="65">
        <f t="shared" si="0"/>
        <v>2</v>
      </c>
      <c r="M10" s="65">
        <f t="shared" si="0"/>
        <v>3</v>
      </c>
      <c r="N10" s="65">
        <f t="shared" si="0"/>
        <v>3</v>
      </c>
      <c r="O10" s="65">
        <f t="shared" si="0"/>
        <v>3</v>
      </c>
      <c r="P10" s="65">
        <f t="shared" si="0"/>
        <v>3</v>
      </c>
      <c r="Q10" s="65">
        <f t="shared" si="0"/>
        <v>4</v>
      </c>
      <c r="R10" s="65">
        <f t="shared" si="0"/>
        <v>4</v>
      </c>
      <c r="S10" s="65">
        <f t="shared" si="0"/>
        <v>4</v>
      </c>
      <c r="T10" s="65">
        <f t="shared" si="0"/>
        <v>4</v>
      </c>
      <c r="U10" s="65">
        <f t="shared" si="0"/>
        <v>5</v>
      </c>
      <c r="V10" s="65">
        <f t="shared" si="0"/>
        <v>5</v>
      </c>
      <c r="W10" s="65">
        <f t="shared" si="0"/>
        <v>5</v>
      </c>
      <c r="X10" s="65">
        <f t="shared" si="0"/>
        <v>5</v>
      </c>
      <c r="Y10" s="65">
        <f t="shared" si="0"/>
        <v>6</v>
      </c>
      <c r="Z10" s="65">
        <f t="shared" si="0"/>
        <v>6</v>
      </c>
      <c r="AA10" s="65">
        <f t="shared" si="0"/>
        <v>6</v>
      </c>
      <c r="AB10" s="65">
        <f t="shared" si="0"/>
        <v>6</v>
      </c>
      <c r="AC10" s="65">
        <f t="shared" si="0"/>
        <v>7</v>
      </c>
      <c r="AD10" s="65">
        <f t="shared" si="0"/>
        <v>7</v>
      </c>
      <c r="AE10" s="65">
        <f t="shared" si="0"/>
        <v>7</v>
      </c>
      <c r="AF10" s="65">
        <f t="shared" si="0"/>
        <v>7</v>
      </c>
      <c r="AG10" s="65">
        <f t="shared" si="0"/>
        <v>8</v>
      </c>
      <c r="AH10" s="65">
        <f t="shared" si="0"/>
        <v>8</v>
      </c>
      <c r="AI10" s="65">
        <f t="shared" si="0"/>
        <v>8</v>
      </c>
      <c r="AJ10" s="65">
        <f t="shared" si="0"/>
        <v>8</v>
      </c>
      <c r="AK10" s="65">
        <f t="shared" si="0"/>
        <v>9</v>
      </c>
      <c r="AL10" s="65">
        <f t="shared" si="0"/>
        <v>9</v>
      </c>
      <c r="AM10" s="65">
        <f t="shared" si="0"/>
        <v>9</v>
      </c>
      <c r="AN10" s="65">
        <f t="shared" si="0"/>
        <v>9</v>
      </c>
      <c r="AO10" s="65">
        <f t="shared" si="0"/>
        <v>10</v>
      </c>
      <c r="AP10" s="65">
        <f t="shared" si="0"/>
        <v>10</v>
      </c>
      <c r="AQ10" s="65">
        <f t="shared" si="0"/>
        <v>10</v>
      </c>
      <c r="AR10" s="66">
        <f t="shared" si="0"/>
        <v>10</v>
      </c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</row>
    <row r="11" spans="3:54" x14ac:dyDescent="0.25">
      <c r="C11" s="67" t="s">
        <v>14</v>
      </c>
      <c r="D11" s="68">
        <v>43646</v>
      </c>
      <c r="E11" s="68">
        <f>EOMONTH(D11,3)</f>
        <v>43738</v>
      </c>
      <c r="F11" s="68">
        <f t="shared" ref="F11:AR11" si="1">EOMONTH(E11,3)</f>
        <v>43830</v>
      </c>
      <c r="G11" s="68">
        <f t="shared" si="1"/>
        <v>43921</v>
      </c>
      <c r="H11" s="68">
        <f t="shared" si="1"/>
        <v>44012</v>
      </c>
      <c r="I11" s="68">
        <f t="shared" si="1"/>
        <v>44104</v>
      </c>
      <c r="J11" s="68">
        <f t="shared" si="1"/>
        <v>44196</v>
      </c>
      <c r="K11" s="68">
        <f t="shared" si="1"/>
        <v>44286</v>
      </c>
      <c r="L11" s="68">
        <f t="shared" si="1"/>
        <v>44377</v>
      </c>
      <c r="M11" s="68">
        <f t="shared" si="1"/>
        <v>44469</v>
      </c>
      <c r="N11" s="68">
        <f t="shared" si="1"/>
        <v>44561</v>
      </c>
      <c r="O11" s="68">
        <f t="shared" si="1"/>
        <v>44651</v>
      </c>
      <c r="P11" s="68">
        <f t="shared" si="1"/>
        <v>44742</v>
      </c>
      <c r="Q11" s="68">
        <f t="shared" si="1"/>
        <v>44834</v>
      </c>
      <c r="R11" s="68">
        <f t="shared" si="1"/>
        <v>44926</v>
      </c>
      <c r="S11" s="68">
        <f t="shared" si="1"/>
        <v>45016</v>
      </c>
      <c r="T11" s="68">
        <f t="shared" si="1"/>
        <v>45107</v>
      </c>
      <c r="U11" s="68">
        <f t="shared" si="1"/>
        <v>45199</v>
      </c>
      <c r="V11" s="68">
        <f t="shared" si="1"/>
        <v>45291</v>
      </c>
      <c r="W11" s="68">
        <f t="shared" si="1"/>
        <v>45382</v>
      </c>
      <c r="X11" s="68">
        <f t="shared" si="1"/>
        <v>45473</v>
      </c>
      <c r="Y11" s="68">
        <f t="shared" si="1"/>
        <v>45565</v>
      </c>
      <c r="Z11" s="68">
        <f t="shared" si="1"/>
        <v>45657</v>
      </c>
      <c r="AA11" s="68">
        <f t="shared" si="1"/>
        <v>45747</v>
      </c>
      <c r="AB11" s="68">
        <f t="shared" si="1"/>
        <v>45838</v>
      </c>
      <c r="AC11" s="68">
        <f t="shared" si="1"/>
        <v>45930</v>
      </c>
      <c r="AD11" s="68">
        <f t="shared" si="1"/>
        <v>46022</v>
      </c>
      <c r="AE11" s="68">
        <f t="shared" si="1"/>
        <v>46112</v>
      </c>
      <c r="AF11" s="68">
        <f t="shared" si="1"/>
        <v>46203</v>
      </c>
      <c r="AG11" s="68">
        <f t="shared" si="1"/>
        <v>46295</v>
      </c>
      <c r="AH11" s="68">
        <f t="shared" si="1"/>
        <v>46387</v>
      </c>
      <c r="AI11" s="68">
        <f t="shared" si="1"/>
        <v>46477</v>
      </c>
      <c r="AJ11" s="68">
        <f t="shared" si="1"/>
        <v>46568</v>
      </c>
      <c r="AK11" s="68">
        <f t="shared" si="1"/>
        <v>46660</v>
      </c>
      <c r="AL11" s="68">
        <f t="shared" si="1"/>
        <v>46752</v>
      </c>
      <c r="AM11" s="68">
        <f t="shared" si="1"/>
        <v>46843</v>
      </c>
      <c r="AN11" s="68">
        <f t="shared" si="1"/>
        <v>46934</v>
      </c>
      <c r="AO11" s="68">
        <f t="shared" si="1"/>
        <v>47026</v>
      </c>
      <c r="AP11" s="68">
        <f t="shared" si="1"/>
        <v>47118</v>
      </c>
      <c r="AQ11" s="68">
        <f t="shared" si="1"/>
        <v>47208</v>
      </c>
      <c r="AR11" s="69">
        <f t="shared" si="1"/>
        <v>47299</v>
      </c>
    </row>
    <row r="12" spans="3:54" x14ac:dyDescent="0.25">
      <c r="C12" s="28" t="s">
        <v>53</v>
      </c>
      <c r="D12" s="70">
        <f>-(M1-P2)</f>
        <v>-1225000</v>
      </c>
      <c r="E12" s="71">
        <f>IF(E10&gt;$M$4,0,$M$1*$M$2*(1+$M$3)^(E10-1)/4-$P$5*3)</f>
        <v>10175.102433825239</v>
      </c>
      <c r="F12" s="71">
        <f t="shared" ref="F12:AR12" si="2">IF(F10&gt;$M$4,0,$M$1*$M$2*(1+$M$3)^(F10-1)/4-$P$5*3)</f>
        <v>10175.102433825239</v>
      </c>
      <c r="G12" s="71">
        <f t="shared" si="2"/>
        <v>10175.102433825239</v>
      </c>
      <c r="H12" s="71">
        <f t="shared" si="2"/>
        <v>10175.102433825239</v>
      </c>
      <c r="I12" s="71">
        <f t="shared" si="2"/>
        <v>12362.602433825239</v>
      </c>
      <c r="J12" s="71">
        <f t="shared" si="2"/>
        <v>12362.602433825239</v>
      </c>
      <c r="K12" s="71">
        <f t="shared" si="2"/>
        <v>12362.602433825239</v>
      </c>
      <c r="L12" s="71">
        <f t="shared" si="2"/>
        <v>12362.602433825239</v>
      </c>
      <c r="M12" s="71">
        <f t="shared" si="2"/>
        <v>14659.477433825239</v>
      </c>
      <c r="N12" s="71">
        <f t="shared" si="2"/>
        <v>14659.477433825239</v>
      </c>
      <c r="O12" s="71">
        <f t="shared" si="2"/>
        <v>14659.477433825239</v>
      </c>
      <c r="P12" s="71">
        <f t="shared" si="2"/>
        <v>14659.477433825239</v>
      </c>
      <c r="Q12" s="71">
        <f t="shared" si="2"/>
        <v>17071.196183825246</v>
      </c>
      <c r="R12" s="71">
        <f t="shared" si="2"/>
        <v>17071.196183825246</v>
      </c>
      <c r="S12" s="71">
        <f t="shared" si="2"/>
        <v>17071.196183825246</v>
      </c>
      <c r="T12" s="71">
        <f t="shared" si="2"/>
        <v>17071.196183825246</v>
      </c>
      <c r="U12" s="71">
        <f t="shared" si="2"/>
        <v>19603.500871325239</v>
      </c>
      <c r="V12" s="71">
        <f t="shared" si="2"/>
        <v>19603.500871325239</v>
      </c>
      <c r="W12" s="71">
        <f t="shared" si="2"/>
        <v>19603.500871325239</v>
      </c>
      <c r="X12" s="71">
        <f t="shared" si="2"/>
        <v>19603.500871325239</v>
      </c>
      <c r="Y12" s="71">
        <f t="shared" si="2"/>
        <v>0</v>
      </c>
      <c r="Z12" s="71">
        <f t="shared" si="2"/>
        <v>0</v>
      </c>
      <c r="AA12" s="71">
        <f t="shared" si="2"/>
        <v>0</v>
      </c>
      <c r="AB12" s="71">
        <f t="shared" si="2"/>
        <v>0</v>
      </c>
      <c r="AC12" s="71">
        <f t="shared" si="2"/>
        <v>0</v>
      </c>
      <c r="AD12" s="71">
        <f t="shared" si="2"/>
        <v>0</v>
      </c>
      <c r="AE12" s="71">
        <f t="shared" si="2"/>
        <v>0</v>
      </c>
      <c r="AF12" s="71">
        <f t="shared" si="2"/>
        <v>0</v>
      </c>
      <c r="AG12" s="71">
        <f t="shared" si="2"/>
        <v>0</v>
      </c>
      <c r="AH12" s="71">
        <f t="shared" si="2"/>
        <v>0</v>
      </c>
      <c r="AI12" s="71">
        <f t="shared" si="2"/>
        <v>0</v>
      </c>
      <c r="AJ12" s="71">
        <f t="shared" si="2"/>
        <v>0</v>
      </c>
      <c r="AK12" s="71">
        <f t="shared" si="2"/>
        <v>0</v>
      </c>
      <c r="AL12" s="71">
        <f t="shared" si="2"/>
        <v>0</v>
      </c>
      <c r="AM12" s="71">
        <f t="shared" si="2"/>
        <v>0</v>
      </c>
      <c r="AN12" s="71">
        <f t="shared" si="2"/>
        <v>0</v>
      </c>
      <c r="AO12" s="71">
        <f t="shared" si="2"/>
        <v>0</v>
      </c>
      <c r="AP12" s="71">
        <f t="shared" si="2"/>
        <v>0</v>
      </c>
      <c r="AQ12" s="71">
        <f t="shared" si="2"/>
        <v>0</v>
      </c>
      <c r="AR12" s="72">
        <f t="shared" si="2"/>
        <v>0</v>
      </c>
    </row>
    <row r="13" spans="3:54" x14ac:dyDescent="0.25">
      <c r="C13" s="73" t="s">
        <v>52</v>
      </c>
      <c r="D13" s="74">
        <v>0</v>
      </c>
      <c r="E13" s="75">
        <f>IF(AND(E10=$M$4,F10-E10&lt;&gt;0),$M$1*$M$2*(1+$M$3)^E10/$M$5-$P$6,0)</f>
        <v>0</v>
      </c>
      <c r="F13" s="75">
        <f t="shared" ref="F13:AR13" si="3">IF(AND(F10=$M$4,G10-F10&lt;&gt;0),$M$1*$M$2*(1+$M$3)^F10/$M$5-$P$6,0)</f>
        <v>0</v>
      </c>
      <c r="G13" s="75">
        <f t="shared" si="3"/>
        <v>0</v>
      </c>
      <c r="H13" s="75">
        <f t="shared" si="3"/>
        <v>0</v>
      </c>
      <c r="I13" s="75">
        <f t="shared" si="3"/>
        <v>0</v>
      </c>
      <c r="J13" s="75">
        <f t="shared" si="3"/>
        <v>0</v>
      </c>
      <c r="K13" s="75">
        <f t="shared" si="3"/>
        <v>0</v>
      </c>
      <c r="L13" s="75">
        <f t="shared" si="3"/>
        <v>0</v>
      </c>
      <c r="M13" s="75">
        <f t="shared" si="3"/>
        <v>0</v>
      </c>
      <c r="N13" s="75">
        <f t="shared" si="3"/>
        <v>0</v>
      </c>
      <c r="O13" s="75">
        <f t="shared" si="3"/>
        <v>0</v>
      </c>
      <c r="P13" s="75">
        <f t="shared" si="3"/>
        <v>0</v>
      </c>
      <c r="Q13" s="75">
        <f t="shared" si="3"/>
        <v>0</v>
      </c>
      <c r="R13" s="75">
        <f t="shared" si="3"/>
        <v>0</v>
      </c>
      <c r="S13" s="75">
        <f t="shared" si="3"/>
        <v>0</v>
      </c>
      <c r="T13" s="75">
        <f t="shared" si="3"/>
        <v>0</v>
      </c>
      <c r="U13" s="75">
        <f t="shared" si="3"/>
        <v>0</v>
      </c>
      <c r="V13" s="75">
        <f t="shared" si="3"/>
        <v>0</v>
      </c>
      <c r="W13" s="75">
        <f t="shared" si="3"/>
        <v>0</v>
      </c>
      <c r="X13" s="75">
        <f t="shared" si="3"/>
        <v>1656612.7930822615</v>
      </c>
      <c r="Y13" s="75">
        <f t="shared" si="3"/>
        <v>0</v>
      </c>
      <c r="Z13" s="75">
        <f t="shared" si="3"/>
        <v>0</v>
      </c>
      <c r="AA13" s="75">
        <f t="shared" si="3"/>
        <v>0</v>
      </c>
      <c r="AB13" s="75">
        <f t="shared" si="3"/>
        <v>0</v>
      </c>
      <c r="AC13" s="75">
        <f t="shared" si="3"/>
        <v>0</v>
      </c>
      <c r="AD13" s="75">
        <f t="shared" si="3"/>
        <v>0</v>
      </c>
      <c r="AE13" s="75">
        <f t="shared" si="3"/>
        <v>0</v>
      </c>
      <c r="AF13" s="75">
        <f t="shared" si="3"/>
        <v>0</v>
      </c>
      <c r="AG13" s="75">
        <f t="shared" si="3"/>
        <v>0</v>
      </c>
      <c r="AH13" s="75">
        <f t="shared" si="3"/>
        <v>0</v>
      </c>
      <c r="AI13" s="75">
        <f t="shared" si="3"/>
        <v>0</v>
      </c>
      <c r="AJ13" s="75">
        <f t="shared" si="3"/>
        <v>0</v>
      </c>
      <c r="AK13" s="75">
        <f t="shared" si="3"/>
        <v>0</v>
      </c>
      <c r="AL13" s="75">
        <f t="shared" si="3"/>
        <v>0</v>
      </c>
      <c r="AM13" s="75">
        <f t="shared" si="3"/>
        <v>0</v>
      </c>
      <c r="AN13" s="75">
        <f t="shared" si="3"/>
        <v>0</v>
      </c>
      <c r="AO13" s="75">
        <f t="shared" si="3"/>
        <v>0</v>
      </c>
      <c r="AP13" s="75">
        <f t="shared" si="3"/>
        <v>0</v>
      </c>
      <c r="AQ13" s="75">
        <f t="shared" si="3"/>
        <v>0</v>
      </c>
      <c r="AR13" s="76">
        <f t="shared" si="3"/>
        <v>0</v>
      </c>
    </row>
    <row r="14" spans="3:54" x14ac:dyDescent="0.25">
      <c r="C14" s="77" t="s">
        <v>16</v>
      </c>
      <c r="D14" s="78">
        <f>SUM(D12:D13)</f>
        <v>-1225000</v>
      </c>
      <c r="E14" s="79">
        <f>SUM(E12:E13)</f>
        <v>10175.102433825239</v>
      </c>
      <c r="F14" s="79">
        <f t="shared" ref="F14:AR14" si="4">SUM(F12:F13)</f>
        <v>10175.102433825239</v>
      </c>
      <c r="G14" s="79">
        <f t="shared" si="4"/>
        <v>10175.102433825239</v>
      </c>
      <c r="H14" s="79">
        <f t="shared" si="4"/>
        <v>10175.102433825239</v>
      </c>
      <c r="I14" s="79">
        <f t="shared" si="4"/>
        <v>12362.602433825239</v>
      </c>
      <c r="J14" s="79">
        <f t="shared" si="4"/>
        <v>12362.602433825239</v>
      </c>
      <c r="K14" s="79">
        <f t="shared" si="4"/>
        <v>12362.602433825239</v>
      </c>
      <c r="L14" s="79">
        <f t="shared" si="4"/>
        <v>12362.602433825239</v>
      </c>
      <c r="M14" s="79">
        <f t="shared" si="4"/>
        <v>14659.477433825239</v>
      </c>
      <c r="N14" s="79">
        <f t="shared" si="4"/>
        <v>14659.477433825239</v>
      </c>
      <c r="O14" s="79">
        <f t="shared" si="4"/>
        <v>14659.477433825239</v>
      </c>
      <c r="P14" s="79">
        <f t="shared" si="4"/>
        <v>14659.477433825239</v>
      </c>
      <c r="Q14" s="79">
        <f t="shared" si="4"/>
        <v>17071.196183825246</v>
      </c>
      <c r="R14" s="79">
        <f t="shared" si="4"/>
        <v>17071.196183825246</v>
      </c>
      <c r="S14" s="79">
        <f t="shared" si="4"/>
        <v>17071.196183825246</v>
      </c>
      <c r="T14" s="79">
        <f t="shared" si="4"/>
        <v>17071.196183825246</v>
      </c>
      <c r="U14" s="79">
        <f t="shared" si="4"/>
        <v>19603.500871325239</v>
      </c>
      <c r="V14" s="79">
        <f t="shared" si="4"/>
        <v>19603.500871325239</v>
      </c>
      <c r="W14" s="79">
        <f t="shared" si="4"/>
        <v>19603.500871325239</v>
      </c>
      <c r="X14" s="79">
        <f t="shared" si="4"/>
        <v>1676216.2939535866</v>
      </c>
      <c r="Y14" s="79">
        <f t="shared" si="4"/>
        <v>0</v>
      </c>
      <c r="Z14" s="79">
        <f t="shared" si="4"/>
        <v>0</v>
      </c>
      <c r="AA14" s="79">
        <f t="shared" si="4"/>
        <v>0</v>
      </c>
      <c r="AB14" s="79">
        <f t="shared" si="4"/>
        <v>0</v>
      </c>
      <c r="AC14" s="79">
        <f t="shared" si="4"/>
        <v>0</v>
      </c>
      <c r="AD14" s="79">
        <f t="shared" si="4"/>
        <v>0</v>
      </c>
      <c r="AE14" s="79">
        <f t="shared" si="4"/>
        <v>0</v>
      </c>
      <c r="AF14" s="79">
        <f t="shared" si="4"/>
        <v>0</v>
      </c>
      <c r="AG14" s="79">
        <f t="shared" si="4"/>
        <v>0</v>
      </c>
      <c r="AH14" s="79">
        <f t="shared" si="4"/>
        <v>0</v>
      </c>
      <c r="AI14" s="79">
        <f t="shared" si="4"/>
        <v>0</v>
      </c>
      <c r="AJ14" s="79">
        <f t="shared" si="4"/>
        <v>0</v>
      </c>
      <c r="AK14" s="79">
        <f t="shared" si="4"/>
        <v>0</v>
      </c>
      <c r="AL14" s="79">
        <f t="shared" si="4"/>
        <v>0</v>
      </c>
      <c r="AM14" s="79">
        <f t="shared" si="4"/>
        <v>0</v>
      </c>
      <c r="AN14" s="79">
        <f t="shared" si="4"/>
        <v>0</v>
      </c>
      <c r="AO14" s="79">
        <f t="shared" si="4"/>
        <v>0</v>
      </c>
      <c r="AP14" s="79">
        <f t="shared" si="4"/>
        <v>0</v>
      </c>
      <c r="AQ14" s="79">
        <f t="shared" si="4"/>
        <v>0</v>
      </c>
      <c r="AR14" s="80">
        <f t="shared" si="4"/>
        <v>0</v>
      </c>
    </row>
    <row r="15" spans="3:54" x14ac:dyDescent="0.25">
      <c r="C15" s="81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3"/>
    </row>
    <row r="16" spans="3:54" x14ac:dyDescent="0.25">
      <c r="C16" s="18" t="s">
        <v>17</v>
      </c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5"/>
    </row>
    <row r="17" spans="1:44" x14ac:dyDescent="0.25">
      <c r="C17" s="28" t="s">
        <v>18</v>
      </c>
      <c r="D17" s="70">
        <f>IF(D$14&lt;0,D$14*$D1,0)</f>
        <v>-61250</v>
      </c>
      <c r="E17" s="71">
        <f t="shared" ref="E17:AR17" si="5">IF(E$14&lt;0,E$14*$D1,0)</f>
        <v>0</v>
      </c>
      <c r="F17" s="71">
        <f t="shared" si="5"/>
        <v>0</v>
      </c>
      <c r="G17" s="71">
        <f t="shared" si="5"/>
        <v>0</v>
      </c>
      <c r="H17" s="71">
        <f t="shared" si="5"/>
        <v>0</v>
      </c>
      <c r="I17" s="71">
        <f t="shared" si="5"/>
        <v>0</v>
      </c>
      <c r="J17" s="71">
        <f t="shared" si="5"/>
        <v>0</v>
      </c>
      <c r="K17" s="71">
        <f t="shared" si="5"/>
        <v>0</v>
      </c>
      <c r="L17" s="71">
        <f t="shared" si="5"/>
        <v>0</v>
      </c>
      <c r="M17" s="71">
        <f t="shared" si="5"/>
        <v>0</v>
      </c>
      <c r="N17" s="71">
        <f t="shared" si="5"/>
        <v>0</v>
      </c>
      <c r="O17" s="71">
        <f t="shared" si="5"/>
        <v>0</v>
      </c>
      <c r="P17" s="71">
        <f t="shared" si="5"/>
        <v>0</v>
      </c>
      <c r="Q17" s="71">
        <f t="shared" si="5"/>
        <v>0</v>
      </c>
      <c r="R17" s="71">
        <f t="shared" si="5"/>
        <v>0</v>
      </c>
      <c r="S17" s="71">
        <f t="shared" si="5"/>
        <v>0</v>
      </c>
      <c r="T17" s="71">
        <f t="shared" si="5"/>
        <v>0</v>
      </c>
      <c r="U17" s="71">
        <f t="shared" si="5"/>
        <v>0</v>
      </c>
      <c r="V17" s="71">
        <f t="shared" si="5"/>
        <v>0</v>
      </c>
      <c r="W17" s="71">
        <f t="shared" si="5"/>
        <v>0</v>
      </c>
      <c r="X17" s="71">
        <f t="shared" si="5"/>
        <v>0</v>
      </c>
      <c r="Y17" s="71">
        <f t="shared" si="5"/>
        <v>0</v>
      </c>
      <c r="Z17" s="71">
        <f t="shared" si="5"/>
        <v>0</v>
      </c>
      <c r="AA17" s="71">
        <f t="shared" si="5"/>
        <v>0</v>
      </c>
      <c r="AB17" s="71">
        <f t="shared" si="5"/>
        <v>0</v>
      </c>
      <c r="AC17" s="71">
        <f t="shared" si="5"/>
        <v>0</v>
      </c>
      <c r="AD17" s="71">
        <f t="shared" si="5"/>
        <v>0</v>
      </c>
      <c r="AE17" s="71">
        <f t="shared" si="5"/>
        <v>0</v>
      </c>
      <c r="AF17" s="71">
        <f t="shared" si="5"/>
        <v>0</v>
      </c>
      <c r="AG17" s="71">
        <f t="shared" si="5"/>
        <v>0</v>
      </c>
      <c r="AH17" s="71">
        <f t="shared" si="5"/>
        <v>0</v>
      </c>
      <c r="AI17" s="71">
        <f t="shared" si="5"/>
        <v>0</v>
      </c>
      <c r="AJ17" s="71">
        <f t="shared" si="5"/>
        <v>0</v>
      </c>
      <c r="AK17" s="71">
        <f t="shared" si="5"/>
        <v>0</v>
      </c>
      <c r="AL17" s="71">
        <f t="shared" si="5"/>
        <v>0</v>
      </c>
      <c r="AM17" s="71">
        <f t="shared" si="5"/>
        <v>0</v>
      </c>
      <c r="AN17" s="71">
        <f t="shared" si="5"/>
        <v>0</v>
      </c>
      <c r="AO17" s="71">
        <f t="shared" si="5"/>
        <v>0</v>
      </c>
      <c r="AP17" s="71">
        <f t="shared" si="5"/>
        <v>0</v>
      </c>
      <c r="AQ17" s="71">
        <f t="shared" si="5"/>
        <v>0</v>
      </c>
      <c r="AR17" s="72">
        <f t="shared" si="5"/>
        <v>0</v>
      </c>
    </row>
    <row r="18" spans="1:44" x14ac:dyDescent="0.25">
      <c r="A18" s="62"/>
      <c r="C18" s="55" t="s">
        <v>19</v>
      </c>
      <c r="D18" s="86">
        <f t="shared" ref="D18:AR18" si="6">IF(D$14&lt;0,D$14*$D2,0)</f>
        <v>-1163750</v>
      </c>
      <c r="E18" s="87">
        <f t="shared" si="6"/>
        <v>0</v>
      </c>
      <c r="F18" s="87">
        <f t="shared" si="6"/>
        <v>0</v>
      </c>
      <c r="G18" s="87">
        <f t="shared" si="6"/>
        <v>0</v>
      </c>
      <c r="H18" s="87">
        <f t="shared" si="6"/>
        <v>0</v>
      </c>
      <c r="I18" s="87">
        <f t="shared" si="6"/>
        <v>0</v>
      </c>
      <c r="J18" s="87">
        <f t="shared" si="6"/>
        <v>0</v>
      </c>
      <c r="K18" s="87">
        <f t="shared" si="6"/>
        <v>0</v>
      </c>
      <c r="L18" s="87">
        <f t="shared" si="6"/>
        <v>0</v>
      </c>
      <c r="M18" s="87">
        <f t="shared" si="6"/>
        <v>0</v>
      </c>
      <c r="N18" s="87">
        <f t="shared" si="6"/>
        <v>0</v>
      </c>
      <c r="O18" s="87">
        <f t="shared" si="6"/>
        <v>0</v>
      </c>
      <c r="P18" s="87">
        <f t="shared" si="6"/>
        <v>0</v>
      </c>
      <c r="Q18" s="87">
        <f t="shared" si="6"/>
        <v>0</v>
      </c>
      <c r="R18" s="87">
        <f t="shared" si="6"/>
        <v>0</v>
      </c>
      <c r="S18" s="87">
        <f t="shared" si="6"/>
        <v>0</v>
      </c>
      <c r="T18" s="87">
        <f t="shared" si="6"/>
        <v>0</v>
      </c>
      <c r="U18" s="87">
        <f t="shared" si="6"/>
        <v>0</v>
      </c>
      <c r="V18" s="87">
        <f t="shared" si="6"/>
        <v>0</v>
      </c>
      <c r="W18" s="87">
        <f t="shared" si="6"/>
        <v>0</v>
      </c>
      <c r="X18" s="87">
        <f t="shared" si="6"/>
        <v>0</v>
      </c>
      <c r="Y18" s="87">
        <f t="shared" si="6"/>
        <v>0</v>
      </c>
      <c r="Z18" s="87">
        <f t="shared" si="6"/>
        <v>0</v>
      </c>
      <c r="AA18" s="87">
        <f t="shared" si="6"/>
        <v>0</v>
      </c>
      <c r="AB18" s="87">
        <f t="shared" si="6"/>
        <v>0</v>
      </c>
      <c r="AC18" s="87">
        <f t="shared" si="6"/>
        <v>0</v>
      </c>
      <c r="AD18" s="87">
        <f t="shared" si="6"/>
        <v>0</v>
      </c>
      <c r="AE18" s="87">
        <f t="shared" si="6"/>
        <v>0</v>
      </c>
      <c r="AF18" s="87">
        <f t="shared" si="6"/>
        <v>0</v>
      </c>
      <c r="AG18" s="87">
        <f t="shared" si="6"/>
        <v>0</v>
      </c>
      <c r="AH18" s="87">
        <f t="shared" si="6"/>
        <v>0</v>
      </c>
      <c r="AI18" s="87">
        <f t="shared" si="6"/>
        <v>0</v>
      </c>
      <c r="AJ18" s="87">
        <f t="shared" si="6"/>
        <v>0</v>
      </c>
      <c r="AK18" s="87">
        <f t="shared" si="6"/>
        <v>0</v>
      </c>
      <c r="AL18" s="87">
        <f t="shared" si="6"/>
        <v>0</v>
      </c>
      <c r="AM18" s="87">
        <f t="shared" si="6"/>
        <v>0</v>
      </c>
      <c r="AN18" s="87">
        <f t="shared" si="6"/>
        <v>0</v>
      </c>
      <c r="AO18" s="87">
        <f t="shared" si="6"/>
        <v>0</v>
      </c>
      <c r="AP18" s="87">
        <f t="shared" si="6"/>
        <v>0</v>
      </c>
      <c r="AQ18" s="87">
        <f t="shared" si="6"/>
        <v>0</v>
      </c>
      <c r="AR18" s="88">
        <f t="shared" si="6"/>
        <v>0</v>
      </c>
    </row>
    <row r="19" spans="1:44" x14ac:dyDescent="0.25">
      <c r="C19" s="81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6"/>
    </row>
    <row r="20" spans="1:44" x14ac:dyDescent="0.25">
      <c r="C20" s="18" t="s">
        <v>10</v>
      </c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5"/>
    </row>
    <row r="21" spans="1:44" x14ac:dyDescent="0.25">
      <c r="C21" s="28" t="s">
        <v>20</v>
      </c>
      <c r="D21" s="70">
        <v>0</v>
      </c>
      <c r="E21" s="71">
        <f>IF(E10&gt;$M$4,0,D26)</f>
        <v>1163750</v>
      </c>
      <c r="F21" s="71">
        <f t="shared" ref="F21:AR21" si="7">IF(F10&gt;$M$4,0,E26)</f>
        <v>1174100.0723962754</v>
      </c>
      <c r="G21" s="71">
        <f t="shared" si="7"/>
        <v>1184628.1653236754</v>
      </c>
      <c r="H21" s="71">
        <f t="shared" si="7"/>
        <v>1195113.994517426</v>
      </c>
      <c r="I21" s="71">
        <f t="shared" si="7"/>
        <v>1205778.2022833808</v>
      </c>
      <c r="J21" s="71">
        <f t="shared" si="7"/>
        <v>1214773.0318592428</v>
      </c>
      <c r="K21" s="71">
        <f t="shared" si="7"/>
        <v>1223922.5718832219</v>
      </c>
      <c r="L21" s="71">
        <f t="shared" si="7"/>
        <v>1232768.016826486</v>
      </c>
      <c r="M21" s="71">
        <f t="shared" si="7"/>
        <v>1241994.647002962</v>
      </c>
      <c r="N21" s="71">
        <f t="shared" si="7"/>
        <v>1249430.365679289</v>
      </c>
      <c r="O21" s="71">
        <f t="shared" si="7"/>
        <v>1256993.9782038298</v>
      </c>
      <c r="P21" s="71">
        <f t="shared" si="7"/>
        <v>1264213.7485942445</v>
      </c>
      <c r="Q21" s="71">
        <f t="shared" si="7"/>
        <v>1271793.2832545568</v>
      </c>
      <c r="R21" s="71">
        <f t="shared" si="7"/>
        <v>1277450.4036059887</v>
      </c>
      <c r="S21" s="71">
        <f t="shared" si="7"/>
        <v>1283204.8260371587</v>
      </c>
      <c r="T21" s="71">
        <f t="shared" si="7"/>
        <v>1288574.405877664</v>
      </c>
      <c r="U21" s="71">
        <f t="shared" si="7"/>
        <v>1294277.2164654885</v>
      </c>
      <c r="V21" s="71">
        <f t="shared" si="7"/>
        <v>1297915.3694637702</v>
      </c>
      <c r="W21" s="71">
        <f t="shared" si="7"/>
        <v>1301616.0984426122</v>
      </c>
      <c r="X21" s="71">
        <f t="shared" si="7"/>
        <v>1305135.0769484241</v>
      </c>
      <c r="Y21" s="71">
        <f t="shared" si="7"/>
        <v>0</v>
      </c>
      <c r="Z21" s="71">
        <f t="shared" si="7"/>
        <v>0</v>
      </c>
      <c r="AA21" s="71">
        <f t="shared" si="7"/>
        <v>0</v>
      </c>
      <c r="AB21" s="71">
        <f t="shared" si="7"/>
        <v>0</v>
      </c>
      <c r="AC21" s="71">
        <f t="shared" si="7"/>
        <v>0</v>
      </c>
      <c r="AD21" s="71">
        <f t="shared" si="7"/>
        <v>0</v>
      </c>
      <c r="AE21" s="71">
        <f t="shared" si="7"/>
        <v>0</v>
      </c>
      <c r="AF21" s="71">
        <f t="shared" si="7"/>
        <v>0</v>
      </c>
      <c r="AG21" s="71">
        <f t="shared" si="7"/>
        <v>0</v>
      </c>
      <c r="AH21" s="71">
        <f t="shared" si="7"/>
        <v>0</v>
      </c>
      <c r="AI21" s="71">
        <f t="shared" si="7"/>
        <v>0</v>
      </c>
      <c r="AJ21" s="71">
        <f t="shared" si="7"/>
        <v>0</v>
      </c>
      <c r="AK21" s="71">
        <f t="shared" si="7"/>
        <v>0</v>
      </c>
      <c r="AL21" s="71">
        <f t="shared" si="7"/>
        <v>0</v>
      </c>
      <c r="AM21" s="71">
        <f t="shared" si="7"/>
        <v>0</v>
      </c>
      <c r="AN21" s="71">
        <f t="shared" si="7"/>
        <v>0</v>
      </c>
      <c r="AO21" s="71">
        <f t="shared" si="7"/>
        <v>0</v>
      </c>
      <c r="AP21" s="71">
        <f t="shared" si="7"/>
        <v>0</v>
      </c>
      <c r="AQ21" s="71">
        <f t="shared" si="7"/>
        <v>0</v>
      </c>
      <c r="AR21" s="72">
        <f t="shared" si="7"/>
        <v>0</v>
      </c>
    </row>
    <row r="22" spans="1:44" x14ac:dyDescent="0.25">
      <c r="A22" s="82"/>
      <c r="C22" s="73" t="s">
        <v>21</v>
      </c>
      <c r="D22" s="74">
        <v>0</v>
      </c>
      <c r="E22" s="75">
        <f>E21*(1+$D$5)^((E11-D11)/365)-E21</f>
        <v>20016.419708409347</v>
      </c>
      <c r="F22" s="75">
        <f t="shared" ref="F22:AR22" si="8">F21*(1+$D$5)^((F11-E11)/365)-F21</f>
        <v>20194.440239534015</v>
      </c>
      <c r="G22" s="75">
        <f t="shared" si="8"/>
        <v>20152.176505884621</v>
      </c>
      <c r="H22" s="75">
        <f t="shared" si="8"/>
        <v>20330.555078088772</v>
      </c>
      <c r="I22" s="75">
        <f t="shared" si="8"/>
        <v>20739.301887996029</v>
      </c>
      <c r="J22" s="75">
        <f t="shared" si="8"/>
        <v>20894.012336113025</v>
      </c>
      <c r="K22" s="75">
        <f t="shared" si="8"/>
        <v>20589.917255398119</v>
      </c>
      <c r="L22" s="75">
        <f t="shared" si="8"/>
        <v>20971.102488609962</v>
      </c>
      <c r="M22" s="75">
        <f t="shared" si="8"/>
        <v>21362.222238461021</v>
      </c>
      <c r="N22" s="75">
        <f t="shared" si="8"/>
        <v>21490.116086674854</v>
      </c>
      <c r="O22" s="75">
        <f t="shared" si="8"/>
        <v>21146.273952548625</v>
      </c>
      <c r="P22" s="75">
        <f t="shared" si="8"/>
        <v>21506.038222446339</v>
      </c>
      <c r="Q22" s="75">
        <f t="shared" si="8"/>
        <v>21874.756726065883</v>
      </c>
      <c r="R22" s="75">
        <f t="shared" si="8"/>
        <v>21972.058805804001</v>
      </c>
      <c r="S22" s="75">
        <f t="shared" si="8"/>
        <v>21587.216215139255</v>
      </c>
      <c r="T22" s="75">
        <f t="shared" si="8"/>
        <v>21920.446962458547</v>
      </c>
      <c r="U22" s="75">
        <f t="shared" si="8"/>
        <v>22261.478826040635</v>
      </c>
      <c r="V22" s="75">
        <f t="shared" si="8"/>
        <v>22324.054806601023</v>
      </c>
      <c r="W22" s="75">
        <f t="shared" si="8"/>
        <v>22142.304333570879</v>
      </c>
      <c r="X22" s="75">
        <f t="shared" si="8"/>
        <v>22202.167063535657</v>
      </c>
      <c r="Y22" s="75">
        <f t="shared" si="8"/>
        <v>0</v>
      </c>
      <c r="Z22" s="75">
        <f t="shared" si="8"/>
        <v>0</v>
      </c>
      <c r="AA22" s="75">
        <f t="shared" si="8"/>
        <v>0</v>
      </c>
      <c r="AB22" s="75">
        <f t="shared" si="8"/>
        <v>0</v>
      </c>
      <c r="AC22" s="75">
        <f t="shared" si="8"/>
        <v>0</v>
      </c>
      <c r="AD22" s="75">
        <f t="shared" si="8"/>
        <v>0</v>
      </c>
      <c r="AE22" s="75">
        <f t="shared" si="8"/>
        <v>0</v>
      </c>
      <c r="AF22" s="75">
        <f t="shared" si="8"/>
        <v>0</v>
      </c>
      <c r="AG22" s="75">
        <f t="shared" si="8"/>
        <v>0</v>
      </c>
      <c r="AH22" s="75">
        <f t="shared" si="8"/>
        <v>0</v>
      </c>
      <c r="AI22" s="75">
        <f t="shared" si="8"/>
        <v>0</v>
      </c>
      <c r="AJ22" s="75">
        <f t="shared" si="8"/>
        <v>0</v>
      </c>
      <c r="AK22" s="75">
        <f t="shared" si="8"/>
        <v>0</v>
      </c>
      <c r="AL22" s="75">
        <f t="shared" si="8"/>
        <v>0</v>
      </c>
      <c r="AM22" s="75">
        <f t="shared" si="8"/>
        <v>0</v>
      </c>
      <c r="AN22" s="75">
        <f t="shared" si="8"/>
        <v>0</v>
      </c>
      <c r="AO22" s="75">
        <f t="shared" si="8"/>
        <v>0</v>
      </c>
      <c r="AP22" s="75">
        <f t="shared" si="8"/>
        <v>0</v>
      </c>
      <c r="AQ22" s="75">
        <f t="shared" si="8"/>
        <v>0</v>
      </c>
      <c r="AR22" s="76">
        <f t="shared" si="8"/>
        <v>0</v>
      </c>
    </row>
    <row r="23" spans="1:44" x14ac:dyDescent="0.25">
      <c r="C23" s="73" t="s">
        <v>75</v>
      </c>
      <c r="D23" s="74">
        <v>0</v>
      </c>
      <c r="E23" s="75">
        <f>IF(E10&gt;$M$4,0,D27)</f>
        <v>1745625</v>
      </c>
      <c r="F23" s="75">
        <f t="shared" ref="F23:AR23" si="9">IF(F10&gt;$M$4,0,E27)</f>
        <v>1735958.652687866</v>
      </c>
      <c r="G23" s="75">
        <f t="shared" si="9"/>
        <v>1726292.305375732</v>
      </c>
      <c r="H23" s="75">
        <f t="shared" si="9"/>
        <v>1716625.958063598</v>
      </c>
      <c r="I23" s="75">
        <f t="shared" si="9"/>
        <v>1706959.610751464</v>
      </c>
      <c r="J23" s="75">
        <f t="shared" si="9"/>
        <v>1695215.13843933</v>
      </c>
      <c r="K23" s="75">
        <f t="shared" si="9"/>
        <v>1683470.666127196</v>
      </c>
      <c r="L23" s="75">
        <f t="shared" si="9"/>
        <v>1671726.1938150621</v>
      </c>
      <c r="M23" s="75">
        <f t="shared" si="9"/>
        <v>1659981.7215029281</v>
      </c>
      <c r="N23" s="75">
        <f t="shared" si="9"/>
        <v>1646055.2179407941</v>
      </c>
      <c r="O23" s="75">
        <f t="shared" si="9"/>
        <v>1632128.7143786601</v>
      </c>
      <c r="P23" s="75">
        <f t="shared" si="9"/>
        <v>1618202.2108165261</v>
      </c>
      <c r="Q23" s="75">
        <f t="shared" si="9"/>
        <v>1604275.7072543921</v>
      </c>
      <c r="R23" s="75">
        <f t="shared" si="9"/>
        <v>1588058.0708797581</v>
      </c>
      <c r="S23" s="75">
        <f t="shared" si="9"/>
        <v>1571840.4345051241</v>
      </c>
      <c r="T23" s="75">
        <f t="shared" si="9"/>
        <v>1555622.7981304901</v>
      </c>
      <c r="U23" s="75">
        <f t="shared" si="9"/>
        <v>1539405.1617558561</v>
      </c>
      <c r="V23" s="75">
        <f t="shared" si="9"/>
        <v>1520781.8359280971</v>
      </c>
      <c r="W23" s="75">
        <f t="shared" si="9"/>
        <v>1502158.5101003381</v>
      </c>
      <c r="X23" s="75">
        <f t="shared" si="9"/>
        <v>1483535.1842725792</v>
      </c>
      <c r="Y23" s="75">
        <f t="shared" si="9"/>
        <v>0</v>
      </c>
      <c r="Z23" s="75">
        <f t="shared" si="9"/>
        <v>0</v>
      </c>
      <c r="AA23" s="75">
        <f t="shared" si="9"/>
        <v>0</v>
      </c>
      <c r="AB23" s="75">
        <f t="shared" si="9"/>
        <v>0</v>
      </c>
      <c r="AC23" s="75">
        <f t="shared" si="9"/>
        <v>0</v>
      </c>
      <c r="AD23" s="75">
        <f t="shared" si="9"/>
        <v>0</v>
      </c>
      <c r="AE23" s="75">
        <f t="shared" si="9"/>
        <v>0</v>
      </c>
      <c r="AF23" s="75">
        <f t="shared" si="9"/>
        <v>0</v>
      </c>
      <c r="AG23" s="75">
        <f t="shared" si="9"/>
        <v>0</v>
      </c>
      <c r="AH23" s="75">
        <f t="shared" si="9"/>
        <v>0</v>
      </c>
      <c r="AI23" s="75">
        <f t="shared" si="9"/>
        <v>0</v>
      </c>
      <c r="AJ23" s="75">
        <f t="shared" si="9"/>
        <v>0</v>
      </c>
      <c r="AK23" s="75">
        <f t="shared" si="9"/>
        <v>0</v>
      </c>
      <c r="AL23" s="75">
        <f t="shared" si="9"/>
        <v>0</v>
      </c>
      <c r="AM23" s="75">
        <f t="shared" si="9"/>
        <v>0</v>
      </c>
      <c r="AN23" s="75">
        <f t="shared" si="9"/>
        <v>0</v>
      </c>
      <c r="AO23" s="75">
        <f t="shared" si="9"/>
        <v>0</v>
      </c>
      <c r="AP23" s="75">
        <f t="shared" si="9"/>
        <v>0</v>
      </c>
      <c r="AQ23" s="75">
        <f t="shared" si="9"/>
        <v>0</v>
      </c>
      <c r="AR23" s="76">
        <f t="shared" si="9"/>
        <v>0</v>
      </c>
    </row>
    <row r="24" spans="1:44" x14ac:dyDescent="0.25">
      <c r="C24" s="73" t="s">
        <v>19</v>
      </c>
      <c r="D24" s="74">
        <f>-D18</f>
        <v>1163750</v>
      </c>
      <c r="E24" s="75">
        <f>-E18</f>
        <v>0</v>
      </c>
      <c r="F24" s="75">
        <f t="shared" ref="F24:AR24" si="10">-F18</f>
        <v>0</v>
      </c>
      <c r="G24" s="75">
        <f t="shared" si="10"/>
        <v>0</v>
      </c>
      <c r="H24" s="75">
        <f t="shared" si="10"/>
        <v>0</v>
      </c>
      <c r="I24" s="75">
        <f t="shared" si="10"/>
        <v>0</v>
      </c>
      <c r="J24" s="75">
        <f t="shared" si="10"/>
        <v>0</v>
      </c>
      <c r="K24" s="75">
        <f t="shared" si="10"/>
        <v>0</v>
      </c>
      <c r="L24" s="75">
        <f t="shared" si="10"/>
        <v>0</v>
      </c>
      <c r="M24" s="75">
        <f t="shared" si="10"/>
        <v>0</v>
      </c>
      <c r="N24" s="75">
        <f t="shared" si="10"/>
        <v>0</v>
      </c>
      <c r="O24" s="75">
        <f t="shared" si="10"/>
        <v>0</v>
      </c>
      <c r="P24" s="75">
        <f t="shared" si="10"/>
        <v>0</v>
      </c>
      <c r="Q24" s="75">
        <f t="shared" si="10"/>
        <v>0</v>
      </c>
      <c r="R24" s="75">
        <f t="shared" si="10"/>
        <v>0</v>
      </c>
      <c r="S24" s="75">
        <f t="shared" si="10"/>
        <v>0</v>
      </c>
      <c r="T24" s="75">
        <f t="shared" si="10"/>
        <v>0</v>
      </c>
      <c r="U24" s="75">
        <f t="shared" si="10"/>
        <v>0</v>
      </c>
      <c r="V24" s="75">
        <f t="shared" si="10"/>
        <v>0</v>
      </c>
      <c r="W24" s="75">
        <f t="shared" si="10"/>
        <v>0</v>
      </c>
      <c r="X24" s="75">
        <f t="shared" si="10"/>
        <v>0</v>
      </c>
      <c r="Y24" s="75">
        <f t="shared" si="10"/>
        <v>0</v>
      </c>
      <c r="Z24" s="75">
        <f t="shared" si="10"/>
        <v>0</v>
      </c>
      <c r="AA24" s="75">
        <f t="shared" si="10"/>
        <v>0</v>
      </c>
      <c r="AB24" s="75">
        <f t="shared" si="10"/>
        <v>0</v>
      </c>
      <c r="AC24" s="75">
        <f t="shared" si="10"/>
        <v>0</v>
      </c>
      <c r="AD24" s="75">
        <f t="shared" si="10"/>
        <v>0</v>
      </c>
      <c r="AE24" s="75">
        <f t="shared" si="10"/>
        <v>0</v>
      </c>
      <c r="AF24" s="75">
        <f t="shared" si="10"/>
        <v>0</v>
      </c>
      <c r="AG24" s="75">
        <f t="shared" si="10"/>
        <v>0</v>
      </c>
      <c r="AH24" s="75">
        <f t="shared" si="10"/>
        <v>0</v>
      </c>
      <c r="AI24" s="75">
        <f t="shared" si="10"/>
        <v>0</v>
      </c>
      <c r="AJ24" s="75">
        <f t="shared" si="10"/>
        <v>0</v>
      </c>
      <c r="AK24" s="75">
        <f t="shared" si="10"/>
        <v>0</v>
      </c>
      <c r="AL24" s="75">
        <f t="shared" si="10"/>
        <v>0</v>
      </c>
      <c r="AM24" s="75">
        <f t="shared" si="10"/>
        <v>0</v>
      </c>
      <c r="AN24" s="75">
        <f t="shared" si="10"/>
        <v>0</v>
      </c>
      <c r="AO24" s="75">
        <f t="shared" si="10"/>
        <v>0</v>
      </c>
      <c r="AP24" s="75">
        <f t="shared" si="10"/>
        <v>0</v>
      </c>
      <c r="AQ24" s="75">
        <f t="shared" si="10"/>
        <v>0</v>
      </c>
      <c r="AR24" s="76">
        <f t="shared" si="10"/>
        <v>0</v>
      </c>
    </row>
    <row r="25" spans="1:44" x14ac:dyDescent="0.25">
      <c r="A25" s="82"/>
      <c r="C25" s="73" t="s">
        <v>22</v>
      </c>
      <c r="D25" s="74">
        <v>0</v>
      </c>
      <c r="E25" s="75">
        <f>MIN(MAX(E21+E22,E23),MAX(E14,0)*$D$2)</f>
        <v>9666.3473121339775</v>
      </c>
      <c r="F25" s="75">
        <f t="shared" ref="F25:AR25" si="11">MIN(MAX(F21+F22,F23),MAX(F14,0)*$D$2)</f>
        <v>9666.3473121339775</v>
      </c>
      <c r="G25" s="75">
        <f t="shared" si="11"/>
        <v>9666.3473121339775</v>
      </c>
      <c r="H25" s="75">
        <f t="shared" si="11"/>
        <v>9666.3473121339775</v>
      </c>
      <c r="I25" s="75">
        <f t="shared" si="11"/>
        <v>11744.472312133976</v>
      </c>
      <c r="J25" s="75">
        <f t="shared" si="11"/>
        <v>11744.472312133976</v>
      </c>
      <c r="K25" s="75">
        <f t="shared" si="11"/>
        <v>11744.472312133976</v>
      </c>
      <c r="L25" s="75">
        <f t="shared" si="11"/>
        <v>11744.472312133976</v>
      </c>
      <c r="M25" s="75">
        <f t="shared" si="11"/>
        <v>13926.503562133976</v>
      </c>
      <c r="N25" s="75">
        <f t="shared" si="11"/>
        <v>13926.503562133976</v>
      </c>
      <c r="O25" s="75">
        <f t="shared" si="11"/>
        <v>13926.503562133976</v>
      </c>
      <c r="P25" s="75">
        <f t="shared" si="11"/>
        <v>13926.503562133976</v>
      </c>
      <c r="Q25" s="75">
        <f t="shared" si="11"/>
        <v>16217.636374633983</v>
      </c>
      <c r="R25" s="75">
        <f t="shared" si="11"/>
        <v>16217.636374633983</v>
      </c>
      <c r="S25" s="75">
        <f t="shared" si="11"/>
        <v>16217.636374633983</v>
      </c>
      <c r="T25" s="75">
        <f t="shared" si="11"/>
        <v>16217.636374633983</v>
      </c>
      <c r="U25" s="75">
        <f t="shared" si="11"/>
        <v>18623.325827758978</v>
      </c>
      <c r="V25" s="75">
        <f t="shared" si="11"/>
        <v>18623.325827758978</v>
      </c>
      <c r="W25" s="75">
        <f t="shared" si="11"/>
        <v>18623.325827758978</v>
      </c>
      <c r="X25" s="75">
        <f t="shared" si="11"/>
        <v>1483535.1842725792</v>
      </c>
      <c r="Y25" s="75">
        <f t="shared" si="11"/>
        <v>0</v>
      </c>
      <c r="Z25" s="75">
        <f t="shared" si="11"/>
        <v>0</v>
      </c>
      <c r="AA25" s="75">
        <f t="shared" si="11"/>
        <v>0</v>
      </c>
      <c r="AB25" s="75">
        <f t="shared" si="11"/>
        <v>0</v>
      </c>
      <c r="AC25" s="75">
        <f t="shared" si="11"/>
        <v>0</v>
      </c>
      <c r="AD25" s="75">
        <f t="shared" si="11"/>
        <v>0</v>
      </c>
      <c r="AE25" s="75">
        <f t="shared" si="11"/>
        <v>0</v>
      </c>
      <c r="AF25" s="75">
        <f t="shared" si="11"/>
        <v>0</v>
      </c>
      <c r="AG25" s="75">
        <f t="shared" si="11"/>
        <v>0</v>
      </c>
      <c r="AH25" s="75">
        <f t="shared" si="11"/>
        <v>0</v>
      </c>
      <c r="AI25" s="75">
        <f t="shared" si="11"/>
        <v>0</v>
      </c>
      <c r="AJ25" s="75">
        <f t="shared" si="11"/>
        <v>0</v>
      </c>
      <c r="AK25" s="75">
        <f t="shared" si="11"/>
        <v>0</v>
      </c>
      <c r="AL25" s="75">
        <f t="shared" si="11"/>
        <v>0</v>
      </c>
      <c r="AM25" s="75">
        <f t="shared" si="11"/>
        <v>0</v>
      </c>
      <c r="AN25" s="75">
        <f t="shared" si="11"/>
        <v>0</v>
      </c>
      <c r="AO25" s="75">
        <f t="shared" si="11"/>
        <v>0</v>
      </c>
      <c r="AP25" s="75">
        <f t="shared" si="11"/>
        <v>0</v>
      </c>
      <c r="AQ25" s="75">
        <f t="shared" si="11"/>
        <v>0</v>
      </c>
      <c r="AR25" s="76">
        <f t="shared" si="11"/>
        <v>0</v>
      </c>
    </row>
    <row r="26" spans="1:44" x14ac:dyDescent="0.25">
      <c r="C26" s="73" t="s">
        <v>76</v>
      </c>
      <c r="D26" s="74">
        <f>MAX(D21+D22+D24-D25,0)</f>
        <v>1163750</v>
      </c>
      <c r="E26" s="75">
        <f>MAX(E21+E22+E24-E25,0)</f>
        <v>1174100.0723962754</v>
      </c>
      <c r="F26" s="75">
        <f t="shared" ref="F26:AR26" si="12">MAX(F21+F22+F24-F25,0)</f>
        <v>1184628.1653236754</v>
      </c>
      <c r="G26" s="75">
        <f t="shared" si="12"/>
        <v>1195113.994517426</v>
      </c>
      <c r="H26" s="75">
        <f t="shared" si="12"/>
        <v>1205778.2022833808</v>
      </c>
      <c r="I26" s="75">
        <f t="shared" si="12"/>
        <v>1214773.0318592428</v>
      </c>
      <c r="J26" s="75">
        <f t="shared" si="12"/>
        <v>1223922.5718832219</v>
      </c>
      <c r="K26" s="75">
        <f t="shared" si="12"/>
        <v>1232768.016826486</v>
      </c>
      <c r="L26" s="75">
        <f t="shared" si="12"/>
        <v>1241994.647002962</v>
      </c>
      <c r="M26" s="75">
        <f t="shared" si="12"/>
        <v>1249430.365679289</v>
      </c>
      <c r="N26" s="75">
        <f t="shared" si="12"/>
        <v>1256993.9782038298</v>
      </c>
      <c r="O26" s="75">
        <f t="shared" si="12"/>
        <v>1264213.7485942445</v>
      </c>
      <c r="P26" s="75">
        <f t="shared" si="12"/>
        <v>1271793.2832545568</v>
      </c>
      <c r="Q26" s="75">
        <f t="shared" si="12"/>
        <v>1277450.4036059887</v>
      </c>
      <c r="R26" s="75">
        <f t="shared" si="12"/>
        <v>1283204.8260371587</v>
      </c>
      <c r="S26" s="75">
        <f t="shared" si="12"/>
        <v>1288574.405877664</v>
      </c>
      <c r="T26" s="75">
        <f t="shared" si="12"/>
        <v>1294277.2164654885</v>
      </c>
      <c r="U26" s="75">
        <f t="shared" si="12"/>
        <v>1297915.3694637702</v>
      </c>
      <c r="V26" s="75">
        <f t="shared" si="12"/>
        <v>1301616.0984426122</v>
      </c>
      <c r="W26" s="75">
        <f t="shared" si="12"/>
        <v>1305135.0769484241</v>
      </c>
      <c r="X26" s="75">
        <f t="shared" si="12"/>
        <v>0</v>
      </c>
      <c r="Y26" s="75">
        <f t="shared" si="12"/>
        <v>0</v>
      </c>
      <c r="Z26" s="75">
        <f t="shared" si="12"/>
        <v>0</v>
      </c>
      <c r="AA26" s="75">
        <f t="shared" si="12"/>
        <v>0</v>
      </c>
      <c r="AB26" s="75">
        <f t="shared" si="12"/>
        <v>0</v>
      </c>
      <c r="AC26" s="75">
        <f t="shared" si="12"/>
        <v>0</v>
      </c>
      <c r="AD26" s="75">
        <f t="shared" si="12"/>
        <v>0</v>
      </c>
      <c r="AE26" s="75">
        <f t="shared" si="12"/>
        <v>0</v>
      </c>
      <c r="AF26" s="75">
        <f t="shared" si="12"/>
        <v>0</v>
      </c>
      <c r="AG26" s="75">
        <f t="shared" si="12"/>
        <v>0</v>
      </c>
      <c r="AH26" s="75">
        <f t="shared" si="12"/>
        <v>0</v>
      </c>
      <c r="AI26" s="75">
        <f t="shared" si="12"/>
        <v>0</v>
      </c>
      <c r="AJ26" s="75">
        <f t="shared" si="12"/>
        <v>0</v>
      </c>
      <c r="AK26" s="75">
        <f t="shared" si="12"/>
        <v>0</v>
      </c>
      <c r="AL26" s="75">
        <f t="shared" si="12"/>
        <v>0</v>
      </c>
      <c r="AM26" s="75">
        <f t="shared" si="12"/>
        <v>0</v>
      </c>
      <c r="AN26" s="75">
        <f t="shared" si="12"/>
        <v>0</v>
      </c>
      <c r="AO26" s="75">
        <f t="shared" si="12"/>
        <v>0</v>
      </c>
      <c r="AP26" s="75">
        <f t="shared" si="12"/>
        <v>0</v>
      </c>
      <c r="AQ26" s="75">
        <f t="shared" si="12"/>
        <v>0</v>
      </c>
      <c r="AR26" s="76">
        <f t="shared" si="12"/>
        <v>0</v>
      </c>
    </row>
    <row r="27" spans="1:44" x14ac:dyDescent="0.25">
      <c r="A27" s="92" t="s">
        <v>78</v>
      </c>
      <c r="B27" s="92" t="s">
        <v>79</v>
      </c>
      <c r="C27" s="73" t="s">
        <v>77</v>
      </c>
      <c r="D27" s="74">
        <f>D23+D24*$D$6-D25</f>
        <v>1745625</v>
      </c>
      <c r="E27" s="75">
        <f>E23+E24*$D$6-E25</f>
        <v>1735958.652687866</v>
      </c>
      <c r="F27" s="75">
        <f t="shared" ref="F27:AR27" si="13">F23+F24*$D$6-F25</f>
        <v>1726292.305375732</v>
      </c>
      <c r="G27" s="75">
        <f t="shared" si="13"/>
        <v>1716625.958063598</v>
      </c>
      <c r="H27" s="75">
        <f t="shared" si="13"/>
        <v>1706959.610751464</v>
      </c>
      <c r="I27" s="75">
        <f t="shared" si="13"/>
        <v>1695215.13843933</v>
      </c>
      <c r="J27" s="75">
        <f t="shared" si="13"/>
        <v>1683470.666127196</v>
      </c>
      <c r="K27" s="75">
        <f t="shared" si="13"/>
        <v>1671726.1938150621</v>
      </c>
      <c r="L27" s="75">
        <f t="shared" si="13"/>
        <v>1659981.7215029281</v>
      </c>
      <c r="M27" s="75">
        <f t="shared" si="13"/>
        <v>1646055.2179407941</v>
      </c>
      <c r="N27" s="75">
        <f t="shared" si="13"/>
        <v>1632128.7143786601</v>
      </c>
      <c r="O27" s="75">
        <f t="shared" si="13"/>
        <v>1618202.2108165261</v>
      </c>
      <c r="P27" s="75">
        <f t="shared" si="13"/>
        <v>1604275.7072543921</v>
      </c>
      <c r="Q27" s="75">
        <f t="shared" si="13"/>
        <v>1588058.0708797581</v>
      </c>
      <c r="R27" s="75">
        <f t="shared" si="13"/>
        <v>1571840.4345051241</v>
      </c>
      <c r="S27" s="75">
        <f t="shared" si="13"/>
        <v>1555622.7981304901</v>
      </c>
      <c r="T27" s="75">
        <f t="shared" si="13"/>
        <v>1539405.1617558561</v>
      </c>
      <c r="U27" s="75">
        <f t="shared" si="13"/>
        <v>1520781.8359280971</v>
      </c>
      <c r="V27" s="75">
        <f t="shared" si="13"/>
        <v>1502158.5101003381</v>
      </c>
      <c r="W27" s="75">
        <f t="shared" si="13"/>
        <v>1483535.1842725792</v>
      </c>
      <c r="X27" s="75">
        <f t="shared" si="13"/>
        <v>0</v>
      </c>
      <c r="Y27" s="75">
        <f t="shared" si="13"/>
        <v>0</v>
      </c>
      <c r="Z27" s="75">
        <f t="shared" si="13"/>
        <v>0</v>
      </c>
      <c r="AA27" s="75">
        <f t="shared" si="13"/>
        <v>0</v>
      </c>
      <c r="AB27" s="75">
        <f t="shared" si="13"/>
        <v>0</v>
      </c>
      <c r="AC27" s="75">
        <f t="shared" si="13"/>
        <v>0</v>
      </c>
      <c r="AD27" s="75">
        <f t="shared" si="13"/>
        <v>0</v>
      </c>
      <c r="AE27" s="75">
        <f t="shared" si="13"/>
        <v>0</v>
      </c>
      <c r="AF27" s="75">
        <f t="shared" si="13"/>
        <v>0</v>
      </c>
      <c r="AG27" s="75">
        <f t="shared" si="13"/>
        <v>0</v>
      </c>
      <c r="AH27" s="75">
        <f t="shared" si="13"/>
        <v>0</v>
      </c>
      <c r="AI27" s="75">
        <f t="shared" si="13"/>
        <v>0</v>
      </c>
      <c r="AJ27" s="75">
        <f t="shared" si="13"/>
        <v>0</v>
      </c>
      <c r="AK27" s="75">
        <f t="shared" si="13"/>
        <v>0</v>
      </c>
      <c r="AL27" s="75">
        <f t="shared" si="13"/>
        <v>0</v>
      </c>
      <c r="AM27" s="75">
        <f t="shared" si="13"/>
        <v>0</v>
      </c>
      <c r="AN27" s="75">
        <f t="shared" si="13"/>
        <v>0</v>
      </c>
      <c r="AO27" s="75">
        <f t="shared" si="13"/>
        <v>0</v>
      </c>
      <c r="AP27" s="75">
        <f t="shared" si="13"/>
        <v>0</v>
      </c>
      <c r="AQ27" s="75">
        <f t="shared" si="13"/>
        <v>0</v>
      </c>
      <c r="AR27" s="76">
        <f t="shared" si="13"/>
        <v>0</v>
      </c>
    </row>
    <row r="28" spans="1:44" x14ac:dyDescent="0.25">
      <c r="A28" s="123">
        <f>SUMIF(D28:AR28,"&gt;"&amp;0,D28:AR28)/-SUMIF(D28:AR28,"&lt;"&amp;0,D28:AR28)</f>
        <v>1.4999999999999998</v>
      </c>
      <c r="B28" s="124">
        <f>XIRR(D28:AR28,$D$11:$AR$11)</f>
        <v>9.1476115584373477E-2</v>
      </c>
      <c r="C28" s="77" t="s">
        <v>24</v>
      </c>
      <c r="D28" s="78">
        <f>D25-D24</f>
        <v>-1163750</v>
      </c>
      <c r="E28" s="79">
        <f>E25-E24</f>
        <v>9666.3473121339775</v>
      </c>
      <c r="F28" s="79">
        <f t="shared" ref="F28:AR28" si="14">F25-F24</f>
        <v>9666.3473121339775</v>
      </c>
      <c r="G28" s="79">
        <f t="shared" si="14"/>
        <v>9666.3473121339775</v>
      </c>
      <c r="H28" s="79">
        <f t="shared" si="14"/>
        <v>9666.3473121339775</v>
      </c>
      <c r="I28" s="79">
        <f t="shared" si="14"/>
        <v>11744.472312133976</v>
      </c>
      <c r="J28" s="79">
        <f t="shared" si="14"/>
        <v>11744.472312133976</v>
      </c>
      <c r="K28" s="79">
        <f t="shared" si="14"/>
        <v>11744.472312133976</v>
      </c>
      <c r="L28" s="79">
        <f t="shared" si="14"/>
        <v>11744.472312133976</v>
      </c>
      <c r="M28" s="79">
        <f t="shared" si="14"/>
        <v>13926.503562133976</v>
      </c>
      <c r="N28" s="79">
        <f t="shared" si="14"/>
        <v>13926.503562133976</v>
      </c>
      <c r="O28" s="79">
        <f t="shared" si="14"/>
        <v>13926.503562133976</v>
      </c>
      <c r="P28" s="79">
        <f t="shared" si="14"/>
        <v>13926.503562133976</v>
      </c>
      <c r="Q28" s="79">
        <f t="shared" si="14"/>
        <v>16217.636374633983</v>
      </c>
      <c r="R28" s="79">
        <f t="shared" si="14"/>
        <v>16217.636374633983</v>
      </c>
      <c r="S28" s="79">
        <f t="shared" si="14"/>
        <v>16217.636374633983</v>
      </c>
      <c r="T28" s="79">
        <f t="shared" si="14"/>
        <v>16217.636374633983</v>
      </c>
      <c r="U28" s="79">
        <f t="shared" si="14"/>
        <v>18623.325827758978</v>
      </c>
      <c r="V28" s="79">
        <f t="shared" si="14"/>
        <v>18623.325827758978</v>
      </c>
      <c r="W28" s="79">
        <f t="shared" si="14"/>
        <v>18623.325827758978</v>
      </c>
      <c r="X28" s="79">
        <f t="shared" si="14"/>
        <v>1483535.1842725792</v>
      </c>
      <c r="Y28" s="79">
        <f t="shared" si="14"/>
        <v>0</v>
      </c>
      <c r="Z28" s="79">
        <f t="shared" si="14"/>
        <v>0</v>
      </c>
      <c r="AA28" s="79">
        <f t="shared" si="14"/>
        <v>0</v>
      </c>
      <c r="AB28" s="79">
        <f t="shared" si="14"/>
        <v>0</v>
      </c>
      <c r="AC28" s="79">
        <f t="shared" si="14"/>
        <v>0</v>
      </c>
      <c r="AD28" s="79">
        <f t="shared" si="14"/>
        <v>0</v>
      </c>
      <c r="AE28" s="79">
        <f t="shared" si="14"/>
        <v>0</v>
      </c>
      <c r="AF28" s="79">
        <f t="shared" si="14"/>
        <v>0</v>
      </c>
      <c r="AG28" s="79">
        <f t="shared" si="14"/>
        <v>0</v>
      </c>
      <c r="AH28" s="79">
        <f t="shared" si="14"/>
        <v>0</v>
      </c>
      <c r="AI28" s="79">
        <f t="shared" si="14"/>
        <v>0</v>
      </c>
      <c r="AJ28" s="79">
        <f t="shared" si="14"/>
        <v>0</v>
      </c>
      <c r="AK28" s="79">
        <f t="shared" si="14"/>
        <v>0</v>
      </c>
      <c r="AL28" s="79">
        <f t="shared" si="14"/>
        <v>0</v>
      </c>
      <c r="AM28" s="79">
        <f t="shared" si="14"/>
        <v>0</v>
      </c>
      <c r="AN28" s="79">
        <f t="shared" si="14"/>
        <v>0</v>
      </c>
      <c r="AO28" s="79">
        <f t="shared" si="14"/>
        <v>0</v>
      </c>
      <c r="AP28" s="79">
        <f t="shared" si="14"/>
        <v>0</v>
      </c>
      <c r="AQ28" s="79">
        <f t="shared" si="14"/>
        <v>0</v>
      </c>
      <c r="AR28" s="80">
        <f t="shared" si="14"/>
        <v>0</v>
      </c>
    </row>
    <row r="29" spans="1:44" x14ac:dyDescent="0.25">
      <c r="C29" s="73"/>
      <c r="D29" s="74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6"/>
    </row>
    <row r="30" spans="1:44" x14ac:dyDescent="0.25">
      <c r="C30" s="73" t="s">
        <v>18</v>
      </c>
      <c r="D30" s="74">
        <f>-D17</f>
        <v>61250</v>
      </c>
      <c r="E30" s="75">
        <f t="shared" ref="E30:AR30" si="15">-E17</f>
        <v>0</v>
      </c>
      <c r="F30" s="75">
        <f t="shared" si="15"/>
        <v>0</v>
      </c>
      <c r="G30" s="75">
        <f t="shared" si="15"/>
        <v>0</v>
      </c>
      <c r="H30" s="75">
        <f t="shared" si="15"/>
        <v>0</v>
      </c>
      <c r="I30" s="75">
        <f t="shared" si="15"/>
        <v>0</v>
      </c>
      <c r="J30" s="75">
        <f t="shared" si="15"/>
        <v>0</v>
      </c>
      <c r="K30" s="75">
        <f t="shared" si="15"/>
        <v>0</v>
      </c>
      <c r="L30" s="75">
        <f t="shared" si="15"/>
        <v>0</v>
      </c>
      <c r="M30" s="75">
        <f t="shared" si="15"/>
        <v>0</v>
      </c>
      <c r="N30" s="75">
        <f t="shared" si="15"/>
        <v>0</v>
      </c>
      <c r="O30" s="75">
        <f t="shared" si="15"/>
        <v>0</v>
      </c>
      <c r="P30" s="75">
        <f t="shared" si="15"/>
        <v>0</v>
      </c>
      <c r="Q30" s="75">
        <f t="shared" si="15"/>
        <v>0</v>
      </c>
      <c r="R30" s="75">
        <f t="shared" si="15"/>
        <v>0</v>
      </c>
      <c r="S30" s="75">
        <f t="shared" si="15"/>
        <v>0</v>
      </c>
      <c r="T30" s="75">
        <f t="shared" si="15"/>
        <v>0</v>
      </c>
      <c r="U30" s="75">
        <f t="shared" si="15"/>
        <v>0</v>
      </c>
      <c r="V30" s="75">
        <f t="shared" si="15"/>
        <v>0</v>
      </c>
      <c r="W30" s="75">
        <f t="shared" si="15"/>
        <v>0</v>
      </c>
      <c r="X30" s="75">
        <f t="shared" si="15"/>
        <v>0</v>
      </c>
      <c r="Y30" s="75">
        <f t="shared" si="15"/>
        <v>0</v>
      </c>
      <c r="Z30" s="75">
        <f t="shared" si="15"/>
        <v>0</v>
      </c>
      <c r="AA30" s="75">
        <f t="shared" si="15"/>
        <v>0</v>
      </c>
      <c r="AB30" s="75">
        <f t="shared" si="15"/>
        <v>0</v>
      </c>
      <c r="AC30" s="75">
        <f t="shared" si="15"/>
        <v>0</v>
      </c>
      <c r="AD30" s="75">
        <f t="shared" si="15"/>
        <v>0</v>
      </c>
      <c r="AE30" s="75">
        <f t="shared" si="15"/>
        <v>0</v>
      </c>
      <c r="AF30" s="75">
        <f t="shared" si="15"/>
        <v>0</v>
      </c>
      <c r="AG30" s="75">
        <f t="shared" si="15"/>
        <v>0</v>
      </c>
      <c r="AH30" s="75">
        <f t="shared" si="15"/>
        <v>0</v>
      </c>
      <c r="AI30" s="75">
        <f t="shared" si="15"/>
        <v>0</v>
      </c>
      <c r="AJ30" s="75">
        <f t="shared" si="15"/>
        <v>0</v>
      </c>
      <c r="AK30" s="75">
        <f t="shared" si="15"/>
        <v>0</v>
      </c>
      <c r="AL30" s="75">
        <f t="shared" si="15"/>
        <v>0</v>
      </c>
      <c r="AM30" s="75">
        <f t="shared" si="15"/>
        <v>0</v>
      </c>
      <c r="AN30" s="75">
        <f t="shared" si="15"/>
        <v>0</v>
      </c>
      <c r="AO30" s="75">
        <f t="shared" si="15"/>
        <v>0</v>
      </c>
      <c r="AP30" s="75">
        <f t="shared" si="15"/>
        <v>0</v>
      </c>
      <c r="AQ30" s="75">
        <f t="shared" si="15"/>
        <v>0</v>
      </c>
      <c r="AR30" s="76">
        <f t="shared" si="15"/>
        <v>0</v>
      </c>
    </row>
    <row r="31" spans="1:44" x14ac:dyDescent="0.25">
      <c r="A31" s="92" t="s">
        <v>78</v>
      </c>
      <c r="B31" s="92" t="s">
        <v>79</v>
      </c>
      <c r="C31" s="73" t="s">
        <v>26</v>
      </c>
      <c r="D31" s="74">
        <f>(D25/$D$2)*$D$1</f>
        <v>0</v>
      </c>
      <c r="E31" s="75">
        <f t="shared" ref="E31:AR31" si="16">(E25/$D$2)*$D$1</f>
        <v>508.75512169126199</v>
      </c>
      <c r="F31" s="75">
        <f t="shared" si="16"/>
        <v>508.75512169126199</v>
      </c>
      <c r="G31" s="75">
        <f t="shared" si="16"/>
        <v>508.75512169126199</v>
      </c>
      <c r="H31" s="75">
        <f t="shared" si="16"/>
        <v>508.75512169126199</v>
      </c>
      <c r="I31" s="75">
        <f t="shared" si="16"/>
        <v>618.13012169126193</v>
      </c>
      <c r="J31" s="75">
        <f t="shared" si="16"/>
        <v>618.13012169126193</v>
      </c>
      <c r="K31" s="75">
        <f t="shared" si="16"/>
        <v>618.13012169126193</v>
      </c>
      <c r="L31" s="75">
        <f t="shared" si="16"/>
        <v>618.13012169126193</v>
      </c>
      <c r="M31" s="75">
        <f t="shared" si="16"/>
        <v>732.97387169126205</v>
      </c>
      <c r="N31" s="75">
        <f t="shared" si="16"/>
        <v>732.97387169126205</v>
      </c>
      <c r="O31" s="75">
        <f t="shared" si="16"/>
        <v>732.97387169126205</v>
      </c>
      <c r="P31" s="75">
        <f t="shared" si="16"/>
        <v>732.97387169126205</v>
      </c>
      <c r="Q31" s="75">
        <f t="shared" si="16"/>
        <v>853.55980919126239</v>
      </c>
      <c r="R31" s="75">
        <f t="shared" si="16"/>
        <v>853.55980919126239</v>
      </c>
      <c r="S31" s="75">
        <f t="shared" si="16"/>
        <v>853.55980919126239</v>
      </c>
      <c r="T31" s="75">
        <f t="shared" si="16"/>
        <v>853.55980919126239</v>
      </c>
      <c r="U31" s="75">
        <f t="shared" si="16"/>
        <v>980.17504356626205</v>
      </c>
      <c r="V31" s="75">
        <f t="shared" si="16"/>
        <v>980.17504356626205</v>
      </c>
      <c r="W31" s="75">
        <f t="shared" si="16"/>
        <v>980.17504356626205</v>
      </c>
      <c r="X31" s="75">
        <f t="shared" si="16"/>
        <v>78080.799172241008</v>
      </c>
      <c r="Y31" s="75">
        <f t="shared" si="16"/>
        <v>0</v>
      </c>
      <c r="Z31" s="75">
        <f t="shared" si="16"/>
        <v>0</v>
      </c>
      <c r="AA31" s="75">
        <f t="shared" si="16"/>
        <v>0</v>
      </c>
      <c r="AB31" s="75">
        <f t="shared" si="16"/>
        <v>0</v>
      </c>
      <c r="AC31" s="75">
        <f t="shared" si="16"/>
        <v>0</v>
      </c>
      <c r="AD31" s="75">
        <f t="shared" si="16"/>
        <v>0</v>
      </c>
      <c r="AE31" s="75">
        <f t="shared" si="16"/>
        <v>0</v>
      </c>
      <c r="AF31" s="75">
        <f t="shared" si="16"/>
        <v>0</v>
      </c>
      <c r="AG31" s="75">
        <f t="shared" si="16"/>
        <v>0</v>
      </c>
      <c r="AH31" s="75">
        <f t="shared" si="16"/>
        <v>0</v>
      </c>
      <c r="AI31" s="75">
        <f t="shared" si="16"/>
        <v>0</v>
      </c>
      <c r="AJ31" s="75">
        <f t="shared" si="16"/>
        <v>0</v>
      </c>
      <c r="AK31" s="75">
        <f t="shared" si="16"/>
        <v>0</v>
      </c>
      <c r="AL31" s="75">
        <f t="shared" si="16"/>
        <v>0</v>
      </c>
      <c r="AM31" s="75">
        <f t="shared" si="16"/>
        <v>0</v>
      </c>
      <c r="AN31" s="75">
        <f t="shared" si="16"/>
        <v>0</v>
      </c>
      <c r="AO31" s="75">
        <f t="shared" si="16"/>
        <v>0</v>
      </c>
      <c r="AP31" s="75">
        <f t="shared" si="16"/>
        <v>0</v>
      </c>
      <c r="AQ31" s="75">
        <f t="shared" si="16"/>
        <v>0</v>
      </c>
      <c r="AR31" s="76">
        <f t="shared" si="16"/>
        <v>0</v>
      </c>
    </row>
    <row r="32" spans="1:44" x14ac:dyDescent="0.25">
      <c r="A32" s="123">
        <f>SUMIF(D32:AR32,"&gt;"&amp;0,D32:AR32)/-SUMIF(D32:AR32,"&lt;"&amp;0,D32:AR32)</f>
        <v>1.4999999999999998</v>
      </c>
      <c r="B32" s="124">
        <f>XIRR(D32:AR32,$D$11:$AR$11)</f>
        <v>9.1476115584373477E-2</v>
      </c>
      <c r="C32" s="77" t="s">
        <v>12</v>
      </c>
      <c r="D32" s="78">
        <f>D31-D30</f>
        <v>-61250</v>
      </c>
      <c r="E32" s="79">
        <f t="shared" ref="E32:AR32" si="17">E31-E30</f>
        <v>508.75512169126199</v>
      </c>
      <c r="F32" s="79">
        <f t="shared" si="17"/>
        <v>508.75512169126199</v>
      </c>
      <c r="G32" s="79">
        <f t="shared" si="17"/>
        <v>508.75512169126199</v>
      </c>
      <c r="H32" s="79">
        <f t="shared" si="17"/>
        <v>508.75512169126199</v>
      </c>
      <c r="I32" s="79">
        <f t="shared" si="17"/>
        <v>618.13012169126193</v>
      </c>
      <c r="J32" s="79">
        <f t="shared" si="17"/>
        <v>618.13012169126193</v>
      </c>
      <c r="K32" s="79">
        <f t="shared" si="17"/>
        <v>618.13012169126193</v>
      </c>
      <c r="L32" s="79">
        <f t="shared" si="17"/>
        <v>618.13012169126193</v>
      </c>
      <c r="M32" s="79">
        <f t="shared" si="17"/>
        <v>732.97387169126205</v>
      </c>
      <c r="N32" s="79">
        <f t="shared" si="17"/>
        <v>732.97387169126205</v>
      </c>
      <c r="O32" s="79">
        <f t="shared" si="17"/>
        <v>732.97387169126205</v>
      </c>
      <c r="P32" s="79">
        <f t="shared" si="17"/>
        <v>732.97387169126205</v>
      </c>
      <c r="Q32" s="79">
        <f t="shared" si="17"/>
        <v>853.55980919126239</v>
      </c>
      <c r="R32" s="79">
        <f t="shared" si="17"/>
        <v>853.55980919126239</v>
      </c>
      <c r="S32" s="79">
        <f t="shared" si="17"/>
        <v>853.55980919126239</v>
      </c>
      <c r="T32" s="79">
        <f t="shared" si="17"/>
        <v>853.55980919126239</v>
      </c>
      <c r="U32" s="79">
        <f t="shared" si="17"/>
        <v>980.17504356626205</v>
      </c>
      <c r="V32" s="79">
        <f t="shared" si="17"/>
        <v>980.17504356626205</v>
      </c>
      <c r="W32" s="79">
        <f t="shared" si="17"/>
        <v>980.17504356626205</v>
      </c>
      <c r="X32" s="79">
        <f t="shared" si="17"/>
        <v>78080.799172241008</v>
      </c>
      <c r="Y32" s="79">
        <f t="shared" si="17"/>
        <v>0</v>
      </c>
      <c r="Z32" s="79">
        <f t="shared" si="17"/>
        <v>0</v>
      </c>
      <c r="AA32" s="79">
        <f t="shared" si="17"/>
        <v>0</v>
      </c>
      <c r="AB32" s="79">
        <f t="shared" si="17"/>
        <v>0</v>
      </c>
      <c r="AC32" s="79">
        <f t="shared" si="17"/>
        <v>0</v>
      </c>
      <c r="AD32" s="79">
        <f t="shared" si="17"/>
        <v>0</v>
      </c>
      <c r="AE32" s="79">
        <f t="shared" si="17"/>
        <v>0</v>
      </c>
      <c r="AF32" s="79">
        <f t="shared" si="17"/>
        <v>0</v>
      </c>
      <c r="AG32" s="79">
        <f t="shared" si="17"/>
        <v>0</v>
      </c>
      <c r="AH32" s="79">
        <f t="shared" si="17"/>
        <v>0</v>
      </c>
      <c r="AI32" s="79">
        <f t="shared" si="17"/>
        <v>0</v>
      </c>
      <c r="AJ32" s="79">
        <f t="shared" si="17"/>
        <v>0</v>
      </c>
      <c r="AK32" s="79">
        <f t="shared" si="17"/>
        <v>0</v>
      </c>
      <c r="AL32" s="79">
        <f t="shared" si="17"/>
        <v>0</v>
      </c>
      <c r="AM32" s="79">
        <f t="shared" si="17"/>
        <v>0</v>
      </c>
      <c r="AN32" s="79">
        <f t="shared" si="17"/>
        <v>0</v>
      </c>
      <c r="AO32" s="79">
        <f t="shared" si="17"/>
        <v>0</v>
      </c>
      <c r="AP32" s="79">
        <f t="shared" si="17"/>
        <v>0</v>
      </c>
      <c r="AQ32" s="79">
        <f t="shared" si="17"/>
        <v>0</v>
      </c>
      <c r="AR32" s="80">
        <f t="shared" si="17"/>
        <v>0</v>
      </c>
    </row>
    <row r="33" spans="1:44" x14ac:dyDescent="0.25">
      <c r="C33" s="73" t="s">
        <v>27</v>
      </c>
      <c r="D33" s="74">
        <f>D25+D31</f>
        <v>0</v>
      </c>
      <c r="E33" s="75">
        <f t="shared" ref="E33:AR33" si="18">E25+E31</f>
        <v>10175.102433825239</v>
      </c>
      <c r="F33" s="75">
        <f t="shared" si="18"/>
        <v>10175.102433825239</v>
      </c>
      <c r="G33" s="75">
        <f t="shared" si="18"/>
        <v>10175.102433825239</v>
      </c>
      <c r="H33" s="75">
        <f t="shared" si="18"/>
        <v>10175.102433825239</v>
      </c>
      <c r="I33" s="75">
        <f t="shared" si="18"/>
        <v>12362.602433825237</v>
      </c>
      <c r="J33" s="75">
        <f t="shared" si="18"/>
        <v>12362.602433825237</v>
      </c>
      <c r="K33" s="75">
        <f t="shared" si="18"/>
        <v>12362.602433825237</v>
      </c>
      <c r="L33" s="75">
        <f t="shared" si="18"/>
        <v>12362.602433825237</v>
      </c>
      <c r="M33" s="75">
        <f t="shared" si="18"/>
        <v>14659.477433825237</v>
      </c>
      <c r="N33" s="75">
        <f t="shared" si="18"/>
        <v>14659.477433825237</v>
      </c>
      <c r="O33" s="75">
        <f t="shared" si="18"/>
        <v>14659.477433825237</v>
      </c>
      <c r="P33" s="75">
        <f t="shared" si="18"/>
        <v>14659.477433825237</v>
      </c>
      <c r="Q33" s="75">
        <f t="shared" si="18"/>
        <v>17071.196183825246</v>
      </c>
      <c r="R33" s="75">
        <f t="shared" si="18"/>
        <v>17071.196183825246</v>
      </c>
      <c r="S33" s="75">
        <f t="shared" si="18"/>
        <v>17071.196183825246</v>
      </c>
      <c r="T33" s="75">
        <f t="shared" si="18"/>
        <v>17071.196183825246</v>
      </c>
      <c r="U33" s="75">
        <f t="shared" si="18"/>
        <v>19603.500871325239</v>
      </c>
      <c r="V33" s="75">
        <f t="shared" si="18"/>
        <v>19603.500871325239</v>
      </c>
      <c r="W33" s="75">
        <f t="shared" si="18"/>
        <v>19603.500871325239</v>
      </c>
      <c r="X33" s="75">
        <f t="shared" si="18"/>
        <v>1561615.9834448202</v>
      </c>
      <c r="Y33" s="75">
        <f t="shared" si="18"/>
        <v>0</v>
      </c>
      <c r="Z33" s="75">
        <f t="shared" si="18"/>
        <v>0</v>
      </c>
      <c r="AA33" s="75">
        <f t="shared" si="18"/>
        <v>0</v>
      </c>
      <c r="AB33" s="75">
        <f t="shared" si="18"/>
        <v>0</v>
      </c>
      <c r="AC33" s="75">
        <f t="shared" si="18"/>
        <v>0</v>
      </c>
      <c r="AD33" s="75">
        <f t="shared" si="18"/>
        <v>0</v>
      </c>
      <c r="AE33" s="75">
        <f t="shared" si="18"/>
        <v>0</v>
      </c>
      <c r="AF33" s="75">
        <f t="shared" si="18"/>
        <v>0</v>
      </c>
      <c r="AG33" s="75">
        <f t="shared" si="18"/>
        <v>0</v>
      </c>
      <c r="AH33" s="75">
        <f t="shared" si="18"/>
        <v>0</v>
      </c>
      <c r="AI33" s="75">
        <f t="shared" si="18"/>
        <v>0</v>
      </c>
      <c r="AJ33" s="75">
        <f t="shared" si="18"/>
        <v>0</v>
      </c>
      <c r="AK33" s="75">
        <f t="shared" si="18"/>
        <v>0</v>
      </c>
      <c r="AL33" s="75">
        <f t="shared" si="18"/>
        <v>0</v>
      </c>
      <c r="AM33" s="75">
        <f t="shared" si="18"/>
        <v>0</v>
      </c>
      <c r="AN33" s="75">
        <f t="shared" si="18"/>
        <v>0</v>
      </c>
      <c r="AO33" s="75">
        <f t="shared" si="18"/>
        <v>0</v>
      </c>
      <c r="AP33" s="75">
        <f t="shared" si="18"/>
        <v>0</v>
      </c>
      <c r="AQ33" s="75">
        <f t="shared" si="18"/>
        <v>0</v>
      </c>
      <c r="AR33" s="76">
        <f t="shared" si="18"/>
        <v>0</v>
      </c>
    </row>
    <row r="34" spans="1:44" x14ac:dyDescent="0.25">
      <c r="A34" s="125"/>
      <c r="B34" s="126"/>
      <c r="C34" s="127" t="s">
        <v>28</v>
      </c>
      <c r="D34" s="78">
        <f>MAX(D14-D33,0)</f>
        <v>0</v>
      </c>
      <c r="E34" s="79">
        <f t="shared" ref="E34:AR34" si="19">MAX(E14-E33,0)</f>
        <v>0</v>
      </c>
      <c r="F34" s="79">
        <f t="shared" si="19"/>
        <v>0</v>
      </c>
      <c r="G34" s="79">
        <f t="shared" si="19"/>
        <v>0</v>
      </c>
      <c r="H34" s="79">
        <f t="shared" si="19"/>
        <v>0</v>
      </c>
      <c r="I34" s="79">
        <f t="shared" si="19"/>
        <v>1.8189894035458565E-12</v>
      </c>
      <c r="J34" s="79">
        <f t="shared" si="19"/>
        <v>1.8189894035458565E-12</v>
      </c>
      <c r="K34" s="79">
        <f t="shared" si="19"/>
        <v>1.8189894035458565E-12</v>
      </c>
      <c r="L34" s="79">
        <f t="shared" si="19"/>
        <v>1.8189894035458565E-12</v>
      </c>
      <c r="M34" s="79">
        <f t="shared" si="19"/>
        <v>1.8189894035458565E-12</v>
      </c>
      <c r="N34" s="79">
        <f t="shared" si="19"/>
        <v>1.8189894035458565E-12</v>
      </c>
      <c r="O34" s="79">
        <f t="shared" si="19"/>
        <v>1.8189894035458565E-12</v>
      </c>
      <c r="P34" s="79">
        <f t="shared" si="19"/>
        <v>1.8189894035458565E-12</v>
      </c>
      <c r="Q34" s="79">
        <f t="shared" si="19"/>
        <v>0</v>
      </c>
      <c r="R34" s="79">
        <f t="shared" si="19"/>
        <v>0</v>
      </c>
      <c r="S34" s="79">
        <f t="shared" si="19"/>
        <v>0</v>
      </c>
      <c r="T34" s="79">
        <f t="shared" si="19"/>
        <v>0</v>
      </c>
      <c r="U34" s="79">
        <f t="shared" si="19"/>
        <v>0</v>
      </c>
      <c r="V34" s="79">
        <f t="shared" si="19"/>
        <v>0</v>
      </c>
      <c r="W34" s="79">
        <f t="shared" si="19"/>
        <v>0</v>
      </c>
      <c r="X34" s="79">
        <f t="shared" si="19"/>
        <v>114600.31050876644</v>
      </c>
      <c r="Y34" s="79">
        <f t="shared" si="19"/>
        <v>0</v>
      </c>
      <c r="Z34" s="79">
        <f t="shared" si="19"/>
        <v>0</v>
      </c>
      <c r="AA34" s="79">
        <f t="shared" si="19"/>
        <v>0</v>
      </c>
      <c r="AB34" s="79">
        <f t="shared" si="19"/>
        <v>0</v>
      </c>
      <c r="AC34" s="79">
        <f t="shared" si="19"/>
        <v>0</v>
      </c>
      <c r="AD34" s="79">
        <f t="shared" si="19"/>
        <v>0</v>
      </c>
      <c r="AE34" s="79">
        <f t="shared" si="19"/>
        <v>0</v>
      </c>
      <c r="AF34" s="79">
        <f t="shared" si="19"/>
        <v>0</v>
      </c>
      <c r="AG34" s="79">
        <f t="shared" si="19"/>
        <v>0</v>
      </c>
      <c r="AH34" s="79">
        <f t="shared" si="19"/>
        <v>0</v>
      </c>
      <c r="AI34" s="79">
        <f t="shared" si="19"/>
        <v>0</v>
      </c>
      <c r="AJ34" s="79">
        <f t="shared" si="19"/>
        <v>0</v>
      </c>
      <c r="AK34" s="79">
        <f t="shared" si="19"/>
        <v>0</v>
      </c>
      <c r="AL34" s="79">
        <f t="shared" si="19"/>
        <v>0</v>
      </c>
      <c r="AM34" s="79">
        <f t="shared" si="19"/>
        <v>0</v>
      </c>
      <c r="AN34" s="79">
        <f t="shared" si="19"/>
        <v>0</v>
      </c>
      <c r="AO34" s="79">
        <f t="shared" si="19"/>
        <v>0</v>
      </c>
      <c r="AP34" s="79">
        <f t="shared" si="19"/>
        <v>0</v>
      </c>
      <c r="AQ34" s="79">
        <f t="shared" si="19"/>
        <v>0</v>
      </c>
      <c r="AR34" s="80">
        <f t="shared" si="19"/>
        <v>0</v>
      </c>
    </row>
    <row r="35" spans="1:44" x14ac:dyDescent="0.25">
      <c r="A35" s="128"/>
      <c r="B35" s="129"/>
      <c r="C35" s="81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</row>
    <row r="36" spans="1:44" x14ac:dyDescent="0.25">
      <c r="B36" s="130"/>
      <c r="C36" s="131" t="s">
        <v>70</v>
      </c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5"/>
    </row>
    <row r="37" spans="1:44" x14ac:dyDescent="0.25">
      <c r="B37" s="130"/>
      <c r="C37" s="97" t="s">
        <v>22</v>
      </c>
      <c r="D37" s="70">
        <f>D34*$G$7</f>
        <v>0</v>
      </c>
      <c r="E37" s="71">
        <f t="shared" ref="E37:AR37" si="20">E34*$G$7</f>
        <v>0</v>
      </c>
      <c r="F37" s="71">
        <f t="shared" si="20"/>
        <v>0</v>
      </c>
      <c r="G37" s="71">
        <f t="shared" si="20"/>
        <v>0</v>
      </c>
      <c r="H37" s="71">
        <f t="shared" si="20"/>
        <v>0</v>
      </c>
      <c r="I37" s="71">
        <f t="shared" si="20"/>
        <v>1.2096279533579946E-12</v>
      </c>
      <c r="J37" s="71">
        <f t="shared" si="20"/>
        <v>1.2096279533579946E-12</v>
      </c>
      <c r="K37" s="71">
        <f t="shared" si="20"/>
        <v>1.2096279533579946E-12</v>
      </c>
      <c r="L37" s="71">
        <f t="shared" si="20"/>
        <v>1.2096279533579946E-12</v>
      </c>
      <c r="M37" s="71">
        <f t="shared" si="20"/>
        <v>1.2096279533579946E-12</v>
      </c>
      <c r="N37" s="71">
        <f t="shared" si="20"/>
        <v>1.2096279533579946E-12</v>
      </c>
      <c r="O37" s="71">
        <f t="shared" si="20"/>
        <v>1.2096279533579946E-12</v>
      </c>
      <c r="P37" s="71">
        <f t="shared" si="20"/>
        <v>1.2096279533579946E-12</v>
      </c>
      <c r="Q37" s="71">
        <f t="shared" si="20"/>
        <v>0</v>
      </c>
      <c r="R37" s="71">
        <f t="shared" si="20"/>
        <v>0</v>
      </c>
      <c r="S37" s="71">
        <f t="shared" si="20"/>
        <v>0</v>
      </c>
      <c r="T37" s="71">
        <f t="shared" si="20"/>
        <v>0</v>
      </c>
      <c r="U37" s="71">
        <f t="shared" si="20"/>
        <v>0</v>
      </c>
      <c r="V37" s="71">
        <f t="shared" si="20"/>
        <v>0</v>
      </c>
      <c r="W37" s="71">
        <f t="shared" si="20"/>
        <v>0</v>
      </c>
      <c r="X37" s="71">
        <f t="shared" si="20"/>
        <v>76209.206488329684</v>
      </c>
      <c r="Y37" s="71">
        <f t="shared" si="20"/>
        <v>0</v>
      </c>
      <c r="Z37" s="71">
        <f t="shared" si="20"/>
        <v>0</v>
      </c>
      <c r="AA37" s="71">
        <f t="shared" si="20"/>
        <v>0</v>
      </c>
      <c r="AB37" s="71">
        <f t="shared" si="20"/>
        <v>0</v>
      </c>
      <c r="AC37" s="71">
        <f t="shared" si="20"/>
        <v>0</v>
      </c>
      <c r="AD37" s="71">
        <f t="shared" si="20"/>
        <v>0</v>
      </c>
      <c r="AE37" s="71">
        <f t="shared" si="20"/>
        <v>0</v>
      </c>
      <c r="AF37" s="71">
        <f t="shared" si="20"/>
        <v>0</v>
      </c>
      <c r="AG37" s="71">
        <f t="shared" si="20"/>
        <v>0</v>
      </c>
      <c r="AH37" s="71">
        <f t="shared" si="20"/>
        <v>0</v>
      </c>
      <c r="AI37" s="71">
        <f t="shared" si="20"/>
        <v>0</v>
      </c>
      <c r="AJ37" s="71">
        <f t="shared" si="20"/>
        <v>0</v>
      </c>
      <c r="AK37" s="71">
        <f t="shared" si="20"/>
        <v>0</v>
      </c>
      <c r="AL37" s="71">
        <f t="shared" si="20"/>
        <v>0</v>
      </c>
      <c r="AM37" s="71">
        <f t="shared" si="20"/>
        <v>0</v>
      </c>
      <c r="AN37" s="71">
        <f t="shared" si="20"/>
        <v>0</v>
      </c>
      <c r="AO37" s="71">
        <f t="shared" si="20"/>
        <v>0</v>
      </c>
      <c r="AP37" s="71">
        <f t="shared" si="20"/>
        <v>0</v>
      </c>
      <c r="AQ37" s="71">
        <f t="shared" si="20"/>
        <v>0</v>
      </c>
      <c r="AR37" s="72">
        <f t="shared" si="20"/>
        <v>0</v>
      </c>
    </row>
    <row r="38" spans="1:44" x14ac:dyDescent="0.25">
      <c r="A38" s="125"/>
      <c r="B38" s="126"/>
      <c r="C38" s="99" t="s">
        <v>26</v>
      </c>
      <c r="D38" s="74">
        <f>D34*$F$7</f>
        <v>0</v>
      </c>
      <c r="E38" s="75">
        <f t="shared" ref="E38:AR38" si="21">E34*$F$7</f>
        <v>0</v>
      </c>
      <c r="F38" s="75">
        <f t="shared" si="21"/>
        <v>0</v>
      </c>
      <c r="G38" s="75">
        <f t="shared" si="21"/>
        <v>0</v>
      </c>
      <c r="H38" s="75">
        <f t="shared" si="21"/>
        <v>0</v>
      </c>
      <c r="I38" s="75">
        <f t="shared" si="21"/>
        <v>6.0936145018786185E-13</v>
      </c>
      <c r="J38" s="75">
        <f t="shared" si="21"/>
        <v>6.0936145018786185E-13</v>
      </c>
      <c r="K38" s="75">
        <f t="shared" si="21"/>
        <v>6.0936145018786185E-13</v>
      </c>
      <c r="L38" s="75">
        <f t="shared" si="21"/>
        <v>6.0936145018786185E-13</v>
      </c>
      <c r="M38" s="75">
        <f t="shared" si="21"/>
        <v>6.0936145018786185E-13</v>
      </c>
      <c r="N38" s="75">
        <f t="shared" si="21"/>
        <v>6.0936145018786185E-13</v>
      </c>
      <c r="O38" s="75">
        <f t="shared" si="21"/>
        <v>6.0936145018786185E-13</v>
      </c>
      <c r="P38" s="75">
        <f t="shared" si="21"/>
        <v>6.0936145018786185E-13</v>
      </c>
      <c r="Q38" s="75">
        <f t="shared" si="21"/>
        <v>0</v>
      </c>
      <c r="R38" s="75">
        <f t="shared" si="21"/>
        <v>0</v>
      </c>
      <c r="S38" s="75">
        <f t="shared" si="21"/>
        <v>0</v>
      </c>
      <c r="T38" s="75">
        <f t="shared" si="21"/>
        <v>0</v>
      </c>
      <c r="U38" s="75">
        <f t="shared" si="21"/>
        <v>0</v>
      </c>
      <c r="V38" s="75">
        <f t="shared" si="21"/>
        <v>0</v>
      </c>
      <c r="W38" s="75">
        <f t="shared" si="21"/>
        <v>0</v>
      </c>
      <c r="X38" s="75">
        <f t="shared" si="21"/>
        <v>38391.104020436753</v>
      </c>
      <c r="Y38" s="75">
        <f t="shared" si="21"/>
        <v>0</v>
      </c>
      <c r="Z38" s="75">
        <f t="shared" si="21"/>
        <v>0</v>
      </c>
      <c r="AA38" s="75">
        <f t="shared" si="21"/>
        <v>0</v>
      </c>
      <c r="AB38" s="75">
        <f t="shared" si="21"/>
        <v>0</v>
      </c>
      <c r="AC38" s="75">
        <f t="shared" si="21"/>
        <v>0</v>
      </c>
      <c r="AD38" s="75">
        <f t="shared" si="21"/>
        <v>0</v>
      </c>
      <c r="AE38" s="75">
        <f t="shared" si="21"/>
        <v>0</v>
      </c>
      <c r="AF38" s="75">
        <f t="shared" si="21"/>
        <v>0</v>
      </c>
      <c r="AG38" s="75">
        <f t="shared" si="21"/>
        <v>0</v>
      </c>
      <c r="AH38" s="75">
        <f t="shared" si="21"/>
        <v>0</v>
      </c>
      <c r="AI38" s="75">
        <f t="shared" si="21"/>
        <v>0</v>
      </c>
      <c r="AJ38" s="75">
        <f t="shared" si="21"/>
        <v>0</v>
      </c>
      <c r="AK38" s="75">
        <f t="shared" si="21"/>
        <v>0</v>
      </c>
      <c r="AL38" s="75">
        <f t="shared" si="21"/>
        <v>0</v>
      </c>
      <c r="AM38" s="75">
        <f t="shared" si="21"/>
        <v>0</v>
      </c>
      <c r="AN38" s="75">
        <f t="shared" si="21"/>
        <v>0</v>
      </c>
      <c r="AO38" s="75">
        <f t="shared" si="21"/>
        <v>0</v>
      </c>
      <c r="AP38" s="75">
        <f t="shared" si="21"/>
        <v>0</v>
      </c>
      <c r="AQ38" s="75">
        <f t="shared" si="21"/>
        <v>0</v>
      </c>
      <c r="AR38" s="76">
        <f t="shared" si="21"/>
        <v>0</v>
      </c>
    </row>
    <row r="39" spans="1:44" x14ac:dyDescent="0.25">
      <c r="A39" s="128"/>
      <c r="B39" s="132"/>
      <c r="C39" s="99" t="s">
        <v>27</v>
      </c>
      <c r="D39" s="74">
        <f>SUM(D37:D38)</f>
        <v>0</v>
      </c>
      <c r="E39" s="75">
        <f t="shared" ref="E39:AR39" si="22">SUM(E37:E38)</f>
        <v>0</v>
      </c>
      <c r="F39" s="75">
        <f t="shared" si="22"/>
        <v>0</v>
      </c>
      <c r="G39" s="75">
        <f t="shared" si="22"/>
        <v>0</v>
      </c>
      <c r="H39" s="75">
        <f t="shared" si="22"/>
        <v>0</v>
      </c>
      <c r="I39" s="75">
        <f t="shared" si="22"/>
        <v>1.8189894035458565E-12</v>
      </c>
      <c r="J39" s="75">
        <f t="shared" si="22"/>
        <v>1.8189894035458565E-12</v>
      </c>
      <c r="K39" s="75">
        <f t="shared" si="22"/>
        <v>1.8189894035458565E-12</v>
      </c>
      <c r="L39" s="75">
        <f t="shared" si="22"/>
        <v>1.8189894035458565E-12</v>
      </c>
      <c r="M39" s="75">
        <f t="shared" si="22"/>
        <v>1.8189894035458565E-12</v>
      </c>
      <c r="N39" s="75">
        <f t="shared" si="22"/>
        <v>1.8189894035458565E-12</v>
      </c>
      <c r="O39" s="75">
        <f t="shared" si="22"/>
        <v>1.8189894035458565E-12</v>
      </c>
      <c r="P39" s="75">
        <f t="shared" si="22"/>
        <v>1.8189894035458565E-12</v>
      </c>
      <c r="Q39" s="75">
        <f t="shared" si="22"/>
        <v>0</v>
      </c>
      <c r="R39" s="75">
        <f t="shared" si="22"/>
        <v>0</v>
      </c>
      <c r="S39" s="75">
        <f t="shared" si="22"/>
        <v>0</v>
      </c>
      <c r="T39" s="75">
        <f t="shared" si="22"/>
        <v>0</v>
      </c>
      <c r="U39" s="75">
        <f t="shared" si="22"/>
        <v>0</v>
      </c>
      <c r="V39" s="75">
        <f t="shared" si="22"/>
        <v>0</v>
      </c>
      <c r="W39" s="75">
        <f t="shared" si="22"/>
        <v>0</v>
      </c>
      <c r="X39" s="75">
        <f t="shared" si="22"/>
        <v>114600.31050876644</v>
      </c>
      <c r="Y39" s="75">
        <f t="shared" si="22"/>
        <v>0</v>
      </c>
      <c r="Z39" s="75">
        <f t="shared" si="22"/>
        <v>0</v>
      </c>
      <c r="AA39" s="75">
        <f t="shared" si="22"/>
        <v>0</v>
      </c>
      <c r="AB39" s="75">
        <f t="shared" si="22"/>
        <v>0</v>
      </c>
      <c r="AC39" s="75">
        <f t="shared" si="22"/>
        <v>0</v>
      </c>
      <c r="AD39" s="75">
        <f t="shared" si="22"/>
        <v>0</v>
      </c>
      <c r="AE39" s="75">
        <f t="shared" si="22"/>
        <v>0</v>
      </c>
      <c r="AF39" s="75">
        <f t="shared" si="22"/>
        <v>0</v>
      </c>
      <c r="AG39" s="75">
        <f t="shared" si="22"/>
        <v>0</v>
      </c>
      <c r="AH39" s="75">
        <f t="shared" si="22"/>
        <v>0</v>
      </c>
      <c r="AI39" s="75">
        <f t="shared" si="22"/>
        <v>0</v>
      </c>
      <c r="AJ39" s="75">
        <f t="shared" si="22"/>
        <v>0</v>
      </c>
      <c r="AK39" s="75">
        <f t="shared" si="22"/>
        <v>0</v>
      </c>
      <c r="AL39" s="75">
        <f t="shared" si="22"/>
        <v>0</v>
      </c>
      <c r="AM39" s="75">
        <f t="shared" si="22"/>
        <v>0</v>
      </c>
      <c r="AN39" s="75">
        <f t="shared" si="22"/>
        <v>0</v>
      </c>
      <c r="AO39" s="75">
        <f t="shared" si="22"/>
        <v>0</v>
      </c>
      <c r="AP39" s="75">
        <f t="shared" si="22"/>
        <v>0</v>
      </c>
      <c r="AQ39" s="75">
        <f t="shared" si="22"/>
        <v>0</v>
      </c>
      <c r="AR39" s="76">
        <f t="shared" si="22"/>
        <v>0</v>
      </c>
    </row>
    <row r="40" spans="1:44" x14ac:dyDescent="0.25">
      <c r="C40" s="77" t="s">
        <v>28</v>
      </c>
      <c r="D40" s="78">
        <f>D34-D39</f>
        <v>0</v>
      </c>
      <c r="E40" s="79">
        <f t="shared" ref="E40:AR40" si="23">E34-E39</f>
        <v>0</v>
      </c>
      <c r="F40" s="79">
        <f t="shared" si="23"/>
        <v>0</v>
      </c>
      <c r="G40" s="79">
        <f t="shared" si="23"/>
        <v>0</v>
      </c>
      <c r="H40" s="79">
        <f t="shared" si="23"/>
        <v>0</v>
      </c>
      <c r="I40" s="79">
        <f t="shared" si="23"/>
        <v>0</v>
      </c>
      <c r="J40" s="79">
        <f t="shared" si="23"/>
        <v>0</v>
      </c>
      <c r="K40" s="79">
        <f t="shared" si="23"/>
        <v>0</v>
      </c>
      <c r="L40" s="79">
        <f t="shared" si="23"/>
        <v>0</v>
      </c>
      <c r="M40" s="79">
        <f t="shared" si="23"/>
        <v>0</v>
      </c>
      <c r="N40" s="79">
        <f t="shared" si="23"/>
        <v>0</v>
      </c>
      <c r="O40" s="79">
        <f t="shared" si="23"/>
        <v>0</v>
      </c>
      <c r="P40" s="79">
        <f t="shared" si="23"/>
        <v>0</v>
      </c>
      <c r="Q40" s="79">
        <f t="shared" si="23"/>
        <v>0</v>
      </c>
      <c r="R40" s="79">
        <f t="shared" si="23"/>
        <v>0</v>
      </c>
      <c r="S40" s="79">
        <f t="shared" si="23"/>
        <v>0</v>
      </c>
      <c r="T40" s="79">
        <f t="shared" si="23"/>
        <v>0</v>
      </c>
      <c r="U40" s="79">
        <f t="shared" si="23"/>
        <v>0</v>
      </c>
      <c r="V40" s="79">
        <f t="shared" si="23"/>
        <v>0</v>
      </c>
      <c r="W40" s="79">
        <f t="shared" si="23"/>
        <v>0</v>
      </c>
      <c r="X40" s="79">
        <f t="shared" si="23"/>
        <v>0</v>
      </c>
      <c r="Y40" s="79">
        <f t="shared" si="23"/>
        <v>0</v>
      </c>
      <c r="Z40" s="79">
        <f t="shared" si="23"/>
        <v>0</v>
      </c>
      <c r="AA40" s="79">
        <f t="shared" si="23"/>
        <v>0</v>
      </c>
      <c r="AB40" s="79">
        <f t="shared" si="23"/>
        <v>0</v>
      </c>
      <c r="AC40" s="79">
        <f t="shared" si="23"/>
        <v>0</v>
      </c>
      <c r="AD40" s="79">
        <f t="shared" si="23"/>
        <v>0</v>
      </c>
      <c r="AE40" s="79">
        <f t="shared" si="23"/>
        <v>0</v>
      </c>
      <c r="AF40" s="79">
        <f t="shared" si="23"/>
        <v>0</v>
      </c>
      <c r="AG40" s="79">
        <f t="shared" si="23"/>
        <v>0</v>
      </c>
      <c r="AH40" s="79">
        <f t="shared" si="23"/>
        <v>0</v>
      </c>
      <c r="AI40" s="79">
        <f t="shared" si="23"/>
        <v>0</v>
      </c>
      <c r="AJ40" s="79">
        <f t="shared" si="23"/>
        <v>0</v>
      </c>
      <c r="AK40" s="79">
        <f t="shared" si="23"/>
        <v>0</v>
      </c>
      <c r="AL40" s="79">
        <f t="shared" si="23"/>
        <v>0</v>
      </c>
      <c r="AM40" s="79">
        <f t="shared" si="23"/>
        <v>0</v>
      </c>
      <c r="AN40" s="79">
        <f t="shared" si="23"/>
        <v>0</v>
      </c>
      <c r="AO40" s="79">
        <f t="shared" si="23"/>
        <v>0</v>
      </c>
      <c r="AP40" s="79">
        <f t="shared" si="23"/>
        <v>0</v>
      </c>
      <c r="AQ40" s="79">
        <f t="shared" si="23"/>
        <v>0</v>
      </c>
      <c r="AR40" s="80">
        <f t="shared" si="23"/>
        <v>0</v>
      </c>
    </row>
    <row r="41" spans="1:44" x14ac:dyDescent="0.25">
      <c r="C41" s="81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</row>
    <row r="42" spans="1:44" x14ac:dyDescent="0.25">
      <c r="C42" s="18" t="s">
        <v>29</v>
      </c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5"/>
    </row>
    <row r="43" spans="1:44" x14ac:dyDescent="0.25">
      <c r="C43" s="28" t="s">
        <v>30</v>
      </c>
      <c r="D43" s="70">
        <f>D18</f>
        <v>-1163750</v>
      </c>
      <c r="E43" s="71">
        <f t="shared" ref="E43:AR43" si="24">E18</f>
        <v>0</v>
      </c>
      <c r="F43" s="71">
        <f t="shared" si="24"/>
        <v>0</v>
      </c>
      <c r="G43" s="71">
        <f t="shared" si="24"/>
        <v>0</v>
      </c>
      <c r="H43" s="71">
        <f t="shared" si="24"/>
        <v>0</v>
      </c>
      <c r="I43" s="71">
        <f t="shared" si="24"/>
        <v>0</v>
      </c>
      <c r="J43" s="71">
        <f t="shared" si="24"/>
        <v>0</v>
      </c>
      <c r="K43" s="71">
        <f t="shared" si="24"/>
        <v>0</v>
      </c>
      <c r="L43" s="71">
        <f t="shared" si="24"/>
        <v>0</v>
      </c>
      <c r="M43" s="71">
        <f t="shared" si="24"/>
        <v>0</v>
      </c>
      <c r="N43" s="71">
        <f t="shared" si="24"/>
        <v>0</v>
      </c>
      <c r="O43" s="71">
        <f t="shared" si="24"/>
        <v>0</v>
      </c>
      <c r="P43" s="71">
        <f t="shared" si="24"/>
        <v>0</v>
      </c>
      <c r="Q43" s="71">
        <f t="shared" si="24"/>
        <v>0</v>
      </c>
      <c r="R43" s="71">
        <f t="shared" si="24"/>
        <v>0</v>
      </c>
      <c r="S43" s="71">
        <f t="shared" si="24"/>
        <v>0</v>
      </c>
      <c r="T43" s="71">
        <f t="shared" si="24"/>
        <v>0</v>
      </c>
      <c r="U43" s="71">
        <f t="shared" si="24"/>
        <v>0</v>
      </c>
      <c r="V43" s="71">
        <f t="shared" si="24"/>
        <v>0</v>
      </c>
      <c r="W43" s="71">
        <f t="shared" si="24"/>
        <v>0</v>
      </c>
      <c r="X43" s="71">
        <f t="shared" si="24"/>
        <v>0</v>
      </c>
      <c r="Y43" s="71">
        <f t="shared" si="24"/>
        <v>0</v>
      </c>
      <c r="Z43" s="71">
        <f t="shared" si="24"/>
        <v>0</v>
      </c>
      <c r="AA43" s="71">
        <f t="shared" si="24"/>
        <v>0</v>
      </c>
      <c r="AB43" s="71">
        <f t="shared" si="24"/>
        <v>0</v>
      </c>
      <c r="AC43" s="71">
        <f t="shared" si="24"/>
        <v>0</v>
      </c>
      <c r="AD43" s="71">
        <f t="shared" si="24"/>
        <v>0</v>
      </c>
      <c r="AE43" s="71">
        <f t="shared" si="24"/>
        <v>0</v>
      </c>
      <c r="AF43" s="71">
        <f t="shared" si="24"/>
        <v>0</v>
      </c>
      <c r="AG43" s="71">
        <f t="shared" si="24"/>
        <v>0</v>
      </c>
      <c r="AH43" s="71">
        <f t="shared" si="24"/>
        <v>0</v>
      </c>
      <c r="AI43" s="71">
        <f t="shared" si="24"/>
        <v>0</v>
      </c>
      <c r="AJ43" s="71">
        <f t="shared" si="24"/>
        <v>0</v>
      </c>
      <c r="AK43" s="71">
        <f t="shared" si="24"/>
        <v>0</v>
      </c>
      <c r="AL43" s="71">
        <f t="shared" si="24"/>
        <v>0</v>
      </c>
      <c r="AM43" s="71">
        <f t="shared" si="24"/>
        <v>0</v>
      </c>
      <c r="AN43" s="71">
        <f t="shared" si="24"/>
        <v>0</v>
      </c>
      <c r="AO43" s="71">
        <f t="shared" si="24"/>
        <v>0</v>
      </c>
      <c r="AP43" s="71">
        <f t="shared" si="24"/>
        <v>0</v>
      </c>
      <c r="AQ43" s="71">
        <f t="shared" si="24"/>
        <v>0</v>
      </c>
      <c r="AR43" s="72">
        <f t="shared" si="24"/>
        <v>0</v>
      </c>
    </row>
    <row r="44" spans="1:44" x14ac:dyDescent="0.25">
      <c r="C44" s="73" t="s">
        <v>31</v>
      </c>
      <c r="D44" s="74">
        <f>D25+D37</f>
        <v>0</v>
      </c>
      <c r="E44" s="75">
        <f t="shared" ref="E44:AR44" si="25">E25+E37</f>
        <v>9666.3473121339775</v>
      </c>
      <c r="F44" s="75">
        <f t="shared" si="25"/>
        <v>9666.3473121339775</v>
      </c>
      <c r="G44" s="75">
        <f t="shared" si="25"/>
        <v>9666.3473121339775</v>
      </c>
      <c r="H44" s="75">
        <f t="shared" si="25"/>
        <v>9666.3473121339775</v>
      </c>
      <c r="I44" s="75">
        <f t="shared" si="25"/>
        <v>11744.472312133978</v>
      </c>
      <c r="J44" s="75">
        <f t="shared" si="25"/>
        <v>11744.472312133978</v>
      </c>
      <c r="K44" s="75">
        <f t="shared" si="25"/>
        <v>11744.472312133978</v>
      </c>
      <c r="L44" s="75">
        <f t="shared" si="25"/>
        <v>11744.472312133978</v>
      </c>
      <c r="M44" s="75">
        <f t="shared" si="25"/>
        <v>13926.503562133978</v>
      </c>
      <c r="N44" s="75">
        <f t="shared" si="25"/>
        <v>13926.503562133978</v>
      </c>
      <c r="O44" s="75">
        <f t="shared" si="25"/>
        <v>13926.503562133978</v>
      </c>
      <c r="P44" s="75">
        <f t="shared" si="25"/>
        <v>13926.503562133978</v>
      </c>
      <c r="Q44" s="75">
        <f t="shared" si="25"/>
        <v>16217.636374633983</v>
      </c>
      <c r="R44" s="75">
        <f t="shared" si="25"/>
        <v>16217.636374633983</v>
      </c>
      <c r="S44" s="75">
        <f t="shared" si="25"/>
        <v>16217.636374633983</v>
      </c>
      <c r="T44" s="75">
        <f t="shared" si="25"/>
        <v>16217.636374633983</v>
      </c>
      <c r="U44" s="75">
        <f t="shared" si="25"/>
        <v>18623.325827758978</v>
      </c>
      <c r="V44" s="75">
        <f t="shared" si="25"/>
        <v>18623.325827758978</v>
      </c>
      <c r="W44" s="75">
        <f t="shared" si="25"/>
        <v>18623.325827758978</v>
      </c>
      <c r="X44" s="75">
        <f t="shared" si="25"/>
        <v>1559744.3907609088</v>
      </c>
      <c r="Y44" s="75">
        <f t="shared" si="25"/>
        <v>0</v>
      </c>
      <c r="Z44" s="75">
        <f t="shared" si="25"/>
        <v>0</v>
      </c>
      <c r="AA44" s="75">
        <f t="shared" si="25"/>
        <v>0</v>
      </c>
      <c r="AB44" s="75">
        <f t="shared" si="25"/>
        <v>0</v>
      </c>
      <c r="AC44" s="75">
        <f t="shared" si="25"/>
        <v>0</v>
      </c>
      <c r="AD44" s="75">
        <f t="shared" si="25"/>
        <v>0</v>
      </c>
      <c r="AE44" s="75">
        <f t="shared" si="25"/>
        <v>0</v>
      </c>
      <c r="AF44" s="75">
        <f t="shared" si="25"/>
        <v>0</v>
      </c>
      <c r="AG44" s="75">
        <f t="shared" si="25"/>
        <v>0</v>
      </c>
      <c r="AH44" s="75">
        <f t="shared" si="25"/>
        <v>0</v>
      </c>
      <c r="AI44" s="75">
        <f t="shared" si="25"/>
        <v>0</v>
      </c>
      <c r="AJ44" s="75">
        <f t="shared" si="25"/>
        <v>0</v>
      </c>
      <c r="AK44" s="75">
        <f t="shared" si="25"/>
        <v>0</v>
      </c>
      <c r="AL44" s="75">
        <f t="shared" si="25"/>
        <v>0</v>
      </c>
      <c r="AM44" s="75">
        <f t="shared" si="25"/>
        <v>0</v>
      </c>
      <c r="AN44" s="75">
        <f t="shared" si="25"/>
        <v>0</v>
      </c>
      <c r="AO44" s="75">
        <f t="shared" si="25"/>
        <v>0</v>
      </c>
      <c r="AP44" s="75">
        <f t="shared" si="25"/>
        <v>0</v>
      </c>
      <c r="AQ44" s="75">
        <f t="shared" si="25"/>
        <v>0</v>
      </c>
      <c r="AR44" s="76">
        <f t="shared" si="25"/>
        <v>0</v>
      </c>
    </row>
    <row r="45" spans="1:44" x14ac:dyDescent="0.25">
      <c r="C45" s="77" t="s">
        <v>32</v>
      </c>
      <c r="D45" s="78">
        <f>SUM(D43:D44)</f>
        <v>-1163750</v>
      </c>
      <c r="E45" s="79">
        <f t="shared" ref="E45:AR45" si="26">SUM(E43:E44)</f>
        <v>9666.3473121339775</v>
      </c>
      <c r="F45" s="79">
        <f t="shared" si="26"/>
        <v>9666.3473121339775</v>
      </c>
      <c r="G45" s="79">
        <f t="shared" si="26"/>
        <v>9666.3473121339775</v>
      </c>
      <c r="H45" s="79">
        <f t="shared" si="26"/>
        <v>9666.3473121339775</v>
      </c>
      <c r="I45" s="79">
        <f t="shared" si="26"/>
        <v>11744.472312133978</v>
      </c>
      <c r="J45" s="79">
        <f t="shared" si="26"/>
        <v>11744.472312133978</v>
      </c>
      <c r="K45" s="79">
        <f t="shared" si="26"/>
        <v>11744.472312133978</v>
      </c>
      <c r="L45" s="79">
        <f t="shared" si="26"/>
        <v>11744.472312133978</v>
      </c>
      <c r="M45" s="79">
        <f t="shared" si="26"/>
        <v>13926.503562133978</v>
      </c>
      <c r="N45" s="79">
        <f t="shared" si="26"/>
        <v>13926.503562133978</v>
      </c>
      <c r="O45" s="79">
        <f t="shared" si="26"/>
        <v>13926.503562133978</v>
      </c>
      <c r="P45" s="79">
        <f t="shared" si="26"/>
        <v>13926.503562133978</v>
      </c>
      <c r="Q45" s="79">
        <f t="shared" si="26"/>
        <v>16217.636374633983</v>
      </c>
      <c r="R45" s="79">
        <f t="shared" si="26"/>
        <v>16217.636374633983</v>
      </c>
      <c r="S45" s="79">
        <f t="shared" si="26"/>
        <v>16217.636374633983</v>
      </c>
      <c r="T45" s="79">
        <f t="shared" si="26"/>
        <v>16217.636374633983</v>
      </c>
      <c r="U45" s="79">
        <f t="shared" si="26"/>
        <v>18623.325827758978</v>
      </c>
      <c r="V45" s="79">
        <f t="shared" si="26"/>
        <v>18623.325827758978</v>
      </c>
      <c r="W45" s="79">
        <f t="shared" si="26"/>
        <v>18623.325827758978</v>
      </c>
      <c r="X45" s="79">
        <f t="shared" si="26"/>
        <v>1559744.3907609088</v>
      </c>
      <c r="Y45" s="79">
        <f t="shared" si="26"/>
        <v>0</v>
      </c>
      <c r="Z45" s="79">
        <f t="shared" si="26"/>
        <v>0</v>
      </c>
      <c r="AA45" s="79">
        <f t="shared" si="26"/>
        <v>0</v>
      </c>
      <c r="AB45" s="79">
        <f t="shared" si="26"/>
        <v>0</v>
      </c>
      <c r="AC45" s="79">
        <f t="shared" si="26"/>
        <v>0</v>
      </c>
      <c r="AD45" s="79">
        <f t="shared" si="26"/>
        <v>0</v>
      </c>
      <c r="AE45" s="79">
        <f t="shared" si="26"/>
        <v>0</v>
      </c>
      <c r="AF45" s="79">
        <f t="shared" si="26"/>
        <v>0</v>
      </c>
      <c r="AG45" s="79">
        <f t="shared" si="26"/>
        <v>0</v>
      </c>
      <c r="AH45" s="79">
        <f t="shared" si="26"/>
        <v>0</v>
      </c>
      <c r="AI45" s="79">
        <f t="shared" si="26"/>
        <v>0</v>
      </c>
      <c r="AJ45" s="79">
        <f t="shared" si="26"/>
        <v>0</v>
      </c>
      <c r="AK45" s="79">
        <f t="shared" si="26"/>
        <v>0</v>
      </c>
      <c r="AL45" s="79">
        <f t="shared" si="26"/>
        <v>0</v>
      </c>
      <c r="AM45" s="79">
        <f t="shared" si="26"/>
        <v>0</v>
      </c>
      <c r="AN45" s="79">
        <f t="shared" si="26"/>
        <v>0</v>
      </c>
      <c r="AO45" s="79">
        <f t="shared" si="26"/>
        <v>0</v>
      </c>
      <c r="AP45" s="79">
        <f t="shared" si="26"/>
        <v>0</v>
      </c>
      <c r="AQ45" s="79">
        <f t="shared" si="26"/>
        <v>0</v>
      </c>
      <c r="AR45" s="80">
        <f t="shared" si="26"/>
        <v>0</v>
      </c>
    </row>
    <row r="46" spans="1:44" x14ac:dyDescent="0.25">
      <c r="C46" s="11" t="s">
        <v>4</v>
      </c>
      <c r="D46" s="13">
        <f>XIRR(D45:AR45,$D$11:$AR$11)</f>
        <v>0.1013444721698761</v>
      </c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</row>
    <row r="47" spans="1:44" x14ac:dyDescent="0.25">
      <c r="C47" s="22" t="s">
        <v>5</v>
      </c>
      <c r="D47" s="105">
        <f>SUMIF(D45:AR45,"&gt;"&amp;0,D45:AR45)/-SUMIF(D45:AR45,"&lt;"&amp;0,D45:AR45)</f>
        <v>1.5654858917192949</v>
      </c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4" x14ac:dyDescent="0.25">
      <c r="C48" s="81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</row>
    <row r="49" spans="3:44" x14ac:dyDescent="0.25">
      <c r="C49" s="18" t="s">
        <v>33</v>
      </c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</row>
    <row r="50" spans="3:44" x14ac:dyDescent="0.25">
      <c r="C50" s="28" t="s">
        <v>30</v>
      </c>
      <c r="D50" s="70">
        <f>D17</f>
        <v>-61250</v>
      </c>
      <c r="E50" s="71">
        <f t="shared" ref="E50:AR50" si="27">E17</f>
        <v>0</v>
      </c>
      <c r="F50" s="71">
        <f t="shared" si="27"/>
        <v>0</v>
      </c>
      <c r="G50" s="71">
        <f t="shared" si="27"/>
        <v>0</v>
      </c>
      <c r="H50" s="71">
        <f t="shared" si="27"/>
        <v>0</v>
      </c>
      <c r="I50" s="71">
        <f t="shared" si="27"/>
        <v>0</v>
      </c>
      <c r="J50" s="71">
        <f t="shared" si="27"/>
        <v>0</v>
      </c>
      <c r="K50" s="71">
        <f t="shared" si="27"/>
        <v>0</v>
      </c>
      <c r="L50" s="71">
        <f t="shared" si="27"/>
        <v>0</v>
      </c>
      <c r="M50" s="71">
        <f t="shared" si="27"/>
        <v>0</v>
      </c>
      <c r="N50" s="71">
        <f t="shared" si="27"/>
        <v>0</v>
      </c>
      <c r="O50" s="71">
        <f t="shared" si="27"/>
        <v>0</v>
      </c>
      <c r="P50" s="71">
        <f t="shared" si="27"/>
        <v>0</v>
      </c>
      <c r="Q50" s="71">
        <f t="shared" si="27"/>
        <v>0</v>
      </c>
      <c r="R50" s="71">
        <f t="shared" si="27"/>
        <v>0</v>
      </c>
      <c r="S50" s="71">
        <f t="shared" si="27"/>
        <v>0</v>
      </c>
      <c r="T50" s="71">
        <f t="shared" si="27"/>
        <v>0</v>
      </c>
      <c r="U50" s="71">
        <f t="shared" si="27"/>
        <v>0</v>
      </c>
      <c r="V50" s="71">
        <f t="shared" si="27"/>
        <v>0</v>
      </c>
      <c r="W50" s="71">
        <f t="shared" si="27"/>
        <v>0</v>
      </c>
      <c r="X50" s="71">
        <f t="shared" si="27"/>
        <v>0</v>
      </c>
      <c r="Y50" s="71">
        <f t="shared" si="27"/>
        <v>0</v>
      </c>
      <c r="Z50" s="71">
        <f t="shared" si="27"/>
        <v>0</v>
      </c>
      <c r="AA50" s="71">
        <f t="shared" si="27"/>
        <v>0</v>
      </c>
      <c r="AB50" s="71">
        <f t="shared" si="27"/>
        <v>0</v>
      </c>
      <c r="AC50" s="71">
        <f t="shared" si="27"/>
        <v>0</v>
      </c>
      <c r="AD50" s="71">
        <f t="shared" si="27"/>
        <v>0</v>
      </c>
      <c r="AE50" s="71">
        <f t="shared" si="27"/>
        <v>0</v>
      </c>
      <c r="AF50" s="71">
        <f t="shared" si="27"/>
        <v>0</v>
      </c>
      <c r="AG50" s="71">
        <f t="shared" si="27"/>
        <v>0</v>
      </c>
      <c r="AH50" s="71">
        <f t="shared" si="27"/>
        <v>0</v>
      </c>
      <c r="AI50" s="71">
        <f t="shared" si="27"/>
        <v>0</v>
      </c>
      <c r="AJ50" s="71">
        <f t="shared" si="27"/>
        <v>0</v>
      </c>
      <c r="AK50" s="71">
        <f t="shared" si="27"/>
        <v>0</v>
      </c>
      <c r="AL50" s="71">
        <f t="shared" si="27"/>
        <v>0</v>
      </c>
      <c r="AM50" s="71">
        <f t="shared" si="27"/>
        <v>0</v>
      </c>
      <c r="AN50" s="71">
        <f t="shared" si="27"/>
        <v>0</v>
      </c>
      <c r="AO50" s="71">
        <f t="shared" si="27"/>
        <v>0</v>
      </c>
      <c r="AP50" s="71">
        <f t="shared" si="27"/>
        <v>0</v>
      </c>
      <c r="AQ50" s="71">
        <f t="shared" si="27"/>
        <v>0</v>
      </c>
      <c r="AR50" s="72">
        <f t="shared" si="27"/>
        <v>0</v>
      </c>
    </row>
    <row r="51" spans="3:44" x14ac:dyDescent="0.25">
      <c r="C51" s="73" t="s">
        <v>31</v>
      </c>
      <c r="D51" s="74">
        <f>D31+D38</f>
        <v>0</v>
      </c>
      <c r="E51" s="75">
        <f t="shared" ref="E51:AR51" si="28">E31+E38</f>
        <v>508.75512169126199</v>
      </c>
      <c r="F51" s="75">
        <f t="shared" si="28"/>
        <v>508.75512169126199</v>
      </c>
      <c r="G51" s="75">
        <f t="shared" si="28"/>
        <v>508.75512169126199</v>
      </c>
      <c r="H51" s="75">
        <f t="shared" si="28"/>
        <v>508.75512169126199</v>
      </c>
      <c r="I51" s="75">
        <f t="shared" si="28"/>
        <v>618.1301216912625</v>
      </c>
      <c r="J51" s="75">
        <f t="shared" si="28"/>
        <v>618.1301216912625</v>
      </c>
      <c r="K51" s="75">
        <f t="shared" si="28"/>
        <v>618.1301216912625</v>
      </c>
      <c r="L51" s="75">
        <f t="shared" si="28"/>
        <v>618.1301216912625</v>
      </c>
      <c r="M51" s="75">
        <f t="shared" si="28"/>
        <v>732.97387169126262</v>
      </c>
      <c r="N51" s="75">
        <f t="shared" si="28"/>
        <v>732.97387169126262</v>
      </c>
      <c r="O51" s="75">
        <f t="shared" si="28"/>
        <v>732.97387169126262</v>
      </c>
      <c r="P51" s="75">
        <f t="shared" si="28"/>
        <v>732.97387169126262</v>
      </c>
      <c r="Q51" s="75">
        <f t="shared" si="28"/>
        <v>853.55980919126239</v>
      </c>
      <c r="R51" s="75">
        <f t="shared" si="28"/>
        <v>853.55980919126239</v>
      </c>
      <c r="S51" s="75">
        <f t="shared" si="28"/>
        <v>853.55980919126239</v>
      </c>
      <c r="T51" s="75">
        <f t="shared" si="28"/>
        <v>853.55980919126239</v>
      </c>
      <c r="U51" s="75">
        <f t="shared" si="28"/>
        <v>980.17504356626205</v>
      </c>
      <c r="V51" s="75">
        <f t="shared" si="28"/>
        <v>980.17504356626205</v>
      </c>
      <c r="W51" s="75">
        <f t="shared" si="28"/>
        <v>980.17504356626205</v>
      </c>
      <c r="X51" s="75">
        <f t="shared" si="28"/>
        <v>116471.90319267777</v>
      </c>
      <c r="Y51" s="75">
        <f t="shared" si="28"/>
        <v>0</v>
      </c>
      <c r="Z51" s="75">
        <f t="shared" si="28"/>
        <v>0</v>
      </c>
      <c r="AA51" s="75">
        <f t="shared" si="28"/>
        <v>0</v>
      </c>
      <c r="AB51" s="75">
        <f t="shared" si="28"/>
        <v>0</v>
      </c>
      <c r="AC51" s="75">
        <f t="shared" si="28"/>
        <v>0</v>
      </c>
      <c r="AD51" s="75">
        <f t="shared" si="28"/>
        <v>0</v>
      </c>
      <c r="AE51" s="75">
        <f t="shared" si="28"/>
        <v>0</v>
      </c>
      <c r="AF51" s="75">
        <f t="shared" si="28"/>
        <v>0</v>
      </c>
      <c r="AG51" s="75">
        <f t="shared" si="28"/>
        <v>0</v>
      </c>
      <c r="AH51" s="75">
        <f t="shared" si="28"/>
        <v>0</v>
      </c>
      <c r="AI51" s="75">
        <f t="shared" si="28"/>
        <v>0</v>
      </c>
      <c r="AJ51" s="75">
        <f t="shared" si="28"/>
        <v>0</v>
      </c>
      <c r="AK51" s="75">
        <f t="shared" si="28"/>
        <v>0</v>
      </c>
      <c r="AL51" s="75">
        <f t="shared" si="28"/>
        <v>0</v>
      </c>
      <c r="AM51" s="75">
        <f t="shared" si="28"/>
        <v>0</v>
      </c>
      <c r="AN51" s="75">
        <f t="shared" si="28"/>
        <v>0</v>
      </c>
      <c r="AO51" s="75">
        <f t="shared" si="28"/>
        <v>0</v>
      </c>
      <c r="AP51" s="75">
        <f t="shared" si="28"/>
        <v>0</v>
      </c>
      <c r="AQ51" s="75">
        <f t="shared" si="28"/>
        <v>0</v>
      </c>
      <c r="AR51" s="76">
        <f t="shared" si="28"/>
        <v>0</v>
      </c>
    </row>
    <row r="52" spans="3:44" x14ac:dyDescent="0.25">
      <c r="C52" s="77" t="s">
        <v>34</v>
      </c>
      <c r="D52" s="78">
        <f>SUM(D50:D51)</f>
        <v>-61250</v>
      </c>
      <c r="E52" s="79">
        <f t="shared" ref="E52" si="29">SUM(E50:E51)</f>
        <v>508.75512169126199</v>
      </c>
      <c r="F52" s="79">
        <f t="shared" ref="F52" si="30">SUM(F50:F51)</f>
        <v>508.75512169126199</v>
      </c>
      <c r="G52" s="79">
        <f t="shared" ref="G52" si="31">SUM(G50:G51)</f>
        <v>508.75512169126199</v>
      </c>
      <c r="H52" s="79">
        <f t="shared" ref="H52" si="32">SUM(H50:H51)</f>
        <v>508.75512169126199</v>
      </c>
      <c r="I52" s="79">
        <f t="shared" ref="I52" si="33">SUM(I50:I51)</f>
        <v>618.1301216912625</v>
      </c>
      <c r="J52" s="79">
        <f t="shared" ref="J52" si="34">SUM(J50:J51)</f>
        <v>618.1301216912625</v>
      </c>
      <c r="K52" s="79">
        <f t="shared" ref="K52" si="35">SUM(K50:K51)</f>
        <v>618.1301216912625</v>
      </c>
      <c r="L52" s="79">
        <f t="shared" ref="L52" si="36">SUM(L50:L51)</f>
        <v>618.1301216912625</v>
      </c>
      <c r="M52" s="79">
        <f t="shared" ref="M52" si="37">SUM(M50:M51)</f>
        <v>732.97387169126262</v>
      </c>
      <c r="N52" s="79">
        <f t="shared" ref="N52" si="38">SUM(N50:N51)</f>
        <v>732.97387169126262</v>
      </c>
      <c r="O52" s="79">
        <f t="shared" ref="O52" si="39">SUM(O50:O51)</f>
        <v>732.97387169126262</v>
      </c>
      <c r="P52" s="79">
        <f t="shared" ref="P52" si="40">SUM(P50:P51)</f>
        <v>732.97387169126262</v>
      </c>
      <c r="Q52" s="79">
        <f t="shared" ref="Q52" si="41">SUM(Q50:Q51)</f>
        <v>853.55980919126239</v>
      </c>
      <c r="R52" s="79">
        <f t="shared" ref="R52" si="42">SUM(R50:R51)</f>
        <v>853.55980919126239</v>
      </c>
      <c r="S52" s="79">
        <f t="shared" ref="S52" si="43">SUM(S50:S51)</f>
        <v>853.55980919126239</v>
      </c>
      <c r="T52" s="79">
        <f t="shared" ref="T52" si="44">SUM(T50:T51)</f>
        <v>853.55980919126239</v>
      </c>
      <c r="U52" s="79">
        <f t="shared" ref="U52" si="45">SUM(U50:U51)</f>
        <v>980.17504356626205</v>
      </c>
      <c r="V52" s="79">
        <f t="shared" ref="V52" si="46">SUM(V50:V51)</f>
        <v>980.17504356626205</v>
      </c>
      <c r="W52" s="79">
        <f t="shared" ref="W52" si="47">SUM(W50:W51)</f>
        <v>980.17504356626205</v>
      </c>
      <c r="X52" s="79">
        <f t="shared" ref="X52" si="48">SUM(X50:X51)</f>
        <v>116471.90319267777</v>
      </c>
      <c r="Y52" s="79">
        <f t="shared" ref="Y52" si="49">SUM(Y50:Y51)</f>
        <v>0</v>
      </c>
      <c r="Z52" s="79">
        <f t="shared" ref="Z52" si="50">SUM(Z50:Z51)</f>
        <v>0</v>
      </c>
      <c r="AA52" s="79">
        <f t="shared" ref="AA52" si="51">SUM(AA50:AA51)</f>
        <v>0</v>
      </c>
      <c r="AB52" s="79">
        <f t="shared" ref="AB52" si="52">SUM(AB50:AB51)</f>
        <v>0</v>
      </c>
      <c r="AC52" s="79">
        <f t="shared" ref="AC52" si="53">SUM(AC50:AC51)</f>
        <v>0</v>
      </c>
      <c r="AD52" s="79">
        <f t="shared" ref="AD52" si="54">SUM(AD50:AD51)</f>
        <v>0</v>
      </c>
      <c r="AE52" s="79">
        <f t="shared" ref="AE52" si="55">SUM(AE50:AE51)</f>
        <v>0</v>
      </c>
      <c r="AF52" s="79">
        <f t="shared" ref="AF52" si="56">SUM(AF50:AF51)</f>
        <v>0</v>
      </c>
      <c r="AG52" s="79">
        <f t="shared" ref="AG52" si="57">SUM(AG50:AG51)</f>
        <v>0</v>
      </c>
      <c r="AH52" s="79">
        <f t="shared" ref="AH52" si="58">SUM(AH50:AH51)</f>
        <v>0</v>
      </c>
      <c r="AI52" s="79">
        <f t="shared" ref="AI52" si="59">SUM(AI50:AI51)</f>
        <v>0</v>
      </c>
      <c r="AJ52" s="79">
        <f t="shared" ref="AJ52" si="60">SUM(AJ50:AJ51)</f>
        <v>0</v>
      </c>
      <c r="AK52" s="79">
        <f t="shared" ref="AK52" si="61">SUM(AK50:AK51)</f>
        <v>0</v>
      </c>
      <c r="AL52" s="79">
        <f t="shared" ref="AL52" si="62">SUM(AL50:AL51)</f>
        <v>0</v>
      </c>
      <c r="AM52" s="79">
        <f t="shared" ref="AM52" si="63">SUM(AM50:AM51)</f>
        <v>0</v>
      </c>
      <c r="AN52" s="79">
        <f t="shared" ref="AN52" si="64">SUM(AN50:AN51)</f>
        <v>0</v>
      </c>
      <c r="AO52" s="79">
        <f t="shared" ref="AO52" si="65">SUM(AO50:AO51)</f>
        <v>0</v>
      </c>
      <c r="AP52" s="79">
        <f t="shared" ref="AP52" si="66">SUM(AP50:AP51)</f>
        <v>0</v>
      </c>
      <c r="AQ52" s="79">
        <f t="shared" ref="AQ52" si="67">SUM(AQ50:AQ51)</f>
        <v>0</v>
      </c>
      <c r="AR52" s="80">
        <f t="shared" ref="AR52" si="68">SUM(AR50:AR51)</f>
        <v>0</v>
      </c>
    </row>
    <row r="53" spans="3:44" x14ac:dyDescent="0.25">
      <c r="C53" s="11" t="s">
        <v>6</v>
      </c>
      <c r="D53" s="13">
        <f>XIRR(D52:AR52,$D$11:$AR$11)</f>
        <v>0.17374798655509954</v>
      </c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</row>
    <row r="54" spans="3:44" x14ac:dyDescent="0.25">
      <c r="C54" s="22" t="s">
        <v>7</v>
      </c>
      <c r="D54" s="105">
        <f>SUMIF(D52:AR52,"&gt;"&amp;0,D52:AR52)/-SUMIF(D52:AR52,"&lt;"&amp;0,D52:AR52)</f>
        <v>2.1267935350275389</v>
      </c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</row>
    <row r="55" spans="3:44" x14ac:dyDescent="0.25">
      <c r="C55" s="81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</row>
    <row r="56" spans="3:44" x14ac:dyDescent="0.25">
      <c r="C56" s="18" t="s">
        <v>8</v>
      </c>
      <c r="D56" s="8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</row>
    <row r="57" spans="3:44" x14ac:dyDescent="0.25">
      <c r="C57" s="77" t="s">
        <v>35</v>
      </c>
      <c r="D57" s="102">
        <f>SUM(D39:AR39)*E7</f>
        <v>34380.093152629939</v>
      </c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</row>
    <row r="58" spans="3:44" x14ac:dyDescent="0.25"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</row>
    <row r="59" spans="3:44" x14ac:dyDescent="0.25"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</row>
    <row r="60" spans="3:44" x14ac:dyDescent="0.25"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</row>
    <row r="61" spans="3:44" x14ac:dyDescent="0.25"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</row>
    <row r="62" spans="3:44" x14ac:dyDescent="0.25"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</row>
    <row r="63" spans="3:44" x14ac:dyDescent="0.25"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</row>
  </sheetData>
  <sheetProtection algorithmName="SHA-512" hashValue="tCcIZtGnhGp76MCyFKxJDXV8ie4N4wcJ/uFRxbL/1+IZNJXaCy0ygyp7sJz6VhALYsqvGhgusGbXfE/dQsAJMA==" saltValue="LQkh9TLEZOXXtQPoSBWerw==" spinCount="100000" sheet="1" objects="1" scenarios="1"/>
  <conditionalFormatting sqref="B28">
    <cfRule type="expression" dxfId="9" priority="7">
      <formula>$B$28&lt;$D$5</formula>
    </cfRule>
    <cfRule type="expression" dxfId="8" priority="8">
      <formula>$B$28&gt;=$D$5</formula>
    </cfRule>
  </conditionalFormatting>
  <conditionalFormatting sqref="A28">
    <cfRule type="expression" dxfId="7" priority="5">
      <formula>$A$28&lt;$D$6</formula>
    </cfRule>
    <cfRule type="expression" dxfId="6" priority="6">
      <formula>$A$28&gt;=$D$6</formula>
    </cfRule>
  </conditionalFormatting>
  <conditionalFormatting sqref="B32">
    <cfRule type="expression" dxfId="5" priority="3">
      <formula>$B$32&lt;$D$5</formula>
    </cfRule>
    <cfRule type="expression" dxfId="4" priority="4">
      <formula>$B$32&gt;=$D$5</formula>
    </cfRule>
  </conditionalFormatting>
  <conditionalFormatting sqref="A32">
    <cfRule type="expression" dxfId="3" priority="1">
      <formula>$A$32&lt;$D$6</formula>
    </cfRule>
    <cfRule type="expression" dxfId="2" priority="2">
      <formula>$A$32&gt;=$D$6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67EB-FFE4-42AE-B8C0-5B7F44CF725D}">
  <dimension ref="A1:BA68"/>
  <sheetViews>
    <sheetView showGridLines="0" zoomScaleNormal="100" workbookViewId="0">
      <selection activeCell="J25" sqref="J25"/>
    </sheetView>
  </sheetViews>
  <sheetFormatPr defaultColWidth="8.85546875" defaultRowHeight="13.5" x14ac:dyDescent="0.25"/>
  <cols>
    <col min="1" max="1" width="15.28515625" style="10" bestFit="1" customWidth="1"/>
    <col min="2" max="2" width="25.85546875" style="10" bestFit="1" customWidth="1"/>
    <col min="3" max="3" width="13.85546875" style="10" bestFit="1" customWidth="1"/>
    <col min="4" max="4" width="13.5703125" style="10" bestFit="1" customWidth="1"/>
    <col min="5" max="5" width="13.7109375" style="10" bestFit="1" customWidth="1"/>
    <col min="6" max="6" width="20.42578125" style="10" bestFit="1" customWidth="1"/>
    <col min="7" max="8" width="12.28515625" style="10" bestFit="1" customWidth="1"/>
    <col min="9" max="9" width="13.7109375" style="10" bestFit="1" customWidth="1"/>
    <col min="10" max="11" width="12.28515625" style="10" bestFit="1" customWidth="1"/>
    <col min="12" max="12" width="18.7109375" style="10" bestFit="1" customWidth="1"/>
    <col min="13" max="13" width="13.7109375" style="10" bestFit="1" customWidth="1"/>
    <col min="14" max="14" width="12.28515625" style="10" bestFit="1" customWidth="1"/>
    <col min="15" max="15" width="22.5703125" style="10" bestFit="1" customWidth="1"/>
    <col min="16" max="16" width="12.28515625" style="10" bestFit="1" customWidth="1"/>
    <col min="17" max="17" width="13.7109375" style="10" bestFit="1" customWidth="1"/>
    <col min="18" max="20" width="12.28515625" style="10" bestFit="1" customWidth="1"/>
    <col min="21" max="21" width="13.7109375" style="10" bestFit="1" customWidth="1"/>
    <col min="22" max="24" width="12.28515625" style="10" bestFit="1" customWidth="1"/>
    <col min="25" max="25" width="13.7109375" style="10" bestFit="1" customWidth="1"/>
    <col min="26" max="28" width="12.28515625" style="10" bestFit="1" customWidth="1"/>
    <col min="29" max="29" width="13.7109375" style="10" bestFit="1" customWidth="1"/>
    <col min="30" max="32" width="12.28515625" style="10" bestFit="1" customWidth="1"/>
    <col min="33" max="33" width="13.7109375" style="10" bestFit="1" customWidth="1"/>
    <col min="34" max="36" width="12.28515625" style="10" bestFit="1" customWidth="1"/>
    <col min="37" max="37" width="13.7109375" style="10" bestFit="1" customWidth="1"/>
    <col min="38" max="40" width="12.28515625" style="10" bestFit="1" customWidth="1"/>
    <col min="41" max="41" width="13.7109375" style="10" bestFit="1" customWidth="1"/>
    <col min="42" max="43" width="12.28515625" style="10" bestFit="1" customWidth="1"/>
    <col min="44" max="44" width="6.42578125" style="10" bestFit="1" customWidth="1"/>
    <col min="45" max="46" width="9" style="10" bestFit="1" customWidth="1"/>
    <col min="47" max="47" width="11.7109375" style="10" bestFit="1" customWidth="1"/>
    <col min="48" max="48" width="9.85546875" style="10" bestFit="1" customWidth="1"/>
    <col min="49" max="49" width="4" style="10" bestFit="1" customWidth="1"/>
    <col min="50" max="50" width="9" style="10" bestFit="1" customWidth="1"/>
    <col min="51" max="51" width="6.42578125" style="10" bestFit="1" customWidth="1"/>
    <col min="52" max="16384" width="8.85546875" style="10"/>
  </cols>
  <sheetData>
    <row r="1" spans="1:53" x14ac:dyDescent="0.25">
      <c r="B1" s="11" t="s">
        <v>0</v>
      </c>
      <c r="C1" s="103">
        <v>0.05</v>
      </c>
      <c r="F1" s="11" t="s">
        <v>2</v>
      </c>
      <c r="G1" s="13">
        <f>XIRR(C13:AQ13,C10:AQ10)</f>
        <v>0.20863251090049748</v>
      </c>
      <c r="I1" s="11" t="s">
        <v>4</v>
      </c>
      <c r="J1" s="13">
        <f>C49</f>
        <v>0.16697683930397034</v>
      </c>
      <c r="K1" s="16"/>
      <c r="L1" s="14" t="s">
        <v>43</v>
      </c>
      <c r="M1" s="15">
        <v>3500000</v>
      </c>
      <c r="N1" s="16"/>
      <c r="O1" s="14" t="s">
        <v>58</v>
      </c>
      <c r="P1" s="17">
        <v>0.65</v>
      </c>
    </row>
    <row r="2" spans="1:53" x14ac:dyDescent="0.25">
      <c r="B2" s="22" t="s">
        <v>1</v>
      </c>
      <c r="C2" s="104">
        <f>1-C1</f>
        <v>0.95</v>
      </c>
      <c r="F2" s="22" t="s">
        <v>3</v>
      </c>
      <c r="G2" s="105">
        <f>SUMIF(C13:AQ13,"&gt;"&amp;0,C13:AQ13)/-SUMIF(C13:AQ13,"&lt;"&amp;0,C13:AQ13)</f>
        <v>2.3591795774561364</v>
      </c>
      <c r="I2" s="22" t="s">
        <v>5</v>
      </c>
      <c r="J2" s="105">
        <f>C50</f>
        <v>1.9866775389104305</v>
      </c>
      <c r="K2" s="16"/>
      <c r="L2" s="14" t="s">
        <v>44</v>
      </c>
      <c r="M2" s="106">
        <v>0.06</v>
      </c>
      <c r="N2" s="16"/>
      <c r="O2" s="14" t="s">
        <v>61</v>
      </c>
      <c r="P2" s="107">
        <f>P1*M1</f>
        <v>2275000</v>
      </c>
    </row>
    <row r="3" spans="1:53" x14ac:dyDescent="0.25">
      <c r="K3" s="16"/>
      <c r="L3" s="14" t="s">
        <v>45</v>
      </c>
      <c r="M3" s="106">
        <v>0.05</v>
      </c>
      <c r="N3" s="133"/>
      <c r="O3" s="14" t="s">
        <v>59</v>
      </c>
      <c r="P3" s="106">
        <v>4.2500000000000003E-2</v>
      </c>
      <c r="S3" s="134"/>
    </row>
    <row r="4" spans="1:53" x14ac:dyDescent="0.25">
      <c r="B4" s="135" t="s">
        <v>9</v>
      </c>
      <c r="C4" s="65" t="s">
        <v>12</v>
      </c>
      <c r="D4" s="66" t="s">
        <v>13</v>
      </c>
      <c r="F4" s="11" t="s">
        <v>10</v>
      </c>
      <c r="G4" s="136">
        <v>0.08</v>
      </c>
      <c r="I4" s="11" t="s">
        <v>6</v>
      </c>
      <c r="J4" s="13">
        <f>C56</f>
        <v>0.56585221886634829</v>
      </c>
      <c r="K4" s="16"/>
      <c r="L4" s="14" t="s">
        <v>47</v>
      </c>
      <c r="M4" s="108">
        <v>5</v>
      </c>
      <c r="O4" s="14" t="s">
        <v>60</v>
      </c>
      <c r="P4" s="109">
        <v>360</v>
      </c>
      <c r="R4" s="81"/>
      <c r="S4" s="137"/>
    </row>
    <row r="5" spans="1:53" x14ac:dyDescent="0.25">
      <c r="B5" s="28" t="s">
        <v>55</v>
      </c>
      <c r="C5" s="115">
        <v>0</v>
      </c>
      <c r="D5" s="138">
        <f>1-C5</f>
        <v>1</v>
      </c>
      <c r="F5" s="22" t="s">
        <v>40</v>
      </c>
      <c r="G5" s="139">
        <v>0.2</v>
      </c>
      <c r="I5" s="24" t="s">
        <v>7</v>
      </c>
      <c r="J5" s="25">
        <f>C57</f>
        <v>9.4367183098245455</v>
      </c>
      <c r="K5" s="16"/>
      <c r="L5" s="14" t="s">
        <v>46</v>
      </c>
      <c r="M5" s="106">
        <v>0.06</v>
      </c>
      <c r="N5" s="16"/>
      <c r="O5" s="14" t="s">
        <v>62</v>
      </c>
      <c r="P5" s="107">
        <f>PMT(P3/12,P4,-P2,,0)</f>
        <v>11191.632522058253</v>
      </c>
      <c r="S5" s="140"/>
    </row>
    <row r="6" spans="1:53" x14ac:dyDescent="0.25">
      <c r="B6" s="73" t="s">
        <v>38</v>
      </c>
      <c r="C6" s="115">
        <v>0.5</v>
      </c>
      <c r="D6" s="138">
        <f t="shared" ref="D6:D7" si="0">1-C6</f>
        <v>0.5</v>
      </c>
      <c r="I6" s="22" t="s">
        <v>8</v>
      </c>
      <c r="J6" s="58">
        <f>C62</f>
        <v>514470.10853869421</v>
      </c>
      <c r="L6" s="141"/>
      <c r="M6" s="142"/>
      <c r="O6" s="46" t="s">
        <v>63</v>
      </c>
      <c r="P6" s="118">
        <f>P2+CUMPRINC(P3/12,P4,P2,1,M4*12,0)</f>
        <v>2065875.097542739</v>
      </c>
    </row>
    <row r="7" spans="1:53" x14ac:dyDescent="0.25">
      <c r="B7" s="55" t="s">
        <v>42</v>
      </c>
      <c r="C7" s="56">
        <v>0.2</v>
      </c>
      <c r="D7" s="57">
        <f t="shared" si="0"/>
        <v>0.8</v>
      </c>
      <c r="F7" s="143"/>
    </row>
    <row r="8" spans="1:53" x14ac:dyDescent="0.25">
      <c r="B8" s="81"/>
      <c r="C8" s="144"/>
      <c r="D8" s="144"/>
      <c r="E8" s="143"/>
      <c r="F8" s="143"/>
      <c r="J8" s="145"/>
    </row>
    <row r="9" spans="1:53" x14ac:dyDescent="0.25">
      <c r="B9" s="63" t="s">
        <v>36</v>
      </c>
      <c r="C9" s="64">
        <v>0</v>
      </c>
      <c r="D9" s="65">
        <v>1</v>
      </c>
      <c r="E9" s="65">
        <v>1</v>
      </c>
      <c r="F9" s="65">
        <v>1</v>
      </c>
      <c r="G9" s="65">
        <v>1</v>
      </c>
      <c r="H9" s="65">
        <f>D9+1</f>
        <v>2</v>
      </c>
      <c r="I9" s="65">
        <f t="shared" ref="I9:AQ9" si="1">E9+1</f>
        <v>2</v>
      </c>
      <c r="J9" s="65">
        <f t="shared" si="1"/>
        <v>2</v>
      </c>
      <c r="K9" s="65">
        <f t="shared" si="1"/>
        <v>2</v>
      </c>
      <c r="L9" s="65">
        <f t="shared" si="1"/>
        <v>3</v>
      </c>
      <c r="M9" s="65">
        <f t="shared" si="1"/>
        <v>3</v>
      </c>
      <c r="N9" s="65">
        <f t="shared" si="1"/>
        <v>3</v>
      </c>
      <c r="O9" s="65">
        <f t="shared" si="1"/>
        <v>3</v>
      </c>
      <c r="P9" s="65">
        <f t="shared" si="1"/>
        <v>4</v>
      </c>
      <c r="Q9" s="65">
        <f t="shared" si="1"/>
        <v>4</v>
      </c>
      <c r="R9" s="65">
        <f t="shared" si="1"/>
        <v>4</v>
      </c>
      <c r="S9" s="65">
        <f t="shared" si="1"/>
        <v>4</v>
      </c>
      <c r="T9" s="65">
        <f t="shared" si="1"/>
        <v>5</v>
      </c>
      <c r="U9" s="65">
        <f t="shared" si="1"/>
        <v>5</v>
      </c>
      <c r="V9" s="65">
        <f t="shared" si="1"/>
        <v>5</v>
      </c>
      <c r="W9" s="65">
        <f t="shared" si="1"/>
        <v>5</v>
      </c>
      <c r="X9" s="65">
        <f t="shared" si="1"/>
        <v>6</v>
      </c>
      <c r="Y9" s="65">
        <f t="shared" si="1"/>
        <v>6</v>
      </c>
      <c r="Z9" s="65">
        <f t="shared" si="1"/>
        <v>6</v>
      </c>
      <c r="AA9" s="65">
        <f t="shared" si="1"/>
        <v>6</v>
      </c>
      <c r="AB9" s="65">
        <f t="shared" si="1"/>
        <v>7</v>
      </c>
      <c r="AC9" s="65">
        <f t="shared" si="1"/>
        <v>7</v>
      </c>
      <c r="AD9" s="65">
        <f t="shared" si="1"/>
        <v>7</v>
      </c>
      <c r="AE9" s="65">
        <f t="shared" si="1"/>
        <v>7</v>
      </c>
      <c r="AF9" s="65">
        <f t="shared" si="1"/>
        <v>8</v>
      </c>
      <c r="AG9" s="65">
        <f t="shared" si="1"/>
        <v>8</v>
      </c>
      <c r="AH9" s="65">
        <f t="shared" si="1"/>
        <v>8</v>
      </c>
      <c r="AI9" s="65">
        <f t="shared" si="1"/>
        <v>8</v>
      </c>
      <c r="AJ9" s="65">
        <f t="shared" si="1"/>
        <v>9</v>
      </c>
      <c r="AK9" s="65">
        <f t="shared" si="1"/>
        <v>9</v>
      </c>
      <c r="AL9" s="65">
        <f t="shared" si="1"/>
        <v>9</v>
      </c>
      <c r="AM9" s="65">
        <f t="shared" si="1"/>
        <v>9</v>
      </c>
      <c r="AN9" s="65">
        <f t="shared" si="1"/>
        <v>10</v>
      </c>
      <c r="AO9" s="65">
        <f t="shared" si="1"/>
        <v>10</v>
      </c>
      <c r="AP9" s="65">
        <f t="shared" si="1"/>
        <v>10</v>
      </c>
      <c r="AQ9" s="66">
        <f t="shared" si="1"/>
        <v>10</v>
      </c>
      <c r="AR9" s="122"/>
      <c r="AS9" s="122"/>
      <c r="AT9" s="122"/>
      <c r="AU9" s="122"/>
      <c r="AV9" s="122"/>
      <c r="AW9" s="122"/>
      <c r="AX9" s="122"/>
      <c r="AY9" s="122"/>
      <c r="AZ9" s="122"/>
      <c r="BA9" s="122"/>
    </row>
    <row r="10" spans="1:53" x14ac:dyDescent="0.25">
      <c r="B10" s="67" t="s">
        <v>14</v>
      </c>
      <c r="C10" s="68">
        <v>43646</v>
      </c>
      <c r="D10" s="68">
        <f>EOMONTH(C10,3)</f>
        <v>43738</v>
      </c>
      <c r="E10" s="68">
        <f t="shared" ref="E10:AQ10" si="2">EOMONTH(D10,3)</f>
        <v>43830</v>
      </c>
      <c r="F10" s="68">
        <f t="shared" si="2"/>
        <v>43921</v>
      </c>
      <c r="G10" s="68">
        <f t="shared" si="2"/>
        <v>44012</v>
      </c>
      <c r="H10" s="68">
        <f t="shared" si="2"/>
        <v>44104</v>
      </c>
      <c r="I10" s="68">
        <f t="shared" si="2"/>
        <v>44196</v>
      </c>
      <c r="J10" s="68">
        <f t="shared" si="2"/>
        <v>44286</v>
      </c>
      <c r="K10" s="68">
        <f t="shared" si="2"/>
        <v>44377</v>
      </c>
      <c r="L10" s="68">
        <f t="shared" si="2"/>
        <v>44469</v>
      </c>
      <c r="M10" s="68">
        <f t="shared" si="2"/>
        <v>44561</v>
      </c>
      <c r="N10" s="68">
        <f t="shared" si="2"/>
        <v>44651</v>
      </c>
      <c r="O10" s="68">
        <f t="shared" si="2"/>
        <v>44742</v>
      </c>
      <c r="P10" s="68">
        <f t="shared" si="2"/>
        <v>44834</v>
      </c>
      <c r="Q10" s="68">
        <f t="shared" si="2"/>
        <v>44926</v>
      </c>
      <c r="R10" s="68">
        <f t="shared" si="2"/>
        <v>45016</v>
      </c>
      <c r="S10" s="68">
        <f t="shared" si="2"/>
        <v>45107</v>
      </c>
      <c r="T10" s="68">
        <f t="shared" si="2"/>
        <v>45199</v>
      </c>
      <c r="U10" s="68">
        <f t="shared" si="2"/>
        <v>45291</v>
      </c>
      <c r="V10" s="68">
        <f t="shared" si="2"/>
        <v>45382</v>
      </c>
      <c r="W10" s="68">
        <f t="shared" si="2"/>
        <v>45473</v>
      </c>
      <c r="X10" s="68">
        <f t="shared" si="2"/>
        <v>45565</v>
      </c>
      <c r="Y10" s="68">
        <f t="shared" si="2"/>
        <v>45657</v>
      </c>
      <c r="Z10" s="68">
        <f t="shared" si="2"/>
        <v>45747</v>
      </c>
      <c r="AA10" s="68">
        <f t="shared" si="2"/>
        <v>45838</v>
      </c>
      <c r="AB10" s="68">
        <f t="shared" si="2"/>
        <v>45930</v>
      </c>
      <c r="AC10" s="68">
        <f t="shared" si="2"/>
        <v>46022</v>
      </c>
      <c r="AD10" s="68">
        <f t="shared" si="2"/>
        <v>46112</v>
      </c>
      <c r="AE10" s="68">
        <f t="shared" si="2"/>
        <v>46203</v>
      </c>
      <c r="AF10" s="68">
        <f t="shared" si="2"/>
        <v>46295</v>
      </c>
      <c r="AG10" s="68">
        <f t="shared" si="2"/>
        <v>46387</v>
      </c>
      <c r="AH10" s="68">
        <f t="shared" si="2"/>
        <v>46477</v>
      </c>
      <c r="AI10" s="68">
        <f t="shared" si="2"/>
        <v>46568</v>
      </c>
      <c r="AJ10" s="68">
        <f t="shared" si="2"/>
        <v>46660</v>
      </c>
      <c r="AK10" s="68">
        <f t="shared" si="2"/>
        <v>46752</v>
      </c>
      <c r="AL10" s="68">
        <f t="shared" si="2"/>
        <v>46843</v>
      </c>
      <c r="AM10" s="68">
        <f t="shared" si="2"/>
        <v>46934</v>
      </c>
      <c r="AN10" s="68">
        <f t="shared" si="2"/>
        <v>47026</v>
      </c>
      <c r="AO10" s="68">
        <f t="shared" si="2"/>
        <v>47118</v>
      </c>
      <c r="AP10" s="68">
        <f t="shared" si="2"/>
        <v>47208</v>
      </c>
      <c r="AQ10" s="69">
        <f t="shared" si="2"/>
        <v>47299</v>
      </c>
    </row>
    <row r="11" spans="1:53" x14ac:dyDescent="0.25">
      <c r="B11" s="28" t="s">
        <v>53</v>
      </c>
      <c r="C11" s="70">
        <f>-(M1-P2)</f>
        <v>-1225000</v>
      </c>
      <c r="D11" s="71">
        <f>IF(D9&gt;$M$4,0,$M$1*$M$2*(1+$M$3)^(D9-1)/4-$P$5*3)</f>
        <v>18925.102433825239</v>
      </c>
      <c r="E11" s="71">
        <f t="shared" ref="E11:AQ11" si="3">IF(E9&gt;$M$4,0,$M$1*$M$2*(1+$M$3)^(E9-1)/4-$P$5*3)</f>
        <v>18925.102433825239</v>
      </c>
      <c r="F11" s="71">
        <f t="shared" si="3"/>
        <v>18925.102433825239</v>
      </c>
      <c r="G11" s="71">
        <f t="shared" si="3"/>
        <v>18925.102433825239</v>
      </c>
      <c r="H11" s="71">
        <f t="shared" si="3"/>
        <v>21550.102433825239</v>
      </c>
      <c r="I11" s="71">
        <f t="shared" si="3"/>
        <v>21550.102433825239</v>
      </c>
      <c r="J11" s="71">
        <f t="shared" si="3"/>
        <v>21550.102433825239</v>
      </c>
      <c r="K11" s="71">
        <f t="shared" si="3"/>
        <v>21550.102433825239</v>
      </c>
      <c r="L11" s="71">
        <f t="shared" si="3"/>
        <v>24306.352433825239</v>
      </c>
      <c r="M11" s="71">
        <f t="shared" si="3"/>
        <v>24306.352433825239</v>
      </c>
      <c r="N11" s="71">
        <f t="shared" si="3"/>
        <v>24306.352433825239</v>
      </c>
      <c r="O11" s="71">
        <f t="shared" si="3"/>
        <v>24306.352433825239</v>
      </c>
      <c r="P11" s="71">
        <f t="shared" si="3"/>
        <v>27200.414933825246</v>
      </c>
      <c r="Q11" s="71">
        <f t="shared" si="3"/>
        <v>27200.414933825246</v>
      </c>
      <c r="R11" s="71">
        <f t="shared" si="3"/>
        <v>27200.414933825246</v>
      </c>
      <c r="S11" s="71">
        <f t="shared" si="3"/>
        <v>27200.414933825246</v>
      </c>
      <c r="T11" s="71">
        <f t="shared" si="3"/>
        <v>30239.180558825239</v>
      </c>
      <c r="U11" s="71">
        <f t="shared" si="3"/>
        <v>30239.180558825239</v>
      </c>
      <c r="V11" s="71">
        <f t="shared" si="3"/>
        <v>30239.180558825239</v>
      </c>
      <c r="W11" s="71">
        <f t="shared" si="3"/>
        <v>30239.180558825239</v>
      </c>
      <c r="X11" s="71">
        <f t="shared" si="3"/>
        <v>0</v>
      </c>
      <c r="Y11" s="71">
        <f t="shared" si="3"/>
        <v>0</v>
      </c>
      <c r="Z11" s="71">
        <f t="shared" si="3"/>
        <v>0</v>
      </c>
      <c r="AA11" s="71">
        <f t="shared" si="3"/>
        <v>0</v>
      </c>
      <c r="AB11" s="71">
        <f t="shared" si="3"/>
        <v>0</v>
      </c>
      <c r="AC11" s="71">
        <f t="shared" si="3"/>
        <v>0</v>
      </c>
      <c r="AD11" s="71">
        <f t="shared" si="3"/>
        <v>0</v>
      </c>
      <c r="AE11" s="71">
        <f t="shared" si="3"/>
        <v>0</v>
      </c>
      <c r="AF11" s="71">
        <f t="shared" si="3"/>
        <v>0</v>
      </c>
      <c r="AG11" s="71">
        <f t="shared" si="3"/>
        <v>0</v>
      </c>
      <c r="AH11" s="71">
        <f t="shared" si="3"/>
        <v>0</v>
      </c>
      <c r="AI11" s="71">
        <f t="shared" si="3"/>
        <v>0</v>
      </c>
      <c r="AJ11" s="71">
        <f t="shared" si="3"/>
        <v>0</v>
      </c>
      <c r="AK11" s="71">
        <f t="shared" si="3"/>
        <v>0</v>
      </c>
      <c r="AL11" s="71">
        <f t="shared" si="3"/>
        <v>0</v>
      </c>
      <c r="AM11" s="71">
        <f t="shared" si="3"/>
        <v>0</v>
      </c>
      <c r="AN11" s="71">
        <f t="shared" si="3"/>
        <v>0</v>
      </c>
      <c r="AO11" s="71">
        <f t="shared" si="3"/>
        <v>0</v>
      </c>
      <c r="AP11" s="71">
        <f t="shared" si="3"/>
        <v>0</v>
      </c>
      <c r="AQ11" s="72">
        <f t="shared" si="3"/>
        <v>0</v>
      </c>
    </row>
    <row r="12" spans="1:53" x14ac:dyDescent="0.25">
      <c r="B12" s="73" t="s">
        <v>52</v>
      </c>
      <c r="C12" s="74">
        <v>0</v>
      </c>
      <c r="D12" s="75">
        <f>IF(AND(D9=$M$4,E9-D9&lt;&gt;0),$M$1*$M$2*(1+$M$3)^D9/$M$5-$P$6,0)</f>
        <v>0</v>
      </c>
      <c r="E12" s="75">
        <f t="shared" ref="E12:AQ12" si="4">IF(AND(E9=$M$4,F9-E9&lt;&gt;0),$M$1*$M$2*(1+$M$3)^E9/$M$5-$P$6,0)</f>
        <v>0</v>
      </c>
      <c r="F12" s="75">
        <f t="shared" si="4"/>
        <v>0</v>
      </c>
      <c r="G12" s="75">
        <f t="shared" si="4"/>
        <v>0</v>
      </c>
      <c r="H12" s="75">
        <f t="shared" si="4"/>
        <v>0</v>
      </c>
      <c r="I12" s="75">
        <f t="shared" si="4"/>
        <v>0</v>
      </c>
      <c r="J12" s="75">
        <f t="shared" si="4"/>
        <v>0</v>
      </c>
      <c r="K12" s="75">
        <f t="shared" si="4"/>
        <v>0</v>
      </c>
      <c r="L12" s="75">
        <f t="shared" si="4"/>
        <v>0</v>
      </c>
      <c r="M12" s="75">
        <f t="shared" si="4"/>
        <v>0</v>
      </c>
      <c r="N12" s="75">
        <f t="shared" si="4"/>
        <v>0</v>
      </c>
      <c r="O12" s="75">
        <f t="shared" si="4"/>
        <v>0</v>
      </c>
      <c r="P12" s="75">
        <f t="shared" si="4"/>
        <v>0</v>
      </c>
      <c r="Q12" s="75">
        <f t="shared" si="4"/>
        <v>0</v>
      </c>
      <c r="R12" s="75">
        <f t="shared" si="4"/>
        <v>0</v>
      </c>
      <c r="S12" s="75">
        <f t="shared" si="4"/>
        <v>0</v>
      </c>
      <c r="T12" s="75">
        <f t="shared" si="4"/>
        <v>0</v>
      </c>
      <c r="U12" s="75">
        <f t="shared" si="4"/>
        <v>0</v>
      </c>
      <c r="V12" s="75">
        <f t="shared" si="4"/>
        <v>0</v>
      </c>
      <c r="W12" s="75">
        <f t="shared" si="4"/>
        <v>2401110.3712072619</v>
      </c>
      <c r="X12" s="75">
        <f t="shared" si="4"/>
        <v>0</v>
      </c>
      <c r="Y12" s="75">
        <f t="shared" si="4"/>
        <v>0</v>
      </c>
      <c r="Z12" s="75">
        <f t="shared" si="4"/>
        <v>0</v>
      </c>
      <c r="AA12" s="75">
        <f t="shared" si="4"/>
        <v>0</v>
      </c>
      <c r="AB12" s="75">
        <f t="shared" si="4"/>
        <v>0</v>
      </c>
      <c r="AC12" s="75">
        <f t="shared" si="4"/>
        <v>0</v>
      </c>
      <c r="AD12" s="75">
        <f t="shared" si="4"/>
        <v>0</v>
      </c>
      <c r="AE12" s="75">
        <f t="shared" si="4"/>
        <v>0</v>
      </c>
      <c r="AF12" s="75">
        <f t="shared" si="4"/>
        <v>0</v>
      </c>
      <c r="AG12" s="75">
        <f t="shared" si="4"/>
        <v>0</v>
      </c>
      <c r="AH12" s="75">
        <f t="shared" si="4"/>
        <v>0</v>
      </c>
      <c r="AI12" s="75">
        <f t="shared" si="4"/>
        <v>0</v>
      </c>
      <c r="AJ12" s="75">
        <f t="shared" si="4"/>
        <v>0</v>
      </c>
      <c r="AK12" s="75">
        <f t="shared" si="4"/>
        <v>0</v>
      </c>
      <c r="AL12" s="75">
        <f t="shared" si="4"/>
        <v>0</v>
      </c>
      <c r="AM12" s="75">
        <f t="shared" si="4"/>
        <v>0</v>
      </c>
      <c r="AN12" s="75">
        <f t="shared" si="4"/>
        <v>0</v>
      </c>
      <c r="AO12" s="75">
        <f t="shared" si="4"/>
        <v>0</v>
      </c>
      <c r="AP12" s="75">
        <f t="shared" si="4"/>
        <v>0</v>
      </c>
      <c r="AQ12" s="76">
        <f t="shared" si="4"/>
        <v>0</v>
      </c>
    </row>
    <row r="13" spans="1:53" x14ac:dyDescent="0.25">
      <c r="A13" s="82"/>
      <c r="B13" s="77" t="s">
        <v>16</v>
      </c>
      <c r="C13" s="78">
        <f>SUM(C11:C12)</f>
        <v>-1225000</v>
      </c>
      <c r="D13" s="79">
        <f>SUM(D11:D12)</f>
        <v>18925.102433825239</v>
      </c>
      <c r="E13" s="79">
        <f t="shared" ref="E13:AQ13" si="5">SUM(E11:E12)</f>
        <v>18925.102433825239</v>
      </c>
      <c r="F13" s="79">
        <f t="shared" si="5"/>
        <v>18925.102433825239</v>
      </c>
      <c r="G13" s="79">
        <f t="shared" si="5"/>
        <v>18925.102433825239</v>
      </c>
      <c r="H13" s="79">
        <f t="shared" si="5"/>
        <v>21550.102433825239</v>
      </c>
      <c r="I13" s="79">
        <f t="shared" si="5"/>
        <v>21550.102433825239</v>
      </c>
      <c r="J13" s="79">
        <f t="shared" si="5"/>
        <v>21550.102433825239</v>
      </c>
      <c r="K13" s="79">
        <f t="shared" si="5"/>
        <v>21550.102433825239</v>
      </c>
      <c r="L13" s="79">
        <f t="shared" si="5"/>
        <v>24306.352433825239</v>
      </c>
      <c r="M13" s="79">
        <f t="shared" si="5"/>
        <v>24306.352433825239</v>
      </c>
      <c r="N13" s="79">
        <f t="shared" si="5"/>
        <v>24306.352433825239</v>
      </c>
      <c r="O13" s="79">
        <f t="shared" si="5"/>
        <v>24306.352433825239</v>
      </c>
      <c r="P13" s="79">
        <f t="shared" si="5"/>
        <v>27200.414933825246</v>
      </c>
      <c r="Q13" s="79">
        <f t="shared" si="5"/>
        <v>27200.414933825246</v>
      </c>
      <c r="R13" s="79">
        <f t="shared" si="5"/>
        <v>27200.414933825246</v>
      </c>
      <c r="S13" s="79">
        <f t="shared" si="5"/>
        <v>27200.414933825246</v>
      </c>
      <c r="T13" s="79">
        <f t="shared" si="5"/>
        <v>30239.180558825239</v>
      </c>
      <c r="U13" s="79">
        <f t="shared" si="5"/>
        <v>30239.180558825239</v>
      </c>
      <c r="V13" s="79">
        <f t="shared" si="5"/>
        <v>30239.180558825239</v>
      </c>
      <c r="W13" s="79">
        <f t="shared" si="5"/>
        <v>2431349.5517660873</v>
      </c>
      <c r="X13" s="79">
        <f t="shared" si="5"/>
        <v>0</v>
      </c>
      <c r="Y13" s="79">
        <f t="shared" si="5"/>
        <v>0</v>
      </c>
      <c r="Z13" s="79">
        <f t="shared" si="5"/>
        <v>0</v>
      </c>
      <c r="AA13" s="79">
        <f t="shared" si="5"/>
        <v>0</v>
      </c>
      <c r="AB13" s="79">
        <f t="shared" si="5"/>
        <v>0</v>
      </c>
      <c r="AC13" s="79">
        <f t="shared" si="5"/>
        <v>0</v>
      </c>
      <c r="AD13" s="79">
        <f t="shared" si="5"/>
        <v>0</v>
      </c>
      <c r="AE13" s="79">
        <f t="shared" si="5"/>
        <v>0</v>
      </c>
      <c r="AF13" s="79">
        <f t="shared" si="5"/>
        <v>0</v>
      </c>
      <c r="AG13" s="79">
        <f t="shared" si="5"/>
        <v>0</v>
      </c>
      <c r="AH13" s="79">
        <f t="shared" si="5"/>
        <v>0</v>
      </c>
      <c r="AI13" s="79">
        <f t="shared" si="5"/>
        <v>0</v>
      </c>
      <c r="AJ13" s="79">
        <f t="shared" si="5"/>
        <v>0</v>
      </c>
      <c r="AK13" s="79">
        <f t="shared" si="5"/>
        <v>0</v>
      </c>
      <c r="AL13" s="79">
        <f t="shared" si="5"/>
        <v>0</v>
      </c>
      <c r="AM13" s="79">
        <f t="shared" si="5"/>
        <v>0</v>
      </c>
      <c r="AN13" s="79">
        <f t="shared" si="5"/>
        <v>0</v>
      </c>
      <c r="AO13" s="79">
        <f t="shared" si="5"/>
        <v>0</v>
      </c>
      <c r="AP13" s="79">
        <f t="shared" si="5"/>
        <v>0</v>
      </c>
      <c r="AQ13" s="80">
        <f t="shared" si="5"/>
        <v>0</v>
      </c>
    </row>
    <row r="14" spans="1:53" x14ac:dyDescent="0.25"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3"/>
    </row>
    <row r="15" spans="1:53" x14ac:dyDescent="0.25">
      <c r="B15" s="18" t="s">
        <v>17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5"/>
    </row>
    <row r="16" spans="1:53" x14ac:dyDescent="0.25">
      <c r="B16" s="28" t="s">
        <v>19</v>
      </c>
      <c r="C16" s="70">
        <f>IF(C$13&lt;0,C$13*$C$2,0)</f>
        <v>-1163750</v>
      </c>
      <c r="D16" s="71">
        <f t="shared" ref="D16:AQ16" si="6">IF(D$13&lt;0,D$13*$C$2,0)</f>
        <v>0</v>
      </c>
      <c r="E16" s="71">
        <f t="shared" si="6"/>
        <v>0</v>
      </c>
      <c r="F16" s="71">
        <f t="shared" si="6"/>
        <v>0</v>
      </c>
      <c r="G16" s="71">
        <f t="shared" si="6"/>
        <v>0</v>
      </c>
      <c r="H16" s="71">
        <f t="shared" si="6"/>
        <v>0</v>
      </c>
      <c r="I16" s="71">
        <f t="shared" si="6"/>
        <v>0</v>
      </c>
      <c r="J16" s="71">
        <f t="shared" si="6"/>
        <v>0</v>
      </c>
      <c r="K16" s="71">
        <f t="shared" si="6"/>
        <v>0</v>
      </c>
      <c r="L16" s="71">
        <f t="shared" si="6"/>
        <v>0</v>
      </c>
      <c r="M16" s="71">
        <f t="shared" si="6"/>
        <v>0</v>
      </c>
      <c r="N16" s="71">
        <f t="shared" si="6"/>
        <v>0</v>
      </c>
      <c r="O16" s="71">
        <f t="shared" si="6"/>
        <v>0</v>
      </c>
      <c r="P16" s="71">
        <f t="shared" si="6"/>
        <v>0</v>
      </c>
      <c r="Q16" s="71">
        <f t="shared" si="6"/>
        <v>0</v>
      </c>
      <c r="R16" s="71">
        <f t="shared" si="6"/>
        <v>0</v>
      </c>
      <c r="S16" s="71">
        <f t="shared" si="6"/>
        <v>0</v>
      </c>
      <c r="T16" s="71">
        <f t="shared" si="6"/>
        <v>0</v>
      </c>
      <c r="U16" s="71">
        <f t="shared" si="6"/>
        <v>0</v>
      </c>
      <c r="V16" s="71">
        <f t="shared" si="6"/>
        <v>0</v>
      </c>
      <c r="W16" s="71">
        <f t="shared" si="6"/>
        <v>0</v>
      </c>
      <c r="X16" s="71">
        <f t="shared" si="6"/>
        <v>0</v>
      </c>
      <c r="Y16" s="71">
        <f t="shared" si="6"/>
        <v>0</v>
      </c>
      <c r="Z16" s="71">
        <f t="shared" si="6"/>
        <v>0</v>
      </c>
      <c r="AA16" s="71">
        <f t="shared" si="6"/>
        <v>0</v>
      </c>
      <c r="AB16" s="71">
        <f t="shared" si="6"/>
        <v>0</v>
      </c>
      <c r="AC16" s="71">
        <f t="shared" si="6"/>
        <v>0</v>
      </c>
      <c r="AD16" s="71">
        <f t="shared" si="6"/>
        <v>0</v>
      </c>
      <c r="AE16" s="71">
        <f t="shared" si="6"/>
        <v>0</v>
      </c>
      <c r="AF16" s="71">
        <f t="shared" si="6"/>
        <v>0</v>
      </c>
      <c r="AG16" s="71">
        <f t="shared" si="6"/>
        <v>0</v>
      </c>
      <c r="AH16" s="71">
        <f t="shared" si="6"/>
        <v>0</v>
      </c>
      <c r="AI16" s="71">
        <f t="shared" si="6"/>
        <v>0</v>
      </c>
      <c r="AJ16" s="71">
        <f t="shared" si="6"/>
        <v>0</v>
      </c>
      <c r="AK16" s="71">
        <f t="shared" si="6"/>
        <v>0</v>
      </c>
      <c r="AL16" s="71">
        <f t="shared" si="6"/>
        <v>0</v>
      </c>
      <c r="AM16" s="71">
        <f t="shared" si="6"/>
        <v>0</v>
      </c>
      <c r="AN16" s="71">
        <f t="shared" si="6"/>
        <v>0</v>
      </c>
      <c r="AO16" s="71">
        <f t="shared" si="6"/>
        <v>0</v>
      </c>
      <c r="AP16" s="71">
        <f t="shared" si="6"/>
        <v>0</v>
      </c>
      <c r="AQ16" s="72">
        <f t="shared" si="6"/>
        <v>0</v>
      </c>
      <c r="AT16" s="82"/>
    </row>
    <row r="17" spans="1:51" x14ac:dyDescent="0.25">
      <c r="A17" s="82"/>
      <c r="B17" s="55" t="s">
        <v>18</v>
      </c>
      <c r="C17" s="86">
        <f>IF(C$13&lt;0,C$13*$C$1,0)</f>
        <v>-61250</v>
      </c>
      <c r="D17" s="87">
        <f t="shared" ref="D17:AQ17" si="7">IF(D$13&lt;0,D$13*$C$1,0)</f>
        <v>0</v>
      </c>
      <c r="E17" s="87">
        <f t="shared" si="7"/>
        <v>0</v>
      </c>
      <c r="F17" s="87">
        <f t="shared" si="7"/>
        <v>0</v>
      </c>
      <c r="G17" s="87">
        <f t="shared" si="7"/>
        <v>0</v>
      </c>
      <c r="H17" s="87">
        <f t="shared" si="7"/>
        <v>0</v>
      </c>
      <c r="I17" s="87">
        <f t="shared" si="7"/>
        <v>0</v>
      </c>
      <c r="J17" s="87">
        <f t="shared" si="7"/>
        <v>0</v>
      </c>
      <c r="K17" s="87">
        <f t="shared" si="7"/>
        <v>0</v>
      </c>
      <c r="L17" s="87">
        <f t="shared" si="7"/>
        <v>0</v>
      </c>
      <c r="M17" s="87">
        <f t="shared" si="7"/>
        <v>0</v>
      </c>
      <c r="N17" s="87">
        <f t="shared" si="7"/>
        <v>0</v>
      </c>
      <c r="O17" s="87">
        <f t="shared" si="7"/>
        <v>0</v>
      </c>
      <c r="P17" s="87">
        <f t="shared" si="7"/>
        <v>0</v>
      </c>
      <c r="Q17" s="87">
        <f t="shared" si="7"/>
        <v>0</v>
      </c>
      <c r="R17" s="87">
        <f t="shared" si="7"/>
        <v>0</v>
      </c>
      <c r="S17" s="87">
        <f t="shared" si="7"/>
        <v>0</v>
      </c>
      <c r="T17" s="87">
        <f t="shared" si="7"/>
        <v>0</v>
      </c>
      <c r="U17" s="87">
        <f t="shared" si="7"/>
        <v>0</v>
      </c>
      <c r="V17" s="87">
        <f t="shared" si="7"/>
        <v>0</v>
      </c>
      <c r="W17" s="87">
        <f t="shared" si="7"/>
        <v>0</v>
      </c>
      <c r="X17" s="87">
        <f t="shared" si="7"/>
        <v>0</v>
      </c>
      <c r="Y17" s="87">
        <f t="shared" si="7"/>
        <v>0</v>
      </c>
      <c r="Z17" s="87">
        <f t="shared" si="7"/>
        <v>0</v>
      </c>
      <c r="AA17" s="87">
        <f t="shared" si="7"/>
        <v>0</v>
      </c>
      <c r="AB17" s="87">
        <f t="shared" si="7"/>
        <v>0</v>
      </c>
      <c r="AC17" s="87">
        <f t="shared" si="7"/>
        <v>0</v>
      </c>
      <c r="AD17" s="87">
        <f t="shared" si="7"/>
        <v>0</v>
      </c>
      <c r="AE17" s="87">
        <f t="shared" si="7"/>
        <v>0</v>
      </c>
      <c r="AF17" s="87">
        <f t="shared" si="7"/>
        <v>0</v>
      </c>
      <c r="AG17" s="87">
        <f t="shared" si="7"/>
        <v>0</v>
      </c>
      <c r="AH17" s="87">
        <f t="shared" si="7"/>
        <v>0</v>
      </c>
      <c r="AI17" s="87">
        <f t="shared" si="7"/>
        <v>0</v>
      </c>
      <c r="AJ17" s="87">
        <f t="shared" si="7"/>
        <v>0</v>
      </c>
      <c r="AK17" s="87">
        <f t="shared" si="7"/>
        <v>0</v>
      </c>
      <c r="AL17" s="87">
        <f t="shared" si="7"/>
        <v>0</v>
      </c>
      <c r="AM17" s="87">
        <f t="shared" si="7"/>
        <v>0</v>
      </c>
      <c r="AN17" s="87">
        <f t="shared" si="7"/>
        <v>0</v>
      </c>
      <c r="AO17" s="87">
        <f t="shared" si="7"/>
        <v>0</v>
      </c>
      <c r="AP17" s="87">
        <f t="shared" si="7"/>
        <v>0</v>
      </c>
      <c r="AQ17" s="88">
        <f t="shared" si="7"/>
        <v>0</v>
      </c>
    </row>
    <row r="18" spans="1:51" x14ac:dyDescent="0.25">
      <c r="B18" s="81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6"/>
    </row>
    <row r="19" spans="1:51" x14ac:dyDescent="0.25">
      <c r="A19" s="82"/>
      <c r="B19" s="18" t="s">
        <v>10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5"/>
    </row>
    <row r="20" spans="1:51" x14ac:dyDescent="0.25">
      <c r="A20" s="82"/>
      <c r="B20" s="28" t="s">
        <v>20</v>
      </c>
      <c r="C20" s="70">
        <v>0</v>
      </c>
      <c r="D20" s="71">
        <f>C24</f>
        <v>1163750</v>
      </c>
      <c r="E20" s="71">
        <f t="shared" ref="E20:AQ20" si="8">D24</f>
        <v>1167620.165926158</v>
      </c>
      <c r="F20" s="71">
        <f t="shared" si="8"/>
        <v>1171566.1397757395</v>
      </c>
      <c r="G20" s="71">
        <f t="shared" si="8"/>
        <v>1175337.5670350513</v>
      </c>
      <c r="H20" s="71">
        <f t="shared" si="8"/>
        <v>1179182.057442802</v>
      </c>
      <c r="I20" s="71">
        <f t="shared" si="8"/>
        <v>1180729.5029743351</v>
      </c>
      <c r="J20" s="71">
        <f t="shared" si="8"/>
        <v>1182307.259514387</v>
      </c>
      <c r="K20" s="71">
        <f t="shared" si="8"/>
        <v>1183407.6777120549</v>
      </c>
      <c r="L20" s="71">
        <f t="shared" si="8"/>
        <v>1184783.5088507205</v>
      </c>
      <c r="M20" s="71">
        <f t="shared" si="8"/>
        <v>1183684.4243290194</v>
      </c>
      <c r="N20" s="71">
        <f t="shared" si="8"/>
        <v>1182563.8111915311</v>
      </c>
      <c r="O20" s="71">
        <f t="shared" si="8"/>
        <v>1180912.8943797899</v>
      </c>
      <c r="P20" s="71">
        <f t="shared" si="8"/>
        <v>1179484.144551849</v>
      </c>
      <c r="Q20" s="71">
        <f t="shared" si="8"/>
        <v>1175387.1947964593</v>
      </c>
      <c r="R20" s="71">
        <f t="shared" si="8"/>
        <v>1171209.99492796</v>
      </c>
      <c r="S20" s="71">
        <f t="shared" si="8"/>
        <v>1166447.5003743435</v>
      </c>
      <c r="T20" s="71">
        <f t="shared" si="8"/>
        <v>1161844.4526986736</v>
      </c>
      <c r="U20" s="71">
        <f t="shared" si="8"/>
        <v>1154363.2150758947</v>
      </c>
      <c r="V20" s="71">
        <f t="shared" si="8"/>
        <v>1146735.4366846725</v>
      </c>
      <c r="W20" s="71">
        <f t="shared" si="8"/>
        <v>1138711.7452947884</v>
      </c>
      <c r="X20" s="71">
        <f t="shared" si="8"/>
        <v>0</v>
      </c>
      <c r="Y20" s="71">
        <f t="shared" si="8"/>
        <v>0</v>
      </c>
      <c r="Z20" s="71">
        <f t="shared" si="8"/>
        <v>0</v>
      </c>
      <c r="AA20" s="71">
        <f t="shared" si="8"/>
        <v>0</v>
      </c>
      <c r="AB20" s="71">
        <f t="shared" si="8"/>
        <v>0</v>
      </c>
      <c r="AC20" s="71">
        <f t="shared" si="8"/>
        <v>0</v>
      </c>
      <c r="AD20" s="71">
        <f t="shared" si="8"/>
        <v>0</v>
      </c>
      <c r="AE20" s="71">
        <f t="shared" si="8"/>
        <v>0</v>
      </c>
      <c r="AF20" s="71">
        <f t="shared" si="8"/>
        <v>0</v>
      </c>
      <c r="AG20" s="71">
        <f t="shared" si="8"/>
        <v>0</v>
      </c>
      <c r="AH20" s="71">
        <f t="shared" si="8"/>
        <v>0</v>
      </c>
      <c r="AI20" s="71">
        <f t="shared" si="8"/>
        <v>0</v>
      </c>
      <c r="AJ20" s="71">
        <f t="shared" si="8"/>
        <v>0</v>
      </c>
      <c r="AK20" s="71">
        <f t="shared" si="8"/>
        <v>0</v>
      </c>
      <c r="AL20" s="71">
        <f t="shared" si="8"/>
        <v>0</v>
      </c>
      <c r="AM20" s="71">
        <f t="shared" si="8"/>
        <v>0</v>
      </c>
      <c r="AN20" s="71">
        <f t="shared" si="8"/>
        <v>0</v>
      </c>
      <c r="AO20" s="71">
        <f t="shared" si="8"/>
        <v>0</v>
      </c>
      <c r="AP20" s="71">
        <f t="shared" si="8"/>
        <v>0</v>
      </c>
      <c r="AQ20" s="72">
        <f t="shared" si="8"/>
        <v>0</v>
      </c>
    </row>
    <row r="21" spans="1:51" x14ac:dyDescent="0.25">
      <c r="A21" s="146"/>
      <c r="B21" s="73" t="s">
        <v>21</v>
      </c>
      <c r="C21" s="74">
        <v>0</v>
      </c>
      <c r="D21" s="75">
        <f>D20*(1+$G$4)^((D10-C10)/365)-D20</f>
        <v>22795.268359983107</v>
      </c>
      <c r="E21" s="75">
        <f t="shared" ref="E21:AQ21" si="9">E20*(1+$G$4)^((E10-D10)/365)-E20</f>
        <v>22871.076283406699</v>
      </c>
      <c r="F21" s="75">
        <f t="shared" si="9"/>
        <v>22696.529693136923</v>
      </c>
      <c r="G21" s="75">
        <f t="shared" si="9"/>
        <v>22769.592841575854</v>
      </c>
      <c r="H21" s="75">
        <f t="shared" si="9"/>
        <v>23097.547965358244</v>
      </c>
      <c r="I21" s="75">
        <f t="shared" si="9"/>
        <v>23127.858973877039</v>
      </c>
      <c r="J21" s="75">
        <f t="shared" si="9"/>
        <v>22650.520631493069</v>
      </c>
      <c r="K21" s="75">
        <f t="shared" si="9"/>
        <v>22925.9335724907</v>
      </c>
      <c r="L21" s="75">
        <f t="shared" si="9"/>
        <v>23207.267912124051</v>
      </c>
      <c r="M21" s="75">
        <f t="shared" si="9"/>
        <v>23185.739296336891</v>
      </c>
      <c r="N21" s="75">
        <f t="shared" si="9"/>
        <v>22655.435622083955</v>
      </c>
      <c r="O21" s="75">
        <f t="shared" si="9"/>
        <v>22877.602605884196</v>
      </c>
      <c r="P21" s="75">
        <f t="shared" si="9"/>
        <v>23103.465178435436</v>
      </c>
      <c r="Q21" s="75">
        <f t="shared" si="9"/>
        <v>23023.215065325843</v>
      </c>
      <c r="R21" s="75">
        <f t="shared" si="9"/>
        <v>22437.920380208641</v>
      </c>
      <c r="S21" s="75">
        <f t="shared" si="9"/>
        <v>22597.367258155253</v>
      </c>
      <c r="T21" s="75">
        <f t="shared" si="9"/>
        <v>22757.942936046282</v>
      </c>
      <c r="U21" s="75">
        <f t="shared" si="9"/>
        <v>22611.402167602908</v>
      </c>
      <c r="V21" s="75">
        <f t="shared" si="9"/>
        <v>22215.489168941043</v>
      </c>
      <c r="W21" s="75">
        <f t="shared" si="9"/>
        <v>22060.047710114159</v>
      </c>
      <c r="X21" s="75">
        <f t="shared" si="9"/>
        <v>0</v>
      </c>
      <c r="Y21" s="75">
        <f t="shared" si="9"/>
        <v>0</v>
      </c>
      <c r="Z21" s="75">
        <f t="shared" si="9"/>
        <v>0</v>
      </c>
      <c r="AA21" s="75">
        <f t="shared" si="9"/>
        <v>0</v>
      </c>
      <c r="AB21" s="75">
        <f t="shared" si="9"/>
        <v>0</v>
      </c>
      <c r="AC21" s="75">
        <f t="shared" si="9"/>
        <v>0</v>
      </c>
      <c r="AD21" s="75">
        <f t="shared" si="9"/>
        <v>0</v>
      </c>
      <c r="AE21" s="75">
        <f t="shared" si="9"/>
        <v>0</v>
      </c>
      <c r="AF21" s="75">
        <f t="shared" si="9"/>
        <v>0</v>
      </c>
      <c r="AG21" s="75">
        <f t="shared" si="9"/>
        <v>0</v>
      </c>
      <c r="AH21" s="75">
        <f t="shared" si="9"/>
        <v>0</v>
      </c>
      <c r="AI21" s="75">
        <f t="shared" si="9"/>
        <v>0</v>
      </c>
      <c r="AJ21" s="75">
        <f t="shared" si="9"/>
        <v>0</v>
      </c>
      <c r="AK21" s="75">
        <f t="shared" si="9"/>
        <v>0</v>
      </c>
      <c r="AL21" s="75">
        <f t="shared" si="9"/>
        <v>0</v>
      </c>
      <c r="AM21" s="75">
        <f t="shared" si="9"/>
        <v>0</v>
      </c>
      <c r="AN21" s="75">
        <f t="shared" si="9"/>
        <v>0</v>
      </c>
      <c r="AO21" s="75">
        <f t="shared" si="9"/>
        <v>0</v>
      </c>
      <c r="AP21" s="75">
        <f t="shared" si="9"/>
        <v>0</v>
      </c>
      <c r="AQ21" s="76">
        <f t="shared" si="9"/>
        <v>0</v>
      </c>
    </row>
    <row r="22" spans="1:51" x14ac:dyDescent="0.25">
      <c r="A22" s="146"/>
      <c r="B22" s="73" t="s">
        <v>19</v>
      </c>
      <c r="C22" s="74">
        <f>-C16</f>
        <v>1163750</v>
      </c>
      <c r="D22" s="75">
        <f t="shared" ref="D22:AQ22" si="10">-D16</f>
        <v>0</v>
      </c>
      <c r="E22" s="75">
        <f t="shared" si="10"/>
        <v>0</v>
      </c>
      <c r="F22" s="75">
        <f t="shared" si="10"/>
        <v>0</v>
      </c>
      <c r="G22" s="75">
        <f t="shared" si="10"/>
        <v>0</v>
      </c>
      <c r="H22" s="75">
        <f t="shared" si="10"/>
        <v>0</v>
      </c>
      <c r="I22" s="75">
        <f t="shared" si="10"/>
        <v>0</v>
      </c>
      <c r="J22" s="75">
        <f t="shared" si="10"/>
        <v>0</v>
      </c>
      <c r="K22" s="75">
        <f t="shared" si="10"/>
        <v>0</v>
      </c>
      <c r="L22" s="75">
        <f t="shared" si="10"/>
        <v>0</v>
      </c>
      <c r="M22" s="75">
        <f t="shared" si="10"/>
        <v>0</v>
      </c>
      <c r="N22" s="75">
        <f t="shared" si="10"/>
        <v>0</v>
      </c>
      <c r="O22" s="75">
        <f t="shared" si="10"/>
        <v>0</v>
      </c>
      <c r="P22" s="75">
        <f t="shared" si="10"/>
        <v>0</v>
      </c>
      <c r="Q22" s="75">
        <f t="shared" si="10"/>
        <v>0</v>
      </c>
      <c r="R22" s="75">
        <f t="shared" si="10"/>
        <v>0</v>
      </c>
      <c r="S22" s="75">
        <f t="shared" si="10"/>
        <v>0</v>
      </c>
      <c r="T22" s="75">
        <f t="shared" si="10"/>
        <v>0</v>
      </c>
      <c r="U22" s="75">
        <f t="shared" si="10"/>
        <v>0</v>
      </c>
      <c r="V22" s="75">
        <f t="shared" si="10"/>
        <v>0</v>
      </c>
      <c r="W22" s="75">
        <f t="shared" si="10"/>
        <v>0</v>
      </c>
      <c r="X22" s="75">
        <f t="shared" si="10"/>
        <v>0</v>
      </c>
      <c r="Y22" s="75">
        <f t="shared" si="10"/>
        <v>0</v>
      </c>
      <c r="Z22" s="75">
        <f t="shared" si="10"/>
        <v>0</v>
      </c>
      <c r="AA22" s="75">
        <f t="shared" si="10"/>
        <v>0</v>
      </c>
      <c r="AB22" s="75">
        <f t="shared" si="10"/>
        <v>0</v>
      </c>
      <c r="AC22" s="75">
        <f t="shared" si="10"/>
        <v>0</v>
      </c>
      <c r="AD22" s="75">
        <f t="shared" si="10"/>
        <v>0</v>
      </c>
      <c r="AE22" s="75">
        <f t="shared" si="10"/>
        <v>0</v>
      </c>
      <c r="AF22" s="75">
        <f t="shared" si="10"/>
        <v>0</v>
      </c>
      <c r="AG22" s="75">
        <f t="shared" si="10"/>
        <v>0</v>
      </c>
      <c r="AH22" s="75">
        <f t="shared" si="10"/>
        <v>0</v>
      </c>
      <c r="AI22" s="75">
        <f t="shared" si="10"/>
        <v>0</v>
      </c>
      <c r="AJ22" s="75">
        <f t="shared" si="10"/>
        <v>0</v>
      </c>
      <c r="AK22" s="75">
        <f t="shared" si="10"/>
        <v>0</v>
      </c>
      <c r="AL22" s="75">
        <f t="shared" si="10"/>
        <v>0</v>
      </c>
      <c r="AM22" s="75">
        <f t="shared" si="10"/>
        <v>0</v>
      </c>
      <c r="AN22" s="75">
        <f t="shared" si="10"/>
        <v>0</v>
      </c>
      <c r="AO22" s="75">
        <f t="shared" si="10"/>
        <v>0</v>
      </c>
      <c r="AP22" s="75">
        <f t="shared" si="10"/>
        <v>0</v>
      </c>
      <c r="AQ22" s="76">
        <f t="shared" si="10"/>
        <v>0</v>
      </c>
    </row>
    <row r="23" spans="1:51" x14ac:dyDescent="0.25">
      <c r="B23" s="73" t="s">
        <v>22</v>
      </c>
      <c r="C23" s="74">
        <f>MIN(C20+C21,MAX(C13,0)*$D$5)</f>
        <v>0</v>
      </c>
      <c r="D23" s="75">
        <f t="shared" ref="D23:AQ23" si="11">MIN(D20+D21,MAX(D13,0)*$D$5)</f>
        <v>18925.102433825239</v>
      </c>
      <c r="E23" s="75">
        <f t="shared" si="11"/>
        <v>18925.102433825239</v>
      </c>
      <c r="F23" s="75">
        <f t="shared" si="11"/>
        <v>18925.102433825239</v>
      </c>
      <c r="G23" s="75">
        <f t="shared" si="11"/>
        <v>18925.102433825239</v>
      </c>
      <c r="H23" s="75">
        <f t="shared" si="11"/>
        <v>21550.102433825239</v>
      </c>
      <c r="I23" s="75">
        <f t="shared" si="11"/>
        <v>21550.102433825239</v>
      </c>
      <c r="J23" s="75">
        <f t="shared" si="11"/>
        <v>21550.102433825239</v>
      </c>
      <c r="K23" s="75">
        <f t="shared" si="11"/>
        <v>21550.102433825239</v>
      </c>
      <c r="L23" s="75">
        <f t="shared" si="11"/>
        <v>24306.352433825239</v>
      </c>
      <c r="M23" s="75">
        <f t="shared" si="11"/>
        <v>24306.352433825239</v>
      </c>
      <c r="N23" s="75">
        <f t="shared" si="11"/>
        <v>24306.352433825239</v>
      </c>
      <c r="O23" s="75">
        <f t="shared" si="11"/>
        <v>24306.352433825239</v>
      </c>
      <c r="P23" s="75">
        <f t="shared" si="11"/>
        <v>27200.414933825246</v>
      </c>
      <c r="Q23" s="75">
        <f t="shared" si="11"/>
        <v>27200.414933825246</v>
      </c>
      <c r="R23" s="75">
        <f t="shared" si="11"/>
        <v>27200.414933825246</v>
      </c>
      <c r="S23" s="75">
        <f t="shared" si="11"/>
        <v>27200.414933825246</v>
      </c>
      <c r="T23" s="75">
        <f t="shared" si="11"/>
        <v>30239.180558825239</v>
      </c>
      <c r="U23" s="75">
        <f t="shared" si="11"/>
        <v>30239.180558825239</v>
      </c>
      <c r="V23" s="75">
        <f t="shared" si="11"/>
        <v>30239.180558825239</v>
      </c>
      <c r="W23" s="75">
        <f t="shared" si="11"/>
        <v>1160771.7930049025</v>
      </c>
      <c r="X23" s="75">
        <f t="shared" si="11"/>
        <v>0</v>
      </c>
      <c r="Y23" s="75">
        <f t="shared" si="11"/>
        <v>0</v>
      </c>
      <c r="Z23" s="75">
        <f t="shared" si="11"/>
        <v>0</v>
      </c>
      <c r="AA23" s="75">
        <f t="shared" si="11"/>
        <v>0</v>
      </c>
      <c r="AB23" s="75">
        <f t="shared" si="11"/>
        <v>0</v>
      </c>
      <c r="AC23" s="75">
        <f t="shared" si="11"/>
        <v>0</v>
      </c>
      <c r="AD23" s="75">
        <f t="shared" si="11"/>
        <v>0</v>
      </c>
      <c r="AE23" s="75">
        <f t="shared" si="11"/>
        <v>0</v>
      </c>
      <c r="AF23" s="75">
        <f t="shared" si="11"/>
        <v>0</v>
      </c>
      <c r="AG23" s="75">
        <f t="shared" si="11"/>
        <v>0</v>
      </c>
      <c r="AH23" s="75">
        <f t="shared" si="11"/>
        <v>0</v>
      </c>
      <c r="AI23" s="75">
        <f t="shared" si="11"/>
        <v>0</v>
      </c>
      <c r="AJ23" s="75">
        <f t="shared" si="11"/>
        <v>0</v>
      </c>
      <c r="AK23" s="75">
        <f t="shared" si="11"/>
        <v>0</v>
      </c>
      <c r="AL23" s="75">
        <f t="shared" si="11"/>
        <v>0</v>
      </c>
      <c r="AM23" s="75">
        <f t="shared" si="11"/>
        <v>0</v>
      </c>
      <c r="AN23" s="75">
        <f t="shared" si="11"/>
        <v>0</v>
      </c>
      <c r="AO23" s="75">
        <f t="shared" si="11"/>
        <v>0</v>
      </c>
      <c r="AP23" s="75">
        <f t="shared" si="11"/>
        <v>0</v>
      </c>
      <c r="AQ23" s="76">
        <f t="shared" si="11"/>
        <v>0</v>
      </c>
    </row>
    <row r="24" spans="1:51" x14ac:dyDescent="0.25">
      <c r="A24" s="92" t="s">
        <v>25</v>
      </c>
      <c r="B24" s="73" t="s">
        <v>23</v>
      </c>
      <c r="C24" s="74">
        <f>C20+C21+C22-C23</f>
        <v>1163750</v>
      </c>
      <c r="D24" s="75">
        <f t="shared" ref="D24:AQ24" si="12">D20+D21+D22-D23</f>
        <v>1167620.165926158</v>
      </c>
      <c r="E24" s="75">
        <f t="shared" si="12"/>
        <v>1171566.1397757395</v>
      </c>
      <c r="F24" s="75">
        <f t="shared" si="12"/>
        <v>1175337.5670350513</v>
      </c>
      <c r="G24" s="75">
        <f t="shared" si="12"/>
        <v>1179182.057442802</v>
      </c>
      <c r="H24" s="75">
        <f t="shared" si="12"/>
        <v>1180729.5029743351</v>
      </c>
      <c r="I24" s="75">
        <f t="shared" si="12"/>
        <v>1182307.259514387</v>
      </c>
      <c r="J24" s="75">
        <f t="shared" si="12"/>
        <v>1183407.6777120549</v>
      </c>
      <c r="K24" s="75">
        <f t="shared" si="12"/>
        <v>1184783.5088507205</v>
      </c>
      <c r="L24" s="75">
        <f t="shared" si="12"/>
        <v>1183684.4243290194</v>
      </c>
      <c r="M24" s="75">
        <f t="shared" si="12"/>
        <v>1182563.8111915311</v>
      </c>
      <c r="N24" s="75">
        <f t="shared" si="12"/>
        <v>1180912.8943797899</v>
      </c>
      <c r="O24" s="75">
        <f t="shared" si="12"/>
        <v>1179484.144551849</v>
      </c>
      <c r="P24" s="75">
        <f t="shared" si="12"/>
        <v>1175387.1947964593</v>
      </c>
      <c r="Q24" s="75">
        <f t="shared" si="12"/>
        <v>1171209.99492796</v>
      </c>
      <c r="R24" s="75">
        <f t="shared" si="12"/>
        <v>1166447.5003743435</v>
      </c>
      <c r="S24" s="75">
        <f t="shared" si="12"/>
        <v>1161844.4526986736</v>
      </c>
      <c r="T24" s="75">
        <f t="shared" si="12"/>
        <v>1154363.2150758947</v>
      </c>
      <c r="U24" s="75">
        <f t="shared" si="12"/>
        <v>1146735.4366846725</v>
      </c>
      <c r="V24" s="75">
        <f t="shared" si="12"/>
        <v>1138711.7452947884</v>
      </c>
      <c r="W24" s="75">
        <f t="shared" si="12"/>
        <v>0</v>
      </c>
      <c r="X24" s="75">
        <f t="shared" si="12"/>
        <v>0</v>
      </c>
      <c r="Y24" s="75">
        <f t="shared" si="12"/>
        <v>0</v>
      </c>
      <c r="Z24" s="75">
        <f t="shared" si="12"/>
        <v>0</v>
      </c>
      <c r="AA24" s="75">
        <f t="shared" si="12"/>
        <v>0</v>
      </c>
      <c r="AB24" s="75">
        <f t="shared" si="12"/>
        <v>0</v>
      </c>
      <c r="AC24" s="75">
        <f t="shared" si="12"/>
        <v>0</v>
      </c>
      <c r="AD24" s="75">
        <f t="shared" si="12"/>
        <v>0</v>
      </c>
      <c r="AE24" s="75">
        <f t="shared" si="12"/>
        <v>0</v>
      </c>
      <c r="AF24" s="75">
        <f t="shared" si="12"/>
        <v>0</v>
      </c>
      <c r="AG24" s="75">
        <f t="shared" si="12"/>
        <v>0</v>
      </c>
      <c r="AH24" s="75">
        <f t="shared" si="12"/>
        <v>0</v>
      </c>
      <c r="AI24" s="75">
        <f t="shared" si="12"/>
        <v>0</v>
      </c>
      <c r="AJ24" s="75">
        <f t="shared" si="12"/>
        <v>0</v>
      </c>
      <c r="AK24" s="75">
        <f t="shared" si="12"/>
        <v>0</v>
      </c>
      <c r="AL24" s="75">
        <f t="shared" si="12"/>
        <v>0</v>
      </c>
      <c r="AM24" s="75">
        <f t="shared" si="12"/>
        <v>0</v>
      </c>
      <c r="AN24" s="75">
        <f t="shared" si="12"/>
        <v>0</v>
      </c>
      <c r="AO24" s="75">
        <f t="shared" si="12"/>
        <v>0</v>
      </c>
      <c r="AP24" s="75">
        <f t="shared" si="12"/>
        <v>0</v>
      </c>
      <c r="AQ24" s="76">
        <f t="shared" si="12"/>
        <v>0</v>
      </c>
    </row>
    <row r="25" spans="1:51" x14ac:dyDescent="0.25">
      <c r="A25" s="93">
        <f>XIRR(C25:AQ25,$C$10:$AQ$10)</f>
        <v>7.9999998211860726E-2</v>
      </c>
      <c r="B25" s="77" t="s">
        <v>24</v>
      </c>
      <c r="C25" s="78">
        <f>C23-C22</f>
        <v>-1163750</v>
      </c>
      <c r="D25" s="79">
        <f t="shared" ref="D25:AQ25" si="13">D23-D22</f>
        <v>18925.102433825239</v>
      </c>
      <c r="E25" s="79">
        <f t="shared" si="13"/>
        <v>18925.102433825239</v>
      </c>
      <c r="F25" s="79">
        <f t="shared" si="13"/>
        <v>18925.102433825239</v>
      </c>
      <c r="G25" s="79">
        <f t="shared" si="13"/>
        <v>18925.102433825239</v>
      </c>
      <c r="H25" s="79">
        <f t="shared" si="13"/>
        <v>21550.102433825239</v>
      </c>
      <c r="I25" s="79">
        <f t="shared" si="13"/>
        <v>21550.102433825239</v>
      </c>
      <c r="J25" s="79">
        <f t="shared" si="13"/>
        <v>21550.102433825239</v>
      </c>
      <c r="K25" s="79">
        <f t="shared" si="13"/>
        <v>21550.102433825239</v>
      </c>
      <c r="L25" s="79">
        <f t="shared" si="13"/>
        <v>24306.352433825239</v>
      </c>
      <c r="M25" s="79">
        <f t="shared" si="13"/>
        <v>24306.352433825239</v>
      </c>
      <c r="N25" s="79">
        <f t="shared" si="13"/>
        <v>24306.352433825239</v>
      </c>
      <c r="O25" s="79">
        <f t="shared" si="13"/>
        <v>24306.352433825239</v>
      </c>
      <c r="P25" s="79">
        <f t="shared" si="13"/>
        <v>27200.414933825246</v>
      </c>
      <c r="Q25" s="79">
        <f t="shared" si="13"/>
        <v>27200.414933825246</v>
      </c>
      <c r="R25" s="79">
        <f t="shared" si="13"/>
        <v>27200.414933825246</v>
      </c>
      <c r="S25" s="79">
        <f t="shared" si="13"/>
        <v>27200.414933825246</v>
      </c>
      <c r="T25" s="79">
        <f t="shared" si="13"/>
        <v>30239.180558825239</v>
      </c>
      <c r="U25" s="79">
        <f t="shared" si="13"/>
        <v>30239.180558825239</v>
      </c>
      <c r="V25" s="79">
        <f t="shared" si="13"/>
        <v>30239.180558825239</v>
      </c>
      <c r="W25" s="79">
        <f t="shared" si="13"/>
        <v>1160771.7930049025</v>
      </c>
      <c r="X25" s="79">
        <f t="shared" si="13"/>
        <v>0</v>
      </c>
      <c r="Y25" s="79">
        <f t="shared" si="13"/>
        <v>0</v>
      </c>
      <c r="Z25" s="79">
        <f t="shared" si="13"/>
        <v>0</v>
      </c>
      <c r="AA25" s="79">
        <f t="shared" si="13"/>
        <v>0</v>
      </c>
      <c r="AB25" s="79">
        <f t="shared" si="13"/>
        <v>0</v>
      </c>
      <c r="AC25" s="79">
        <f t="shared" si="13"/>
        <v>0</v>
      </c>
      <c r="AD25" s="79">
        <f t="shared" si="13"/>
        <v>0</v>
      </c>
      <c r="AE25" s="79">
        <f t="shared" si="13"/>
        <v>0</v>
      </c>
      <c r="AF25" s="79">
        <f t="shared" si="13"/>
        <v>0</v>
      </c>
      <c r="AG25" s="79">
        <f t="shared" si="13"/>
        <v>0</v>
      </c>
      <c r="AH25" s="79">
        <f t="shared" si="13"/>
        <v>0</v>
      </c>
      <c r="AI25" s="79">
        <f t="shared" si="13"/>
        <v>0</v>
      </c>
      <c r="AJ25" s="79">
        <f t="shared" si="13"/>
        <v>0</v>
      </c>
      <c r="AK25" s="79">
        <f t="shared" si="13"/>
        <v>0</v>
      </c>
      <c r="AL25" s="79">
        <f t="shared" si="13"/>
        <v>0</v>
      </c>
      <c r="AM25" s="79">
        <f t="shared" si="13"/>
        <v>0</v>
      </c>
      <c r="AN25" s="79">
        <f t="shared" si="13"/>
        <v>0</v>
      </c>
      <c r="AO25" s="79">
        <f t="shared" si="13"/>
        <v>0</v>
      </c>
      <c r="AP25" s="79">
        <f t="shared" si="13"/>
        <v>0</v>
      </c>
      <c r="AQ25" s="80">
        <f t="shared" si="13"/>
        <v>0</v>
      </c>
    </row>
    <row r="26" spans="1:51" x14ac:dyDescent="0.25">
      <c r="B26" s="73"/>
      <c r="C26" s="7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6"/>
    </row>
    <row r="27" spans="1:51" x14ac:dyDescent="0.25">
      <c r="B27" s="73" t="s">
        <v>18</v>
      </c>
      <c r="C27" s="74">
        <f>-C17</f>
        <v>61250</v>
      </c>
      <c r="D27" s="75">
        <f t="shared" ref="D27:AQ27" si="14">-D17</f>
        <v>0</v>
      </c>
      <c r="E27" s="75">
        <f t="shared" si="14"/>
        <v>0</v>
      </c>
      <c r="F27" s="75">
        <f t="shared" si="14"/>
        <v>0</v>
      </c>
      <c r="G27" s="75">
        <f t="shared" si="14"/>
        <v>0</v>
      </c>
      <c r="H27" s="75">
        <f t="shared" si="14"/>
        <v>0</v>
      </c>
      <c r="I27" s="75">
        <f t="shared" si="14"/>
        <v>0</v>
      </c>
      <c r="J27" s="75">
        <f t="shared" si="14"/>
        <v>0</v>
      </c>
      <c r="K27" s="75">
        <f t="shared" si="14"/>
        <v>0</v>
      </c>
      <c r="L27" s="75">
        <f t="shared" si="14"/>
        <v>0</v>
      </c>
      <c r="M27" s="75">
        <f t="shared" si="14"/>
        <v>0</v>
      </c>
      <c r="N27" s="75">
        <f t="shared" si="14"/>
        <v>0</v>
      </c>
      <c r="O27" s="75">
        <f t="shared" si="14"/>
        <v>0</v>
      </c>
      <c r="P27" s="75">
        <f t="shared" si="14"/>
        <v>0</v>
      </c>
      <c r="Q27" s="75">
        <f t="shared" si="14"/>
        <v>0</v>
      </c>
      <c r="R27" s="75">
        <f t="shared" si="14"/>
        <v>0</v>
      </c>
      <c r="S27" s="75">
        <f t="shared" si="14"/>
        <v>0</v>
      </c>
      <c r="T27" s="75">
        <f t="shared" si="14"/>
        <v>0</v>
      </c>
      <c r="U27" s="75">
        <f t="shared" si="14"/>
        <v>0</v>
      </c>
      <c r="V27" s="75">
        <f t="shared" si="14"/>
        <v>0</v>
      </c>
      <c r="W27" s="75">
        <f t="shared" si="14"/>
        <v>0</v>
      </c>
      <c r="X27" s="75">
        <f t="shared" si="14"/>
        <v>0</v>
      </c>
      <c r="Y27" s="75">
        <f t="shared" si="14"/>
        <v>0</v>
      </c>
      <c r="Z27" s="75">
        <f t="shared" si="14"/>
        <v>0</v>
      </c>
      <c r="AA27" s="75">
        <f t="shared" si="14"/>
        <v>0</v>
      </c>
      <c r="AB27" s="75">
        <f t="shared" si="14"/>
        <v>0</v>
      </c>
      <c r="AC27" s="75">
        <f t="shared" si="14"/>
        <v>0</v>
      </c>
      <c r="AD27" s="75">
        <f t="shared" si="14"/>
        <v>0</v>
      </c>
      <c r="AE27" s="75">
        <f t="shared" si="14"/>
        <v>0</v>
      </c>
      <c r="AF27" s="75">
        <f t="shared" si="14"/>
        <v>0</v>
      </c>
      <c r="AG27" s="75">
        <f t="shared" si="14"/>
        <v>0</v>
      </c>
      <c r="AH27" s="75">
        <f t="shared" si="14"/>
        <v>0</v>
      </c>
      <c r="AI27" s="75">
        <f t="shared" si="14"/>
        <v>0</v>
      </c>
      <c r="AJ27" s="75">
        <f t="shared" si="14"/>
        <v>0</v>
      </c>
      <c r="AK27" s="75">
        <f t="shared" si="14"/>
        <v>0</v>
      </c>
      <c r="AL27" s="75">
        <f t="shared" si="14"/>
        <v>0</v>
      </c>
      <c r="AM27" s="75">
        <f t="shared" si="14"/>
        <v>0</v>
      </c>
      <c r="AN27" s="75">
        <f t="shared" si="14"/>
        <v>0</v>
      </c>
      <c r="AO27" s="75">
        <f t="shared" si="14"/>
        <v>0</v>
      </c>
      <c r="AP27" s="75">
        <f t="shared" si="14"/>
        <v>0</v>
      </c>
      <c r="AQ27" s="76">
        <f t="shared" si="14"/>
        <v>0</v>
      </c>
    </row>
    <row r="28" spans="1:51" x14ac:dyDescent="0.25">
      <c r="A28" s="92" t="s">
        <v>25</v>
      </c>
      <c r="B28" s="73" t="s">
        <v>26</v>
      </c>
      <c r="C28" s="74">
        <f>(C23/$D$5)*$C$5</f>
        <v>0</v>
      </c>
      <c r="D28" s="75">
        <f t="shared" ref="D28:AQ28" si="15">(D23/$D$5)*$C$5</f>
        <v>0</v>
      </c>
      <c r="E28" s="75">
        <f t="shared" si="15"/>
        <v>0</v>
      </c>
      <c r="F28" s="75">
        <f t="shared" si="15"/>
        <v>0</v>
      </c>
      <c r="G28" s="75">
        <f t="shared" si="15"/>
        <v>0</v>
      </c>
      <c r="H28" s="75">
        <f t="shared" si="15"/>
        <v>0</v>
      </c>
      <c r="I28" s="75">
        <f t="shared" si="15"/>
        <v>0</v>
      </c>
      <c r="J28" s="75">
        <f t="shared" si="15"/>
        <v>0</v>
      </c>
      <c r="K28" s="75">
        <f t="shared" si="15"/>
        <v>0</v>
      </c>
      <c r="L28" s="75">
        <f t="shared" si="15"/>
        <v>0</v>
      </c>
      <c r="M28" s="75">
        <f t="shared" si="15"/>
        <v>0</v>
      </c>
      <c r="N28" s="75">
        <f t="shared" si="15"/>
        <v>0</v>
      </c>
      <c r="O28" s="75">
        <f t="shared" si="15"/>
        <v>0</v>
      </c>
      <c r="P28" s="75">
        <f t="shared" si="15"/>
        <v>0</v>
      </c>
      <c r="Q28" s="75">
        <f t="shared" si="15"/>
        <v>0</v>
      </c>
      <c r="R28" s="75">
        <f t="shared" si="15"/>
        <v>0</v>
      </c>
      <c r="S28" s="75">
        <f t="shared" si="15"/>
        <v>0</v>
      </c>
      <c r="T28" s="75">
        <f t="shared" si="15"/>
        <v>0</v>
      </c>
      <c r="U28" s="75">
        <f t="shared" si="15"/>
        <v>0</v>
      </c>
      <c r="V28" s="75">
        <f t="shared" si="15"/>
        <v>0</v>
      </c>
      <c r="W28" s="75">
        <f t="shared" si="15"/>
        <v>0</v>
      </c>
      <c r="X28" s="75">
        <f t="shared" si="15"/>
        <v>0</v>
      </c>
      <c r="Y28" s="75">
        <f t="shared" si="15"/>
        <v>0</v>
      </c>
      <c r="Z28" s="75">
        <f t="shared" si="15"/>
        <v>0</v>
      </c>
      <c r="AA28" s="75">
        <f t="shared" si="15"/>
        <v>0</v>
      </c>
      <c r="AB28" s="75">
        <f t="shared" si="15"/>
        <v>0</v>
      </c>
      <c r="AC28" s="75">
        <f t="shared" si="15"/>
        <v>0</v>
      </c>
      <c r="AD28" s="75">
        <f t="shared" si="15"/>
        <v>0</v>
      </c>
      <c r="AE28" s="75">
        <f t="shared" si="15"/>
        <v>0</v>
      </c>
      <c r="AF28" s="75">
        <f t="shared" si="15"/>
        <v>0</v>
      </c>
      <c r="AG28" s="75">
        <f t="shared" si="15"/>
        <v>0</v>
      </c>
      <c r="AH28" s="75">
        <f t="shared" si="15"/>
        <v>0</v>
      </c>
      <c r="AI28" s="75">
        <f t="shared" si="15"/>
        <v>0</v>
      </c>
      <c r="AJ28" s="75">
        <f t="shared" si="15"/>
        <v>0</v>
      </c>
      <c r="AK28" s="75">
        <f t="shared" si="15"/>
        <v>0</v>
      </c>
      <c r="AL28" s="75">
        <f t="shared" si="15"/>
        <v>0</v>
      </c>
      <c r="AM28" s="75">
        <f t="shared" si="15"/>
        <v>0</v>
      </c>
      <c r="AN28" s="75">
        <f t="shared" si="15"/>
        <v>0</v>
      </c>
      <c r="AO28" s="75">
        <f t="shared" si="15"/>
        <v>0</v>
      </c>
      <c r="AP28" s="75">
        <f t="shared" si="15"/>
        <v>0</v>
      </c>
      <c r="AQ28" s="76">
        <f t="shared" si="15"/>
        <v>0</v>
      </c>
    </row>
    <row r="29" spans="1:51" x14ac:dyDescent="0.25">
      <c r="A29" s="93" t="str">
        <f>IFERROR(XIRR(C29:AQ29,$C$10:$AQ$10),"N/A")</f>
        <v>N/A</v>
      </c>
      <c r="B29" s="77" t="s">
        <v>12</v>
      </c>
      <c r="C29" s="78">
        <f>C28-C27</f>
        <v>-61250</v>
      </c>
      <c r="D29" s="79">
        <f t="shared" ref="D29:AQ29" si="16">D28-D27</f>
        <v>0</v>
      </c>
      <c r="E29" s="79">
        <f t="shared" si="16"/>
        <v>0</v>
      </c>
      <c r="F29" s="79">
        <f t="shared" si="16"/>
        <v>0</v>
      </c>
      <c r="G29" s="79">
        <f t="shared" si="16"/>
        <v>0</v>
      </c>
      <c r="H29" s="79">
        <f t="shared" si="16"/>
        <v>0</v>
      </c>
      <c r="I29" s="79">
        <f t="shared" si="16"/>
        <v>0</v>
      </c>
      <c r="J29" s="79">
        <f t="shared" si="16"/>
        <v>0</v>
      </c>
      <c r="K29" s="79">
        <f t="shared" si="16"/>
        <v>0</v>
      </c>
      <c r="L29" s="79">
        <f t="shared" si="16"/>
        <v>0</v>
      </c>
      <c r="M29" s="79">
        <f t="shared" si="16"/>
        <v>0</v>
      </c>
      <c r="N29" s="79">
        <f t="shared" si="16"/>
        <v>0</v>
      </c>
      <c r="O29" s="79">
        <f t="shared" si="16"/>
        <v>0</v>
      </c>
      <c r="P29" s="79">
        <f t="shared" si="16"/>
        <v>0</v>
      </c>
      <c r="Q29" s="79">
        <f t="shared" si="16"/>
        <v>0</v>
      </c>
      <c r="R29" s="79">
        <f t="shared" si="16"/>
        <v>0</v>
      </c>
      <c r="S29" s="79">
        <f t="shared" si="16"/>
        <v>0</v>
      </c>
      <c r="T29" s="79">
        <f t="shared" si="16"/>
        <v>0</v>
      </c>
      <c r="U29" s="79">
        <f t="shared" si="16"/>
        <v>0</v>
      </c>
      <c r="V29" s="79">
        <f t="shared" si="16"/>
        <v>0</v>
      </c>
      <c r="W29" s="79">
        <f t="shared" si="16"/>
        <v>0</v>
      </c>
      <c r="X29" s="79">
        <f t="shared" si="16"/>
        <v>0</v>
      </c>
      <c r="Y29" s="79">
        <f t="shared" si="16"/>
        <v>0</v>
      </c>
      <c r="Z29" s="79">
        <f t="shared" si="16"/>
        <v>0</v>
      </c>
      <c r="AA29" s="79">
        <f t="shared" si="16"/>
        <v>0</v>
      </c>
      <c r="AB29" s="79">
        <f t="shared" si="16"/>
        <v>0</v>
      </c>
      <c r="AC29" s="79">
        <f t="shared" si="16"/>
        <v>0</v>
      </c>
      <c r="AD29" s="79">
        <f t="shared" si="16"/>
        <v>0</v>
      </c>
      <c r="AE29" s="79">
        <f t="shared" si="16"/>
        <v>0</v>
      </c>
      <c r="AF29" s="79">
        <f t="shared" si="16"/>
        <v>0</v>
      </c>
      <c r="AG29" s="79">
        <f t="shared" si="16"/>
        <v>0</v>
      </c>
      <c r="AH29" s="79">
        <f t="shared" si="16"/>
        <v>0</v>
      </c>
      <c r="AI29" s="79">
        <f t="shared" si="16"/>
        <v>0</v>
      </c>
      <c r="AJ29" s="79">
        <f t="shared" si="16"/>
        <v>0</v>
      </c>
      <c r="AK29" s="79">
        <f t="shared" si="16"/>
        <v>0</v>
      </c>
      <c r="AL29" s="79">
        <f t="shared" si="16"/>
        <v>0</v>
      </c>
      <c r="AM29" s="79">
        <f t="shared" si="16"/>
        <v>0</v>
      </c>
      <c r="AN29" s="79">
        <f t="shared" si="16"/>
        <v>0</v>
      </c>
      <c r="AO29" s="79">
        <f t="shared" si="16"/>
        <v>0</v>
      </c>
      <c r="AP29" s="79">
        <f t="shared" si="16"/>
        <v>0</v>
      </c>
      <c r="AQ29" s="80">
        <f t="shared" si="16"/>
        <v>0</v>
      </c>
    </row>
    <row r="30" spans="1:51" x14ac:dyDescent="0.25">
      <c r="B30" s="73" t="s">
        <v>27</v>
      </c>
      <c r="C30" s="74">
        <f>C23+C28</f>
        <v>0</v>
      </c>
      <c r="D30" s="75">
        <f t="shared" ref="D30:AQ30" si="17">D23+D28</f>
        <v>18925.102433825239</v>
      </c>
      <c r="E30" s="75">
        <f t="shared" si="17"/>
        <v>18925.102433825239</v>
      </c>
      <c r="F30" s="75">
        <f t="shared" si="17"/>
        <v>18925.102433825239</v>
      </c>
      <c r="G30" s="75">
        <f t="shared" si="17"/>
        <v>18925.102433825239</v>
      </c>
      <c r="H30" s="75">
        <f t="shared" si="17"/>
        <v>21550.102433825239</v>
      </c>
      <c r="I30" s="75">
        <f t="shared" si="17"/>
        <v>21550.102433825239</v>
      </c>
      <c r="J30" s="75">
        <f t="shared" si="17"/>
        <v>21550.102433825239</v>
      </c>
      <c r="K30" s="75">
        <f t="shared" si="17"/>
        <v>21550.102433825239</v>
      </c>
      <c r="L30" s="75">
        <f t="shared" si="17"/>
        <v>24306.352433825239</v>
      </c>
      <c r="M30" s="75">
        <f t="shared" si="17"/>
        <v>24306.352433825239</v>
      </c>
      <c r="N30" s="75">
        <f t="shared" si="17"/>
        <v>24306.352433825239</v>
      </c>
      <c r="O30" s="75">
        <f t="shared" si="17"/>
        <v>24306.352433825239</v>
      </c>
      <c r="P30" s="75">
        <f t="shared" si="17"/>
        <v>27200.414933825246</v>
      </c>
      <c r="Q30" s="75">
        <f t="shared" si="17"/>
        <v>27200.414933825246</v>
      </c>
      <c r="R30" s="75">
        <f t="shared" si="17"/>
        <v>27200.414933825246</v>
      </c>
      <c r="S30" s="75">
        <f t="shared" si="17"/>
        <v>27200.414933825246</v>
      </c>
      <c r="T30" s="75">
        <f t="shared" si="17"/>
        <v>30239.180558825239</v>
      </c>
      <c r="U30" s="75">
        <f t="shared" si="17"/>
        <v>30239.180558825239</v>
      </c>
      <c r="V30" s="75">
        <f t="shared" si="17"/>
        <v>30239.180558825239</v>
      </c>
      <c r="W30" s="75">
        <f t="shared" si="17"/>
        <v>1160771.7930049025</v>
      </c>
      <c r="X30" s="75">
        <f t="shared" si="17"/>
        <v>0</v>
      </c>
      <c r="Y30" s="75">
        <f t="shared" si="17"/>
        <v>0</v>
      </c>
      <c r="Z30" s="75">
        <f t="shared" si="17"/>
        <v>0</v>
      </c>
      <c r="AA30" s="75">
        <f t="shared" si="17"/>
        <v>0</v>
      </c>
      <c r="AB30" s="75">
        <f t="shared" si="17"/>
        <v>0</v>
      </c>
      <c r="AC30" s="75">
        <f t="shared" si="17"/>
        <v>0</v>
      </c>
      <c r="AD30" s="75">
        <f t="shared" si="17"/>
        <v>0</v>
      </c>
      <c r="AE30" s="75">
        <f t="shared" si="17"/>
        <v>0</v>
      </c>
      <c r="AF30" s="75">
        <f t="shared" si="17"/>
        <v>0</v>
      </c>
      <c r="AG30" s="75">
        <f t="shared" si="17"/>
        <v>0</v>
      </c>
      <c r="AH30" s="75">
        <f t="shared" si="17"/>
        <v>0</v>
      </c>
      <c r="AI30" s="75">
        <f t="shared" si="17"/>
        <v>0</v>
      </c>
      <c r="AJ30" s="75">
        <f t="shared" si="17"/>
        <v>0</v>
      </c>
      <c r="AK30" s="75">
        <f t="shared" si="17"/>
        <v>0</v>
      </c>
      <c r="AL30" s="75">
        <f t="shared" si="17"/>
        <v>0</v>
      </c>
      <c r="AM30" s="75">
        <f t="shared" si="17"/>
        <v>0</v>
      </c>
      <c r="AN30" s="75">
        <f t="shared" si="17"/>
        <v>0</v>
      </c>
      <c r="AO30" s="75">
        <f t="shared" si="17"/>
        <v>0</v>
      </c>
      <c r="AP30" s="75">
        <f t="shared" si="17"/>
        <v>0</v>
      </c>
      <c r="AQ30" s="76">
        <f t="shared" si="17"/>
        <v>0</v>
      </c>
      <c r="AS30" s="82"/>
      <c r="AT30" s="146"/>
      <c r="AU30" s="82"/>
      <c r="AV30" s="147"/>
      <c r="AW30" s="148"/>
      <c r="AX30" s="82"/>
      <c r="AY30" s="146"/>
    </row>
    <row r="31" spans="1:51" x14ac:dyDescent="0.25">
      <c r="B31" s="77" t="s">
        <v>28</v>
      </c>
      <c r="C31" s="78">
        <f>MAX(C13-C30,0)</f>
        <v>0</v>
      </c>
      <c r="D31" s="79">
        <f t="shared" ref="D31:AQ31" si="18">MAX(D13-D30,0)</f>
        <v>0</v>
      </c>
      <c r="E31" s="79">
        <f t="shared" si="18"/>
        <v>0</v>
      </c>
      <c r="F31" s="79">
        <f t="shared" si="18"/>
        <v>0</v>
      </c>
      <c r="G31" s="79">
        <f t="shared" si="18"/>
        <v>0</v>
      </c>
      <c r="H31" s="79">
        <f t="shared" si="18"/>
        <v>0</v>
      </c>
      <c r="I31" s="79">
        <f t="shared" si="18"/>
        <v>0</v>
      </c>
      <c r="J31" s="79">
        <f t="shared" si="18"/>
        <v>0</v>
      </c>
      <c r="K31" s="79">
        <f t="shared" si="18"/>
        <v>0</v>
      </c>
      <c r="L31" s="79">
        <f t="shared" si="18"/>
        <v>0</v>
      </c>
      <c r="M31" s="79">
        <f t="shared" si="18"/>
        <v>0</v>
      </c>
      <c r="N31" s="79">
        <f t="shared" si="18"/>
        <v>0</v>
      </c>
      <c r="O31" s="79">
        <f t="shared" si="18"/>
        <v>0</v>
      </c>
      <c r="P31" s="79">
        <f t="shared" si="18"/>
        <v>0</v>
      </c>
      <c r="Q31" s="79">
        <f t="shared" si="18"/>
        <v>0</v>
      </c>
      <c r="R31" s="79">
        <f t="shared" si="18"/>
        <v>0</v>
      </c>
      <c r="S31" s="79">
        <f t="shared" si="18"/>
        <v>0</v>
      </c>
      <c r="T31" s="79">
        <f t="shared" si="18"/>
        <v>0</v>
      </c>
      <c r="U31" s="79">
        <f t="shared" si="18"/>
        <v>0</v>
      </c>
      <c r="V31" s="79">
        <f t="shared" si="18"/>
        <v>0</v>
      </c>
      <c r="W31" s="79">
        <f t="shared" si="18"/>
        <v>1270577.7587611848</v>
      </c>
      <c r="X31" s="79">
        <f t="shared" si="18"/>
        <v>0</v>
      </c>
      <c r="Y31" s="79">
        <f t="shared" si="18"/>
        <v>0</v>
      </c>
      <c r="Z31" s="79">
        <f t="shared" si="18"/>
        <v>0</v>
      </c>
      <c r="AA31" s="79">
        <f t="shared" si="18"/>
        <v>0</v>
      </c>
      <c r="AB31" s="79">
        <f t="shared" si="18"/>
        <v>0</v>
      </c>
      <c r="AC31" s="79">
        <f t="shared" si="18"/>
        <v>0</v>
      </c>
      <c r="AD31" s="79">
        <f t="shared" si="18"/>
        <v>0</v>
      </c>
      <c r="AE31" s="79">
        <f t="shared" si="18"/>
        <v>0</v>
      </c>
      <c r="AF31" s="79">
        <f t="shared" si="18"/>
        <v>0</v>
      </c>
      <c r="AG31" s="79">
        <f t="shared" si="18"/>
        <v>0</v>
      </c>
      <c r="AH31" s="79">
        <f t="shared" si="18"/>
        <v>0</v>
      </c>
      <c r="AI31" s="79">
        <f t="shared" si="18"/>
        <v>0</v>
      </c>
      <c r="AJ31" s="79">
        <f t="shared" si="18"/>
        <v>0</v>
      </c>
      <c r="AK31" s="79">
        <f t="shared" si="18"/>
        <v>0</v>
      </c>
      <c r="AL31" s="79">
        <f t="shared" si="18"/>
        <v>0</v>
      </c>
      <c r="AM31" s="79">
        <f t="shared" si="18"/>
        <v>0</v>
      </c>
      <c r="AN31" s="79">
        <f t="shared" si="18"/>
        <v>0</v>
      </c>
      <c r="AO31" s="79">
        <f t="shared" si="18"/>
        <v>0</v>
      </c>
      <c r="AP31" s="79">
        <f t="shared" si="18"/>
        <v>0</v>
      </c>
      <c r="AQ31" s="80">
        <f t="shared" si="18"/>
        <v>0</v>
      </c>
      <c r="AW31" s="149"/>
    </row>
    <row r="32" spans="1:51" x14ac:dyDescent="0.25">
      <c r="A32" s="82"/>
      <c r="B32" s="81"/>
      <c r="C32" s="41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6"/>
      <c r="AS32" s="82"/>
      <c r="AU32" s="150"/>
      <c r="AV32" s="147"/>
      <c r="AW32" s="148"/>
      <c r="AX32" s="82"/>
      <c r="AY32" s="146"/>
    </row>
    <row r="33" spans="1:47" x14ac:dyDescent="0.25">
      <c r="A33" s="92" t="s">
        <v>93</v>
      </c>
      <c r="B33" s="18" t="s">
        <v>37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5"/>
    </row>
    <row r="34" spans="1:47" x14ac:dyDescent="0.25">
      <c r="A34" s="151">
        <f>SUM(C23:AQ23,C34:AQ34)/SUM(C30:AQ30,C36:AQ36)</f>
        <v>0.80000000000000016</v>
      </c>
      <c r="B34" s="99" t="s">
        <v>22</v>
      </c>
      <c r="C34" s="74">
        <f>IF(AND(C$9=$M$4,D$9-C$9&lt;&gt;0),MIN($D$6*($G$5*SUM($C$30:C30)-SUM($C$28:C28))/($C$6-$G$5),SUM($C$31:C31)*$D$6),0)</f>
        <v>0</v>
      </c>
      <c r="D34" s="75">
        <f>IF(AND(D$9=$M$4,E$9-D$9&lt;&gt;0),MIN($D$6*($G$5*SUM($C$30:D30)-SUM($C$28:D28))/($C$6-$G$5),SUM($C$31:D31)*$D$6),0)</f>
        <v>0</v>
      </c>
      <c r="E34" s="75">
        <f>IF(AND(E$9=$M$4,F$9-E$9&lt;&gt;0),MIN($D$6*($G$5*SUM($C$30:E30)-SUM($C$28:E28))/($C$6-$G$5),SUM($C$31:E31)*$D$6),0)</f>
        <v>0</v>
      </c>
      <c r="F34" s="75">
        <f>IF(AND(F$9=$M$4,G$9-F$9&lt;&gt;0),MIN($D$6*($G$5*SUM($C$30:F30)-SUM($C$28:F28))/($C$6-$G$5),SUM($C$31:F31)*$D$6),0)</f>
        <v>0</v>
      </c>
      <c r="G34" s="75">
        <f>IF(AND(G$9=$M$4,H$9-G$9&lt;&gt;0),MIN($D$6*($G$5*SUM($C$30:G30)-SUM($C$28:G28))/($C$6-$G$5),SUM($C$31:G31)*$D$6),0)</f>
        <v>0</v>
      </c>
      <c r="H34" s="75">
        <f>IF(AND(H$9=$M$4,I$9-H$9&lt;&gt;0),MIN($D$6*($G$5*SUM($C$30:H30)-SUM($C$28:H28))/($C$6-$G$5),SUM($C$31:H31)*$D$6),0)</f>
        <v>0</v>
      </c>
      <c r="I34" s="75">
        <f>IF(AND(I$9=$M$4,J$9-I$9&lt;&gt;0),MIN($D$6*($G$5*SUM($C$30:I30)-SUM($C$28:I28))/($C$6-$G$5),SUM($C$31:I31)*$D$6),0)</f>
        <v>0</v>
      </c>
      <c r="J34" s="75">
        <f>IF(AND(J$9=$M$4,K$9-J$9&lt;&gt;0),MIN($D$6*($G$5*SUM($C$30:J30)-SUM($C$28:J28))/($C$6-$G$5),SUM($C$31:J31)*$D$6),0)</f>
        <v>0</v>
      </c>
      <c r="K34" s="75">
        <f>IF(AND(K$9=$M$4,L$9-K$9&lt;&gt;0),MIN($D$6*($G$5*SUM($C$30:K30)-SUM($C$28:K28))/($C$6-$G$5),SUM($C$31:K31)*$D$6),0)</f>
        <v>0</v>
      </c>
      <c r="L34" s="75">
        <f>IF(AND(L$9=$M$4,M$9-L$9&lt;&gt;0),MIN($D$6*($G$5*SUM($C$30:L30)-SUM($C$28:L28))/($C$6-$G$5),SUM($C$31:L31)*$D$6),0)</f>
        <v>0</v>
      </c>
      <c r="M34" s="75">
        <f>IF(AND(M$9=$M$4,N$9-M$9&lt;&gt;0),MIN($D$6*($G$5*SUM($C$30:M30)-SUM($C$28:M28))/($C$6-$G$5),SUM($C$31:M31)*$D$6),0)</f>
        <v>0</v>
      </c>
      <c r="N34" s="75">
        <f>IF(AND(N$9=$M$4,O$9-N$9&lt;&gt;0),MIN($D$6*($G$5*SUM($C$30:N30)-SUM($C$28:N28))/($C$6-$G$5),SUM($C$31:N31)*$D$6),0)</f>
        <v>0</v>
      </c>
      <c r="O34" s="75">
        <f>IF(AND(O$9=$M$4,P$9-O$9&lt;&gt;0),MIN($D$6*($G$5*SUM($C$30:O30)-SUM($C$28:O28))/($C$6-$G$5),SUM($C$31:O31)*$D$6),0)</f>
        <v>0</v>
      </c>
      <c r="P34" s="75">
        <f>IF(AND(P$9=$M$4,Q$9-P$9&lt;&gt;0),MIN($D$6*($G$5*SUM($C$30:P30)-SUM($C$28:P28))/($C$6-$G$5),SUM($C$31:P31)*$D$6),0)</f>
        <v>0</v>
      </c>
      <c r="Q34" s="75">
        <f>IF(AND(Q$9=$M$4,R$9-Q$9&lt;&gt;0),MIN($D$6*($G$5*SUM($C$30:Q30)-SUM($C$28:Q28))/($C$6-$G$5),SUM($C$31:Q31)*$D$6),0)</f>
        <v>0</v>
      </c>
      <c r="R34" s="75">
        <f>IF(AND(R$9=$M$4,S$9-R$9&lt;&gt;0),MIN($D$6*($G$5*SUM($C$30:R30)-SUM($C$28:R28))/($C$6-$G$5),SUM($C$31:R31)*$D$6),0)</f>
        <v>0</v>
      </c>
      <c r="S34" s="75">
        <f>IF(AND(S$9=$M$4,T$9-S$9&lt;&gt;0),MIN($D$6*($G$5*SUM($C$30:S30)-SUM($C$28:S28))/($C$6-$G$5),SUM($C$31:S31)*$D$6),0)</f>
        <v>0</v>
      </c>
      <c r="T34" s="75">
        <f>IF(AND(T$9=$M$4,U$9-T$9&lt;&gt;0),MIN($D$6*($G$5*SUM($C$30:T30)-SUM($C$28:T28))/($C$6-$G$5),SUM($C$31:T31)*$D$6),0)</f>
        <v>0</v>
      </c>
      <c r="U34" s="75">
        <f>IF(AND(U$9=$M$4,V$9-U$9&lt;&gt;0),MIN($D$6*($G$5*SUM($C$30:U30)-SUM($C$28:U28))/($C$6-$G$5),SUM($C$31:U31)*$D$6),0)</f>
        <v>0</v>
      </c>
      <c r="V34" s="75">
        <f>IF(AND(V$9=$M$4,W$9-V$9&lt;&gt;0),MIN($D$6*($G$5*SUM($C$30:V30)-SUM($C$28:V28))/($C$6-$G$5),SUM($C$31:V31)*$D$6),0)</f>
        <v>0</v>
      </c>
      <c r="W34" s="75">
        <f>IF(AND(W$9=$M$4,X$9-W$9&lt;&gt;0),MIN($D$6*($G$5*SUM($C$30:W30)-SUM($C$28:W28))/($C$6-$G$5),SUM($C$31:W31)*$D$6),0)</f>
        <v>539805.74120752746</v>
      </c>
      <c r="X34" s="75">
        <f>IF(AND(X$9=$M$4,Y$9-X$9&lt;&gt;0),MIN($D$6*($G$5*SUM($C$30:X30)-SUM($C$28:X28))/($C$6-$G$5),SUM($C$31:X31)*$D$6),0)</f>
        <v>0</v>
      </c>
      <c r="Y34" s="75">
        <f>IF(AND(Y$9=$M$4,Z$9-Y$9&lt;&gt;0),MIN($D$6*($G$5*SUM($C$30:Y30)-SUM($C$28:Y28))/($C$6-$G$5),SUM($C$31:Y31)*$D$6),0)</f>
        <v>0</v>
      </c>
      <c r="Z34" s="75">
        <f>IF(AND(Z$9=$M$4,AA$9-Z$9&lt;&gt;0),MIN($D$6*($G$5*SUM($C$30:Z30)-SUM($C$28:Z28))/($C$6-$G$5),SUM($C$31:Z31)*$D$6),0)</f>
        <v>0</v>
      </c>
      <c r="AA34" s="75">
        <f>IF(AND(AA$9=$M$4,AB$9-AA$9&lt;&gt;0),MIN($D$6*($G$5*SUM($C$30:AA30)-SUM($C$28:AA28))/($C$6-$G$5),SUM($C$31:AA31)*$D$6),0)</f>
        <v>0</v>
      </c>
      <c r="AB34" s="75">
        <f>IF(AND(AB$9=$M$4,AC$9-AB$9&lt;&gt;0),MIN($D$6*($G$5*SUM($C$30:AB30)-SUM($C$28:AB28))/($C$6-$G$5),SUM($C$31:AB31)*$D$6),0)</f>
        <v>0</v>
      </c>
      <c r="AC34" s="75">
        <f>IF(AND(AC$9=$M$4,AD$9-AC$9&lt;&gt;0),MIN($D$6*($G$5*SUM($C$30:AC30)-SUM($C$28:AC28))/($C$6-$G$5),SUM($C$31:AC31)*$D$6),0)</f>
        <v>0</v>
      </c>
      <c r="AD34" s="75">
        <f>IF(AND(AD$9=$M$4,AE$9-AD$9&lt;&gt;0),MIN($D$6*($G$5*SUM($C$30:AD30)-SUM($C$28:AD28))/($C$6-$G$5),SUM($C$31:AD31)*$D$6),0)</f>
        <v>0</v>
      </c>
      <c r="AE34" s="75">
        <f>IF(AND(AE$9=$M$4,AF$9-AE$9&lt;&gt;0),MIN($D$6*($G$5*SUM($C$30:AE30)-SUM($C$28:AE28))/($C$6-$G$5),SUM($C$31:AE31)*$D$6),0)</f>
        <v>0</v>
      </c>
      <c r="AF34" s="75">
        <f>IF(AND(AF$9=$M$4,AG$9-AF$9&lt;&gt;0),MIN($D$6*($G$5*SUM($C$30:AF30)-SUM($C$28:AF28))/($C$6-$G$5),SUM($C$31:AF31)*$D$6),0)</f>
        <v>0</v>
      </c>
      <c r="AG34" s="75">
        <f>IF(AND(AG$9=$M$4,AH$9-AG$9&lt;&gt;0),MIN($D$6*($G$5*SUM($C$30:AG30)-SUM($C$28:AG28))/($C$6-$G$5),SUM($C$31:AG31)*$D$6),0)</f>
        <v>0</v>
      </c>
      <c r="AH34" s="75">
        <f>IF(AND(AH$9=$M$4,AI$9-AH$9&lt;&gt;0),MIN($D$6*($G$5*SUM($C$30:AH30)-SUM($C$28:AH28))/($C$6-$G$5),SUM($C$31:AH31)*$D$6),0)</f>
        <v>0</v>
      </c>
      <c r="AI34" s="75">
        <f>IF(AND(AI$9=$M$4,AJ$9-AI$9&lt;&gt;0),MIN($D$6*($G$5*SUM($C$30:AI30)-SUM($C$28:AI28))/($C$6-$G$5),SUM($C$31:AI31)*$D$6),0)</f>
        <v>0</v>
      </c>
      <c r="AJ34" s="75">
        <f>IF(AND(AJ$9=$M$4,AK$9-AJ$9&lt;&gt;0),MIN($D$6*($G$5*SUM($C$30:AJ30)-SUM($C$28:AJ28))/($C$6-$G$5),SUM($C$31:AJ31)*$D$6),0)</f>
        <v>0</v>
      </c>
      <c r="AK34" s="75">
        <f>IF(AND(AK$9=$M$4,AL$9-AK$9&lt;&gt;0),MIN($D$6*($G$5*SUM($C$30:AK30)-SUM($C$28:AK28))/($C$6-$G$5),SUM($C$31:AK31)*$D$6),0)</f>
        <v>0</v>
      </c>
      <c r="AL34" s="75">
        <f>IF(AND(AL$9=$M$4,AM$9-AL$9&lt;&gt;0),MIN($D$6*($G$5*SUM($C$30:AL30)-SUM($C$28:AL28))/($C$6-$G$5),SUM($C$31:AL31)*$D$6),0)</f>
        <v>0</v>
      </c>
      <c r="AM34" s="75">
        <f>IF(AND(AM$9=$M$4,AN$9-AM$9&lt;&gt;0),MIN($D$6*($G$5*SUM($C$30:AM30)-SUM($C$28:AM28))/($C$6-$G$5),SUM($C$31:AM31)*$D$6),0)</f>
        <v>0</v>
      </c>
      <c r="AN34" s="75">
        <f>IF(AND(AN$9=$M$4,AO$9-AN$9&lt;&gt;0),MIN($D$6*($G$5*SUM($C$30:AN30)-SUM($C$28:AN28))/($C$6-$G$5),SUM($C$31:AN31)*$D$6),0)</f>
        <v>0</v>
      </c>
      <c r="AO34" s="75">
        <f>IF(AND(AO$9=$M$4,AP$9-AO$9&lt;&gt;0),MIN($D$6*($G$5*SUM($C$30:AO30)-SUM($C$28:AO28))/($C$6-$G$5),SUM($C$31:AO31)*$D$6),0)</f>
        <v>0</v>
      </c>
      <c r="AP34" s="75">
        <f>IF(AND(AP$9=$M$4,AQ$9-AP$9&lt;&gt;0),MIN($D$6*($G$5*SUM($C$30:AP30)-SUM($C$28:AP28))/($C$6-$G$5),SUM($C$31:AP31)*$D$6),0)</f>
        <v>0</v>
      </c>
      <c r="AQ34" s="76">
        <f>IF(AND(AQ$9=$M$4,AR$9-AQ$9&lt;&gt;0),MIN($D$6*($G$5*SUM($C$30:AQ30)-SUM($C$28:AQ28))/($C$6-$G$5),SUM($C$31:AQ31)*$D$6),0)</f>
        <v>0</v>
      </c>
    </row>
    <row r="35" spans="1:47" x14ac:dyDescent="0.25">
      <c r="A35" s="152">
        <f>SUM(C28:AQ28,C35:AQ35)/SUM(C30:AQ30,C36:AQ36)</f>
        <v>0.20000000000000004</v>
      </c>
      <c r="B35" s="99" t="s">
        <v>26</v>
      </c>
      <c r="C35" s="74">
        <f>IF(AND(C$9=$M$4,D$9-C$9&lt;&gt;0),MIN($C$6*($G$5*SUM($C$30:C30)-SUM($C$28:C28))/($C$6-$G$5),SUM($C$31:C31)*$C$6),0)</f>
        <v>0</v>
      </c>
      <c r="D35" s="75">
        <f>IF(AND(D$9=$M$4,E$9-D$9&lt;&gt;0),MIN($C$6*($G$5*SUM($C$30:D30)-SUM($C$28:D28))/($C$6-$G$5),SUM($C$31:D31)*$C$6),0)</f>
        <v>0</v>
      </c>
      <c r="E35" s="75">
        <f>IF(AND(E$9=$M$4,F$9-E$9&lt;&gt;0),MIN($C$6*($G$5*SUM($C$30:E30)-SUM($C$28:E28))/($C$6-$G$5),SUM($C$31:E31)*$C$6),0)</f>
        <v>0</v>
      </c>
      <c r="F35" s="75">
        <f>IF(AND(F$9=$M$4,G$9-F$9&lt;&gt;0),MIN($C$6*($G$5*SUM($C$30:F30)-SUM($C$28:F28))/($C$6-$G$5),SUM($C$31:F31)*$C$6),0)</f>
        <v>0</v>
      </c>
      <c r="G35" s="75">
        <f>IF(AND(G$9=$M$4,H$9-G$9&lt;&gt;0),MIN($C$6*($G$5*SUM($C$30:G30)-SUM($C$28:G28))/($C$6-$G$5),SUM($C$31:G31)*$C$6),0)</f>
        <v>0</v>
      </c>
      <c r="H35" s="75">
        <f>IF(AND(H$9=$M$4,I$9-H$9&lt;&gt;0),MIN($C$6*($G$5*SUM($C$30:H30)-SUM($C$28:H28))/($C$6-$G$5),SUM($C$31:H31)*$C$6),0)</f>
        <v>0</v>
      </c>
      <c r="I35" s="75">
        <f>IF(AND(I$9=$M$4,J$9-I$9&lt;&gt;0),MIN($C$6*($G$5*SUM($C$30:I30)-SUM($C$28:I28))/($C$6-$G$5),SUM($C$31:I31)*$C$6),0)</f>
        <v>0</v>
      </c>
      <c r="J35" s="75">
        <f>IF(AND(J$9=$M$4,K$9-J$9&lt;&gt;0),MIN($C$6*($G$5*SUM($C$30:J30)-SUM($C$28:J28))/($C$6-$G$5),SUM($C$31:J31)*$C$6),0)</f>
        <v>0</v>
      </c>
      <c r="K35" s="75">
        <f>IF(AND(K$9=$M$4,L$9-K$9&lt;&gt;0),MIN($C$6*($G$5*SUM($C$30:K30)-SUM($C$28:K28))/($C$6-$G$5),SUM($C$31:K31)*$C$6),0)</f>
        <v>0</v>
      </c>
      <c r="L35" s="75">
        <f>IF(AND(L$9=$M$4,M$9-L$9&lt;&gt;0),MIN($C$6*($G$5*SUM($C$30:L30)-SUM($C$28:L28))/($C$6-$G$5),SUM($C$31:L31)*$C$6),0)</f>
        <v>0</v>
      </c>
      <c r="M35" s="75">
        <f>IF(AND(M$9=$M$4,N$9-M$9&lt;&gt;0),MIN($C$6*($G$5*SUM($C$30:M30)-SUM($C$28:M28))/($C$6-$G$5),SUM($C$31:M31)*$C$6),0)</f>
        <v>0</v>
      </c>
      <c r="N35" s="75">
        <f>IF(AND(N$9=$M$4,O$9-N$9&lt;&gt;0),MIN($C$6*($G$5*SUM($C$30:N30)-SUM($C$28:N28))/($C$6-$G$5),SUM($C$31:N31)*$C$6),0)</f>
        <v>0</v>
      </c>
      <c r="O35" s="75">
        <f>IF(AND(O$9=$M$4,P$9-O$9&lt;&gt;0),MIN($C$6*($G$5*SUM($C$30:O30)-SUM($C$28:O28))/($C$6-$G$5),SUM($C$31:O31)*$C$6),0)</f>
        <v>0</v>
      </c>
      <c r="P35" s="75">
        <f>IF(AND(P$9=$M$4,Q$9-P$9&lt;&gt;0),MIN($C$6*($G$5*SUM($C$30:P30)-SUM($C$28:P28))/($C$6-$G$5),SUM($C$31:P31)*$C$6),0)</f>
        <v>0</v>
      </c>
      <c r="Q35" s="75">
        <f>IF(AND(Q$9=$M$4,R$9-Q$9&lt;&gt;0),MIN($C$6*($G$5*SUM($C$30:Q30)-SUM($C$28:Q28))/($C$6-$G$5),SUM($C$31:Q31)*$C$6),0)</f>
        <v>0</v>
      </c>
      <c r="R35" s="75">
        <f>IF(AND(R$9=$M$4,S$9-R$9&lt;&gt;0),MIN($C$6*($G$5*SUM($C$30:R30)-SUM($C$28:R28))/($C$6-$G$5),SUM($C$31:R31)*$C$6),0)</f>
        <v>0</v>
      </c>
      <c r="S35" s="75">
        <f>IF(AND(S$9=$M$4,T$9-S$9&lt;&gt;0),MIN($C$6*($G$5*SUM($C$30:S30)-SUM($C$28:S28))/($C$6-$G$5),SUM($C$31:S31)*$C$6),0)</f>
        <v>0</v>
      </c>
      <c r="T35" s="75">
        <f>IF(AND(T$9=$M$4,U$9-T$9&lt;&gt;0),MIN($C$6*($G$5*SUM($C$30:T30)-SUM($C$28:T28))/($C$6-$G$5),SUM($C$31:T31)*$C$6),0)</f>
        <v>0</v>
      </c>
      <c r="U35" s="75">
        <f>IF(AND(U$9=$M$4,V$9-U$9&lt;&gt;0),MIN($C$6*($G$5*SUM($C$30:U30)-SUM($C$28:U28))/($C$6-$G$5),SUM($C$31:U31)*$C$6),0)</f>
        <v>0</v>
      </c>
      <c r="V35" s="75">
        <f>IF(AND(V$9=$M$4,W$9-V$9&lt;&gt;0),MIN($C$6*($G$5*SUM($C$30:V30)-SUM($C$28:V28))/($C$6-$G$5),SUM($C$31:V31)*$C$6),0)</f>
        <v>0</v>
      </c>
      <c r="W35" s="75">
        <f>IF(AND(W$9=$M$4,X$9-W$9&lt;&gt;0),MIN($C$6*($G$5*SUM($C$30:W30)-SUM($C$28:W28))/($C$6-$G$5),SUM($C$31:W31)*$C$6),0)</f>
        <v>539805.74120752746</v>
      </c>
      <c r="X35" s="75">
        <f>IF(AND(X$9=$M$4,Y$9-X$9&lt;&gt;0),MIN($C$6*($G$5*SUM($C$30:X30)-SUM($C$28:X28))/($C$6-$G$5),SUM($C$31:X31)*$C$6),0)</f>
        <v>0</v>
      </c>
      <c r="Y35" s="75">
        <f>IF(AND(Y$9=$M$4,Z$9-Y$9&lt;&gt;0),MIN($C$6*($G$5*SUM($C$30:Y30)-SUM($C$28:Y28))/($C$6-$G$5),SUM($C$31:Y31)*$C$6),0)</f>
        <v>0</v>
      </c>
      <c r="Z35" s="75">
        <f>IF(AND(Z$9=$M$4,AA$9-Z$9&lt;&gt;0),MIN($C$6*($G$5*SUM($C$30:Z30)-SUM($C$28:Z28))/($C$6-$G$5),SUM($C$31:Z31)*$C$6),0)</f>
        <v>0</v>
      </c>
      <c r="AA35" s="75">
        <f>IF(AND(AA$9=$M$4,AB$9-AA$9&lt;&gt;0),MIN($C$6*($G$5*SUM($C$30:AA30)-SUM($C$28:AA28))/($C$6-$G$5),SUM($C$31:AA31)*$C$6),0)</f>
        <v>0</v>
      </c>
      <c r="AB35" s="75">
        <f>IF(AND(AB$9=$M$4,AC$9-AB$9&lt;&gt;0),MIN($C$6*($G$5*SUM($C$30:AB30)-SUM($C$28:AB28))/($C$6-$G$5),SUM($C$31:AB31)*$C$6),0)</f>
        <v>0</v>
      </c>
      <c r="AC35" s="75">
        <f>IF(AND(AC$9=$M$4,AD$9-AC$9&lt;&gt;0),MIN($C$6*($G$5*SUM($C$30:AC30)-SUM($C$28:AC28))/($C$6-$G$5),SUM($C$31:AC31)*$C$6),0)</f>
        <v>0</v>
      </c>
      <c r="AD35" s="75">
        <f>IF(AND(AD$9=$M$4,AE$9-AD$9&lt;&gt;0),MIN($C$6*($G$5*SUM($C$30:AD30)-SUM($C$28:AD28))/($C$6-$G$5),SUM($C$31:AD31)*$C$6),0)</f>
        <v>0</v>
      </c>
      <c r="AE35" s="75">
        <f>IF(AND(AE$9=$M$4,AF$9-AE$9&lt;&gt;0),MIN($C$6*($G$5*SUM($C$30:AE30)-SUM($C$28:AE28))/($C$6-$G$5),SUM($C$31:AE31)*$C$6),0)</f>
        <v>0</v>
      </c>
      <c r="AF35" s="75">
        <f>IF(AND(AF$9=$M$4,AG$9-AF$9&lt;&gt;0),MIN($C$6*($G$5*SUM($C$30:AF30)-SUM($C$28:AF28))/($C$6-$G$5),SUM($C$31:AF31)*$C$6),0)</f>
        <v>0</v>
      </c>
      <c r="AG35" s="75">
        <f>IF(AND(AG$9=$M$4,AH$9-AG$9&lt;&gt;0),MIN($C$6*($G$5*SUM($C$30:AG30)-SUM($C$28:AG28))/($C$6-$G$5),SUM($C$31:AG31)*$C$6),0)</f>
        <v>0</v>
      </c>
      <c r="AH35" s="75">
        <f>IF(AND(AH$9=$M$4,AI$9-AH$9&lt;&gt;0),MIN($C$6*($G$5*SUM($C$30:AH30)-SUM($C$28:AH28))/($C$6-$G$5),SUM($C$31:AH31)*$C$6),0)</f>
        <v>0</v>
      </c>
      <c r="AI35" s="75">
        <f>IF(AND(AI$9=$M$4,AJ$9-AI$9&lt;&gt;0),MIN($C$6*($G$5*SUM($C$30:AI30)-SUM($C$28:AI28))/($C$6-$G$5),SUM($C$31:AI31)*$C$6),0)</f>
        <v>0</v>
      </c>
      <c r="AJ35" s="75">
        <f>IF(AND(AJ$9=$M$4,AK$9-AJ$9&lt;&gt;0),MIN($C$6*($G$5*SUM($C$30:AJ30)-SUM($C$28:AJ28))/($C$6-$G$5),SUM($C$31:AJ31)*$C$6),0)</f>
        <v>0</v>
      </c>
      <c r="AK35" s="75">
        <f>IF(AND(AK$9=$M$4,AL$9-AK$9&lt;&gt;0),MIN($C$6*($G$5*SUM($C$30:AK30)-SUM($C$28:AK28))/($C$6-$G$5),SUM($C$31:AK31)*$C$6),0)</f>
        <v>0</v>
      </c>
      <c r="AL35" s="75">
        <f>IF(AND(AL$9=$M$4,AM$9-AL$9&lt;&gt;0),MIN($C$6*($G$5*SUM($C$30:AL30)-SUM($C$28:AL28))/($C$6-$G$5),SUM($C$31:AL31)*$C$6),0)</f>
        <v>0</v>
      </c>
      <c r="AM35" s="75">
        <f>IF(AND(AM$9=$M$4,AN$9-AM$9&lt;&gt;0),MIN($C$6*($G$5*SUM($C$30:AM30)-SUM($C$28:AM28))/($C$6-$G$5),SUM($C$31:AM31)*$C$6),0)</f>
        <v>0</v>
      </c>
      <c r="AN35" s="75">
        <f>IF(AND(AN$9=$M$4,AO$9-AN$9&lt;&gt;0),MIN($C$6*($G$5*SUM($C$30:AN30)-SUM($C$28:AN28))/($C$6-$G$5),SUM($C$31:AN31)*$C$6),0)</f>
        <v>0</v>
      </c>
      <c r="AO35" s="75">
        <f>IF(AND(AO$9=$M$4,AP$9-AO$9&lt;&gt;0),MIN($C$6*($G$5*SUM($C$30:AO30)-SUM($C$28:AO28))/($C$6-$G$5),SUM($C$31:AO31)*$C$6),0)</f>
        <v>0</v>
      </c>
      <c r="AP35" s="75">
        <f>IF(AND(AP$9=$M$4,AQ$9-AP$9&lt;&gt;0),MIN($C$6*($G$5*SUM($C$30:AP30)-SUM($C$28:AP28))/($C$6-$G$5),SUM($C$31:AP31)*$C$6),0)</f>
        <v>0</v>
      </c>
      <c r="AQ35" s="76">
        <f>IF(AND(AQ$9=$M$4,AR$9-AQ$9&lt;&gt;0),MIN($C$6*($G$5*SUM($C$30:AQ30)-SUM($C$28:AQ28))/($C$6-$G$5),SUM($C$31:AQ31)*$C$6),0)</f>
        <v>0</v>
      </c>
      <c r="AR35" s="82"/>
      <c r="AU35" s="146"/>
    </row>
    <row r="36" spans="1:47" x14ac:dyDescent="0.25">
      <c r="B36" s="73" t="s">
        <v>27</v>
      </c>
      <c r="C36" s="74">
        <f>SUM(C34:C35)</f>
        <v>0</v>
      </c>
      <c r="D36" s="75">
        <f t="shared" ref="D36:AQ36" si="19">SUM(D34:D35)</f>
        <v>0</v>
      </c>
      <c r="E36" s="75">
        <f t="shared" si="19"/>
        <v>0</v>
      </c>
      <c r="F36" s="75">
        <f t="shared" si="19"/>
        <v>0</v>
      </c>
      <c r="G36" s="75">
        <f t="shared" si="19"/>
        <v>0</v>
      </c>
      <c r="H36" s="75">
        <f t="shared" si="19"/>
        <v>0</v>
      </c>
      <c r="I36" s="75">
        <f t="shared" si="19"/>
        <v>0</v>
      </c>
      <c r="J36" s="75">
        <f t="shared" si="19"/>
        <v>0</v>
      </c>
      <c r="K36" s="75">
        <f t="shared" si="19"/>
        <v>0</v>
      </c>
      <c r="L36" s="75">
        <f t="shared" si="19"/>
        <v>0</v>
      </c>
      <c r="M36" s="75">
        <f t="shared" si="19"/>
        <v>0</v>
      </c>
      <c r="N36" s="75">
        <f t="shared" si="19"/>
        <v>0</v>
      </c>
      <c r="O36" s="75">
        <f t="shared" si="19"/>
        <v>0</v>
      </c>
      <c r="P36" s="75">
        <f t="shared" si="19"/>
        <v>0</v>
      </c>
      <c r="Q36" s="75">
        <f t="shared" si="19"/>
        <v>0</v>
      </c>
      <c r="R36" s="75">
        <f t="shared" si="19"/>
        <v>0</v>
      </c>
      <c r="S36" s="75">
        <f t="shared" si="19"/>
        <v>0</v>
      </c>
      <c r="T36" s="75">
        <f t="shared" si="19"/>
        <v>0</v>
      </c>
      <c r="U36" s="75">
        <f t="shared" si="19"/>
        <v>0</v>
      </c>
      <c r="V36" s="75">
        <f t="shared" si="19"/>
        <v>0</v>
      </c>
      <c r="W36" s="75">
        <f t="shared" si="19"/>
        <v>1079611.4824150549</v>
      </c>
      <c r="X36" s="75">
        <f t="shared" si="19"/>
        <v>0</v>
      </c>
      <c r="Y36" s="75">
        <f t="shared" si="19"/>
        <v>0</v>
      </c>
      <c r="Z36" s="75">
        <f t="shared" si="19"/>
        <v>0</v>
      </c>
      <c r="AA36" s="75">
        <f t="shared" si="19"/>
        <v>0</v>
      </c>
      <c r="AB36" s="75">
        <f t="shared" si="19"/>
        <v>0</v>
      </c>
      <c r="AC36" s="75">
        <f t="shared" si="19"/>
        <v>0</v>
      </c>
      <c r="AD36" s="75">
        <f t="shared" si="19"/>
        <v>0</v>
      </c>
      <c r="AE36" s="75">
        <f t="shared" si="19"/>
        <v>0</v>
      </c>
      <c r="AF36" s="75">
        <f t="shared" si="19"/>
        <v>0</v>
      </c>
      <c r="AG36" s="75">
        <f t="shared" si="19"/>
        <v>0</v>
      </c>
      <c r="AH36" s="75">
        <f t="shared" si="19"/>
        <v>0</v>
      </c>
      <c r="AI36" s="75">
        <f t="shared" si="19"/>
        <v>0</v>
      </c>
      <c r="AJ36" s="75">
        <f t="shared" si="19"/>
        <v>0</v>
      </c>
      <c r="AK36" s="75">
        <f t="shared" si="19"/>
        <v>0</v>
      </c>
      <c r="AL36" s="75">
        <f t="shared" si="19"/>
        <v>0</v>
      </c>
      <c r="AM36" s="75">
        <f t="shared" si="19"/>
        <v>0</v>
      </c>
      <c r="AN36" s="75">
        <f t="shared" si="19"/>
        <v>0</v>
      </c>
      <c r="AO36" s="75">
        <f t="shared" si="19"/>
        <v>0</v>
      </c>
      <c r="AP36" s="75">
        <f t="shared" si="19"/>
        <v>0</v>
      </c>
      <c r="AQ36" s="76">
        <f t="shared" si="19"/>
        <v>0</v>
      </c>
    </row>
    <row r="37" spans="1:47" x14ac:dyDescent="0.25">
      <c r="B37" s="77" t="s">
        <v>28</v>
      </c>
      <c r="C37" s="78">
        <f>C31-C36</f>
        <v>0</v>
      </c>
      <c r="D37" s="79">
        <f t="shared" ref="D37:AQ37" si="20">D31-D36</f>
        <v>0</v>
      </c>
      <c r="E37" s="79">
        <f t="shared" si="20"/>
        <v>0</v>
      </c>
      <c r="F37" s="79">
        <f t="shared" si="20"/>
        <v>0</v>
      </c>
      <c r="G37" s="79">
        <f t="shared" si="20"/>
        <v>0</v>
      </c>
      <c r="H37" s="79">
        <f t="shared" si="20"/>
        <v>0</v>
      </c>
      <c r="I37" s="79">
        <f t="shared" si="20"/>
        <v>0</v>
      </c>
      <c r="J37" s="79">
        <f t="shared" si="20"/>
        <v>0</v>
      </c>
      <c r="K37" s="79">
        <f t="shared" si="20"/>
        <v>0</v>
      </c>
      <c r="L37" s="79">
        <f t="shared" si="20"/>
        <v>0</v>
      </c>
      <c r="M37" s="79">
        <f t="shared" si="20"/>
        <v>0</v>
      </c>
      <c r="N37" s="79">
        <f t="shared" si="20"/>
        <v>0</v>
      </c>
      <c r="O37" s="79">
        <f t="shared" si="20"/>
        <v>0</v>
      </c>
      <c r="P37" s="79">
        <f t="shared" si="20"/>
        <v>0</v>
      </c>
      <c r="Q37" s="79">
        <f t="shared" si="20"/>
        <v>0</v>
      </c>
      <c r="R37" s="79">
        <f t="shared" si="20"/>
        <v>0</v>
      </c>
      <c r="S37" s="79">
        <f t="shared" si="20"/>
        <v>0</v>
      </c>
      <c r="T37" s="79">
        <f t="shared" si="20"/>
        <v>0</v>
      </c>
      <c r="U37" s="79">
        <f t="shared" si="20"/>
        <v>0</v>
      </c>
      <c r="V37" s="79">
        <f t="shared" si="20"/>
        <v>0</v>
      </c>
      <c r="W37" s="79">
        <f t="shared" si="20"/>
        <v>190966.27634612983</v>
      </c>
      <c r="X37" s="79">
        <f t="shared" si="20"/>
        <v>0</v>
      </c>
      <c r="Y37" s="79">
        <f t="shared" si="20"/>
        <v>0</v>
      </c>
      <c r="Z37" s="79">
        <f t="shared" si="20"/>
        <v>0</v>
      </c>
      <c r="AA37" s="79">
        <f t="shared" si="20"/>
        <v>0</v>
      </c>
      <c r="AB37" s="79">
        <f t="shared" si="20"/>
        <v>0</v>
      </c>
      <c r="AC37" s="79">
        <f t="shared" si="20"/>
        <v>0</v>
      </c>
      <c r="AD37" s="79">
        <f t="shared" si="20"/>
        <v>0</v>
      </c>
      <c r="AE37" s="79">
        <f t="shared" si="20"/>
        <v>0</v>
      </c>
      <c r="AF37" s="79">
        <f t="shared" si="20"/>
        <v>0</v>
      </c>
      <c r="AG37" s="79">
        <f t="shared" si="20"/>
        <v>0</v>
      </c>
      <c r="AH37" s="79">
        <f t="shared" si="20"/>
        <v>0</v>
      </c>
      <c r="AI37" s="79">
        <f t="shared" si="20"/>
        <v>0</v>
      </c>
      <c r="AJ37" s="79">
        <f t="shared" si="20"/>
        <v>0</v>
      </c>
      <c r="AK37" s="79">
        <f t="shared" si="20"/>
        <v>0</v>
      </c>
      <c r="AL37" s="79">
        <f t="shared" si="20"/>
        <v>0</v>
      </c>
      <c r="AM37" s="79">
        <f t="shared" si="20"/>
        <v>0</v>
      </c>
      <c r="AN37" s="79">
        <f t="shared" si="20"/>
        <v>0</v>
      </c>
      <c r="AO37" s="79">
        <f t="shared" si="20"/>
        <v>0</v>
      </c>
      <c r="AP37" s="79">
        <f t="shared" si="20"/>
        <v>0</v>
      </c>
      <c r="AQ37" s="80">
        <f t="shared" si="20"/>
        <v>0</v>
      </c>
    </row>
    <row r="38" spans="1:47" x14ac:dyDescent="0.25">
      <c r="A38" s="153"/>
      <c r="B38" s="81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6"/>
    </row>
    <row r="39" spans="1:47" x14ac:dyDescent="0.25">
      <c r="A39" s="130"/>
      <c r="B39" s="18" t="s">
        <v>41</v>
      </c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5"/>
    </row>
    <row r="40" spans="1:47" x14ac:dyDescent="0.25">
      <c r="A40" s="130"/>
      <c r="B40" s="73" t="s">
        <v>22</v>
      </c>
      <c r="C40" s="70">
        <f>C37*$D$7</f>
        <v>0</v>
      </c>
      <c r="D40" s="71">
        <f t="shared" ref="D40:AQ40" si="21">D37*$D$7</f>
        <v>0</v>
      </c>
      <c r="E40" s="71">
        <f t="shared" si="21"/>
        <v>0</v>
      </c>
      <c r="F40" s="71">
        <f t="shared" si="21"/>
        <v>0</v>
      </c>
      <c r="G40" s="71">
        <f t="shared" si="21"/>
        <v>0</v>
      </c>
      <c r="H40" s="71">
        <f t="shared" si="21"/>
        <v>0</v>
      </c>
      <c r="I40" s="71">
        <f t="shared" si="21"/>
        <v>0</v>
      </c>
      <c r="J40" s="71">
        <f t="shared" si="21"/>
        <v>0</v>
      </c>
      <c r="K40" s="71">
        <f t="shared" si="21"/>
        <v>0</v>
      </c>
      <c r="L40" s="71">
        <f t="shared" si="21"/>
        <v>0</v>
      </c>
      <c r="M40" s="71">
        <f t="shared" si="21"/>
        <v>0</v>
      </c>
      <c r="N40" s="71">
        <f t="shared" si="21"/>
        <v>0</v>
      </c>
      <c r="O40" s="71">
        <f t="shared" si="21"/>
        <v>0</v>
      </c>
      <c r="P40" s="71">
        <f t="shared" si="21"/>
        <v>0</v>
      </c>
      <c r="Q40" s="71">
        <f t="shared" si="21"/>
        <v>0</v>
      </c>
      <c r="R40" s="71">
        <f t="shared" si="21"/>
        <v>0</v>
      </c>
      <c r="S40" s="71">
        <f t="shared" si="21"/>
        <v>0</v>
      </c>
      <c r="T40" s="71">
        <f t="shared" si="21"/>
        <v>0</v>
      </c>
      <c r="U40" s="71">
        <f t="shared" si="21"/>
        <v>0</v>
      </c>
      <c r="V40" s="71">
        <f t="shared" si="21"/>
        <v>0</v>
      </c>
      <c r="W40" s="71">
        <f t="shared" si="21"/>
        <v>152773.02107690388</v>
      </c>
      <c r="X40" s="71">
        <f t="shared" si="21"/>
        <v>0</v>
      </c>
      <c r="Y40" s="71">
        <f t="shared" si="21"/>
        <v>0</v>
      </c>
      <c r="Z40" s="71">
        <f t="shared" si="21"/>
        <v>0</v>
      </c>
      <c r="AA40" s="71">
        <f t="shared" si="21"/>
        <v>0</v>
      </c>
      <c r="AB40" s="71">
        <f t="shared" si="21"/>
        <v>0</v>
      </c>
      <c r="AC40" s="71">
        <f t="shared" si="21"/>
        <v>0</v>
      </c>
      <c r="AD40" s="71">
        <f t="shared" si="21"/>
        <v>0</v>
      </c>
      <c r="AE40" s="71">
        <f t="shared" si="21"/>
        <v>0</v>
      </c>
      <c r="AF40" s="71">
        <f t="shared" si="21"/>
        <v>0</v>
      </c>
      <c r="AG40" s="71">
        <f t="shared" si="21"/>
        <v>0</v>
      </c>
      <c r="AH40" s="71">
        <f t="shared" si="21"/>
        <v>0</v>
      </c>
      <c r="AI40" s="71">
        <f t="shared" si="21"/>
        <v>0</v>
      </c>
      <c r="AJ40" s="71">
        <f t="shared" si="21"/>
        <v>0</v>
      </c>
      <c r="AK40" s="71">
        <f t="shared" si="21"/>
        <v>0</v>
      </c>
      <c r="AL40" s="71">
        <f t="shared" si="21"/>
        <v>0</v>
      </c>
      <c r="AM40" s="71">
        <f t="shared" si="21"/>
        <v>0</v>
      </c>
      <c r="AN40" s="71">
        <f t="shared" si="21"/>
        <v>0</v>
      </c>
      <c r="AO40" s="71">
        <f t="shared" si="21"/>
        <v>0</v>
      </c>
      <c r="AP40" s="71">
        <f t="shared" si="21"/>
        <v>0</v>
      </c>
      <c r="AQ40" s="72">
        <f t="shared" si="21"/>
        <v>0</v>
      </c>
      <c r="AR40" s="146"/>
    </row>
    <row r="41" spans="1:47" x14ac:dyDescent="0.25">
      <c r="A41" s="153"/>
      <c r="B41" s="73" t="s">
        <v>26</v>
      </c>
      <c r="C41" s="74">
        <f>C37*$C$7</f>
        <v>0</v>
      </c>
      <c r="D41" s="75">
        <f t="shared" ref="D41:AQ41" si="22">D37*$C$7</f>
        <v>0</v>
      </c>
      <c r="E41" s="75">
        <f t="shared" si="22"/>
        <v>0</v>
      </c>
      <c r="F41" s="75">
        <f t="shared" si="22"/>
        <v>0</v>
      </c>
      <c r="G41" s="75">
        <f t="shared" si="22"/>
        <v>0</v>
      </c>
      <c r="H41" s="75">
        <f t="shared" si="22"/>
        <v>0</v>
      </c>
      <c r="I41" s="75">
        <f t="shared" si="22"/>
        <v>0</v>
      </c>
      <c r="J41" s="75">
        <f t="shared" si="22"/>
        <v>0</v>
      </c>
      <c r="K41" s="75">
        <f t="shared" si="22"/>
        <v>0</v>
      </c>
      <c r="L41" s="75">
        <f t="shared" si="22"/>
        <v>0</v>
      </c>
      <c r="M41" s="75">
        <f t="shared" si="22"/>
        <v>0</v>
      </c>
      <c r="N41" s="75">
        <f t="shared" si="22"/>
        <v>0</v>
      </c>
      <c r="O41" s="75">
        <f t="shared" si="22"/>
        <v>0</v>
      </c>
      <c r="P41" s="75">
        <f t="shared" si="22"/>
        <v>0</v>
      </c>
      <c r="Q41" s="75">
        <f t="shared" si="22"/>
        <v>0</v>
      </c>
      <c r="R41" s="75">
        <f t="shared" si="22"/>
        <v>0</v>
      </c>
      <c r="S41" s="75">
        <f t="shared" si="22"/>
        <v>0</v>
      </c>
      <c r="T41" s="75">
        <f t="shared" si="22"/>
        <v>0</v>
      </c>
      <c r="U41" s="75">
        <f t="shared" si="22"/>
        <v>0</v>
      </c>
      <c r="V41" s="75">
        <f t="shared" si="22"/>
        <v>0</v>
      </c>
      <c r="W41" s="75">
        <f t="shared" si="22"/>
        <v>38193.255269225971</v>
      </c>
      <c r="X41" s="75">
        <f t="shared" si="22"/>
        <v>0</v>
      </c>
      <c r="Y41" s="75">
        <f t="shared" si="22"/>
        <v>0</v>
      </c>
      <c r="Z41" s="75">
        <f t="shared" si="22"/>
        <v>0</v>
      </c>
      <c r="AA41" s="75">
        <f t="shared" si="22"/>
        <v>0</v>
      </c>
      <c r="AB41" s="75">
        <f t="shared" si="22"/>
        <v>0</v>
      </c>
      <c r="AC41" s="75">
        <f t="shared" si="22"/>
        <v>0</v>
      </c>
      <c r="AD41" s="75">
        <f t="shared" si="22"/>
        <v>0</v>
      </c>
      <c r="AE41" s="75">
        <f t="shared" si="22"/>
        <v>0</v>
      </c>
      <c r="AF41" s="75">
        <f t="shared" si="22"/>
        <v>0</v>
      </c>
      <c r="AG41" s="75">
        <f t="shared" si="22"/>
        <v>0</v>
      </c>
      <c r="AH41" s="75">
        <f t="shared" si="22"/>
        <v>0</v>
      </c>
      <c r="AI41" s="75">
        <f t="shared" si="22"/>
        <v>0</v>
      </c>
      <c r="AJ41" s="75">
        <f t="shared" si="22"/>
        <v>0</v>
      </c>
      <c r="AK41" s="75">
        <f t="shared" si="22"/>
        <v>0</v>
      </c>
      <c r="AL41" s="75">
        <f t="shared" si="22"/>
        <v>0</v>
      </c>
      <c r="AM41" s="75">
        <f t="shared" si="22"/>
        <v>0</v>
      </c>
      <c r="AN41" s="75">
        <f t="shared" si="22"/>
        <v>0</v>
      </c>
      <c r="AO41" s="75">
        <f t="shared" si="22"/>
        <v>0</v>
      </c>
      <c r="AP41" s="75">
        <f t="shared" si="22"/>
        <v>0</v>
      </c>
      <c r="AQ41" s="76">
        <f t="shared" si="22"/>
        <v>0</v>
      </c>
      <c r="AR41" s="146"/>
    </row>
    <row r="42" spans="1:47" x14ac:dyDescent="0.25">
      <c r="A42" s="130"/>
      <c r="B42" s="73" t="s">
        <v>27</v>
      </c>
      <c r="C42" s="74">
        <f>SUM(C40:C41)</f>
        <v>0</v>
      </c>
      <c r="D42" s="75">
        <f t="shared" ref="D42:AQ42" si="23">SUM(D40:D41)</f>
        <v>0</v>
      </c>
      <c r="E42" s="75">
        <f t="shared" si="23"/>
        <v>0</v>
      </c>
      <c r="F42" s="75">
        <f t="shared" si="23"/>
        <v>0</v>
      </c>
      <c r="G42" s="75">
        <f t="shared" si="23"/>
        <v>0</v>
      </c>
      <c r="H42" s="75">
        <f t="shared" si="23"/>
        <v>0</v>
      </c>
      <c r="I42" s="75">
        <f t="shared" si="23"/>
        <v>0</v>
      </c>
      <c r="J42" s="75">
        <f t="shared" si="23"/>
        <v>0</v>
      </c>
      <c r="K42" s="75">
        <f t="shared" si="23"/>
        <v>0</v>
      </c>
      <c r="L42" s="75">
        <f t="shared" si="23"/>
        <v>0</v>
      </c>
      <c r="M42" s="75">
        <f t="shared" si="23"/>
        <v>0</v>
      </c>
      <c r="N42" s="75">
        <f t="shared" si="23"/>
        <v>0</v>
      </c>
      <c r="O42" s="75">
        <f t="shared" si="23"/>
        <v>0</v>
      </c>
      <c r="P42" s="75">
        <f t="shared" si="23"/>
        <v>0</v>
      </c>
      <c r="Q42" s="75">
        <f t="shared" si="23"/>
        <v>0</v>
      </c>
      <c r="R42" s="75">
        <f t="shared" si="23"/>
        <v>0</v>
      </c>
      <c r="S42" s="75">
        <f t="shared" si="23"/>
        <v>0</v>
      </c>
      <c r="T42" s="75">
        <f t="shared" si="23"/>
        <v>0</v>
      </c>
      <c r="U42" s="75">
        <f t="shared" si="23"/>
        <v>0</v>
      </c>
      <c r="V42" s="75">
        <f t="shared" si="23"/>
        <v>0</v>
      </c>
      <c r="W42" s="75">
        <f t="shared" si="23"/>
        <v>190966.27634612986</v>
      </c>
      <c r="X42" s="75">
        <f t="shared" si="23"/>
        <v>0</v>
      </c>
      <c r="Y42" s="75">
        <f t="shared" si="23"/>
        <v>0</v>
      </c>
      <c r="Z42" s="75">
        <f t="shared" si="23"/>
        <v>0</v>
      </c>
      <c r="AA42" s="75">
        <f t="shared" si="23"/>
        <v>0</v>
      </c>
      <c r="AB42" s="75">
        <f t="shared" si="23"/>
        <v>0</v>
      </c>
      <c r="AC42" s="75">
        <f t="shared" si="23"/>
        <v>0</v>
      </c>
      <c r="AD42" s="75">
        <f t="shared" si="23"/>
        <v>0</v>
      </c>
      <c r="AE42" s="75">
        <f t="shared" si="23"/>
        <v>0</v>
      </c>
      <c r="AF42" s="75">
        <f t="shared" si="23"/>
        <v>0</v>
      </c>
      <c r="AG42" s="75">
        <f t="shared" si="23"/>
        <v>0</v>
      </c>
      <c r="AH42" s="75">
        <f t="shared" si="23"/>
        <v>0</v>
      </c>
      <c r="AI42" s="75">
        <f t="shared" si="23"/>
        <v>0</v>
      </c>
      <c r="AJ42" s="75">
        <f t="shared" si="23"/>
        <v>0</v>
      </c>
      <c r="AK42" s="75">
        <f t="shared" si="23"/>
        <v>0</v>
      </c>
      <c r="AL42" s="75">
        <f t="shared" si="23"/>
        <v>0</v>
      </c>
      <c r="AM42" s="75">
        <f t="shared" si="23"/>
        <v>0</v>
      </c>
      <c r="AN42" s="75">
        <f t="shared" si="23"/>
        <v>0</v>
      </c>
      <c r="AO42" s="75">
        <f t="shared" si="23"/>
        <v>0</v>
      </c>
      <c r="AP42" s="75">
        <f t="shared" si="23"/>
        <v>0</v>
      </c>
      <c r="AQ42" s="76">
        <f t="shared" si="23"/>
        <v>0</v>
      </c>
    </row>
    <row r="43" spans="1:47" x14ac:dyDescent="0.25">
      <c r="B43" s="77" t="s">
        <v>28</v>
      </c>
      <c r="C43" s="78">
        <f>C37-C42</f>
        <v>0</v>
      </c>
      <c r="D43" s="79">
        <f t="shared" ref="D43:AQ43" si="24">D37-D42</f>
        <v>0</v>
      </c>
      <c r="E43" s="79">
        <f t="shared" si="24"/>
        <v>0</v>
      </c>
      <c r="F43" s="79">
        <f t="shared" si="24"/>
        <v>0</v>
      </c>
      <c r="G43" s="79">
        <f t="shared" si="24"/>
        <v>0</v>
      </c>
      <c r="H43" s="79">
        <f t="shared" si="24"/>
        <v>0</v>
      </c>
      <c r="I43" s="79">
        <f t="shared" si="24"/>
        <v>0</v>
      </c>
      <c r="J43" s="79">
        <f t="shared" si="24"/>
        <v>0</v>
      </c>
      <c r="K43" s="79">
        <f t="shared" si="24"/>
        <v>0</v>
      </c>
      <c r="L43" s="79">
        <f t="shared" si="24"/>
        <v>0</v>
      </c>
      <c r="M43" s="79">
        <f t="shared" si="24"/>
        <v>0</v>
      </c>
      <c r="N43" s="79">
        <f t="shared" si="24"/>
        <v>0</v>
      </c>
      <c r="O43" s="79">
        <f t="shared" si="24"/>
        <v>0</v>
      </c>
      <c r="P43" s="79">
        <f t="shared" si="24"/>
        <v>0</v>
      </c>
      <c r="Q43" s="79">
        <f t="shared" si="24"/>
        <v>0</v>
      </c>
      <c r="R43" s="79">
        <f t="shared" si="24"/>
        <v>0</v>
      </c>
      <c r="S43" s="79">
        <f t="shared" si="24"/>
        <v>0</v>
      </c>
      <c r="T43" s="79">
        <f t="shared" si="24"/>
        <v>0</v>
      </c>
      <c r="U43" s="79">
        <f t="shared" si="24"/>
        <v>0</v>
      </c>
      <c r="V43" s="79">
        <f t="shared" si="24"/>
        <v>0</v>
      </c>
      <c r="W43" s="79">
        <f t="shared" si="24"/>
        <v>0</v>
      </c>
      <c r="X43" s="79">
        <f t="shared" si="24"/>
        <v>0</v>
      </c>
      <c r="Y43" s="79">
        <f t="shared" si="24"/>
        <v>0</v>
      </c>
      <c r="Z43" s="79">
        <f t="shared" si="24"/>
        <v>0</v>
      </c>
      <c r="AA43" s="79">
        <f t="shared" si="24"/>
        <v>0</v>
      </c>
      <c r="AB43" s="79">
        <f t="shared" si="24"/>
        <v>0</v>
      </c>
      <c r="AC43" s="79">
        <f t="shared" si="24"/>
        <v>0</v>
      </c>
      <c r="AD43" s="79">
        <f t="shared" si="24"/>
        <v>0</v>
      </c>
      <c r="AE43" s="79">
        <f t="shared" si="24"/>
        <v>0</v>
      </c>
      <c r="AF43" s="79">
        <f t="shared" si="24"/>
        <v>0</v>
      </c>
      <c r="AG43" s="79">
        <f t="shared" si="24"/>
        <v>0</v>
      </c>
      <c r="AH43" s="79">
        <f t="shared" si="24"/>
        <v>0</v>
      </c>
      <c r="AI43" s="79">
        <f t="shared" si="24"/>
        <v>0</v>
      </c>
      <c r="AJ43" s="79">
        <f t="shared" si="24"/>
        <v>0</v>
      </c>
      <c r="AK43" s="79">
        <f t="shared" si="24"/>
        <v>0</v>
      </c>
      <c r="AL43" s="79">
        <f t="shared" si="24"/>
        <v>0</v>
      </c>
      <c r="AM43" s="79">
        <f t="shared" si="24"/>
        <v>0</v>
      </c>
      <c r="AN43" s="79">
        <f t="shared" si="24"/>
        <v>0</v>
      </c>
      <c r="AO43" s="79">
        <f t="shared" si="24"/>
        <v>0</v>
      </c>
      <c r="AP43" s="79">
        <f t="shared" si="24"/>
        <v>0</v>
      </c>
      <c r="AQ43" s="80">
        <f t="shared" si="24"/>
        <v>0</v>
      </c>
    </row>
    <row r="44" spans="1:47" x14ac:dyDescent="0.25">
      <c r="B44" s="81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6"/>
    </row>
    <row r="45" spans="1:47" x14ac:dyDescent="0.25">
      <c r="B45" s="18" t="s">
        <v>29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5"/>
    </row>
    <row r="46" spans="1:47" x14ac:dyDescent="0.25">
      <c r="B46" s="28" t="s">
        <v>30</v>
      </c>
      <c r="C46" s="70">
        <f>C16</f>
        <v>-1163750</v>
      </c>
      <c r="D46" s="71">
        <f t="shared" ref="D46:AQ46" si="25">D16</f>
        <v>0</v>
      </c>
      <c r="E46" s="71">
        <f t="shared" si="25"/>
        <v>0</v>
      </c>
      <c r="F46" s="71">
        <f t="shared" si="25"/>
        <v>0</v>
      </c>
      <c r="G46" s="71">
        <f t="shared" si="25"/>
        <v>0</v>
      </c>
      <c r="H46" s="71">
        <f t="shared" si="25"/>
        <v>0</v>
      </c>
      <c r="I46" s="71">
        <f t="shared" si="25"/>
        <v>0</v>
      </c>
      <c r="J46" s="71">
        <f t="shared" si="25"/>
        <v>0</v>
      </c>
      <c r="K46" s="71">
        <f t="shared" si="25"/>
        <v>0</v>
      </c>
      <c r="L46" s="71">
        <f t="shared" si="25"/>
        <v>0</v>
      </c>
      <c r="M46" s="71">
        <f t="shared" si="25"/>
        <v>0</v>
      </c>
      <c r="N46" s="71">
        <f t="shared" si="25"/>
        <v>0</v>
      </c>
      <c r="O46" s="71">
        <f t="shared" si="25"/>
        <v>0</v>
      </c>
      <c r="P46" s="71">
        <f t="shared" si="25"/>
        <v>0</v>
      </c>
      <c r="Q46" s="71">
        <f t="shared" si="25"/>
        <v>0</v>
      </c>
      <c r="R46" s="71">
        <f t="shared" si="25"/>
        <v>0</v>
      </c>
      <c r="S46" s="71">
        <f t="shared" si="25"/>
        <v>0</v>
      </c>
      <c r="T46" s="71">
        <f t="shared" si="25"/>
        <v>0</v>
      </c>
      <c r="U46" s="71">
        <f t="shared" si="25"/>
        <v>0</v>
      </c>
      <c r="V46" s="71">
        <f t="shared" si="25"/>
        <v>0</v>
      </c>
      <c r="W46" s="71">
        <f t="shared" si="25"/>
        <v>0</v>
      </c>
      <c r="X46" s="71">
        <f t="shared" si="25"/>
        <v>0</v>
      </c>
      <c r="Y46" s="71">
        <f t="shared" si="25"/>
        <v>0</v>
      </c>
      <c r="Z46" s="71">
        <f t="shared" si="25"/>
        <v>0</v>
      </c>
      <c r="AA46" s="71">
        <f t="shared" si="25"/>
        <v>0</v>
      </c>
      <c r="AB46" s="71">
        <f t="shared" si="25"/>
        <v>0</v>
      </c>
      <c r="AC46" s="71">
        <f t="shared" si="25"/>
        <v>0</v>
      </c>
      <c r="AD46" s="71">
        <f t="shared" si="25"/>
        <v>0</v>
      </c>
      <c r="AE46" s="71">
        <f t="shared" si="25"/>
        <v>0</v>
      </c>
      <c r="AF46" s="71">
        <f t="shared" si="25"/>
        <v>0</v>
      </c>
      <c r="AG46" s="71">
        <f t="shared" si="25"/>
        <v>0</v>
      </c>
      <c r="AH46" s="71">
        <f t="shared" si="25"/>
        <v>0</v>
      </c>
      <c r="AI46" s="71">
        <f t="shared" si="25"/>
        <v>0</v>
      </c>
      <c r="AJ46" s="71">
        <f t="shared" si="25"/>
        <v>0</v>
      </c>
      <c r="AK46" s="71">
        <f t="shared" si="25"/>
        <v>0</v>
      </c>
      <c r="AL46" s="71">
        <f t="shared" si="25"/>
        <v>0</v>
      </c>
      <c r="AM46" s="71">
        <f t="shared" si="25"/>
        <v>0</v>
      </c>
      <c r="AN46" s="71">
        <f t="shared" si="25"/>
        <v>0</v>
      </c>
      <c r="AO46" s="71">
        <f t="shared" si="25"/>
        <v>0</v>
      </c>
      <c r="AP46" s="71">
        <f t="shared" si="25"/>
        <v>0</v>
      </c>
      <c r="AQ46" s="72">
        <f t="shared" si="25"/>
        <v>0</v>
      </c>
    </row>
    <row r="47" spans="1:47" x14ac:dyDescent="0.25">
      <c r="B47" s="73" t="s">
        <v>31</v>
      </c>
      <c r="C47" s="74">
        <f>C23+C34+C40</f>
        <v>0</v>
      </c>
      <c r="D47" s="75">
        <f t="shared" ref="D47:AQ47" si="26">D23+D34+D40</f>
        <v>18925.102433825239</v>
      </c>
      <c r="E47" s="75">
        <f t="shared" si="26"/>
        <v>18925.102433825239</v>
      </c>
      <c r="F47" s="75">
        <f t="shared" si="26"/>
        <v>18925.102433825239</v>
      </c>
      <c r="G47" s="75">
        <f t="shared" si="26"/>
        <v>18925.102433825239</v>
      </c>
      <c r="H47" s="75">
        <f t="shared" si="26"/>
        <v>21550.102433825239</v>
      </c>
      <c r="I47" s="75">
        <f t="shared" si="26"/>
        <v>21550.102433825239</v>
      </c>
      <c r="J47" s="75">
        <f t="shared" si="26"/>
        <v>21550.102433825239</v>
      </c>
      <c r="K47" s="75">
        <f t="shared" si="26"/>
        <v>21550.102433825239</v>
      </c>
      <c r="L47" s="75">
        <f t="shared" si="26"/>
        <v>24306.352433825239</v>
      </c>
      <c r="M47" s="75">
        <f t="shared" si="26"/>
        <v>24306.352433825239</v>
      </c>
      <c r="N47" s="75">
        <f t="shared" si="26"/>
        <v>24306.352433825239</v>
      </c>
      <c r="O47" s="75">
        <f t="shared" si="26"/>
        <v>24306.352433825239</v>
      </c>
      <c r="P47" s="75">
        <f t="shared" si="26"/>
        <v>27200.414933825246</v>
      </c>
      <c r="Q47" s="75">
        <f t="shared" si="26"/>
        <v>27200.414933825246</v>
      </c>
      <c r="R47" s="75">
        <f t="shared" si="26"/>
        <v>27200.414933825246</v>
      </c>
      <c r="S47" s="75">
        <f t="shared" si="26"/>
        <v>27200.414933825246</v>
      </c>
      <c r="T47" s="75">
        <f t="shared" si="26"/>
        <v>30239.180558825239</v>
      </c>
      <c r="U47" s="75">
        <f t="shared" si="26"/>
        <v>30239.180558825239</v>
      </c>
      <c r="V47" s="75">
        <f t="shared" si="26"/>
        <v>30239.180558825239</v>
      </c>
      <c r="W47" s="75">
        <f t="shared" si="26"/>
        <v>1853350.5552893339</v>
      </c>
      <c r="X47" s="75">
        <f t="shared" si="26"/>
        <v>0</v>
      </c>
      <c r="Y47" s="75">
        <f t="shared" si="26"/>
        <v>0</v>
      </c>
      <c r="Z47" s="75">
        <f t="shared" si="26"/>
        <v>0</v>
      </c>
      <c r="AA47" s="75">
        <f t="shared" si="26"/>
        <v>0</v>
      </c>
      <c r="AB47" s="75">
        <f t="shared" si="26"/>
        <v>0</v>
      </c>
      <c r="AC47" s="75">
        <f t="shared" si="26"/>
        <v>0</v>
      </c>
      <c r="AD47" s="75">
        <f t="shared" si="26"/>
        <v>0</v>
      </c>
      <c r="AE47" s="75">
        <f t="shared" si="26"/>
        <v>0</v>
      </c>
      <c r="AF47" s="75">
        <f t="shared" si="26"/>
        <v>0</v>
      </c>
      <c r="AG47" s="75">
        <f t="shared" si="26"/>
        <v>0</v>
      </c>
      <c r="AH47" s="75">
        <f t="shared" si="26"/>
        <v>0</v>
      </c>
      <c r="AI47" s="75">
        <f t="shared" si="26"/>
        <v>0</v>
      </c>
      <c r="AJ47" s="75">
        <f t="shared" si="26"/>
        <v>0</v>
      </c>
      <c r="AK47" s="75">
        <f t="shared" si="26"/>
        <v>0</v>
      </c>
      <c r="AL47" s="75">
        <f t="shared" si="26"/>
        <v>0</v>
      </c>
      <c r="AM47" s="75">
        <f t="shared" si="26"/>
        <v>0</v>
      </c>
      <c r="AN47" s="75">
        <f t="shared" si="26"/>
        <v>0</v>
      </c>
      <c r="AO47" s="75">
        <f t="shared" si="26"/>
        <v>0</v>
      </c>
      <c r="AP47" s="75">
        <f t="shared" si="26"/>
        <v>0</v>
      </c>
      <c r="AQ47" s="76">
        <f t="shared" si="26"/>
        <v>0</v>
      </c>
    </row>
    <row r="48" spans="1:47" x14ac:dyDescent="0.25">
      <c r="B48" s="77" t="s">
        <v>32</v>
      </c>
      <c r="C48" s="78">
        <f>SUM(C46:C47)</f>
        <v>-1163750</v>
      </c>
      <c r="D48" s="79">
        <f t="shared" ref="D48:AQ48" si="27">SUM(D46:D47)</f>
        <v>18925.102433825239</v>
      </c>
      <c r="E48" s="79">
        <f t="shared" si="27"/>
        <v>18925.102433825239</v>
      </c>
      <c r="F48" s="79">
        <f t="shared" si="27"/>
        <v>18925.102433825239</v>
      </c>
      <c r="G48" s="79">
        <f t="shared" si="27"/>
        <v>18925.102433825239</v>
      </c>
      <c r="H48" s="79">
        <f t="shared" si="27"/>
        <v>21550.102433825239</v>
      </c>
      <c r="I48" s="79">
        <f t="shared" si="27"/>
        <v>21550.102433825239</v>
      </c>
      <c r="J48" s="79">
        <f t="shared" si="27"/>
        <v>21550.102433825239</v>
      </c>
      <c r="K48" s="79">
        <f t="shared" si="27"/>
        <v>21550.102433825239</v>
      </c>
      <c r="L48" s="79">
        <f t="shared" si="27"/>
        <v>24306.352433825239</v>
      </c>
      <c r="M48" s="79">
        <f t="shared" si="27"/>
        <v>24306.352433825239</v>
      </c>
      <c r="N48" s="79">
        <f t="shared" si="27"/>
        <v>24306.352433825239</v>
      </c>
      <c r="O48" s="79">
        <f t="shared" si="27"/>
        <v>24306.352433825239</v>
      </c>
      <c r="P48" s="79">
        <f t="shared" si="27"/>
        <v>27200.414933825246</v>
      </c>
      <c r="Q48" s="79">
        <f t="shared" si="27"/>
        <v>27200.414933825246</v>
      </c>
      <c r="R48" s="79">
        <f t="shared" si="27"/>
        <v>27200.414933825246</v>
      </c>
      <c r="S48" s="79">
        <f t="shared" si="27"/>
        <v>27200.414933825246</v>
      </c>
      <c r="T48" s="79">
        <f t="shared" si="27"/>
        <v>30239.180558825239</v>
      </c>
      <c r="U48" s="79">
        <f t="shared" si="27"/>
        <v>30239.180558825239</v>
      </c>
      <c r="V48" s="79">
        <f t="shared" si="27"/>
        <v>30239.180558825239</v>
      </c>
      <c r="W48" s="79">
        <f t="shared" si="27"/>
        <v>1853350.5552893339</v>
      </c>
      <c r="X48" s="79">
        <f t="shared" si="27"/>
        <v>0</v>
      </c>
      <c r="Y48" s="79">
        <f t="shared" si="27"/>
        <v>0</v>
      </c>
      <c r="Z48" s="79">
        <f t="shared" si="27"/>
        <v>0</v>
      </c>
      <c r="AA48" s="79">
        <f t="shared" si="27"/>
        <v>0</v>
      </c>
      <c r="AB48" s="79">
        <f t="shared" si="27"/>
        <v>0</v>
      </c>
      <c r="AC48" s="79">
        <f t="shared" si="27"/>
        <v>0</v>
      </c>
      <c r="AD48" s="79">
        <f t="shared" si="27"/>
        <v>0</v>
      </c>
      <c r="AE48" s="79">
        <f t="shared" si="27"/>
        <v>0</v>
      </c>
      <c r="AF48" s="79">
        <f t="shared" si="27"/>
        <v>0</v>
      </c>
      <c r="AG48" s="79">
        <f t="shared" si="27"/>
        <v>0</v>
      </c>
      <c r="AH48" s="79">
        <f t="shared" si="27"/>
        <v>0</v>
      </c>
      <c r="AI48" s="79">
        <f t="shared" si="27"/>
        <v>0</v>
      </c>
      <c r="AJ48" s="79">
        <f t="shared" si="27"/>
        <v>0</v>
      </c>
      <c r="AK48" s="79">
        <f t="shared" si="27"/>
        <v>0</v>
      </c>
      <c r="AL48" s="79">
        <f t="shared" si="27"/>
        <v>0</v>
      </c>
      <c r="AM48" s="79">
        <f t="shared" si="27"/>
        <v>0</v>
      </c>
      <c r="AN48" s="79">
        <f t="shared" si="27"/>
        <v>0</v>
      </c>
      <c r="AO48" s="79">
        <f t="shared" si="27"/>
        <v>0</v>
      </c>
      <c r="AP48" s="79">
        <f t="shared" si="27"/>
        <v>0</v>
      </c>
      <c r="AQ48" s="80">
        <f t="shared" si="27"/>
        <v>0</v>
      </c>
    </row>
    <row r="49" spans="1:43" x14ac:dyDescent="0.25">
      <c r="B49" s="11" t="s">
        <v>4</v>
      </c>
      <c r="C49" s="13">
        <f>XIRR(C48:AQ48,$C$10:$AQ$10)</f>
        <v>0.16697683930397034</v>
      </c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</row>
    <row r="50" spans="1:43" x14ac:dyDescent="0.25">
      <c r="B50" s="22" t="s">
        <v>5</v>
      </c>
      <c r="C50" s="105">
        <f>SUMIF(C48:AQ48,"&gt;"&amp;0,C48:AQ48)/-SUMIF(C48:AQ48,"&lt;"&amp;0,C48:AQ48)</f>
        <v>1.9866775389104305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</row>
    <row r="51" spans="1:43" x14ac:dyDescent="0.25">
      <c r="B51" s="81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</row>
    <row r="52" spans="1:43" x14ac:dyDescent="0.25">
      <c r="B52" s="18" t="s">
        <v>33</v>
      </c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5"/>
    </row>
    <row r="53" spans="1:43" x14ac:dyDescent="0.25">
      <c r="B53" s="28" t="s">
        <v>30</v>
      </c>
      <c r="C53" s="70">
        <f>C17</f>
        <v>-61250</v>
      </c>
      <c r="D53" s="71">
        <f t="shared" ref="D53:AQ53" si="28">D17</f>
        <v>0</v>
      </c>
      <c r="E53" s="71">
        <f t="shared" si="28"/>
        <v>0</v>
      </c>
      <c r="F53" s="71">
        <f t="shared" si="28"/>
        <v>0</v>
      </c>
      <c r="G53" s="71">
        <f t="shared" si="28"/>
        <v>0</v>
      </c>
      <c r="H53" s="71">
        <f t="shared" si="28"/>
        <v>0</v>
      </c>
      <c r="I53" s="71">
        <f t="shared" si="28"/>
        <v>0</v>
      </c>
      <c r="J53" s="71">
        <f t="shared" si="28"/>
        <v>0</v>
      </c>
      <c r="K53" s="71">
        <f t="shared" si="28"/>
        <v>0</v>
      </c>
      <c r="L53" s="71">
        <f t="shared" si="28"/>
        <v>0</v>
      </c>
      <c r="M53" s="71">
        <f t="shared" si="28"/>
        <v>0</v>
      </c>
      <c r="N53" s="71">
        <f t="shared" si="28"/>
        <v>0</v>
      </c>
      <c r="O53" s="71">
        <f t="shared" si="28"/>
        <v>0</v>
      </c>
      <c r="P53" s="71">
        <f t="shared" si="28"/>
        <v>0</v>
      </c>
      <c r="Q53" s="71">
        <f t="shared" si="28"/>
        <v>0</v>
      </c>
      <c r="R53" s="71">
        <f t="shared" si="28"/>
        <v>0</v>
      </c>
      <c r="S53" s="71">
        <f t="shared" si="28"/>
        <v>0</v>
      </c>
      <c r="T53" s="71">
        <f t="shared" si="28"/>
        <v>0</v>
      </c>
      <c r="U53" s="71">
        <f t="shared" si="28"/>
        <v>0</v>
      </c>
      <c r="V53" s="71">
        <f t="shared" si="28"/>
        <v>0</v>
      </c>
      <c r="W53" s="71">
        <f t="shared" si="28"/>
        <v>0</v>
      </c>
      <c r="X53" s="71">
        <f t="shared" si="28"/>
        <v>0</v>
      </c>
      <c r="Y53" s="71">
        <f t="shared" si="28"/>
        <v>0</v>
      </c>
      <c r="Z53" s="71">
        <f t="shared" si="28"/>
        <v>0</v>
      </c>
      <c r="AA53" s="71">
        <f t="shared" si="28"/>
        <v>0</v>
      </c>
      <c r="AB53" s="71">
        <f t="shared" si="28"/>
        <v>0</v>
      </c>
      <c r="AC53" s="71">
        <f t="shared" si="28"/>
        <v>0</v>
      </c>
      <c r="AD53" s="71">
        <f t="shared" si="28"/>
        <v>0</v>
      </c>
      <c r="AE53" s="71">
        <f t="shared" si="28"/>
        <v>0</v>
      </c>
      <c r="AF53" s="71">
        <f t="shared" si="28"/>
        <v>0</v>
      </c>
      <c r="AG53" s="71">
        <f t="shared" si="28"/>
        <v>0</v>
      </c>
      <c r="AH53" s="71">
        <f t="shared" si="28"/>
        <v>0</v>
      </c>
      <c r="AI53" s="71">
        <f t="shared" si="28"/>
        <v>0</v>
      </c>
      <c r="AJ53" s="71">
        <f t="shared" si="28"/>
        <v>0</v>
      </c>
      <c r="AK53" s="71">
        <f t="shared" si="28"/>
        <v>0</v>
      </c>
      <c r="AL53" s="71">
        <f t="shared" si="28"/>
        <v>0</v>
      </c>
      <c r="AM53" s="71">
        <f t="shared" si="28"/>
        <v>0</v>
      </c>
      <c r="AN53" s="71">
        <f t="shared" si="28"/>
        <v>0</v>
      </c>
      <c r="AO53" s="71">
        <f t="shared" si="28"/>
        <v>0</v>
      </c>
      <c r="AP53" s="71">
        <f t="shared" si="28"/>
        <v>0</v>
      </c>
      <c r="AQ53" s="72">
        <f t="shared" si="28"/>
        <v>0</v>
      </c>
    </row>
    <row r="54" spans="1:43" x14ac:dyDescent="0.25">
      <c r="A54" s="92" t="s">
        <v>89</v>
      </c>
      <c r="B54" s="73" t="s">
        <v>31</v>
      </c>
      <c r="C54" s="74">
        <f>C28+C35+C41</f>
        <v>0</v>
      </c>
      <c r="D54" s="75">
        <f t="shared" ref="D54:AQ54" si="29">D28+D35+D41</f>
        <v>0</v>
      </c>
      <c r="E54" s="75">
        <f t="shared" si="29"/>
        <v>0</v>
      </c>
      <c r="F54" s="75">
        <f t="shared" si="29"/>
        <v>0</v>
      </c>
      <c r="G54" s="75">
        <f t="shared" si="29"/>
        <v>0</v>
      </c>
      <c r="H54" s="75">
        <f t="shared" si="29"/>
        <v>0</v>
      </c>
      <c r="I54" s="75">
        <f t="shared" si="29"/>
        <v>0</v>
      </c>
      <c r="J54" s="75">
        <f t="shared" si="29"/>
        <v>0</v>
      </c>
      <c r="K54" s="75">
        <f t="shared" si="29"/>
        <v>0</v>
      </c>
      <c r="L54" s="75">
        <f t="shared" si="29"/>
        <v>0</v>
      </c>
      <c r="M54" s="75">
        <f t="shared" si="29"/>
        <v>0</v>
      </c>
      <c r="N54" s="75">
        <f t="shared" si="29"/>
        <v>0</v>
      </c>
      <c r="O54" s="75">
        <f t="shared" si="29"/>
        <v>0</v>
      </c>
      <c r="P54" s="75">
        <f t="shared" si="29"/>
        <v>0</v>
      </c>
      <c r="Q54" s="75">
        <f t="shared" si="29"/>
        <v>0</v>
      </c>
      <c r="R54" s="75">
        <f t="shared" si="29"/>
        <v>0</v>
      </c>
      <c r="S54" s="75">
        <f t="shared" si="29"/>
        <v>0</v>
      </c>
      <c r="T54" s="75">
        <f t="shared" si="29"/>
        <v>0</v>
      </c>
      <c r="U54" s="75">
        <f t="shared" si="29"/>
        <v>0</v>
      </c>
      <c r="V54" s="75">
        <f t="shared" si="29"/>
        <v>0</v>
      </c>
      <c r="W54" s="75">
        <f t="shared" si="29"/>
        <v>577998.99647675338</v>
      </c>
      <c r="X54" s="75">
        <f t="shared" si="29"/>
        <v>0</v>
      </c>
      <c r="Y54" s="75">
        <f t="shared" si="29"/>
        <v>0</v>
      </c>
      <c r="Z54" s="75">
        <f t="shared" si="29"/>
        <v>0</v>
      </c>
      <c r="AA54" s="75">
        <f t="shared" si="29"/>
        <v>0</v>
      </c>
      <c r="AB54" s="75">
        <f t="shared" si="29"/>
        <v>0</v>
      </c>
      <c r="AC54" s="75">
        <f t="shared" si="29"/>
        <v>0</v>
      </c>
      <c r="AD54" s="75">
        <f t="shared" si="29"/>
        <v>0</v>
      </c>
      <c r="AE54" s="75">
        <f t="shared" si="29"/>
        <v>0</v>
      </c>
      <c r="AF54" s="75">
        <f t="shared" si="29"/>
        <v>0</v>
      </c>
      <c r="AG54" s="75">
        <f t="shared" si="29"/>
        <v>0</v>
      </c>
      <c r="AH54" s="75">
        <f t="shared" si="29"/>
        <v>0</v>
      </c>
      <c r="AI54" s="75">
        <f t="shared" si="29"/>
        <v>0</v>
      </c>
      <c r="AJ54" s="75">
        <f t="shared" si="29"/>
        <v>0</v>
      </c>
      <c r="AK54" s="75">
        <f t="shared" si="29"/>
        <v>0</v>
      </c>
      <c r="AL54" s="75">
        <f t="shared" si="29"/>
        <v>0</v>
      </c>
      <c r="AM54" s="75">
        <f t="shared" si="29"/>
        <v>0</v>
      </c>
      <c r="AN54" s="75">
        <f t="shared" si="29"/>
        <v>0</v>
      </c>
      <c r="AO54" s="75">
        <f t="shared" si="29"/>
        <v>0</v>
      </c>
      <c r="AP54" s="75">
        <f t="shared" si="29"/>
        <v>0</v>
      </c>
      <c r="AQ54" s="76">
        <f t="shared" si="29"/>
        <v>0</v>
      </c>
    </row>
    <row r="55" spans="1:43" x14ac:dyDescent="0.25">
      <c r="A55" s="93">
        <f>SUM(D55:AQ55)/SUM(D13:AQ13)</f>
        <v>0.19999999999999998</v>
      </c>
      <c r="B55" s="77" t="s">
        <v>34</v>
      </c>
      <c r="C55" s="78">
        <f>SUM(C53:C54)</f>
        <v>-61250</v>
      </c>
      <c r="D55" s="79">
        <f t="shared" ref="D55:AQ55" si="30">SUM(D53:D54)</f>
        <v>0</v>
      </c>
      <c r="E55" s="79">
        <f t="shared" si="30"/>
        <v>0</v>
      </c>
      <c r="F55" s="79">
        <f t="shared" si="30"/>
        <v>0</v>
      </c>
      <c r="G55" s="79">
        <f t="shared" si="30"/>
        <v>0</v>
      </c>
      <c r="H55" s="79">
        <f t="shared" si="30"/>
        <v>0</v>
      </c>
      <c r="I55" s="79">
        <f t="shared" si="30"/>
        <v>0</v>
      </c>
      <c r="J55" s="79">
        <f t="shared" si="30"/>
        <v>0</v>
      </c>
      <c r="K55" s="79">
        <f t="shared" si="30"/>
        <v>0</v>
      </c>
      <c r="L55" s="79">
        <f t="shared" si="30"/>
        <v>0</v>
      </c>
      <c r="M55" s="79">
        <f t="shared" si="30"/>
        <v>0</v>
      </c>
      <c r="N55" s="79">
        <f t="shared" si="30"/>
        <v>0</v>
      </c>
      <c r="O55" s="79">
        <f t="shared" si="30"/>
        <v>0</v>
      </c>
      <c r="P55" s="79">
        <f t="shared" si="30"/>
        <v>0</v>
      </c>
      <c r="Q55" s="79">
        <f t="shared" si="30"/>
        <v>0</v>
      </c>
      <c r="R55" s="79">
        <f t="shared" si="30"/>
        <v>0</v>
      </c>
      <c r="S55" s="79">
        <f t="shared" si="30"/>
        <v>0</v>
      </c>
      <c r="T55" s="79">
        <f t="shared" si="30"/>
        <v>0</v>
      </c>
      <c r="U55" s="79">
        <f t="shared" si="30"/>
        <v>0</v>
      </c>
      <c r="V55" s="79">
        <f t="shared" si="30"/>
        <v>0</v>
      </c>
      <c r="W55" s="79">
        <f t="shared" si="30"/>
        <v>577998.99647675338</v>
      </c>
      <c r="X55" s="79">
        <f t="shared" si="30"/>
        <v>0</v>
      </c>
      <c r="Y55" s="79">
        <f t="shared" si="30"/>
        <v>0</v>
      </c>
      <c r="Z55" s="79">
        <f t="shared" si="30"/>
        <v>0</v>
      </c>
      <c r="AA55" s="79">
        <f t="shared" si="30"/>
        <v>0</v>
      </c>
      <c r="AB55" s="79">
        <f t="shared" si="30"/>
        <v>0</v>
      </c>
      <c r="AC55" s="79">
        <f t="shared" si="30"/>
        <v>0</v>
      </c>
      <c r="AD55" s="79">
        <f t="shared" si="30"/>
        <v>0</v>
      </c>
      <c r="AE55" s="79">
        <f t="shared" si="30"/>
        <v>0</v>
      </c>
      <c r="AF55" s="79">
        <f t="shared" si="30"/>
        <v>0</v>
      </c>
      <c r="AG55" s="79">
        <f t="shared" si="30"/>
        <v>0</v>
      </c>
      <c r="AH55" s="79">
        <f t="shared" si="30"/>
        <v>0</v>
      </c>
      <c r="AI55" s="79">
        <f t="shared" si="30"/>
        <v>0</v>
      </c>
      <c r="AJ55" s="79">
        <f t="shared" si="30"/>
        <v>0</v>
      </c>
      <c r="AK55" s="79">
        <f t="shared" si="30"/>
        <v>0</v>
      </c>
      <c r="AL55" s="79">
        <f t="shared" si="30"/>
        <v>0</v>
      </c>
      <c r="AM55" s="79">
        <f t="shared" si="30"/>
        <v>0</v>
      </c>
      <c r="AN55" s="79">
        <f t="shared" si="30"/>
        <v>0</v>
      </c>
      <c r="AO55" s="79">
        <f t="shared" si="30"/>
        <v>0</v>
      </c>
      <c r="AP55" s="79">
        <f t="shared" si="30"/>
        <v>0</v>
      </c>
      <c r="AQ55" s="80">
        <f t="shared" si="30"/>
        <v>0</v>
      </c>
    </row>
    <row r="56" spans="1:43" x14ac:dyDescent="0.25">
      <c r="B56" s="11" t="s">
        <v>6</v>
      </c>
      <c r="C56" s="13">
        <f>XIRR(C55:AQ55,$C$10:$AQ$10)</f>
        <v>0.56585221886634829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</row>
    <row r="57" spans="1:43" x14ac:dyDescent="0.25">
      <c r="B57" s="22" t="s">
        <v>7</v>
      </c>
      <c r="C57" s="105">
        <f>SUMIF(C55:AQ55,"&gt;"&amp;0,C55:AQ55)/-SUMIF(C55:AQ55,"&lt;"&amp;0,C55:AQ55)</f>
        <v>9.4367183098245455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</row>
    <row r="58" spans="1:43" x14ac:dyDescent="0.25">
      <c r="B58" s="81"/>
      <c r="C58" s="75"/>
      <c r="D58" s="75"/>
      <c r="E58" s="75"/>
      <c r="F58" s="41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</row>
    <row r="59" spans="1:43" x14ac:dyDescent="0.25">
      <c r="B59" s="18" t="s">
        <v>8</v>
      </c>
      <c r="C59" s="8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</row>
    <row r="60" spans="1:43" x14ac:dyDescent="0.25">
      <c r="B60" s="28" t="s">
        <v>38</v>
      </c>
      <c r="C60" s="100">
        <f>SUM(C35:AQ35)-SUM(C36:AQ36)*C1</f>
        <v>485825.16708677472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spans="1:43" x14ac:dyDescent="0.25">
      <c r="B61" s="73" t="s">
        <v>39</v>
      </c>
      <c r="C61" s="101">
        <f>SUM(C41:AQ41)-SUM(C42:AQ42)*C1</f>
        <v>28644.941451919476</v>
      </c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</row>
    <row r="62" spans="1:43" x14ac:dyDescent="0.25">
      <c r="B62" s="77" t="s">
        <v>35</v>
      </c>
      <c r="C62" s="102">
        <f>SUM(C60:C61)</f>
        <v>514470.10853869421</v>
      </c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</row>
    <row r="63" spans="1:43" x14ac:dyDescent="0.25"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</row>
    <row r="64" spans="1:43" x14ac:dyDescent="0.25"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</row>
    <row r="65" spans="3:43" x14ac:dyDescent="0.25"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</row>
    <row r="66" spans="3:43" x14ac:dyDescent="0.25"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</row>
    <row r="67" spans="3:43" x14ac:dyDescent="0.25"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</row>
    <row r="68" spans="3:43" x14ac:dyDescent="0.25"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  <c r="AP68" s="122"/>
      <c r="AQ68" s="122"/>
    </row>
  </sheetData>
  <sheetProtection algorithmName="SHA-512" hashValue="jdszel18lXzA2Dj8htTW5S/UNQFWyBlk7PZHnv14qSj3B3k9QBQptXJf9mgmVNfShvpHPgjYfmEvEmpqre92DA==" saltValue="XMppbru+M2mubDC6Roz/uA==" spinCount="100000"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2441-54F9-4BB1-B46E-C204D4425A89}">
  <dimension ref="A1:BA80"/>
  <sheetViews>
    <sheetView showGridLines="0" tabSelected="1" zoomScaleNormal="100" workbookViewId="0">
      <selection activeCell="O6" sqref="O6"/>
    </sheetView>
  </sheetViews>
  <sheetFormatPr defaultColWidth="8.85546875" defaultRowHeight="13.5" x14ac:dyDescent="0.25"/>
  <cols>
    <col min="1" max="1" width="15.42578125" style="1" bestFit="1" customWidth="1"/>
    <col min="2" max="2" width="34.28515625" style="1" bestFit="1" customWidth="1"/>
    <col min="3" max="3" width="14.28515625" style="1" bestFit="1" customWidth="1"/>
    <col min="4" max="4" width="13.5703125" style="1" bestFit="1" customWidth="1"/>
    <col min="5" max="5" width="13.7109375" style="1" bestFit="1" customWidth="1"/>
    <col min="6" max="6" width="20.42578125" style="1" bestFit="1" customWidth="1"/>
    <col min="7" max="7" width="12.7109375" style="1" bestFit="1" customWidth="1"/>
    <col min="8" max="8" width="12.28515625" style="1" bestFit="1" customWidth="1"/>
    <col min="9" max="9" width="13.7109375" style="1" bestFit="1" customWidth="1"/>
    <col min="10" max="11" width="12.28515625" style="1" bestFit="1" customWidth="1"/>
    <col min="12" max="12" width="16.85546875" style="1" bestFit="1" customWidth="1"/>
    <col min="13" max="14" width="13.7109375" style="1" bestFit="1" customWidth="1"/>
    <col min="15" max="16" width="12.28515625" style="1" bestFit="1" customWidth="1"/>
    <col min="17" max="17" width="13.7109375" style="1" bestFit="1" customWidth="1"/>
    <col min="18" max="20" width="12.28515625" style="1" bestFit="1" customWidth="1"/>
    <col min="21" max="21" width="13.7109375" style="1" bestFit="1" customWidth="1"/>
    <col min="22" max="24" width="12.28515625" style="1" bestFit="1" customWidth="1"/>
    <col min="25" max="25" width="13.7109375" style="1" bestFit="1" customWidth="1"/>
    <col min="26" max="28" width="12.28515625" style="1" bestFit="1" customWidth="1"/>
    <col min="29" max="29" width="13.7109375" style="1" bestFit="1" customWidth="1"/>
    <col min="30" max="32" width="12.28515625" style="1" bestFit="1" customWidth="1"/>
    <col min="33" max="33" width="13.7109375" style="1" bestFit="1" customWidth="1"/>
    <col min="34" max="36" width="12.28515625" style="1" bestFit="1" customWidth="1"/>
    <col min="37" max="37" width="13.7109375" style="1" bestFit="1" customWidth="1"/>
    <col min="38" max="40" width="12.28515625" style="1" bestFit="1" customWidth="1"/>
    <col min="41" max="41" width="13.7109375" style="1" bestFit="1" customWidth="1"/>
    <col min="42" max="43" width="12.28515625" style="1" bestFit="1" customWidth="1"/>
    <col min="44" max="44" width="6.42578125" style="1" bestFit="1" customWidth="1"/>
    <col min="45" max="46" width="9" style="1" bestFit="1" customWidth="1"/>
    <col min="47" max="47" width="11.7109375" style="1" bestFit="1" customWidth="1"/>
    <col min="48" max="48" width="9.85546875" style="1" bestFit="1" customWidth="1"/>
    <col min="49" max="49" width="4" style="1" bestFit="1" customWidth="1"/>
    <col min="50" max="50" width="9" style="1" bestFit="1" customWidth="1"/>
    <col min="51" max="51" width="6.42578125" style="1" bestFit="1" customWidth="1"/>
    <col min="52" max="16384" width="8.85546875" style="1"/>
  </cols>
  <sheetData>
    <row r="1" spans="1:53" x14ac:dyDescent="0.25">
      <c r="A1" s="10"/>
      <c r="B1" s="11" t="s">
        <v>0</v>
      </c>
      <c r="C1" s="154">
        <v>0.05</v>
      </c>
      <c r="D1" s="10"/>
      <c r="E1" s="10"/>
      <c r="F1" s="11" t="s">
        <v>2</v>
      </c>
      <c r="G1" s="13">
        <f>XIRR(C11:AQ11,C10:AQ10)</f>
        <v>8.1782206892967238E-2</v>
      </c>
      <c r="H1" s="10"/>
      <c r="I1" s="11" t="s">
        <v>4</v>
      </c>
      <c r="J1" s="13">
        <f ca="1">C59</f>
        <v>7.9999998211860726E-2</v>
      </c>
      <c r="K1" s="16"/>
      <c r="L1" s="44" t="s">
        <v>73</v>
      </c>
      <c r="M1" s="19" t="s">
        <v>71</v>
      </c>
      <c r="N1" s="45" t="s">
        <v>74</v>
      </c>
      <c r="O1" s="155"/>
      <c r="P1" s="156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53" x14ac:dyDescent="0.25">
      <c r="A2" s="10"/>
      <c r="B2" s="22" t="s">
        <v>1</v>
      </c>
      <c r="C2" s="157">
        <f>1-C1</f>
        <v>0.95</v>
      </c>
      <c r="D2" s="10"/>
      <c r="E2" s="10"/>
      <c r="F2" s="22" t="s">
        <v>3</v>
      </c>
      <c r="G2" s="105">
        <f>SUMIF(C11:AQ11,"&gt;"&amp;0,C11:AQ11)/-SUMIF(C11:AQ11,"&lt;"&amp;0,C11:AQ11)</f>
        <v>1.4976744186046511</v>
      </c>
      <c r="H2" s="10"/>
      <c r="I2" s="22" t="s">
        <v>5</v>
      </c>
      <c r="J2" s="105">
        <f ca="1">C60</f>
        <v>1.4901974322117051</v>
      </c>
      <c r="K2" s="16"/>
      <c r="L2" s="158">
        <v>1</v>
      </c>
      <c r="M2" s="159">
        <v>45838</v>
      </c>
      <c r="N2" s="160">
        <v>8000000</v>
      </c>
      <c r="O2" s="155"/>
      <c r="P2" s="161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53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6"/>
      <c r="L3" s="162">
        <v>2</v>
      </c>
      <c r="M3" s="163">
        <v>46112</v>
      </c>
      <c r="N3" s="164">
        <v>5000000</v>
      </c>
      <c r="O3" s="155"/>
      <c r="P3" s="165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53" x14ac:dyDescent="0.25">
      <c r="A4" s="10"/>
      <c r="B4" s="135" t="s">
        <v>9</v>
      </c>
      <c r="C4" s="65" t="s">
        <v>12</v>
      </c>
      <c r="D4" s="66" t="s">
        <v>13</v>
      </c>
      <c r="E4" s="10"/>
      <c r="F4" s="11" t="s">
        <v>10</v>
      </c>
      <c r="G4" s="166">
        <v>0.08</v>
      </c>
      <c r="H4" s="10"/>
      <c r="I4" s="11" t="s">
        <v>6</v>
      </c>
      <c r="J4" s="13">
        <f ca="1">C68</f>
        <v>0.11709201931953431</v>
      </c>
      <c r="K4" s="16"/>
      <c r="L4" s="162">
        <v>3</v>
      </c>
      <c r="M4" s="163">
        <v>46387</v>
      </c>
      <c r="N4" s="164">
        <v>3000000</v>
      </c>
      <c r="O4" s="155"/>
      <c r="P4" s="167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53" x14ac:dyDescent="0.25">
      <c r="A5" s="10"/>
      <c r="B5" s="28" t="s">
        <v>55</v>
      </c>
      <c r="C5" s="144">
        <v>0.05</v>
      </c>
      <c r="D5" s="168">
        <f>1-C5</f>
        <v>0.95</v>
      </c>
      <c r="E5" s="10"/>
      <c r="F5" s="22" t="s">
        <v>40</v>
      </c>
      <c r="G5" s="169">
        <v>0.2</v>
      </c>
      <c r="H5" s="10"/>
      <c r="I5" s="24" t="s">
        <v>7</v>
      </c>
      <c r="J5" s="25">
        <f ca="1">C69</f>
        <v>1.4259476686617352</v>
      </c>
      <c r="K5" s="16"/>
      <c r="L5" s="162">
        <v>4</v>
      </c>
      <c r="M5" s="163">
        <v>46660</v>
      </c>
      <c r="N5" s="164">
        <v>-750000</v>
      </c>
      <c r="O5" s="155"/>
      <c r="P5" s="161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spans="1:53" x14ac:dyDescent="0.25">
      <c r="A6" s="10"/>
      <c r="B6" s="73" t="s">
        <v>38</v>
      </c>
      <c r="C6" s="144">
        <v>0.5</v>
      </c>
      <c r="D6" s="168">
        <f t="shared" ref="D6:D7" si="0">1-C6</f>
        <v>0.5</v>
      </c>
      <c r="E6" s="10"/>
      <c r="F6" s="10"/>
      <c r="G6" s="10"/>
      <c r="H6" s="10"/>
      <c r="I6" s="22" t="s">
        <v>8</v>
      </c>
      <c r="J6" s="58">
        <f ca="1">C75</f>
        <v>76358.723537960905</v>
      </c>
      <c r="K6" s="10"/>
      <c r="L6" s="170">
        <v>5</v>
      </c>
      <c r="M6" s="171">
        <v>46934</v>
      </c>
      <c r="N6" s="172">
        <v>0</v>
      </c>
      <c r="O6" s="155"/>
      <c r="P6" s="161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53" x14ac:dyDescent="0.25">
      <c r="A7" s="10"/>
      <c r="B7" s="55" t="s">
        <v>42</v>
      </c>
      <c r="C7" s="173">
        <v>0.2</v>
      </c>
      <c r="D7" s="174">
        <f t="shared" si="0"/>
        <v>0.8</v>
      </c>
      <c r="E7" s="10"/>
      <c r="F7" s="175" t="s">
        <v>72</v>
      </c>
      <c r="G7" s="176">
        <v>10000000</v>
      </c>
      <c r="H7" s="10"/>
      <c r="I7" s="10"/>
      <c r="J7" s="10"/>
      <c r="K7" s="10"/>
      <c r="L7" s="177" t="s">
        <v>103</v>
      </c>
      <c r="M7" s="178">
        <v>47664</v>
      </c>
      <c r="N7" s="179">
        <v>100000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1:53" x14ac:dyDescent="0.25">
      <c r="A8" s="10"/>
      <c r="B8" s="81"/>
      <c r="C8" s="144"/>
      <c r="D8" s="144"/>
      <c r="E8" s="143"/>
      <c r="F8" s="143"/>
      <c r="G8" s="10"/>
      <c r="H8" s="10"/>
      <c r="I8" s="10"/>
      <c r="J8" s="145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1:53" x14ac:dyDescent="0.25">
      <c r="A9" s="10"/>
      <c r="B9" s="63" t="s">
        <v>36</v>
      </c>
      <c r="C9" s="180" t="s">
        <v>15</v>
      </c>
      <c r="D9" s="65">
        <v>1</v>
      </c>
      <c r="E9" s="65">
        <v>1</v>
      </c>
      <c r="F9" s="65">
        <v>1</v>
      </c>
      <c r="G9" s="65">
        <v>1</v>
      </c>
      <c r="H9" s="65">
        <f>D9+1</f>
        <v>2</v>
      </c>
      <c r="I9" s="65">
        <f t="shared" ref="I9:AQ9" si="1">E9+1</f>
        <v>2</v>
      </c>
      <c r="J9" s="65">
        <f t="shared" si="1"/>
        <v>2</v>
      </c>
      <c r="K9" s="65">
        <f t="shared" si="1"/>
        <v>2</v>
      </c>
      <c r="L9" s="65">
        <f t="shared" si="1"/>
        <v>3</v>
      </c>
      <c r="M9" s="65">
        <f t="shared" si="1"/>
        <v>3</v>
      </c>
      <c r="N9" s="65">
        <f t="shared" si="1"/>
        <v>3</v>
      </c>
      <c r="O9" s="65">
        <f t="shared" si="1"/>
        <v>3</v>
      </c>
      <c r="P9" s="65">
        <f t="shared" si="1"/>
        <v>4</v>
      </c>
      <c r="Q9" s="65">
        <f t="shared" si="1"/>
        <v>4</v>
      </c>
      <c r="R9" s="65">
        <f t="shared" si="1"/>
        <v>4</v>
      </c>
      <c r="S9" s="65">
        <f t="shared" si="1"/>
        <v>4</v>
      </c>
      <c r="T9" s="65">
        <f t="shared" si="1"/>
        <v>5</v>
      </c>
      <c r="U9" s="65">
        <f t="shared" si="1"/>
        <v>5</v>
      </c>
      <c r="V9" s="65">
        <f t="shared" si="1"/>
        <v>5</v>
      </c>
      <c r="W9" s="65">
        <f t="shared" si="1"/>
        <v>5</v>
      </c>
      <c r="X9" s="65">
        <f t="shared" si="1"/>
        <v>6</v>
      </c>
      <c r="Y9" s="65">
        <f t="shared" si="1"/>
        <v>6</v>
      </c>
      <c r="Z9" s="65">
        <f t="shared" si="1"/>
        <v>6</v>
      </c>
      <c r="AA9" s="65">
        <f t="shared" si="1"/>
        <v>6</v>
      </c>
      <c r="AB9" s="65">
        <f t="shared" si="1"/>
        <v>7</v>
      </c>
      <c r="AC9" s="65">
        <f t="shared" si="1"/>
        <v>7</v>
      </c>
      <c r="AD9" s="65">
        <f t="shared" si="1"/>
        <v>7</v>
      </c>
      <c r="AE9" s="65">
        <f t="shared" si="1"/>
        <v>7</v>
      </c>
      <c r="AF9" s="65">
        <f t="shared" si="1"/>
        <v>8</v>
      </c>
      <c r="AG9" s="65">
        <f t="shared" si="1"/>
        <v>8</v>
      </c>
      <c r="AH9" s="65">
        <f t="shared" si="1"/>
        <v>8</v>
      </c>
      <c r="AI9" s="65">
        <f t="shared" si="1"/>
        <v>8</v>
      </c>
      <c r="AJ9" s="65">
        <f t="shared" si="1"/>
        <v>9</v>
      </c>
      <c r="AK9" s="65">
        <f t="shared" si="1"/>
        <v>9</v>
      </c>
      <c r="AL9" s="65">
        <f t="shared" si="1"/>
        <v>9</v>
      </c>
      <c r="AM9" s="65">
        <f t="shared" si="1"/>
        <v>9</v>
      </c>
      <c r="AN9" s="65">
        <f t="shared" si="1"/>
        <v>10</v>
      </c>
      <c r="AO9" s="65">
        <f t="shared" si="1"/>
        <v>10</v>
      </c>
      <c r="AP9" s="65">
        <f t="shared" si="1"/>
        <v>10</v>
      </c>
      <c r="AQ9" s="66">
        <f t="shared" si="1"/>
        <v>10</v>
      </c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10"/>
      <c r="B10" s="67" t="s">
        <v>14</v>
      </c>
      <c r="C10" s="68">
        <v>44012</v>
      </c>
      <c r="D10" s="68">
        <f>EOMONTH(C10,3)</f>
        <v>44104</v>
      </c>
      <c r="E10" s="68">
        <f t="shared" ref="E10:AQ10" si="2">EOMONTH(D10,3)</f>
        <v>44196</v>
      </c>
      <c r="F10" s="68">
        <f t="shared" si="2"/>
        <v>44286</v>
      </c>
      <c r="G10" s="68">
        <f t="shared" si="2"/>
        <v>44377</v>
      </c>
      <c r="H10" s="68">
        <f t="shared" si="2"/>
        <v>44469</v>
      </c>
      <c r="I10" s="68">
        <f t="shared" si="2"/>
        <v>44561</v>
      </c>
      <c r="J10" s="68">
        <f t="shared" si="2"/>
        <v>44651</v>
      </c>
      <c r="K10" s="68">
        <f t="shared" si="2"/>
        <v>44742</v>
      </c>
      <c r="L10" s="68">
        <f t="shared" si="2"/>
        <v>44834</v>
      </c>
      <c r="M10" s="68">
        <f t="shared" si="2"/>
        <v>44926</v>
      </c>
      <c r="N10" s="68">
        <f t="shared" si="2"/>
        <v>45016</v>
      </c>
      <c r="O10" s="68">
        <f t="shared" si="2"/>
        <v>45107</v>
      </c>
      <c r="P10" s="68">
        <f t="shared" si="2"/>
        <v>45199</v>
      </c>
      <c r="Q10" s="68">
        <f t="shared" si="2"/>
        <v>45291</v>
      </c>
      <c r="R10" s="68">
        <f t="shared" si="2"/>
        <v>45382</v>
      </c>
      <c r="S10" s="68">
        <f t="shared" si="2"/>
        <v>45473</v>
      </c>
      <c r="T10" s="68">
        <f t="shared" si="2"/>
        <v>45565</v>
      </c>
      <c r="U10" s="68">
        <f t="shared" si="2"/>
        <v>45657</v>
      </c>
      <c r="V10" s="68">
        <f t="shared" si="2"/>
        <v>45747</v>
      </c>
      <c r="W10" s="68">
        <f t="shared" si="2"/>
        <v>45838</v>
      </c>
      <c r="X10" s="68">
        <f t="shared" si="2"/>
        <v>45930</v>
      </c>
      <c r="Y10" s="68">
        <f t="shared" si="2"/>
        <v>46022</v>
      </c>
      <c r="Z10" s="68">
        <f t="shared" si="2"/>
        <v>46112</v>
      </c>
      <c r="AA10" s="68">
        <f t="shared" si="2"/>
        <v>46203</v>
      </c>
      <c r="AB10" s="68">
        <f t="shared" si="2"/>
        <v>46295</v>
      </c>
      <c r="AC10" s="68">
        <f t="shared" si="2"/>
        <v>46387</v>
      </c>
      <c r="AD10" s="68">
        <f t="shared" si="2"/>
        <v>46477</v>
      </c>
      <c r="AE10" s="68">
        <f t="shared" si="2"/>
        <v>46568</v>
      </c>
      <c r="AF10" s="68">
        <f t="shared" si="2"/>
        <v>46660</v>
      </c>
      <c r="AG10" s="68">
        <f t="shared" si="2"/>
        <v>46752</v>
      </c>
      <c r="AH10" s="68">
        <f t="shared" si="2"/>
        <v>46843</v>
      </c>
      <c r="AI10" s="68">
        <f t="shared" si="2"/>
        <v>46934</v>
      </c>
      <c r="AJ10" s="68">
        <f t="shared" si="2"/>
        <v>47026</v>
      </c>
      <c r="AK10" s="68">
        <f t="shared" si="2"/>
        <v>47118</v>
      </c>
      <c r="AL10" s="68">
        <f t="shared" si="2"/>
        <v>47208</v>
      </c>
      <c r="AM10" s="68">
        <f t="shared" si="2"/>
        <v>47299</v>
      </c>
      <c r="AN10" s="68">
        <f t="shared" si="2"/>
        <v>47391</v>
      </c>
      <c r="AO10" s="68">
        <f t="shared" si="2"/>
        <v>47483</v>
      </c>
      <c r="AP10" s="68">
        <f t="shared" si="2"/>
        <v>47573</v>
      </c>
      <c r="AQ10" s="69">
        <f t="shared" si="2"/>
        <v>47664</v>
      </c>
    </row>
    <row r="11" spans="1:53" x14ac:dyDescent="0.25">
      <c r="A11" s="10"/>
      <c r="B11" s="77" t="s">
        <v>16</v>
      </c>
      <c r="C11" s="78">
        <f>-G7</f>
        <v>-10000000</v>
      </c>
      <c r="D11" s="79">
        <f>IFERROR(VLOOKUP(D10,$M$2:$N$7,2,0),0)</f>
        <v>0</v>
      </c>
      <c r="E11" s="79">
        <f t="shared" ref="E11:AQ11" si="3">IFERROR(VLOOKUP(E10,$M$2:$N$7,2,0),0)</f>
        <v>0</v>
      </c>
      <c r="F11" s="79">
        <f t="shared" si="3"/>
        <v>0</v>
      </c>
      <c r="G11" s="79">
        <f t="shared" si="3"/>
        <v>0</v>
      </c>
      <c r="H11" s="79">
        <f t="shared" si="3"/>
        <v>0</v>
      </c>
      <c r="I11" s="79">
        <f t="shared" si="3"/>
        <v>0</v>
      </c>
      <c r="J11" s="79">
        <f t="shared" si="3"/>
        <v>0</v>
      </c>
      <c r="K11" s="79">
        <f t="shared" si="3"/>
        <v>0</v>
      </c>
      <c r="L11" s="79">
        <f t="shared" si="3"/>
        <v>0</v>
      </c>
      <c r="M11" s="79">
        <f t="shared" si="3"/>
        <v>0</v>
      </c>
      <c r="N11" s="79">
        <f t="shared" si="3"/>
        <v>0</v>
      </c>
      <c r="O11" s="79">
        <f t="shared" si="3"/>
        <v>0</v>
      </c>
      <c r="P11" s="79">
        <f t="shared" si="3"/>
        <v>0</v>
      </c>
      <c r="Q11" s="79">
        <f t="shared" si="3"/>
        <v>0</v>
      </c>
      <c r="R11" s="79">
        <f t="shared" si="3"/>
        <v>0</v>
      </c>
      <c r="S11" s="79">
        <f t="shared" si="3"/>
        <v>0</v>
      </c>
      <c r="T11" s="79">
        <f t="shared" si="3"/>
        <v>0</v>
      </c>
      <c r="U11" s="79">
        <f t="shared" si="3"/>
        <v>0</v>
      </c>
      <c r="V11" s="79">
        <f t="shared" si="3"/>
        <v>0</v>
      </c>
      <c r="W11" s="79">
        <f t="shared" si="3"/>
        <v>8000000</v>
      </c>
      <c r="X11" s="79">
        <f t="shared" si="3"/>
        <v>0</v>
      </c>
      <c r="Y11" s="79">
        <f t="shared" si="3"/>
        <v>0</v>
      </c>
      <c r="Z11" s="79">
        <f t="shared" si="3"/>
        <v>5000000</v>
      </c>
      <c r="AA11" s="79">
        <f t="shared" si="3"/>
        <v>0</v>
      </c>
      <c r="AB11" s="79">
        <f t="shared" si="3"/>
        <v>0</v>
      </c>
      <c r="AC11" s="79">
        <f t="shared" si="3"/>
        <v>3000000</v>
      </c>
      <c r="AD11" s="79">
        <f t="shared" si="3"/>
        <v>0</v>
      </c>
      <c r="AE11" s="79">
        <f t="shared" si="3"/>
        <v>0</v>
      </c>
      <c r="AF11" s="79">
        <f t="shared" si="3"/>
        <v>-750000</v>
      </c>
      <c r="AG11" s="79">
        <f t="shared" si="3"/>
        <v>0</v>
      </c>
      <c r="AH11" s="79">
        <f t="shared" si="3"/>
        <v>0</v>
      </c>
      <c r="AI11" s="79">
        <f t="shared" si="3"/>
        <v>0</v>
      </c>
      <c r="AJ11" s="79">
        <f t="shared" si="3"/>
        <v>0</v>
      </c>
      <c r="AK11" s="79">
        <f t="shared" si="3"/>
        <v>0</v>
      </c>
      <c r="AL11" s="79">
        <f t="shared" si="3"/>
        <v>0</v>
      </c>
      <c r="AM11" s="79">
        <f t="shared" si="3"/>
        <v>0</v>
      </c>
      <c r="AN11" s="79">
        <f t="shared" si="3"/>
        <v>0</v>
      </c>
      <c r="AO11" s="79">
        <f t="shared" si="3"/>
        <v>0</v>
      </c>
      <c r="AP11" s="79">
        <f t="shared" si="3"/>
        <v>0</v>
      </c>
      <c r="AQ11" s="80">
        <f t="shared" si="3"/>
        <v>100000</v>
      </c>
    </row>
    <row r="12" spans="1:53" x14ac:dyDescent="0.25">
      <c r="A12" s="10"/>
      <c r="B12" s="8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3"/>
    </row>
    <row r="13" spans="1:53" x14ac:dyDescent="0.25">
      <c r="A13" s="10"/>
      <c r="B13" s="18" t="s">
        <v>17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5"/>
    </row>
    <row r="14" spans="1:53" x14ac:dyDescent="0.25">
      <c r="A14" s="10"/>
      <c r="B14" s="28" t="s">
        <v>19</v>
      </c>
      <c r="C14" s="70">
        <f>IF(C11&lt;0,C11*$C$2,0)</f>
        <v>-9500000</v>
      </c>
      <c r="D14" s="71">
        <f t="shared" ref="D14:AQ14" si="4">IF(D11&lt;0,D11*$C$2,0)</f>
        <v>0</v>
      </c>
      <c r="E14" s="71">
        <f t="shared" si="4"/>
        <v>0</v>
      </c>
      <c r="F14" s="71">
        <f t="shared" si="4"/>
        <v>0</v>
      </c>
      <c r="G14" s="71">
        <f t="shared" si="4"/>
        <v>0</v>
      </c>
      <c r="H14" s="71">
        <f t="shared" si="4"/>
        <v>0</v>
      </c>
      <c r="I14" s="71">
        <f t="shared" si="4"/>
        <v>0</v>
      </c>
      <c r="J14" s="71">
        <f t="shared" si="4"/>
        <v>0</v>
      </c>
      <c r="K14" s="71">
        <f t="shared" si="4"/>
        <v>0</v>
      </c>
      <c r="L14" s="71">
        <f t="shared" si="4"/>
        <v>0</v>
      </c>
      <c r="M14" s="71">
        <f t="shared" si="4"/>
        <v>0</v>
      </c>
      <c r="N14" s="71">
        <f t="shared" si="4"/>
        <v>0</v>
      </c>
      <c r="O14" s="71">
        <f t="shared" si="4"/>
        <v>0</v>
      </c>
      <c r="P14" s="71">
        <f t="shared" si="4"/>
        <v>0</v>
      </c>
      <c r="Q14" s="71">
        <f t="shared" si="4"/>
        <v>0</v>
      </c>
      <c r="R14" s="71">
        <f t="shared" si="4"/>
        <v>0</v>
      </c>
      <c r="S14" s="71">
        <f t="shared" si="4"/>
        <v>0</v>
      </c>
      <c r="T14" s="71">
        <f t="shared" si="4"/>
        <v>0</v>
      </c>
      <c r="U14" s="71">
        <f t="shared" si="4"/>
        <v>0</v>
      </c>
      <c r="V14" s="71">
        <f t="shared" si="4"/>
        <v>0</v>
      </c>
      <c r="W14" s="71">
        <f t="shared" si="4"/>
        <v>0</v>
      </c>
      <c r="X14" s="71">
        <f t="shared" si="4"/>
        <v>0</v>
      </c>
      <c r="Y14" s="71">
        <f t="shared" si="4"/>
        <v>0</v>
      </c>
      <c r="Z14" s="71">
        <f t="shared" si="4"/>
        <v>0</v>
      </c>
      <c r="AA14" s="71">
        <f t="shared" si="4"/>
        <v>0</v>
      </c>
      <c r="AB14" s="71">
        <f t="shared" si="4"/>
        <v>0</v>
      </c>
      <c r="AC14" s="71">
        <f t="shared" si="4"/>
        <v>0</v>
      </c>
      <c r="AD14" s="71">
        <f t="shared" si="4"/>
        <v>0</v>
      </c>
      <c r="AE14" s="71">
        <f t="shared" si="4"/>
        <v>0</v>
      </c>
      <c r="AF14" s="71">
        <f t="shared" si="4"/>
        <v>-712500</v>
      </c>
      <c r="AG14" s="71">
        <f t="shared" si="4"/>
        <v>0</v>
      </c>
      <c r="AH14" s="71">
        <f t="shared" si="4"/>
        <v>0</v>
      </c>
      <c r="AI14" s="71">
        <f t="shared" si="4"/>
        <v>0</v>
      </c>
      <c r="AJ14" s="71">
        <f t="shared" si="4"/>
        <v>0</v>
      </c>
      <c r="AK14" s="71">
        <f t="shared" si="4"/>
        <v>0</v>
      </c>
      <c r="AL14" s="71">
        <f t="shared" si="4"/>
        <v>0</v>
      </c>
      <c r="AM14" s="71">
        <f t="shared" si="4"/>
        <v>0</v>
      </c>
      <c r="AN14" s="71">
        <f t="shared" si="4"/>
        <v>0</v>
      </c>
      <c r="AO14" s="71">
        <f t="shared" si="4"/>
        <v>0</v>
      </c>
      <c r="AP14" s="71">
        <f t="shared" si="4"/>
        <v>0</v>
      </c>
      <c r="AQ14" s="72">
        <f t="shared" si="4"/>
        <v>0</v>
      </c>
      <c r="AT14" s="3"/>
    </row>
    <row r="15" spans="1:53" x14ac:dyDescent="0.25">
      <c r="A15" s="82"/>
      <c r="B15" s="55" t="s">
        <v>18</v>
      </c>
      <c r="C15" s="86">
        <f>IF(C11&lt;0,C11*$C$1,0)</f>
        <v>-500000</v>
      </c>
      <c r="D15" s="87">
        <f t="shared" ref="D15:AQ15" si="5">IF(D11&lt;0,D11*$C$1,0)</f>
        <v>0</v>
      </c>
      <c r="E15" s="87">
        <f t="shared" si="5"/>
        <v>0</v>
      </c>
      <c r="F15" s="87">
        <f t="shared" si="5"/>
        <v>0</v>
      </c>
      <c r="G15" s="87">
        <f t="shared" si="5"/>
        <v>0</v>
      </c>
      <c r="H15" s="87">
        <f t="shared" si="5"/>
        <v>0</v>
      </c>
      <c r="I15" s="87">
        <f t="shared" si="5"/>
        <v>0</v>
      </c>
      <c r="J15" s="87">
        <f t="shared" si="5"/>
        <v>0</v>
      </c>
      <c r="K15" s="87">
        <f t="shared" si="5"/>
        <v>0</v>
      </c>
      <c r="L15" s="87">
        <f t="shared" si="5"/>
        <v>0</v>
      </c>
      <c r="M15" s="87">
        <f t="shared" si="5"/>
        <v>0</v>
      </c>
      <c r="N15" s="87">
        <f t="shared" si="5"/>
        <v>0</v>
      </c>
      <c r="O15" s="87">
        <f t="shared" si="5"/>
        <v>0</v>
      </c>
      <c r="P15" s="87">
        <f t="shared" si="5"/>
        <v>0</v>
      </c>
      <c r="Q15" s="87">
        <f t="shared" si="5"/>
        <v>0</v>
      </c>
      <c r="R15" s="87">
        <f t="shared" si="5"/>
        <v>0</v>
      </c>
      <c r="S15" s="87">
        <f t="shared" si="5"/>
        <v>0</v>
      </c>
      <c r="T15" s="87">
        <f t="shared" si="5"/>
        <v>0</v>
      </c>
      <c r="U15" s="87">
        <f t="shared" si="5"/>
        <v>0</v>
      </c>
      <c r="V15" s="87">
        <f t="shared" si="5"/>
        <v>0</v>
      </c>
      <c r="W15" s="87">
        <f t="shared" si="5"/>
        <v>0</v>
      </c>
      <c r="X15" s="87">
        <f t="shared" si="5"/>
        <v>0</v>
      </c>
      <c r="Y15" s="87">
        <f t="shared" si="5"/>
        <v>0</v>
      </c>
      <c r="Z15" s="87">
        <f t="shared" si="5"/>
        <v>0</v>
      </c>
      <c r="AA15" s="87">
        <f t="shared" si="5"/>
        <v>0</v>
      </c>
      <c r="AB15" s="87">
        <f t="shared" si="5"/>
        <v>0</v>
      </c>
      <c r="AC15" s="87">
        <f t="shared" si="5"/>
        <v>0</v>
      </c>
      <c r="AD15" s="87">
        <f t="shared" si="5"/>
        <v>0</v>
      </c>
      <c r="AE15" s="87">
        <f t="shared" si="5"/>
        <v>0</v>
      </c>
      <c r="AF15" s="87">
        <f t="shared" si="5"/>
        <v>-37500</v>
      </c>
      <c r="AG15" s="87">
        <f t="shared" si="5"/>
        <v>0</v>
      </c>
      <c r="AH15" s="87">
        <f t="shared" si="5"/>
        <v>0</v>
      </c>
      <c r="AI15" s="87">
        <f t="shared" si="5"/>
        <v>0</v>
      </c>
      <c r="AJ15" s="87">
        <f t="shared" si="5"/>
        <v>0</v>
      </c>
      <c r="AK15" s="87">
        <f t="shared" si="5"/>
        <v>0</v>
      </c>
      <c r="AL15" s="87">
        <f t="shared" si="5"/>
        <v>0</v>
      </c>
      <c r="AM15" s="87">
        <f t="shared" si="5"/>
        <v>0</v>
      </c>
      <c r="AN15" s="87">
        <f t="shared" si="5"/>
        <v>0</v>
      </c>
      <c r="AO15" s="87">
        <f t="shared" si="5"/>
        <v>0</v>
      </c>
      <c r="AP15" s="87">
        <f t="shared" si="5"/>
        <v>0</v>
      </c>
      <c r="AQ15" s="88">
        <f t="shared" si="5"/>
        <v>0</v>
      </c>
    </row>
    <row r="16" spans="1:53" x14ac:dyDescent="0.25">
      <c r="A16" s="10"/>
      <c r="B16" s="81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6"/>
    </row>
    <row r="17" spans="1:51" x14ac:dyDescent="0.25">
      <c r="A17" s="82"/>
      <c r="B17" s="18" t="s">
        <v>10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5"/>
    </row>
    <row r="18" spans="1:51" x14ac:dyDescent="0.25">
      <c r="A18" s="82"/>
      <c r="B18" s="28" t="s">
        <v>20</v>
      </c>
      <c r="C18" s="70">
        <v>0</v>
      </c>
      <c r="D18" s="71">
        <f>IF(D10&gt;$M$7,0,C22)</f>
        <v>9500000</v>
      </c>
      <c r="E18" s="71">
        <f t="shared" ref="E18:AQ18" si="6">IF(E10&gt;$M$7,0,D22)</f>
        <v>9686083.8233467992</v>
      </c>
      <c r="F18" s="71">
        <f t="shared" si="6"/>
        <v>9875812.613989532</v>
      </c>
      <c r="G18" s="71">
        <f t="shared" si="6"/>
        <v>10065012.414266327</v>
      </c>
      <c r="H18" s="71">
        <f t="shared" si="6"/>
        <v>10259999.999999998</v>
      </c>
      <c r="I18" s="71">
        <f t="shared" si="6"/>
        <v>10460970.529214542</v>
      </c>
      <c r="J18" s="71">
        <f t="shared" si="6"/>
        <v>10665877.623108694</v>
      </c>
      <c r="K18" s="71">
        <f t="shared" si="6"/>
        <v>10870213.407407634</v>
      </c>
      <c r="L18" s="71">
        <f t="shared" si="6"/>
        <v>11080799.999999998</v>
      </c>
      <c r="M18" s="71">
        <f t="shared" si="6"/>
        <v>11297848.171551706</v>
      </c>
      <c r="N18" s="71">
        <f t="shared" si="6"/>
        <v>11519147.832957391</v>
      </c>
      <c r="O18" s="71">
        <f t="shared" si="6"/>
        <v>11739830.480000246</v>
      </c>
      <c r="P18" s="71">
        <f t="shared" si="6"/>
        <v>11967264</v>
      </c>
      <c r="Q18" s="71">
        <f t="shared" si="6"/>
        <v>12201676.025275843</v>
      </c>
      <c r="R18" s="71">
        <f t="shared" si="6"/>
        <v>12440679.659593981</v>
      </c>
      <c r="S18" s="71">
        <f t="shared" si="6"/>
        <v>12681690.598464943</v>
      </c>
      <c r="T18" s="71">
        <f t="shared" si="6"/>
        <v>12927370.596763914</v>
      </c>
      <c r="U18" s="71">
        <f t="shared" si="6"/>
        <v>13180588.970076213</v>
      </c>
      <c r="V18" s="71">
        <f t="shared" si="6"/>
        <v>13438767.326867206</v>
      </c>
      <c r="W18" s="71">
        <f t="shared" si="6"/>
        <v>13696225.846342139</v>
      </c>
      <c r="X18" s="71">
        <f t="shared" si="6"/>
        <v>6361560.2445050273</v>
      </c>
      <c r="Y18" s="71">
        <f t="shared" si="6"/>
        <v>6486169.0290048691</v>
      </c>
      <c r="Z18" s="71">
        <f t="shared" si="6"/>
        <v>6613218.6218249565</v>
      </c>
      <c r="AA18" s="71">
        <f t="shared" si="6"/>
        <v>1989913.9826364471</v>
      </c>
      <c r="AB18" s="71">
        <f t="shared" si="6"/>
        <v>2028464.210626428</v>
      </c>
      <c r="AC18" s="71">
        <f t="shared" si="6"/>
        <v>2068197.3028196401</v>
      </c>
      <c r="AD18" s="71">
        <f t="shared" si="6"/>
        <v>0</v>
      </c>
      <c r="AE18" s="71">
        <f t="shared" si="6"/>
        <v>0</v>
      </c>
      <c r="AF18" s="71">
        <f t="shared" si="6"/>
        <v>0</v>
      </c>
      <c r="AG18" s="71">
        <f t="shared" si="6"/>
        <v>712500</v>
      </c>
      <c r="AH18" s="71">
        <f t="shared" si="6"/>
        <v>726456.28675100999</v>
      </c>
      <c r="AI18" s="71">
        <f t="shared" si="6"/>
        <v>740529.78727584286</v>
      </c>
      <c r="AJ18" s="71">
        <f t="shared" si="6"/>
        <v>754875.93106997455</v>
      </c>
      <c r="AK18" s="71">
        <f t="shared" si="6"/>
        <v>769662.26784955105</v>
      </c>
      <c r="AL18" s="71">
        <f t="shared" si="6"/>
        <v>784738.23600609985</v>
      </c>
      <c r="AM18" s="71">
        <f t="shared" si="6"/>
        <v>799772.17025791039</v>
      </c>
      <c r="AN18" s="71">
        <f t="shared" si="6"/>
        <v>815266.00555557269</v>
      </c>
      <c r="AO18" s="71">
        <f t="shared" si="6"/>
        <v>831235.24927751522</v>
      </c>
      <c r="AP18" s="71">
        <f t="shared" si="6"/>
        <v>847517.29488658789</v>
      </c>
      <c r="AQ18" s="72">
        <f t="shared" si="6"/>
        <v>863753.94387854321</v>
      </c>
    </row>
    <row r="19" spans="1:51" x14ac:dyDescent="0.25">
      <c r="A19" s="146"/>
      <c r="B19" s="73" t="s">
        <v>21</v>
      </c>
      <c r="C19" s="74">
        <v>0</v>
      </c>
      <c r="D19" s="75">
        <f>D18*(1+$G$4)^((D10-C10)/365)-D18</f>
        <v>186083.82334679924</v>
      </c>
      <c r="E19" s="75">
        <f t="shared" ref="E19:AQ19" si="7">E18*(1+$G$4)^((E10-D10)/365)-E18</f>
        <v>189728.79064273275</v>
      </c>
      <c r="F19" s="75">
        <f t="shared" si="7"/>
        <v>189199.8002767954</v>
      </c>
      <c r="G19" s="75">
        <f t="shared" si="7"/>
        <v>194987.58573367074</v>
      </c>
      <c r="H19" s="75">
        <f t="shared" si="7"/>
        <v>200970.52921454422</v>
      </c>
      <c r="I19" s="75">
        <f t="shared" si="7"/>
        <v>204907.09389415197</v>
      </c>
      <c r="J19" s="75">
        <f t="shared" si="7"/>
        <v>204335.78429893963</v>
      </c>
      <c r="K19" s="75">
        <f t="shared" si="7"/>
        <v>210586.59259236418</v>
      </c>
      <c r="L19" s="75">
        <f t="shared" si="7"/>
        <v>217048.17155170813</v>
      </c>
      <c r="M19" s="75">
        <f t="shared" si="7"/>
        <v>221299.66140568443</v>
      </c>
      <c r="N19" s="75">
        <f t="shared" si="7"/>
        <v>220682.64704285562</v>
      </c>
      <c r="O19" s="75">
        <f t="shared" si="7"/>
        <v>227433.51999975368</v>
      </c>
      <c r="P19" s="75">
        <f t="shared" si="7"/>
        <v>234412.02527584322</v>
      </c>
      <c r="Q19" s="75">
        <f t="shared" si="7"/>
        <v>239003.63431813754</v>
      </c>
      <c r="R19" s="75">
        <f t="shared" si="7"/>
        <v>241010.93887096271</v>
      </c>
      <c r="S19" s="75">
        <f t="shared" si="7"/>
        <v>245679.99829897098</v>
      </c>
      <c r="T19" s="75">
        <f t="shared" si="7"/>
        <v>253218.37331229821</v>
      </c>
      <c r="U19" s="75">
        <f t="shared" si="7"/>
        <v>258178.35679099336</v>
      </c>
      <c r="V19" s="75">
        <f t="shared" si="7"/>
        <v>257458.51947493292</v>
      </c>
      <c r="W19" s="75">
        <f t="shared" si="7"/>
        <v>265334.39816288836</v>
      </c>
      <c r="X19" s="75">
        <f t="shared" si="7"/>
        <v>124608.78449984174</v>
      </c>
      <c r="Y19" s="75">
        <f t="shared" si="7"/>
        <v>127049.59282008745</v>
      </c>
      <c r="Z19" s="75">
        <f t="shared" si="7"/>
        <v>126695.36081149057</v>
      </c>
      <c r="AA19" s="75">
        <f t="shared" si="7"/>
        <v>38550.227989980951</v>
      </c>
      <c r="AB19" s="75">
        <f t="shared" si="7"/>
        <v>39733.092193212127</v>
      </c>
      <c r="AC19" s="75">
        <f t="shared" si="7"/>
        <v>40511.374899391318</v>
      </c>
      <c r="AD19" s="75">
        <f t="shared" si="7"/>
        <v>0</v>
      </c>
      <c r="AE19" s="75">
        <f t="shared" si="7"/>
        <v>0</v>
      </c>
      <c r="AF19" s="75">
        <f t="shared" si="7"/>
        <v>0</v>
      </c>
      <c r="AG19" s="75">
        <f t="shared" si="7"/>
        <v>13956.28675100999</v>
      </c>
      <c r="AH19" s="75">
        <f t="shared" si="7"/>
        <v>14073.500524832867</v>
      </c>
      <c r="AI19" s="75">
        <f t="shared" si="7"/>
        <v>14346.143794131698</v>
      </c>
      <c r="AJ19" s="75">
        <f t="shared" si="7"/>
        <v>14786.336779576493</v>
      </c>
      <c r="AK19" s="75">
        <f t="shared" si="7"/>
        <v>15075.968156548799</v>
      </c>
      <c r="AL19" s="75">
        <f t="shared" si="7"/>
        <v>15033.93425181054</v>
      </c>
      <c r="AM19" s="75">
        <f t="shared" si="7"/>
        <v>15493.835297662299</v>
      </c>
      <c r="AN19" s="75">
        <f t="shared" si="7"/>
        <v>15969.243721942534</v>
      </c>
      <c r="AO19" s="75">
        <f t="shared" si="7"/>
        <v>16282.045609072666</v>
      </c>
      <c r="AP19" s="75">
        <f t="shared" si="7"/>
        <v>16236.648991955328</v>
      </c>
      <c r="AQ19" s="76">
        <f t="shared" si="7"/>
        <v>16733.34212147526</v>
      </c>
    </row>
    <row r="20" spans="1:51" x14ac:dyDescent="0.25">
      <c r="A20" s="146"/>
      <c r="B20" s="73" t="s">
        <v>19</v>
      </c>
      <c r="C20" s="74">
        <f>-C14</f>
        <v>9500000</v>
      </c>
      <c r="D20" s="75">
        <f>-D14</f>
        <v>0</v>
      </c>
      <c r="E20" s="75">
        <f t="shared" ref="E20:AQ20" si="8">-E14</f>
        <v>0</v>
      </c>
      <c r="F20" s="75">
        <f t="shared" si="8"/>
        <v>0</v>
      </c>
      <c r="G20" s="75">
        <f t="shared" si="8"/>
        <v>0</v>
      </c>
      <c r="H20" s="75">
        <f t="shared" si="8"/>
        <v>0</v>
      </c>
      <c r="I20" s="75">
        <f t="shared" si="8"/>
        <v>0</v>
      </c>
      <c r="J20" s="75">
        <f t="shared" si="8"/>
        <v>0</v>
      </c>
      <c r="K20" s="75">
        <f t="shared" si="8"/>
        <v>0</v>
      </c>
      <c r="L20" s="75">
        <f t="shared" si="8"/>
        <v>0</v>
      </c>
      <c r="M20" s="75">
        <f t="shared" si="8"/>
        <v>0</v>
      </c>
      <c r="N20" s="75">
        <f t="shared" si="8"/>
        <v>0</v>
      </c>
      <c r="O20" s="75">
        <f t="shared" si="8"/>
        <v>0</v>
      </c>
      <c r="P20" s="75">
        <f t="shared" si="8"/>
        <v>0</v>
      </c>
      <c r="Q20" s="75">
        <f t="shared" si="8"/>
        <v>0</v>
      </c>
      <c r="R20" s="75">
        <f t="shared" si="8"/>
        <v>0</v>
      </c>
      <c r="S20" s="75">
        <f t="shared" si="8"/>
        <v>0</v>
      </c>
      <c r="T20" s="75">
        <f t="shared" si="8"/>
        <v>0</v>
      </c>
      <c r="U20" s="75">
        <f t="shared" si="8"/>
        <v>0</v>
      </c>
      <c r="V20" s="75">
        <f t="shared" si="8"/>
        <v>0</v>
      </c>
      <c r="W20" s="75">
        <f t="shared" si="8"/>
        <v>0</v>
      </c>
      <c r="X20" s="75">
        <f t="shared" si="8"/>
        <v>0</v>
      </c>
      <c r="Y20" s="75">
        <f t="shared" si="8"/>
        <v>0</v>
      </c>
      <c r="Z20" s="75">
        <f t="shared" si="8"/>
        <v>0</v>
      </c>
      <c r="AA20" s="75">
        <f t="shared" si="8"/>
        <v>0</v>
      </c>
      <c r="AB20" s="75">
        <f t="shared" si="8"/>
        <v>0</v>
      </c>
      <c r="AC20" s="75">
        <f t="shared" si="8"/>
        <v>0</v>
      </c>
      <c r="AD20" s="75">
        <f t="shared" si="8"/>
        <v>0</v>
      </c>
      <c r="AE20" s="75">
        <f t="shared" si="8"/>
        <v>0</v>
      </c>
      <c r="AF20" s="75">
        <f t="shared" si="8"/>
        <v>712500</v>
      </c>
      <c r="AG20" s="75">
        <f t="shared" si="8"/>
        <v>0</v>
      </c>
      <c r="AH20" s="75">
        <f t="shared" si="8"/>
        <v>0</v>
      </c>
      <c r="AI20" s="75">
        <f t="shared" si="8"/>
        <v>0</v>
      </c>
      <c r="AJ20" s="75">
        <f t="shared" si="8"/>
        <v>0</v>
      </c>
      <c r="AK20" s="75">
        <f t="shared" si="8"/>
        <v>0</v>
      </c>
      <c r="AL20" s="75">
        <f t="shared" si="8"/>
        <v>0</v>
      </c>
      <c r="AM20" s="75">
        <f t="shared" si="8"/>
        <v>0</v>
      </c>
      <c r="AN20" s="75">
        <f t="shared" si="8"/>
        <v>0</v>
      </c>
      <c r="AO20" s="75">
        <f t="shared" si="8"/>
        <v>0</v>
      </c>
      <c r="AP20" s="75">
        <f t="shared" si="8"/>
        <v>0</v>
      </c>
      <c r="AQ20" s="76">
        <f t="shared" si="8"/>
        <v>0</v>
      </c>
    </row>
    <row r="21" spans="1:51" x14ac:dyDescent="0.25">
      <c r="A21" s="10"/>
      <c r="B21" s="73" t="s">
        <v>22</v>
      </c>
      <c r="C21" s="74">
        <f>MIN(C18+C19,MAX(C11,0)*$D$5)</f>
        <v>0</v>
      </c>
      <c r="D21" s="75">
        <f>MIN(D18+D19,MAX(D11,0)*$D$5)</f>
        <v>0</v>
      </c>
      <c r="E21" s="75">
        <f t="shared" ref="E21:AQ21" si="9">MIN(E18+E19,MAX(E11,0)*$D$5)</f>
        <v>0</v>
      </c>
      <c r="F21" s="75">
        <f t="shared" si="9"/>
        <v>0</v>
      </c>
      <c r="G21" s="75">
        <f t="shared" si="9"/>
        <v>0</v>
      </c>
      <c r="H21" s="75">
        <f t="shared" si="9"/>
        <v>0</v>
      </c>
      <c r="I21" s="75">
        <f t="shared" si="9"/>
        <v>0</v>
      </c>
      <c r="J21" s="75">
        <f t="shared" si="9"/>
        <v>0</v>
      </c>
      <c r="K21" s="75">
        <f t="shared" si="9"/>
        <v>0</v>
      </c>
      <c r="L21" s="75">
        <f t="shared" si="9"/>
        <v>0</v>
      </c>
      <c r="M21" s="75">
        <f t="shared" si="9"/>
        <v>0</v>
      </c>
      <c r="N21" s="75">
        <f t="shared" si="9"/>
        <v>0</v>
      </c>
      <c r="O21" s="75">
        <f t="shared" si="9"/>
        <v>0</v>
      </c>
      <c r="P21" s="75">
        <f t="shared" si="9"/>
        <v>0</v>
      </c>
      <c r="Q21" s="75">
        <f t="shared" si="9"/>
        <v>0</v>
      </c>
      <c r="R21" s="75">
        <f t="shared" si="9"/>
        <v>0</v>
      </c>
      <c r="S21" s="75">
        <f t="shared" si="9"/>
        <v>0</v>
      </c>
      <c r="T21" s="75">
        <f t="shared" si="9"/>
        <v>0</v>
      </c>
      <c r="U21" s="75">
        <f t="shared" si="9"/>
        <v>0</v>
      </c>
      <c r="V21" s="75">
        <f t="shared" si="9"/>
        <v>0</v>
      </c>
      <c r="W21" s="75">
        <f t="shared" si="9"/>
        <v>7600000</v>
      </c>
      <c r="X21" s="75">
        <f t="shared" si="9"/>
        <v>0</v>
      </c>
      <c r="Y21" s="75">
        <f t="shared" si="9"/>
        <v>0</v>
      </c>
      <c r="Z21" s="75">
        <f t="shared" si="9"/>
        <v>4750000</v>
      </c>
      <c r="AA21" s="75">
        <f t="shared" si="9"/>
        <v>0</v>
      </c>
      <c r="AB21" s="75">
        <f t="shared" si="9"/>
        <v>0</v>
      </c>
      <c r="AC21" s="75">
        <f t="shared" si="9"/>
        <v>2108708.6777190315</v>
      </c>
      <c r="AD21" s="75">
        <f t="shared" si="9"/>
        <v>0</v>
      </c>
      <c r="AE21" s="75">
        <f t="shared" si="9"/>
        <v>0</v>
      </c>
      <c r="AF21" s="75">
        <f t="shared" si="9"/>
        <v>0</v>
      </c>
      <c r="AG21" s="75">
        <f t="shared" si="9"/>
        <v>0</v>
      </c>
      <c r="AH21" s="75">
        <f t="shared" si="9"/>
        <v>0</v>
      </c>
      <c r="AI21" s="75">
        <f t="shared" si="9"/>
        <v>0</v>
      </c>
      <c r="AJ21" s="75">
        <f t="shared" si="9"/>
        <v>0</v>
      </c>
      <c r="AK21" s="75">
        <f t="shared" si="9"/>
        <v>0</v>
      </c>
      <c r="AL21" s="75">
        <f t="shared" si="9"/>
        <v>0</v>
      </c>
      <c r="AM21" s="75">
        <f t="shared" si="9"/>
        <v>0</v>
      </c>
      <c r="AN21" s="75">
        <f t="shared" si="9"/>
        <v>0</v>
      </c>
      <c r="AO21" s="75">
        <f t="shared" si="9"/>
        <v>0</v>
      </c>
      <c r="AP21" s="75">
        <f t="shared" si="9"/>
        <v>0</v>
      </c>
      <c r="AQ21" s="76">
        <f t="shared" si="9"/>
        <v>95000</v>
      </c>
    </row>
    <row r="22" spans="1:51" x14ac:dyDescent="0.25">
      <c r="A22" s="92" t="s">
        <v>25</v>
      </c>
      <c r="B22" s="73" t="s">
        <v>23</v>
      </c>
      <c r="C22" s="74">
        <f>C18+C19+C20-C21</f>
        <v>9500000</v>
      </c>
      <c r="D22" s="75">
        <f>D18+D19+D20-D21</f>
        <v>9686083.8233467992</v>
      </c>
      <c r="E22" s="75">
        <f t="shared" ref="E22:AQ22" si="10">E18+E19+E20-E21</f>
        <v>9875812.613989532</v>
      </c>
      <c r="F22" s="75">
        <f t="shared" si="10"/>
        <v>10065012.414266327</v>
      </c>
      <c r="G22" s="75">
        <f t="shared" si="10"/>
        <v>10259999.999999998</v>
      </c>
      <c r="H22" s="75">
        <f t="shared" si="10"/>
        <v>10460970.529214542</v>
      </c>
      <c r="I22" s="75">
        <f t="shared" si="10"/>
        <v>10665877.623108694</v>
      </c>
      <c r="J22" s="75">
        <f t="shared" si="10"/>
        <v>10870213.407407634</v>
      </c>
      <c r="K22" s="75">
        <f t="shared" si="10"/>
        <v>11080799.999999998</v>
      </c>
      <c r="L22" s="75">
        <f t="shared" si="10"/>
        <v>11297848.171551706</v>
      </c>
      <c r="M22" s="75">
        <f t="shared" si="10"/>
        <v>11519147.832957391</v>
      </c>
      <c r="N22" s="75">
        <f t="shared" si="10"/>
        <v>11739830.480000246</v>
      </c>
      <c r="O22" s="75">
        <f t="shared" si="10"/>
        <v>11967264</v>
      </c>
      <c r="P22" s="75">
        <f t="shared" si="10"/>
        <v>12201676.025275843</v>
      </c>
      <c r="Q22" s="75">
        <f t="shared" si="10"/>
        <v>12440679.659593981</v>
      </c>
      <c r="R22" s="75">
        <f t="shared" si="10"/>
        <v>12681690.598464943</v>
      </c>
      <c r="S22" s="75">
        <f t="shared" si="10"/>
        <v>12927370.596763914</v>
      </c>
      <c r="T22" s="75">
        <f t="shared" si="10"/>
        <v>13180588.970076213</v>
      </c>
      <c r="U22" s="75">
        <f t="shared" si="10"/>
        <v>13438767.326867206</v>
      </c>
      <c r="V22" s="75">
        <f t="shared" si="10"/>
        <v>13696225.846342139</v>
      </c>
      <c r="W22" s="75">
        <f t="shared" si="10"/>
        <v>6361560.2445050273</v>
      </c>
      <c r="X22" s="75">
        <f t="shared" si="10"/>
        <v>6486169.0290048691</v>
      </c>
      <c r="Y22" s="75">
        <f t="shared" si="10"/>
        <v>6613218.6218249565</v>
      </c>
      <c r="Z22" s="75">
        <f t="shared" si="10"/>
        <v>1989913.9826364471</v>
      </c>
      <c r="AA22" s="75">
        <f t="shared" si="10"/>
        <v>2028464.210626428</v>
      </c>
      <c r="AB22" s="75">
        <f t="shared" si="10"/>
        <v>2068197.3028196401</v>
      </c>
      <c r="AC22" s="75">
        <f t="shared" si="10"/>
        <v>0</v>
      </c>
      <c r="AD22" s="75">
        <f t="shared" si="10"/>
        <v>0</v>
      </c>
      <c r="AE22" s="75">
        <f t="shared" si="10"/>
        <v>0</v>
      </c>
      <c r="AF22" s="75">
        <f t="shared" si="10"/>
        <v>712500</v>
      </c>
      <c r="AG22" s="75">
        <f t="shared" si="10"/>
        <v>726456.28675100999</v>
      </c>
      <c r="AH22" s="75">
        <f t="shared" si="10"/>
        <v>740529.78727584286</v>
      </c>
      <c r="AI22" s="75">
        <f t="shared" si="10"/>
        <v>754875.93106997455</v>
      </c>
      <c r="AJ22" s="75">
        <f t="shared" si="10"/>
        <v>769662.26784955105</v>
      </c>
      <c r="AK22" s="75">
        <f t="shared" si="10"/>
        <v>784738.23600609985</v>
      </c>
      <c r="AL22" s="75">
        <f t="shared" si="10"/>
        <v>799772.17025791039</v>
      </c>
      <c r="AM22" s="75">
        <f t="shared" si="10"/>
        <v>815266.00555557269</v>
      </c>
      <c r="AN22" s="75">
        <f t="shared" si="10"/>
        <v>831235.24927751522</v>
      </c>
      <c r="AO22" s="75">
        <f t="shared" si="10"/>
        <v>847517.29488658789</v>
      </c>
      <c r="AP22" s="75">
        <f t="shared" si="10"/>
        <v>863753.94387854321</v>
      </c>
      <c r="AQ22" s="76">
        <f t="shared" si="10"/>
        <v>785487.28600001847</v>
      </c>
    </row>
    <row r="23" spans="1:51" x14ac:dyDescent="0.25">
      <c r="A23" s="93">
        <f>XIRR(C23:AQ23,$C$10:$AQ$10)</f>
        <v>7.2204515337944017E-2</v>
      </c>
      <c r="B23" s="77" t="s">
        <v>24</v>
      </c>
      <c r="C23" s="78">
        <f>C21-C20</f>
        <v>-9500000</v>
      </c>
      <c r="D23" s="79">
        <f>D21-D20</f>
        <v>0</v>
      </c>
      <c r="E23" s="79">
        <f t="shared" ref="E23:AQ23" si="11">E21-E20</f>
        <v>0</v>
      </c>
      <c r="F23" s="79">
        <f t="shared" si="11"/>
        <v>0</v>
      </c>
      <c r="G23" s="79">
        <f t="shared" si="11"/>
        <v>0</v>
      </c>
      <c r="H23" s="79">
        <f t="shared" si="11"/>
        <v>0</v>
      </c>
      <c r="I23" s="79">
        <f t="shared" si="11"/>
        <v>0</v>
      </c>
      <c r="J23" s="79">
        <f t="shared" si="11"/>
        <v>0</v>
      </c>
      <c r="K23" s="79">
        <f t="shared" si="11"/>
        <v>0</v>
      </c>
      <c r="L23" s="79">
        <f t="shared" si="11"/>
        <v>0</v>
      </c>
      <c r="M23" s="79">
        <f t="shared" si="11"/>
        <v>0</v>
      </c>
      <c r="N23" s="79">
        <f t="shared" si="11"/>
        <v>0</v>
      </c>
      <c r="O23" s="79">
        <f t="shared" si="11"/>
        <v>0</v>
      </c>
      <c r="P23" s="79">
        <f t="shared" si="11"/>
        <v>0</v>
      </c>
      <c r="Q23" s="79">
        <f t="shared" si="11"/>
        <v>0</v>
      </c>
      <c r="R23" s="79">
        <f t="shared" si="11"/>
        <v>0</v>
      </c>
      <c r="S23" s="79">
        <f t="shared" si="11"/>
        <v>0</v>
      </c>
      <c r="T23" s="79">
        <f t="shared" si="11"/>
        <v>0</v>
      </c>
      <c r="U23" s="79">
        <f t="shared" si="11"/>
        <v>0</v>
      </c>
      <c r="V23" s="79">
        <f t="shared" si="11"/>
        <v>0</v>
      </c>
      <c r="W23" s="79">
        <f t="shared" si="11"/>
        <v>7600000</v>
      </c>
      <c r="X23" s="79">
        <f t="shared" si="11"/>
        <v>0</v>
      </c>
      <c r="Y23" s="79">
        <f t="shared" si="11"/>
        <v>0</v>
      </c>
      <c r="Z23" s="79">
        <f t="shared" si="11"/>
        <v>4750000</v>
      </c>
      <c r="AA23" s="79">
        <f t="shared" si="11"/>
        <v>0</v>
      </c>
      <c r="AB23" s="79">
        <f t="shared" si="11"/>
        <v>0</v>
      </c>
      <c r="AC23" s="79">
        <f t="shared" si="11"/>
        <v>2108708.6777190315</v>
      </c>
      <c r="AD23" s="79">
        <f t="shared" si="11"/>
        <v>0</v>
      </c>
      <c r="AE23" s="79">
        <f t="shared" si="11"/>
        <v>0</v>
      </c>
      <c r="AF23" s="79">
        <f t="shared" si="11"/>
        <v>-712500</v>
      </c>
      <c r="AG23" s="79">
        <f t="shared" si="11"/>
        <v>0</v>
      </c>
      <c r="AH23" s="79">
        <f t="shared" si="11"/>
        <v>0</v>
      </c>
      <c r="AI23" s="79">
        <f t="shared" si="11"/>
        <v>0</v>
      </c>
      <c r="AJ23" s="79">
        <f t="shared" si="11"/>
        <v>0</v>
      </c>
      <c r="AK23" s="79">
        <f t="shared" si="11"/>
        <v>0</v>
      </c>
      <c r="AL23" s="79">
        <f t="shared" si="11"/>
        <v>0</v>
      </c>
      <c r="AM23" s="79">
        <f t="shared" si="11"/>
        <v>0</v>
      </c>
      <c r="AN23" s="79">
        <f t="shared" si="11"/>
        <v>0</v>
      </c>
      <c r="AO23" s="79">
        <f t="shared" si="11"/>
        <v>0</v>
      </c>
      <c r="AP23" s="79">
        <f t="shared" si="11"/>
        <v>0</v>
      </c>
      <c r="AQ23" s="80">
        <f t="shared" si="11"/>
        <v>95000</v>
      </c>
    </row>
    <row r="24" spans="1:51" x14ac:dyDescent="0.25">
      <c r="A24" s="10"/>
      <c r="B24" s="73"/>
      <c r="C24" s="7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6"/>
    </row>
    <row r="25" spans="1:51" x14ac:dyDescent="0.25">
      <c r="A25" s="10"/>
      <c r="B25" s="89" t="s">
        <v>84</v>
      </c>
      <c r="C25" s="181" t="str">
        <f>IF(C10&gt;$M$7,"N/A",IFERROR(IF(ROUND(XIRR($C$23:C23,$C$10:C10),4)=$G$4,"YES","NO"),"NO"))</f>
        <v>NO</v>
      </c>
      <c r="D25" s="90" t="str">
        <f>IF(D10&gt;$M$7,"N/A",IFERROR(IF(ROUND(XIRR($C$23:D23,$C$10:D10),4)=$G$4,"YES","NO"),"NO"))</f>
        <v>NO</v>
      </c>
      <c r="E25" s="90" t="str">
        <f>IF(E10&gt;$M$7,"N/A",IFERROR(IF(ROUND(XIRR($C$23:E23,$C$10:E10),4)=$G$4,"YES","NO"),"NO"))</f>
        <v>NO</v>
      </c>
      <c r="F25" s="90" t="str">
        <f>IF(F10&gt;$M$7,"N/A",IFERROR(IF(ROUND(XIRR($C$23:F23,$C$10:F10),4)=$G$4,"YES","NO"),"NO"))</f>
        <v>NO</v>
      </c>
      <c r="G25" s="90" t="str">
        <f>IF(G10&gt;$M$7,"N/A",IFERROR(IF(ROUND(XIRR($C$23:G23,$C$10:G10),4)=$G$4,"YES","NO"),"NO"))</f>
        <v>NO</v>
      </c>
      <c r="H25" s="90" t="str">
        <f>IF(H10&gt;$M$7,"N/A",IFERROR(IF(ROUND(XIRR($C$23:H23,$C$10:H10),4)=$G$4,"YES","NO"),"NO"))</f>
        <v>NO</v>
      </c>
      <c r="I25" s="90" t="str">
        <f>IF(I10&gt;$M$7,"N/A",IFERROR(IF(ROUND(XIRR($C$23:I23,$C$10:I10),4)=$G$4,"YES","NO"),"NO"))</f>
        <v>NO</v>
      </c>
      <c r="J25" s="90" t="str">
        <f>IF(J10&gt;$M$7,"N/A",IFERROR(IF(ROUND(XIRR($C$23:J23,$C$10:J10),4)=$G$4,"YES","NO"),"NO"))</f>
        <v>NO</v>
      </c>
      <c r="K25" s="90" t="str">
        <f>IF(K10&gt;$M$7,"N/A",IFERROR(IF(ROUND(XIRR($C$23:K23,$C$10:K10),4)=$G$4,"YES","NO"),"NO"))</f>
        <v>NO</v>
      </c>
      <c r="L25" s="90" t="str">
        <f>IF(L10&gt;$M$7,"N/A",IFERROR(IF(ROUND(XIRR($C$23:L23,$C$10:L10),4)=$G$4,"YES","NO"),"NO"))</f>
        <v>NO</v>
      </c>
      <c r="M25" s="90" t="str">
        <f>IF(M10&gt;$M$7,"N/A",IFERROR(IF(ROUND(XIRR($C$23:M23,$C$10:M10),4)=$G$4,"YES","NO"),"NO"))</f>
        <v>NO</v>
      </c>
      <c r="N25" s="90" t="str">
        <f>IF(N10&gt;$M$7,"N/A",IFERROR(IF(ROUND(XIRR($C$23:N23,$C$10:N10),4)=$G$4,"YES","NO"),"NO"))</f>
        <v>NO</v>
      </c>
      <c r="O25" s="90" t="str">
        <f>IF(O10&gt;$M$7,"N/A",IFERROR(IF(ROUND(XIRR($C$23:O23,$C$10:O10),4)=$G$4,"YES","NO"),"NO"))</f>
        <v>NO</v>
      </c>
      <c r="P25" s="90" t="str">
        <f>IF(P10&gt;$M$7,"N/A",IFERROR(IF(ROUND(XIRR($C$23:P23,$C$10:P10),4)=$G$4,"YES","NO"),"NO"))</f>
        <v>NO</v>
      </c>
      <c r="Q25" s="90" t="str">
        <f>IF(Q10&gt;$M$7,"N/A",IFERROR(IF(ROUND(XIRR($C$23:Q23,$C$10:Q10),4)=$G$4,"YES","NO"),"NO"))</f>
        <v>NO</v>
      </c>
      <c r="R25" s="90" t="str">
        <f>IF(R10&gt;$M$7,"N/A",IFERROR(IF(ROUND(XIRR($C$23:R23,$C$10:R10),4)=$G$4,"YES","NO"),"NO"))</f>
        <v>NO</v>
      </c>
      <c r="S25" s="90" t="str">
        <f>IF(S10&gt;$M$7,"N/A",IFERROR(IF(ROUND(XIRR($C$23:S23,$C$10:S10),4)=$G$4,"YES","NO"),"NO"))</f>
        <v>NO</v>
      </c>
      <c r="T25" s="90" t="str">
        <f>IF(T10&gt;$M$7,"N/A",IFERROR(IF(ROUND(XIRR($C$23:T23,$C$10:T10),4)=$G$4,"YES","NO"),"NO"))</f>
        <v>NO</v>
      </c>
      <c r="U25" s="90" t="str">
        <f>IF(U10&gt;$M$7,"N/A",IFERROR(IF(ROUND(XIRR($C$23:U23,$C$10:U10),4)=$G$4,"YES","NO"),"NO"))</f>
        <v>NO</v>
      </c>
      <c r="V25" s="90" t="str">
        <f>IF(V10&gt;$M$7,"N/A",IFERROR(IF(ROUND(XIRR($C$23:V23,$C$10:V10),4)=$G$4,"YES","NO"),"NO"))</f>
        <v>NO</v>
      </c>
      <c r="W25" s="90" t="str">
        <f>IF(W10&gt;$M$7,"N/A",IFERROR(IF(ROUND(XIRR($C$23:W23,$C$10:W10),4)=$G$4,"YES","NO"),"NO"))</f>
        <v>NO</v>
      </c>
      <c r="X25" s="90" t="str">
        <f>IF(X10&gt;$M$7,"N/A",IFERROR(IF(ROUND(XIRR($C$23:X23,$C$10:X10),4)=$G$4,"YES","NO"),"NO"))</f>
        <v>NO</v>
      </c>
      <c r="Y25" s="90" t="str">
        <f>IF(Y10&gt;$M$7,"N/A",IFERROR(IF(ROUND(XIRR($C$23:Y23,$C$10:Y10),4)=$G$4,"YES","NO"),"NO"))</f>
        <v>NO</v>
      </c>
      <c r="Z25" s="90" t="str">
        <f>IF(Z10&gt;$M$7,"N/A",IFERROR(IF(ROUND(XIRR($C$23:Z23,$C$10:Z10),4)=$G$4,"YES","NO"),"NO"))</f>
        <v>NO</v>
      </c>
      <c r="AA25" s="90" t="str">
        <f>IF(AA10&gt;$M$7,"N/A",IFERROR(IF(ROUND(XIRR($C$23:AA23,$C$10:AA10),4)=$G$4,"YES","NO"),"NO"))</f>
        <v>NO</v>
      </c>
      <c r="AB25" s="90" t="str">
        <f>IF(AB10&gt;$M$7,"N/A",IFERROR(IF(ROUND(XIRR($C$23:AB23,$C$10:AB10),4)=$G$4,"YES","NO"),"NO"))</f>
        <v>NO</v>
      </c>
      <c r="AC25" s="90" t="str">
        <f>IF(AC10&gt;$M$7,"N/A",IFERROR(IF(ROUND(XIRR($C$23:AC23,$C$10:AC10),4)=$G$4,"YES","NO"),"NO"))</f>
        <v>YES</v>
      </c>
      <c r="AD25" s="90" t="str">
        <f>IF(AD10&gt;$M$7,"N/A",IFERROR(IF(ROUND(XIRR($C$23:AD23,$C$10:AD10),4)=$G$4,"YES","NO"),"NO"))</f>
        <v>YES</v>
      </c>
      <c r="AE25" s="90" t="str">
        <f>IF(AE10&gt;$M$7,"N/A",IFERROR(IF(ROUND(XIRR($C$23:AE23,$C$10:AE10),4)=$G$4,"YES","NO"),"NO"))</f>
        <v>YES</v>
      </c>
      <c r="AF25" s="90" t="str">
        <f>IF(AF10&gt;$M$7,"N/A",IFERROR(IF(ROUND(XIRR($C$23:AF23,$C$10:AF10),4)=$G$4,"YES","NO"),"NO"))</f>
        <v>NO</v>
      </c>
      <c r="AG25" s="90" t="str">
        <f>IF(AG10&gt;$M$7,"N/A",IFERROR(IF(ROUND(XIRR($C$23:AG23,$C$10:AG10),4)=$G$4,"YES","NO"),"NO"))</f>
        <v>NO</v>
      </c>
      <c r="AH25" s="90" t="str">
        <f>IF(AH10&gt;$M$7,"N/A",IFERROR(IF(ROUND(XIRR($C$23:AH23,$C$10:AH10),4)=$G$4,"YES","NO"),"NO"))</f>
        <v>NO</v>
      </c>
      <c r="AI25" s="90" t="str">
        <f>IF(AI10&gt;$M$7,"N/A",IFERROR(IF(ROUND(XIRR($C$23:AI23,$C$10:AI10),4)=$G$4,"YES","NO"),"NO"))</f>
        <v>NO</v>
      </c>
      <c r="AJ25" s="90" t="str">
        <f>IF(AJ10&gt;$M$7,"N/A",IFERROR(IF(ROUND(XIRR($C$23:AJ23,$C$10:AJ10),4)=$G$4,"YES","NO"),"NO"))</f>
        <v>NO</v>
      </c>
      <c r="AK25" s="90" t="str">
        <f>IF(AK10&gt;$M$7,"N/A",IFERROR(IF(ROUND(XIRR($C$23:AK23,$C$10:AK10),4)=$G$4,"YES","NO"),"NO"))</f>
        <v>NO</v>
      </c>
      <c r="AL25" s="90" t="str">
        <f>IF(AL10&gt;$M$7,"N/A",IFERROR(IF(ROUND(XIRR($C$23:AL23,$C$10:AL10),4)=$G$4,"YES","NO"),"NO"))</f>
        <v>NO</v>
      </c>
      <c r="AM25" s="90" t="str">
        <f>IF(AM10&gt;$M$7,"N/A",IFERROR(IF(ROUND(XIRR($C$23:AM23,$C$10:AM10),4)=$G$4,"YES","NO"),"NO"))</f>
        <v>NO</v>
      </c>
      <c r="AN25" s="90" t="str">
        <f>IF(AN10&gt;$M$7,"N/A",IFERROR(IF(ROUND(XIRR($C$23:AN23,$C$10:AN10),4)=$G$4,"YES","NO"),"NO"))</f>
        <v>NO</v>
      </c>
      <c r="AO25" s="90" t="str">
        <f>IF(AO10&gt;$M$7,"N/A",IFERROR(IF(ROUND(XIRR($C$23:AO23,$C$10:AO10),4)=$G$4,"YES","NO"),"NO"))</f>
        <v>NO</v>
      </c>
      <c r="AP25" s="90" t="str">
        <f>IF(AP10&gt;$M$7,"N/A",IFERROR(IF(ROUND(XIRR($C$23:AP23,$C$10:AP10),4)=$G$4,"YES","NO"),"NO"))</f>
        <v>NO</v>
      </c>
      <c r="AQ25" s="91" t="str">
        <f>IF(AQ10&gt;$M$7,"N/A",IFERROR(IF(ROUND(XIRR($C$23:AQ23,$C$10:AQ10),4)=$G$4,"YES","NO"),"NO"))</f>
        <v>NO</v>
      </c>
    </row>
    <row r="26" spans="1:51" x14ac:dyDescent="0.25">
      <c r="A26" s="10"/>
      <c r="B26" s="73"/>
      <c r="C26" s="7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6"/>
    </row>
    <row r="27" spans="1:51" x14ac:dyDescent="0.25">
      <c r="A27" s="10"/>
      <c r="B27" s="73" t="s">
        <v>18</v>
      </c>
      <c r="C27" s="74">
        <f>-C15</f>
        <v>500000</v>
      </c>
      <c r="D27" s="75">
        <f t="shared" ref="D27:AQ27" si="12">-D15</f>
        <v>0</v>
      </c>
      <c r="E27" s="75">
        <f t="shared" si="12"/>
        <v>0</v>
      </c>
      <c r="F27" s="75">
        <f t="shared" si="12"/>
        <v>0</v>
      </c>
      <c r="G27" s="75">
        <f t="shared" si="12"/>
        <v>0</v>
      </c>
      <c r="H27" s="75">
        <f t="shared" si="12"/>
        <v>0</v>
      </c>
      <c r="I27" s="75">
        <f t="shared" si="12"/>
        <v>0</v>
      </c>
      <c r="J27" s="75">
        <f t="shared" si="12"/>
        <v>0</v>
      </c>
      <c r="K27" s="75">
        <f t="shared" si="12"/>
        <v>0</v>
      </c>
      <c r="L27" s="75">
        <f t="shared" si="12"/>
        <v>0</v>
      </c>
      <c r="M27" s="75">
        <f t="shared" si="12"/>
        <v>0</v>
      </c>
      <c r="N27" s="75">
        <f t="shared" si="12"/>
        <v>0</v>
      </c>
      <c r="O27" s="75">
        <f t="shared" si="12"/>
        <v>0</v>
      </c>
      <c r="P27" s="75">
        <f t="shared" si="12"/>
        <v>0</v>
      </c>
      <c r="Q27" s="75">
        <f t="shared" si="12"/>
        <v>0</v>
      </c>
      <c r="R27" s="75">
        <f t="shared" si="12"/>
        <v>0</v>
      </c>
      <c r="S27" s="75">
        <f t="shared" si="12"/>
        <v>0</v>
      </c>
      <c r="T27" s="75">
        <f t="shared" si="12"/>
        <v>0</v>
      </c>
      <c r="U27" s="75">
        <f t="shared" si="12"/>
        <v>0</v>
      </c>
      <c r="V27" s="75">
        <f t="shared" si="12"/>
        <v>0</v>
      </c>
      <c r="W27" s="75">
        <f t="shared" si="12"/>
        <v>0</v>
      </c>
      <c r="X27" s="75">
        <f t="shared" si="12"/>
        <v>0</v>
      </c>
      <c r="Y27" s="75">
        <f t="shared" si="12"/>
        <v>0</v>
      </c>
      <c r="Z27" s="75">
        <f t="shared" si="12"/>
        <v>0</v>
      </c>
      <c r="AA27" s="75">
        <f t="shared" si="12"/>
        <v>0</v>
      </c>
      <c r="AB27" s="75">
        <f t="shared" si="12"/>
        <v>0</v>
      </c>
      <c r="AC27" s="75">
        <f t="shared" si="12"/>
        <v>0</v>
      </c>
      <c r="AD27" s="75">
        <f t="shared" si="12"/>
        <v>0</v>
      </c>
      <c r="AE27" s="75">
        <f t="shared" si="12"/>
        <v>0</v>
      </c>
      <c r="AF27" s="75">
        <f t="shared" si="12"/>
        <v>37500</v>
      </c>
      <c r="AG27" s="75">
        <f t="shared" si="12"/>
        <v>0</v>
      </c>
      <c r="AH27" s="75">
        <f t="shared" si="12"/>
        <v>0</v>
      </c>
      <c r="AI27" s="75">
        <f t="shared" si="12"/>
        <v>0</v>
      </c>
      <c r="AJ27" s="75">
        <f t="shared" si="12"/>
        <v>0</v>
      </c>
      <c r="AK27" s="75">
        <f t="shared" si="12"/>
        <v>0</v>
      </c>
      <c r="AL27" s="75">
        <f t="shared" si="12"/>
        <v>0</v>
      </c>
      <c r="AM27" s="75">
        <f t="shared" si="12"/>
        <v>0</v>
      </c>
      <c r="AN27" s="75">
        <f t="shared" si="12"/>
        <v>0</v>
      </c>
      <c r="AO27" s="75">
        <f t="shared" si="12"/>
        <v>0</v>
      </c>
      <c r="AP27" s="75">
        <f t="shared" si="12"/>
        <v>0</v>
      </c>
      <c r="AQ27" s="76">
        <f t="shared" si="12"/>
        <v>0</v>
      </c>
    </row>
    <row r="28" spans="1:51" x14ac:dyDescent="0.25">
      <c r="A28" s="92" t="s">
        <v>25</v>
      </c>
      <c r="B28" s="73" t="s">
        <v>26</v>
      </c>
      <c r="C28" s="74">
        <f>(C21/$D$5)*$C$5</f>
        <v>0</v>
      </c>
      <c r="D28" s="75">
        <f t="shared" ref="D28:AQ28" si="13">(D21/$D$5)*$C$5</f>
        <v>0</v>
      </c>
      <c r="E28" s="75">
        <f t="shared" si="13"/>
        <v>0</v>
      </c>
      <c r="F28" s="75">
        <f t="shared" si="13"/>
        <v>0</v>
      </c>
      <c r="G28" s="75">
        <f t="shared" si="13"/>
        <v>0</v>
      </c>
      <c r="H28" s="75">
        <f t="shared" si="13"/>
        <v>0</v>
      </c>
      <c r="I28" s="75">
        <f t="shared" si="13"/>
        <v>0</v>
      </c>
      <c r="J28" s="75">
        <f t="shared" si="13"/>
        <v>0</v>
      </c>
      <c r="K28" s="75">
        <f t="shared" si="13"/>
        <v>0</v>
      </c>
      <c r="L28" s="75">
        <f t="shared" si="13"/>
        <v>0</v>
      </c>
      <c r="M28" s="75">
        <f t="shared" si="13"/>
        <v>0</v>
      </c>
      <c r="N28" s="75">
        <f t="shared" si="13"/>
        <v>0</v>
      </c>
      <c r="O28" s="75">
        <f t="shared" si="13"/>
        <v>0</v>
      </c>
      <c r="P28" s="75">
        <f t="shared" si="13"/>
        <v>0</v>
      </c>
      <c r="Q28" s="75">
        <f t="shared" si="13"/>
        <v>0</v>
      </c>
      <c r="R28" s="75">
        <f t="shared" si="13"/>
        <v>0</v>
      </c>
      <c r="S28" s="75">
        <f t="shared" si="13"/>
        <v>0</v>
      </c>
      <c r="T28" s="75">
        <f t="shared" si="13"/>
        <v>0</v>
      </c>
      <c r="U28" s="75">
        <f t="shared" si="13"/>
        <v>0</v>
      </c>
      <c r="V28" s="75">
        <f t="shared" si="13"/>
        <v>0</v>
      </c>
      <c r="W28" s="75">
        <f t="shared" si="13"/>
        <v>400000</v>
      </c>
      <c r="X28" s="75">
        <f t="shared" si="13"/>
        <v>0</v>
      </c>
      <c r="Y28" s="75">
        <f t="shared" si="13"/>
        <v>0</v>
      </c>
      <c r="Z28" s="75">
        <f t="shared" si="13"/>
        <v>250000</v>
      </c>
      <c r="AA28" s="75">
        <f t="shared" si="13"/>
        <v>0</v>
      </c>
      <c r="AB28" s="75">
        <f t="shared" si="13"/>
        <v>0</v>
      </c>
      <c r="AC28" s="75">
        <f t="shared" si="13"/>
        <v>110984.66724837008</v>
      </c>
      <c r="AD28" s="75">
        <f t="shared" si="13"/>
        <v>0</v>
      </c>
      <c r="AE28" s="75">
        <f t="shared" si="13"/>
        <v>0</v>
      </c>
      <c r="AF28" s="75">
        <f t="shared" si="13"/>
        <v>0</v>
      </c>
      <c r="AG28" s="75">
        <f t="shared" si="13"/>
        <v>0</v>
      </c>
      <c r="AH28" s="75">
        <f t="shared" si="13"/>
        <v>0</v>
      </c>
      <c r="AI28" s="75">
        <f t="shared" si="13"/>
        <v>0</v>
      </c>
      <c r="AJ28" s="75">
        <f t="shared" si="13"/>
        <v>0</v>
      </c>
      <c r="AK28" s="75">
        <f t="shared" si="13"/>
        <v>0</v>
      </c>
      <c r="AL28" s="75">
        <f t="shared" si="13"/>
        <v>0</v>
      </c>
      <c r="AM28" s="75">
        <f t="shared" si="13"/>
        <v>0</v>
      </c>
      <c r="AN28" s="75">
        <f t="shared" si="13"/>
        <v>0</v>
      </c>
      <c r="AO28" s="75">
        <f t="shared" si="13"/>
        <v>0</v>
      </c>
      <c r="AP28" s="75">
        <f t="shared" si="13"/>
        <v>0</v>
      </c>
      <c r="AQ28" s="76">
        <f t="shared" si="13"/>
        <v>5000</v>
      </c>
    </row>
    <row r="29" spans="1:51" x14ac:dyDescent="0.25">
      <c r="A29" s="93">
        <f>XIRR(C29:AQ29,$C$10:$AQ$10)</f>
        <v>7.2204515337944017E-2</v>
      </c>
      <c r="B29" s="77" t="s">
        <v>12</v>
      </c>
      <c r="C29" s="78">
        <f>C28-C27</f>
        <v>-500000</v>
      </c>
      <c r="D29" s="79">
        <f t="shared" ref="D29:AQ29" si="14">D28-D27</f>
        <v>0</v>
      </c>
      <c r="E29" s="79">
        <f t="shared" si="14"/>
        <v>0</v>
      </c>
      <c r="F29" s="79">
        <f t="shared" si="14"/>
        <v>0</v>
      </c>
      <c r="G29" s="79">
        <f t="shared" si="14"/>
        <v>0</v>
      </c>
      <c r="H29" s="79">
        <f t="shared" si="14"/>
        <v>0</v>
      </c>
      <c r="I29" s="79">
        <f t="shared" si="14"/>
        <v>0</v>
      </c>
      <c r="J29" s="79">
        <f t="shared" si="14"/>
        <v>0</v>
      </c>
      <c r="K29" s="79">
        <f t="shared" si="14"/>
        <v>0</v>
      </c>
      <c r="L29" s="79">
        <f t="shared" si="14"/>
        <v>0</v>
      </c>
      <c r="M29" s="79">
        <f t="shared" si="14"/>
        <v>0</v>
      </c>
      <c r="N29" s="79">
        <f t="shared" si="14"/>
        <v>0</v>
      </c>
      <c r="O29" s="79">
        <f t="shared" si="14"/>
        <v>0</v>
      </c>
      <c r="P29" s="79">
        <f t="shared" si="14"/>
        <v>0</v>
      </c>
      <c r="Q29" s="79">
        <f t="shared" si="14"/>
        <v>0</v>
      </c>
      <c r="R29" s="79">
        <f t="shared" si="14"/>
        <v>0</v>
      </c>
      <c r="S29" s="79">
        <f t="shared" si="14"/>
        <v>0</v>
      </c>
      <c r="T29" s="79">
        <f t="shared" si="14"/>
        <v>0</v>
      </c>
      <c r="U29" s="79">
        <f t="shared" si="14"/>
        <v>0</v>
      </c>
      <c r="V29" s="79">
        <f t="shared" si="14"/>
        <v>0</v>
      </c>
      <c r="W29" s="79">
        <f t="shared" si="14"/>
        <v>400000</v>
      </c>
      <c r="X29" s="79">
        <f t="shared" si="14"/>
        <v>0</v>
      </c>
      <c r="Y29" s="79">
        <f t="shared" si="14"/>
        <v>0</v>
      </c>
      <c r="Z29" s="79">
        <f t="shared" si="14"/>
        <v>250000</v>
      </c>
      <c r="AA29" s="79">
        <f t="shared" si="14"/>
        <v>0</v>
      </c>
      <c r="AB29" s="79">
        <f t="shared" si="14"/>
        <v>0</v>
      </c>
      <c r="AC29" s="79">
        <f t="shared" si="14"/>
        <v>110984.66724837008</v>
      </c>
      <c r="AD29" s="79">
        <f t="shared" si="14"/>
        <v>0</v>
      </c>
      <c r="AE29" s="79">
        <f t="shared" si="14"/>
        <v>0</v>
      </c>
      <c r="AF29" s="79">
        <f t="shared" si="14"/>
        <v>-37500</v>
      </c>
      <c r="AG29" s="79">
        <f t="shared" si="14"/>
        <v>0</v>
      </c>
      <c r="AH29" s="79">
        <f t="shared" si="14"/>
        <v>0</v>
      </c>
      <c r="AI29" s="79">
        <f t="shared" si="14"/>
        <v>0</v>
      </c>
      <c r="AJ29" s="79">
        <f t="shared" si="14"/>
        <v>0</v>
      </c>
      <c r="AK29" s="79">
        <f t="shared" si="14"/>
        <v>0</v>
      </c>
      <c r="AL29" s="79">
        <f t="shared" si="14"/>
        <v>0</v>
      </c>
      <c r="AM29" s="79">
        <f t="shared" si="14"/>
        <v>0</v>
      </c>
      <c r="AN29" s="79">
        <f t="shared" si="14"/>
        <v>0</v>
      </c>
      <c r="AO29" s="79">
        <f t="shared" si="14"/>
        <v>0</v>
      </c>
      <c r="AP29" s="79">
        <f t="shared" si="14"/>
        <v>0</v>
      </c>
      <c r="AQ29" s="80">
        <f t="shared" si="14"/>
        <v>5000</v>
      </c>
    </row>
    <row r="30" spans="1:51" x14ac:dyDescent="0.25">
      <c r="A30" s="10"/>
      <c r="B30" s="73" t="s">
        <v>27</v>
      </c>
      <c r="C30" s="74">
        <f>C21+C28</f>
        <v>0</v>
      </c>
      <c r="D30" s="75">
        <f t="shared" ref="D30:AQ30" si="15">D21+D28</f>
        <v>0</v>
      </c>
      <c r="E30" s="75">
        <f t="shared" si="15"/>
        <v>0</v>
      </c>
      <c r="F30" s="75">
        <f t="shared" si="15"/>
        <v>0</v>
      </c>
      <c r="G30" s="75">
        <f t="shared" si="15"/>
        <v>0</v>
      </c>
      <c r="H30" s="75">
        <f t="shared" si="15"/>
        <v>0</v>
      </c>
      <c r="I30" s="75">
        <f t="shared" si="15"/>
        <v>0</v>
      </c>
      <c r="J30" s="75">
        <f t="shared" si="15"/>
        <v>0</v>
      </c>
      <c r="K30" s="75">
        <f t="shared" si="15"/>
        <v>0</v>
      </c>
      <c r="L30" s="75">
        <f t="shared" si="15"/>
        <v>0</v>
      </c>
      <c r="M30" s="75">
        <f t="shared" si="15"/>
        <v>0</v>
      </c>
      <c r="N30" s="75">
        <f t="shared" si="15"/>
        <v>0</v>
      </c>
      <c r="O30" s="75">
        <f t="shared" si="15"/>
        <v>0</v>
      </c>
      <c r="P30" s="75">
        <f t="shared" si="15"/>
        <v>0</v>
      </c>
      <c r="Q30" s="75">
        <f t="shared" si="15"/>
        <v>0</v>
      </c>
      <c r="R30" s="75">
        <f t="shared" si="15"/>
        <v>0</v>
      </c>
      <c r="S30" s="75">
        <f t="shared" si="15"/>
        <v>0</v>
      </c>
      <c r="T30" s="75">
        <f t="shared" si="15"/>
        <v>0</v>
      </c>
      <c r="U30" s="75">
        <f t="shared" si="15"/>
        <v>0</v>
      </c>
      <c r="V30" s="75">
        <f t="shared" si="15"/>
        <v>0</v>
      </c>
      <c r="W30" s="75">
        <f t="shared" si="15"/>
        <v>8000000</v>
      </c>
      <c r="X30" s="75">
        <f t="shared" si="15"/>
        <v>0</v>
      </c>
      <c r="Y30" s="75">
        <f t="shared" si="15"/>
        <v>0</v>
      </c>
      <c r="Z30" s="75">
        <f t="shared" si="15"/>
        <v>5000000</v>
      </c>
      <c r="AA30" s="75">
        <f t="shared" si="15"/>
        <v>0</v>
      </c>
      <c r="AB30" s="75">
        <f t="shared" si="15"/>
        <v>0</v>
      </c>
      <c r="AC30" s="75">
        <f t="shared" si="15"/>
        <v>2219693.3449674016</v>
      </c>
      <c r="AD30" s="75">
        <f t="shared" si="15"/>
        <v>0</v>
      </c>
      <c r="AE30" s="75">
        <f t="shared" si="15"/>
        <v>0</v>
      </c>
      <c r="AF30" s="75">
        <f t="shared" si="15"/>
        <v>0</v>
      </c>
      <c r="AG30" s="75">
        <f t="shared" si="15"/>
        <v>0</v>
      </c>
      <c r="AH30" s="75">
        <f t="shared" si="15"/>
        <v>0</v>
      </c>
      <c r="AI30" s="75">
        <f t="shared" si="15"/>
        <v>0</v>
      </c>
      <c r="AJ30" s="75">
        <f t="shared" si="15"/>
        <v>0</v>
      </c>
      <c r="AK30" s="75">
        <f t="shared" si="15"/>
        <v>0</v>
      </c>
      <c r="AL30" s="75">
        <f t="shared" si="15"/>
        <v>0</v>
      </c>
      <c r="AM30" s="75">
        <f t="shared" si="15"/>
        <v>0</v>
      </c>
      <c r="AN30" s="75">
        <f t="shared" si="15"/>
        <v>0</v>
      </c>
      <c r="AO30" s="75">
        <f t="shared" si="15"/>
        <v>0</v>
      </c>
      <c r="AP30" s="75">
        <f t="shared" si="15"/>
        <v>0</v>
      </c>
      <c r="AQ30" s="76">
        <f t="shared" si="15"/>
        <v>100000</v>
      </c>
      <c r="AS30" s="3"/>
      <c r="AT30" s="5"/>
      <c r="AU30" s="3"/>
      <c r="AV30" s="9"/>
      <c r="AW30" s="6"/>
      <c r="AX30" s="3"/>
      <c r="AY30" s="5"/>
    </row>
    <row r="31" spans="1:51" x14ac:dyDescent="0.25">
      <c r="A31" s="10"/>
      <c r="B31" s="77" t="s">
        <v>28</v>
      </c>
      <c r="C31" s="78">
        <f>MAX(C11-C30,0)</f>
        <v>0</v>
      </c>
      <c r="D31" s="79">
        <f t="shared" ref="D31:AQ31" si="16">MAX(D11-D30,0)</f>
        <v>0</v>
      </c>
      <c r="E31" s="79">
        <f t="shared" si="16"/>
        <v>0</v>
      </c>
      <c r="F31" s="79">
        <f t="shared" si="16"/>
        <v>0</v>
      </c>
      <c r="G31" s="79">
        <f t="shared" si="16"/>
        <v>0</v>
      </c>
      <c r="H31" s="79">
        <f t="shared" si="16"/>
        <v>0</v>
      </c>
      <c r="I31" s="79">
        <f t="shared" si="16"/>
        <v>0</v>
      </c>
      <c r="J31" s="79">
        <f t="shared" si="16"/>
        <v>0</v>
      </c>
      <c r="K31" s="79">
        <f t="shared" si="16"/>
        <v>0</v>
      </c>
      <c r="L31" s="79">
        <f t="shared" si="16"/>
        <v>0</v>
      </c>
      <c r="M31" s="79">
        <f t="shared" si="16"/>
        <v>0</v>
      </c>
      <c r="N31" s="79">
        <f t="shared" si="16"/>
        <v>0</v>
      </c>
      <c r="O31" s="79">
        <f t="shared" si="16"/>
        <v>0</v>
      </c>
      <c r="P31" s="79">
        <f t="shared" si="16"/>
        <v>0</v>
      </c>
      <c r="Q31" s="79">
        <f t="shared" si="16"/>
        <v>0</v>
      </c>
      <c r="R31" s="79">
        <f t="shared" si="16"/>
        <v>0</v>
      </c>
      <c r="S31" s="79">
        <f t="shared" si="16"/>
        <v>0</v>
      </c>
      <c r="T31" s="79">
        <f t="shared" si="16"/>
        <v>0</v>
      </c>
      <c r="U31" s="79">
        <f t="shared" si="16"/>
        <v>0</v>
      </c>
      <c r="V31" s="79">
        <f t="shared" si="16"/>
        <v>0</v>
      </c>
      <c r="W31" s="79">
        <f t="shared" si="16"/>
        <v>0</v>
      </c>
      <c r="X31" s="79">
        <f t="shared" si="16"/>
        <v>0</v>
      </c>
      <c r="Y31" s="79">
        <f t="shared" si="16"/>
        <v>0</v>
      </c>
      <c r="Z31" s="79">
        <f t="shared" si="16"/>
        <v>0</v>
      </c>
      <c r="AA31" s="79">
        <f t="shared" si="16"/>
        <v>0</v>
      </c>
      <c r="AB31" s="79">
        <f t="shared" si="16"/>
        <v>0</v>
      </c>
      <c r="AC31" s="79">
        <f t="shared" si="16"/>
        <v>780306.65503259841</v>
      </c>
      <c r="AD31" s="79">
        <f t="shared" si="16"/>
        <v>0</v>
      </c>
      <c r="AE31" s="79">
        <f t="shared" si="16"/>
        <v>0</v>
      </c>
      <c r="AF31" s="79">
        <f t="shared" si="16"/>
        <v>0</v>
      </c>
      <c r="AG31" s="79">
        <f t="shared" si="16"/>
        <v>0</v>
      </c>
      <c r="AH31" s="79">
        <f t="shared" si="16"/>
        <v>0</v>
      </c>
      <c r="AI31" s="79">
        <f t="shared" si="16"/>
        <v>0</v>
      </c>
      <c r="AJ31" s="79">
        <f t="shared" si="16"/>
        <v>0</v>
      </c>
      <c r="AK31" s="79">
        <f t="shared" si="16"/>
        <v>0</v>
      </c>
      <c r="AL31" s="79">
        <f t="shared" si="16"/>
        <v>0</v>
      </c>
      <c r="AM31" s="79">
        <f t="shared" si="16"/>
        <v>0</v>
      </c>
      <c r="AN31" s="79">
        <f t="shared" si="16"/>
        <v>0</v>
      </c>
      <c r="AO31" s="79">
        <f t="shared" si="16"/>
        <v>0</v>
      </c>
      <c r="AP31" s="79">
        <f t="shared" si="16"/>
        <v>0</v>
      </c>
      <c r="AQ31" s="80">
        <f t="shared" si="16"/>
        <v>0</v>
      </c>
      <c r="AW31" s="7"/>
    </row>
    <row r="32" spans="1:51" x14ac:dyDescent="0.25">
      <c r="A32" s="82"/>
      <c r="B32" s="81"/>
      <c r="C32" s="41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6">
        <v>0</v>
      </c>
      <c r="AS32" s="3"/>
      <c r="AU32" s="8"/>
      <c r="AV32" s="9"/>
      <c r="AW32" s="6"/>
      <c r="AX32" s="3"/>
      <c r="AY32" s="5"/>
    </row>
    <row r="33" spans="1:47" x14ac:dyDescent="0.25">
      <c r="A33" s="92" t="s">
        <v>93</v>
      </c>
      <c r="B33" s="18" t="s">
        <v>37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5"/>
    </row>
    <row r="34" spans="1:47" x14ac:dyDescent="0.25">
      <c r="A34" s="151">
        <f ca="1">SUM(C34:AQ34,C21:AQ21)/SUM($C$30:$AQ$30,$C$36:$AQ$36)</f>
        <v>0.92819018666057951</v>
      </c>
      <c r="B34" s="99" t="s">
        <v>22</v>
      </c>
      <c r="C34" s="74">
        <f ca="1">MIN($D$6*($G$5*SUM($C$30:C$30,B$36:$C$36)-SUM($C$28:C$28,B$35:$C$35))/($C$6-$G$5),C$31*$D$6)</f>
        <v>0</v>
      </c>
      <c r="D34" s="75">
        <f ca="1">MIN($D$6*($G$5*SUM($C$30:D$30,C$36:$C$36)-SUM($C$28:D$28,C$35:$C$35))/($C$6-$G$5),D$31*$D$6)</f>
        <v>0</v>
      </c>
      <c r="E34" s="75">
        <f ca="1">MIN($D$6*($G$5*SUM($C$30:E$30,$C$36:D$36)-SUM($C$28:E$28,$C$35:D$35))/($C$6-$G$5),E$31*$D$6)</f>
        <v>0</v>
      </c>
      <c r="F34" s="75">
        <f ca="1">MIN($D$6*($G$5*SUM($C$30:F$30,$C$36:E$36)-SUM($C$28:F$28,$C$35:E$35))/($C$6-$G$5),F$31*$D$6)</f>
        <v>0</v>
      </c>
      <c r="G34" s="75">
        <f ca="1">MIN($D$6*($G$5*SUM($C$30:G$30,$C$36:F$36)-SUM($C$28:G$28,$C$35:F$35))/($C$6-$G$5),G$31*$D$6)</f>
        <v>0</v>
      </c>
      <c r="H34" s="75">
        <f ca="1">MIN($D$6*($G$5*SUM($C$30:H$30,$C$36:G$36)-SUM($C$28:H$28,$C$35:G$35))/($C$6-$G$5),H$31*$D$6)</f>
        <v>0</v>
      </c>
      <c r="I34" s="75">
        <f ca="1">MIN($D$6*($G$5*SUM($C$30:I$30,$C$36:H$36)-SUM($C$28:I$28,$C$35:H$35))/($C$6-$G$5),I$31*$D$6)</f>
        <v>0</v>
      </c>
      <c r="J34" s="75">
        <f ca="1">MIN($D$6*($G$5*SUM($C$30:J$30,$C$36:I$36)-SUM($C$28:J$28,$C$35:I$35))/($C$6-$G$5),J$31*$D$6)</f>
        <v>0</v>
      </c>
      <c r="K34" s="75">
        <f ca="1">MIN($D$6*($G$5*SUM($C$30:K$30,$C$36:J$36)-SUM($C$28:K$28,$C$35:J$35))/($C$6-$G$5),K$31*$D$6)</f>
        <v>0</v>
      </c>
      <c r="L34" s="75">
        <f ca="1">MIN($D$6*($G$5*SUM($C$30:L$30,$C$36:K$36)-SUM($C$28:L$28,$C$35:K$35))/($C$6-$G$5),L$31*$D$6)</f>
        <v>0</v>
      </c>
      <c r="M34" s="75">
        <f ca="1">MIN($D$6*($G$5*SUM($C$30:M$30,$C$36:L$36)-SUM($C$28:M$28,$C$35:L$35))/($C$6-$G$5),M$31*$D$6)</f>
        <v>0</v>
      </c>
      <c r="N34" s="75">
        <f ca="1">MIN($D$6*($G$5*SUM($C$30:N$30,$C$36:M$36)-SUM($C$28:N$28,$C$35:M$35))/($C$6-$G$5),N$31*$D$6)</f>
        <v>0</v>
      </c>
      <c r="O34" s="75">
        <f ca="1">MIN($D$6*($G$5*SUM($C$30:O$30,$C$36:N$36)-SUM($C$28:O$28,$C$35:N$35))/($C$6-$G$5),O$31*$D$6)</f>
        <v>0</v>
      </c>
      <c r="P34" s="75">
        <f ca="1">MIN($D$6*($G$5*SUM($C$30:P$30,$C$36:O$36)-SUM($C$28:P$28,$C$35:O$35))/($C$6-$G$5),P$31*$D$6)</f>
        <v>0</v>
      </c>
      <c r="Q34" s="75">
        <f ca="1">MIN($D$6*($G$5*SUM($C$30:Q$30,$C$36:P$36)-SUM($C$28:Q$28,$C$35:P$35))/($C$6-$G$5),Q$31*$D$6)</f>
        <v>0</v>
      </c>
      <c r="R34" s="75">
        <f ca="1">MIN($D$6*($G$5*SUM($C$30:R$30,$C$36:Q$36)-SUM($C$28:R$28,$C$35:Q$35))/($C$6-$G$5),R$31*$D$6)</f>
        <v>0</v>
      </c>
      <c r="S34" s="75">
        <f ca="1">MIN($D$6*($G$5*SUM($C$30:S$30,$C$36:R$36)-SUM($C$28:S$28,$C$35:R$35))/($C$6-$G$5),S$31*$D$6)</f>
        <v>0</v>
      </c>
      <c r="T34" s="75">
        <f ca="1">MIN($D$6*($G$5*SUM($C$30:T$30,$C$36:S$36)-SUM($C$28:T$28,$C$35:S$35))/($C$6-$G$5),T$31*$D$6)</f>
        <v>0</v>
      </c>
      <c r="U34" s="75">
        <f ca="1">MIN($D$6*($G$5*SUM($C$30:U$30,$C$36:T$36)-SUM($C$28:U$28,$C$35:T$35))/($C$6-$G$5),U$31*$D$6)</f>
        <v>0</v>
      </c>
      <c r="V34" s="75">
        <f ca="1">MIN($D$6*($G$5*SUM($C$30:V$30,$C$36:U$36)-SUM($C$28:V$28,$C$35:U$35))/($C$6-$G$5),V$31*$D$6)</f>
        <v>0</v>
      </c>
      <c r="W34" s="75">
        <f ca="1">MIN($D$6*($G$5*SUM($C$30:W$30,$C$36:V$36)-SUM($C$28:W$28,$C$35:V$35))/($C$6-$G$5),W$31*$D$6)</f>
        <v>0</v>
      </c>
      <c r="X34" s="75">
        <f ca="1">MIN($D$6*($G$5*SUM($C$30:X$30,$C$36:W$36)-SUM($C$28:X$28,$C$35:W$35))/($C$6-$G$5),X$31*$D$6)</f>
        <v>0</v>
      </c>
      <c r="Y34" s="75">
        <f ca="1">MIN($D$6*($G$5*SUM($C$30:Y$30,$C$36:X$36)-SUM($C$28:Y$28,$C$35:X$35))/($C$6-$G$5),Y$31*$D$6)</f>
        <v>0</v>
      </c>
      <c r="Z34" s="75">
        <f ca="1">MIN($D$6*($G$5*SUM($C$30:Z$30,$C$36:Y$36)-SUM($C$28:Z$28,$C$35:Y$35))/($C$6-$G$5),Z$31*$D$6)</f>
        <v>0</v>
      </c>
      <c r="AA34" s="75">
        <f ca="1">MIN($D$6*($G$5*SUM($C$30:AA$30,$C$36:Z$36)-SUM($C$28:AA$28,$C$35:Z$35))/($C$6-$G$5),AA$31*$D$6)</f>
        <v>0</v>
      </c>
      <c r="AB34" s="75">
        <f ca="1">MIN($D$6*($G$5*SUM($C$30:AB$30,$C$36:AA$36)-SUM($C$28:AB$28,$C$35:AA$35))/($C$6-$G$5),AB$31*$D$6)</f>
        <v>0</v>
      </c>
      <c r="AC34" s="75">
        <f ca="1">MIN($D$6*($G$5*SUM($C$30:AC$30,$C$36:AB$36)-SUM($C$28:AC$28,$C$35:AB$35))/($C$6-$G$5),AC$31*$D$6)</f>
        <v>390153.32751629921</v>
      </c>
      <c r="AD34" s="75">
        <f ca="1">MIN($D$6*($G$5*SUM($C$30:AD$30,$C$36:AC$36)-SUM($C$28:AD$28,$C$35:AC$35))/($C$6-$G$5),AD$31*$D$6)</f>
        <v>0</v>
      </c>
      <c r="AE34" s="75">
        <f ca="1">MIN($D$6*($G$5*SUM($C$30:AE$30,$C$36:AD$36)-SUM($C$28:AE$28,$C$35:AD$35))/($C$6-$G$5),AE$31*$D$6)</f>
        <v>0</v>
      </c>
      <c r="AF34" s="75">
        <f ca="1">MIN($D$6*($G$5*SUM($C$30:AF$30,$C$36:AE$36)-SUM($C$28:AF$28,$C$35:AE$35))/($C$6-$G$5),AF$31*$D$6)</f>
        <v>0</v>
      </c>
      <c r="AG34" s="75">
        <f ca="1">MIN($D$6*($G$5*SUM($C$30:AG$30,$C$36:AF$36)-SUM($C$28:AG$28,$C$35:AF$35))/($C$6-$G$5),AG$31*$D$6)</f>
        <v>0</v>
      </c>
      <c r="AH34" s="75">
        <f ca="1">MIN($D$6*($G$5*SUM($C$30:AH$30,$C$36:AG$36)-SUM($C$28:AH$28,$C$35:AG$35))/($C$6-$G$5),AH$31*$D$6)</f>
        <v>0</v>
      </c>
      <c r="AI34" s="75">
        <f ca="1">MIN($D$6*($G$5*SUM($C$30:AI$30,$C$36:AH$36)-SUM($C$28:AI$28,$C$35:AH$35))/($C$6-$G$5),AI$31*$D$6)</f>
        <v>0</v>
      </c>
      <c r="AJ34" s="75">
        <f ca="1">MIN($D$6*($G$5*SUM($C$30:AJ$30,$C$36:AI$36)-SUM($C$28:AJ$28,$C$35:AI$35))/($C$6-$G$5),AJ$31*$D$6)</f>
        <v>0</v>
      </c>
      <c r="AK34" s="75">
        <f ca="1">MIN($D$6*($G$5*SUM($C$30:AK$30,$C$36:AJ$36)-SUM($C$28:AK$28,$C$35:AJ$35))/($C$6-$G$5),AK$31*$D$6)</f>
        <v>0</v>
      </c>
      <c r="AL34" s="75">
        <f ca="1">MIN($D$6*($G$5*SUM($C$30:AL$30,$C$36:AK$36)-SUM($C$28:AL$28,$C$35:AK$35))/($C$6-$G$5),AL$31*$D$6)</f>
        <v>0</v>
      </c>
      <c r="AM34" s="75">
        <f ca="1">MIN($D$6*($G$5*SUM($C$30:AM$30,$C$36:AL$36)-SUM($C$28:AM$28,$C$35:AL$35))/($C$6-$G$5),AM$31*$D$6)</f>
        <v>0</v>
      </c>
      <c r="AN34" s="75">
        <f ca="1">MIN($D$6*($G$5*SUM($C$30:AN$30,$C$36:AM$36)-SUM($C$28:AN$28,$C$35:AM$35))/($C$6-$G$5),AN$31*$D$6)</f>
        <v>0</v>
      </c>
      <c r="AO34" s="75">
        <f ca="1">MIN($D$6*($G$5*SUM($C$30:AO$30,$C$36:AN$36)-SUM($C$28:AO$28,$C$35:AN$35))/($C$6-$G$5),AO$31*$D$6)</f>
        <v>0</v>
      </c>
      <c r="AP34" s="75">
        <f ca="1">MIN($D$6*($G$5*SUM($C$30:AP$30,$C$36:AO$36)-SUM($C$28:AP$28,$C$35:AO$35))/($C$6-$G$5),AP$31*$D$6)</f>
        <v>0</v>
      </c>
      <c r="AQ34" s="76">
        <f ca="1">MIN($D$6*($G$5*SUM($C$30:AQ$30,$C$36:AP$36)-SUM($C$28:AQ$28,$C$35:AP$35))/($C$6-$G$5),AQ$31*$D$6)</f>
        <v>0</v>
      </c>
    </row>
    <row r="35" spans="1:47" x14ac:dyDescent="0.25">
      <c r="A35" s="152">
        <f ca="1">SUM(C35:AQ35,C28:AQ28)/SUM($C$30:$AQ$30,$C$36:$AQ$36)</f>
        <v>7.180981333942045E-2</v>
      </c>
      <c r="B35" s="99" t="s">
        <v>26</v>
      </c>
      <c r="C35" s="74">
        <f ca="1">MIN($C$6*($G$5*SUM($C$30:C$30,B$36:$C$36)-SUM($C$28:C$28,B$35:$C$35))/($C$6-$G$5),C$31*$C$6)</f>
        <v>0</v>
      </c>
      <c r="D35" s="75">
        <f ca="1">MIN($C$6*($G$5*SUM($C$30:D$30,C$36:$C$36)-SUM($C$28:D$28,C$35:$C$35))/($C$6-$G$5),D$31*$C$6)</f>
        <v>0</v>
      </c>
      <c r="E35" s="75">
        <f ca="1">MIN($C$6*($G$5*SUM($C$30:E$30,$C$36:D$36)-SUM($C$28:E$28,$C$35:D$35))/($C$6-$G$5),E$31*$C$6)</f>
        <v>0</v>
      </c>
      <c r="F35" s="75">
        <f ca="1">MIN($C$6*($G$5*SUM($C$30:F$30,$C$36:E$36)-SUM($C$28:F$28,$C$35:E$35))/($C$6-$G$5),F$31*$C$6)</f>
        <v>0</v>
      </c>
      <c r="G35" s="75">
        <f ca="1">MIN($C$6*($G$5*SUM($C$30:G$30,$C$36:F$36)-SUM($C$28:G$28,$C$35:F$35))/($C$6-$G$5),G$31*$C$6)</f>
        <v>0</v>
      </c>
      <c r="H35" s="75">
        <f ca="1">MIN($C$6*($G$5*SUM($C$30:H$30,$C$36:G$36)-SUM($C$28:H$28,$C$35:G$35))/($C$6-$G$5),H$31*$C$6)</f>
        <v>0</v>
      </c>
      <c r="I35" s="75">
        <f ca="1">MIN($C$6*($G$5*SUM($C$30:I$30,$C$36:H$36)-SUM($C$28:I$28,$C$35:H$35))/($C$6-$G$5),I$31*$C$6)</f>
        <v>0</v>
      </c>
      <c r="J35" s="75">
        <f ca="1">MIN($C$6*($G$5*SUM($C$30:J$30,$C$36:I$36)-SUM($C$28:J$28,$C$35:I$35))/($C$6-$G$5),J$31*$C$6)</f>
        <v>0</v>
      </c>
      <c r="K35" s="75">
        <f ca="1">MIN($C$6*($G$5*SUM($C$30:K$30,$C$36:J$36)-SUM($C$28:K$28,$C$35:J$35))/($C$6-$G$5),K$31*$C$6)</f>
        <v>0</v>
      </c>
      <c r="L35" s="75">
        <f ca="1">MIN($C$6*($G$5*SUM($C$30:L$30,$C$36:K$36)-SUM($C$28:L$28,$C$35:K$35))/($C$6-$G$5),L$31*$C$6)</f>
        <v>0</v>
      </c>
      <c r="M35" s="75">
        <f ca="1">MIN($C$6*($G$5*SUM($C$30:M$30,$C$36:L$36)-SUM($C$28:M$28,$C$35:L$35))/($C$6-$G$5),M$31*$C$6)</f>
        <v>0</v>
      </c>
      <c r="N35" s="75">
        <f ca="1">MIN($C$6*($G$5*SUM($C$30:N$30,$C$36:M$36)-SUM($C$28:N$28,$C$35:M$35))/($C$6-$G$5),N$31*$C$6)</f>
        <v>0</v>
      </c>
      <c r="O35" s="75">
        <f ca="1">MIN($C$6*($G$5*SUM($C$30:O$30,$C$36:N$36)-SUM($C$28:O$28,$C$35:N$35))/($C$6-$G$5),O$31*$C$6)</f>
        <v>0</v>
      </c>
      <c r="P35" s="75">
        <f ca="1">MIN($C$6*($G$5*SUM($C$30:P$30,$C$36:O$36)-SUM($C$28:P$28,$C$35:O$35))/($C$6-$G$5),P$31*$C$6)</f>
        <v>0</v>
      </c>
      <c r="Q35" s="75">
        <f ca="1">MIN($C$6*($G$5*SUM($C$30:Q$30,$C$36:P$36)-SUM($C$28:Q$28,$C$35:P$35))/($C$6-$G$5),Q$31*$C$6)</f>
        <v>0</v>
      </c>
      <c r="R35" s="75">
        <f ca="1">MIN($C$6*($G$5*SUM($C$30:R$30,$C$36:Q$36)-SUM($C$28:R$28,$C$35:Q$35))/($C$6-$G$5),R$31*$C$6)</f>
        <v>0</v>
      </c>
      <c r="S35" s="75">
        <f ca="1">MIN($C$6*($G$5*SUM($C$30:S$30,$C$36:R$36)-SUM($C$28:S$28,$C$35:R$35))/($C$6-$G$5),S$31*$C$6)</f>
        <v>0</v>
      </c>
      <c r="T35" s="75">
        <f ca="1">MIN($C$6*($G$5*SUM($C$30:T$30,$C$36:S$36)-SUM($C$28:T$28,$C$35:S$35))/($C$6-$G$5),T$31*$C$6)</f>
        <v>0</v>
      </c>
      <c r="U35" s="75">
        <f ca="1">MIN($C$6*($G$5*SUM($C$30:U$30,$C$36:T$36)-SUM($C$28:U$28,$C$35:T$35))/($C$6-$G$5),U$31*$C$6)</f>
        <v>0</v>
      </c>
      <c r="V35" s="75">
        <f ca="1">MIN($C$6*($G$5*SUM($C$30:V$30,$C$36:U$36)-SUM($C$28:V$28,$C$35:U$35))/($C$6-$G$5),V$31*$C$6)</f>
        <v>0</v>
      </c>
      <c r="W35" s="75">
        <f ca="1">MIN($C$6*($G$5*SUM($C$30:W$30,$C$36:V$36)-SUM($C$28:W$28,$C$35:V$35))/($C$6-$G$5),W$31*$C$6)</f>
        <v>0</v>
      </c>
      <c r="X35" s="75">
        <f ca="1">MIN($C$6*($G$5*SUM($C$30:X$30,$C$36:W$36)-SUM($C$28:X$28,$C$35:W$35))/($C$6-$G$5),X$31*$C$6)</f>
        <v>0</v>
      </c>
      <c r="Y35" s="75">
        <f ca="1">MIN($C$6*($G$5*SUM($C$30:Y$30,$C$36:X$36)-SUM($C$28:Y$28,$C$35:X$35))/($C$6-$G$5),Y$31*$C$6)</f>
        <v>0</v>
      </c>
      <c r="Z35" s="75">
        <f ca="1">MIN($C$6*($G$5*SUM($C$30:Z$30,$C$36:Y$36)-SUM($C$28:Z$28,$C$35:Y$35))/($C$6-$G$5),Z$31*$C$6)</f>
        <v>0</v>
      </c>
      <c r="AA35" s="75">
        <f ca="1">MIN($C$6*($G$5*SUM($C$30:AA$30,$C$36:Z$36)-SUM($C$28:AA$28,$C$35:Z$35))/($C$6-$G$5),AA$31*$C$6)</f>
        <v>0</v>
      </c>
      <c r="AB35" s="75">
        <f ca="1">MIN($C$6*($G$5*SUM($C$30:AB$30,$C$36:AA$36)-SUM($C$28:AB$28,$C$35:AA$35))/($C$6-$G$5),AB$31*$C$6)</f>
        <v>0</v>
      </c>
      <c r="AC35" s="75">
        <f ca="1">MIN($C$6*($G$5*SUM($C$30:AC$30,$C$36:AB$36)-SUM($C$28:AC$28,$C$35:AB$35))/($C$6-$G$5),AC$31*$C$6)</f>
        <v>390153.32751629921</v>
      </c>
      <c r="AD35" s="75">
        <f ca="1">MIN($C$6*($G$5*SUM($C$30:AD$30,$C$36:AC$36)-SUM($C$28:AD$28,$C$35:AC$35))/($C$6-$G$5),AD$31*$C$6)</f>
        <v>0</v>
      </c>
      <c r="AE35" s="75">
        <f ca="1">MIN($C$6*($G$5*SUM($C$30:AE$30,$C$36:AD$36)-SUM($C$28:AE$28,$C$35:AD$35))/($C$6-$G$5),AE$31*$C$6)</f>
        <v>0</v>
      </c>
      <c r="AF35" s="75">
        <f ca="1">MIN($C$6*($G$5*SUM($C$30:AF$30,$C$36:AE$36)-SUM($C$28:AF$28,$C$35:AE$35))/($C$6-$G$5),AF$31*$C$6)</f>
        <v>0</v>
      </c>
      <c r="AG35" s="75">
        <f ca="1">MIN($C$6*($G$5*SUM($C$30:AG$30,$C$36:AF$36)-SUM($C$28:AG$28,$C$35:AF$35))/($C$6-$G$5),AG$31*$C$6)</f>
        <v>0</v>
      </c>
      <c r="AH35" s="75">
        <f ca="1">MIN($C$6*($G$5*SUM($C$30:AH$30,$C$36:AG$36)-SUM($C$28:AH$28,$C$35:AG$35))/($C$6-$G$5),AH$31*$C$6)</f>
        <v>0</v>
      </c>
      <c r="AI35" s="75">
        <f ca="1">MIN($C$6*($G$5*SUM($C$30:AI$30,$C$36:AH$36)-SUM($C$28:AI$28,$C$35:AH$35))/($C$6-$G$5),AI$31*$C$6)</f>
        <v>0</v>
      </c>
      <c r="AJ35" s="75">
        <f ca="1">MIN($C$6*($G$5*SUM($C$30:AJ$30,$C$36:AI$36)-SUM($C$28:AJ$28,$C$35:AI$35))/($C$6-$G$5),AJ$31*$C$6)</f>
        <v>0</v>
      </c>
      <c r="AK35" s="75">
        <f ca="1">MIN($C$6*($G$5*SUM($C$30:AK$30,$C$36:AJ$36)-SUM($C$28:AK$28,$C$35:AJ$35))/($C$6-$G$5),AK$31*$C$6)</f>
        <v>0</v>
      </c>
      <c r="AL35" s="75">
        <f ca="1">MIN($C$6*($G$5*SUM($C$30:AL$30,$C$36:AK$36)-SUM($C$28:AL$28,$C$35:AK$35))/($C$6-$G$5),AL$31*$C$6)</f>
        <v>0</v>
      </c>
      <c r="AM35" s="75">
        <f ca="1">MIN($C$6*($G$5*SUM($C$30:AM$30,$C$36:AL$36)-SUM($C$28:AM$28,$C$35:AL$35))/($C$6-$G$5),AM$31*$C$6)</f>
        <v>0</v>
      </c>
      <c r="AN35" s="75">
        <f ca="1">MIN($C$6*($G$5*SUM($C$30:AN$30,$C$36:AM$36)-SUM($C$28:AN$28,$C$35:AM$35))/($C$6-$G$5),AN$31*$C$6)</f>
        <v>0</v>
      </c>
      <c r="AO35" s="75">
        <f ca="1">MIN($C$6*($G$5*SUM($C$30:AO$30,$C$36:AN$36)-SUM($C$28:AO$28,$C$35:AN$35))/($C$6-$G$5),AO$31*$C$6)</f>
        <v>0</v>
      </c>
      <c r="AP35" s="75">
        <f ca="1">MIN($C$6*($G$5*SUM($C$30:AP$30,$C$36:AO$36)-SUM($C$28:AP$28,$C$35:AO$35))/($C$6-$G$5),AP$31*$C$6)</f>
        <v>0</v>
      </c>
      <c r="AQ35" s="76">
        <f ca="1">MIN($C$6*($G$5*SUM($C$30:AQ$30,$C$36:AP$36)-SUM($C$28:AQ$28,$C$35:AP$35))/($C$6-$G$5),AQ$31*$C$6)</f>
        <v>0</v>
      </c>
      <c r="AR35" s="3"/>
      <c r="AU35" s="5"/>
    </row>
    <row r="36" spans="1:47" x14ac:dyDescent="0.25">
      <c r="A36" s="10"/>
      <c r="B36" s="73" t="s">
        <v>27</v>
      </c>
      <c r="C36" s="74">
        <f ca="1">SUM(C34:C35)</f>
        <v>0</v>
      </c>
      <c r="D36" s="75">
        <f t="shared" ref="D36:AQ36" ca="1" si="17">SUM(D34:D35)</f>
        <v>0</v>
      </c>
      <c r="E36" s="75">
        <f t="shared" ca="1" si="17"/>
        <v>0</v>
      </c>
      <c r="F36" s="75">
        <f t="shared" ca="1" si="17"/>
        <v>0</v>
      </c>
      <c r="G36" s="75">
        <f t="shared" ca="1" si="17"/>
        <v>0</v>
      </c>
      <c r="H36" s="75">
        <f t="shared" ca="1" si="17"/>
        <v>0</v>
      </c>
      <c r="I36" s="75">
        <f t="shared" ca="1" si="17"/>
        <v>0</v>
      </c>
      <c r="J36" s="75">
        <f t="shared" ca="1" si="17"/>
        <v>0</v>
      </c>
      <c r="K36" s="75">
        <f t="shared" ca="1" si="17"/>
        <v>0</v>
      </c>
      <c r="L36" s="75">
        <f t="shared" ca="1" si="17"/>
        <v>0</v>
      </c>
      <c r="M36" s="75">
        <f t="shared" ca="1" si="17"/>
        <v>0</v>
      </c>
      <c r="N36" s="75">
        <f t="shared" ca="1" si="17"/>
        <v>0</v>
      </c>
      <c r="O36" s="75">
        <f t="shared" ca="1" si="17"/>
        <v>0</v>
      </c>
      <c r="P36" s="75">
        <f t="shared" ca="1" si="17"/>
        <v>0</v>
      </c>
      <c r="Q36" s="75">
        <f t="shared" ca="1" si="17"/>
        <v>0</v>
      </c>
      <c r="R36" s="75">
        <f t="shared" ca="1" si="17"/>
        <v>0</v>
      </c>
      <c r="S36" s="75">
        <f t="shared" ca="1" si="17"/>
        <v>0</v>
      </c>
      <c r="T36" s="75">
        <f t="shared" ca="1" si="17"/>
        <v>0</v>
      </c>
      <c r="U36" s="75">
        <f t="shared" ca="1" si="17"/>
        <v>0</v>
      </c>
      <c r="V36" s="75">
        <f t="shared" ca="1" si="17"/>
        <v>0</v>
      </c>
      <c r="W36" s="75">
        <f t="shared" ca="1" si="17"/>
        <v>0</v>
      </c>
      <c r="X36" s="75">
        <f t="shared" ca="1" si="17"/>
        <v>0</v>
      </c>
      <c r="Y36" s="75">
        <f t="shared" ca="1" si="17"/>
        <v>0</v>
      </c>
      <c r="Z36" s="75">
        <f t="shared" ca="1" si="17"/>
        <v>0</v>
      </c>
      <c r="AA36" s="75">
        <f t="shared" ca="1" si="17"/>
        <v>0</v>
      </c>
      <c r="AB36" s="75">
        <f t="shared" ca="1" si="17"/>
        <v>0</v>
      </c>
      <c r="AC36" s="75">
        <f t="shared" ca="1" si="17"/>
        <v>780306.65503259841</v>
      </c>
      <c r="AD36" s="75">
        <f t="shared" ca="1" si="17"/>
        <v>0</v>
      </c>
      <c r="AE36" s="75">
        <f t="shared" ca="1" si="17"/>
        <v>0</v>
      </c>
      <c r="AF36" s="75">
        <f t="shared" ca="1" si="17"/>
        <v>0</v>
      </c>
      <c r="AG36" s="75">
        <f t="shared" ca="1" si="17"/>
        <v>0</v>
      </c>
      <c r="AH36" s="75">
        <f t="shared" ca="1" si="17"/>
        <v>0</v>
      </c>
      <c r="AI36" s="75">
        <f t="shared" ca="1" si="17"/>
        <v>0</v>
      </c>
      <c r="AJ36" s="75">
        <f t="shared" ca="1" si="17"/>
        <v>0</v>
      </c>
      <c r="AK36" s="75">
        <f t="shared" ca="1" si="17"/>
        <v>0</v>
      </c>
      <c r="AL36" s="75">
        <f t="shared" ca="1" si="17"/>
        <v>0</v>
      </c>
      <c r="AM36" s="75">
        <f t="shared" ca="1" si="17"/>
        <v>0</v>
      </c>
      <c r="AN36" s="75">
        <f t="shared" ca="1" si="17"/>
        <v>0</v>
      </c>
      <c r="AO36" s="75">
        <f t="shared" ca="1" si="17"/>
        <v>0</v>
      </c>
      <c r="AP36" s="75">
        <f t="shared" ca="1" si="17"/>
        <v>0</v>
      </c>
      <c r="AQ36" s="76">
        <f t="shared" ca="1" si="17"/>
        <v>0</v>
      </c>
    </row>
    <row r="37" spans="1:47" x14ac:dyDescent="0.25">
      <c r="A37" s="10"/>
      <c r="B37" s="77" t="s">
        <v>28</v>
      </c>
      <c r="C37" s="78">
        <f ca="1">C31-C36</f>
        <v>0</v>
      </c>
      <c r="D37" s="79">
        <f t="shared" ref="D37:AQ37" ca="1" si="18">D31-D36</f>
        <v>0</v>
      </c>
      <c r="E37" s="79">
        <f t="shared" ca="1" si="18"/>
        <v>0</v>
      </c>
      <c r="F37" s="79">
        <f t="shared" ca="1" si="18"/>
        <v>0</v>
      </c>
      <c r="G37" s="79">
        <f t="shared" ca="1" si="18"/>
        <v>0</v>
      </c>
      <c r="H37" s="79">
        <f t="shared" ca="1" si="18"/>
        <v>0</v>
      </c>
      <c r="I37" s="79">
        <f t="shared" ca="1" si="18"/>
        <v>0</v>
      </c>
      <c r="J37" s="79">
        <f t="shared" ca="1" si="18"/>
        <v>0</v>
      </c>
      <c r="K37" s="79">
        <f t="shared" ca="1" si="18"/>
        <v>0</v>
      </c>
      <c r="L37" s="79">
        <f t="shared" ca="1" si="18"/>
        <v>0</v>
      </c>
      <c r="M37" s="79">
        <f t="shared" ca="1" si="18"/>
        <v>0</v>
      </c>
      <c r="N37" s="79">
        <f t="shared" ca="1" si="18"/>
        <v>0</v>
      </c>
      <c r="O37" s="79">
        <f t="shared" ca="1" si="18"/>
        <v>0</v>
      </c>
      <c r="P37" s="79">
        <f t="shared" ca="1" si="18"/>
        <v>0</v>
      </c>
      <c r="Q37" s="79">
        <f t="shared" ca="1" si="18"/>
        <v>0</v>
      </c>
      <c r="R37" s="79">
        <f t="shared" ca="1" si="18"/>
        <v>0</v>
      </c>
      <c r="S37" s="79">
        <f t="shared" ca="1" si="18"/>
        <v>0</v>
      </c>
      <c r="T37" s="79">
        <f t="shared" ca="1" si="18"/>
        <v>0</v>
      </c>
      <c r="U37" s="79">
        <f t="shared" ca="1" si="18"/>
        <v>0</v>
      </c>
      <c r="V37" s="79">
        <f t="shared" ca="1" si="18"/>
        <v>0</v>
      </c>
      <c r="W37" s="79">
        <f t="shared" ca="1" si="18"/>
        <v>0</v>
      </c>
      <c r="X37" s="79">
        <f t="shared" ca="1" si="18"/>
        <v>0</v>
      </c>
      <c r="Y37" s="79">
        <f t="shared" ca="1" si="18"/>
        <v>0</v>
      </c>
      <c r="Z37" s="79">
        <f t="shared" ca="1" si="18"/>
        <v>0</v>
      </c>
      <c r="AA37" s="79">
        <f t="shared" ca="1" si="18"/>
        <v>0</v>
      </c>
      <c r="AB37" s="79">
        <f t="shared" ca="1" si="18"/>
        <v>0</v>
      </c>
      <c r="AC37" s="79">
        <f t="shared" ca="1" si="18"/>
        <v>0</v>
      </c>
      <c r="AD37" s="79">
        <f t="shared" ca="1" si="18"/>
        <v>0</v>
      </c>
      <c r="AE37" s="79">
        <f t="shared" ca="1" si="18"/>
        <v>0</v>
      </c>
      <c r="AF37" s="79">
        <f t="shared" ca="1" si="18"/>
        <v>0</v>
      </c>
      <c r="AG37" s="79">
        <f t="shared" ca="1" si="18"/>
        <v>0</v>
      </c>
      <c r="AH37" s="79">
        <f t="shared" ca="1" si="18"/>
        <v>0</v>
      </c>
      <c r="AI37" s="79">
        <f t="shared" ca="1" si="18"/>
        <v>0</v>
      </c>
      <c r="AJ37" s="79">
        <f t="shared" ca="1" si="18"/>
        <v>0</v>
      </c>
      <c r="AK37" s="79">
        <f t="shared" ca="1" si="18"/>
        <v>0</v>
      </c>
      <c r="AL37" s="79">
        <f t="shared" ca="1" si="18"/>
        <v>0</v>
      </c>
      <c r="AM37" s="79">
        <f t="shared" ca="1" si="18"/>
        <v>0</v>
      </c>
      <c r="AN37" s="79">
        <f t="shared" ca="1" si="18"/>
        <v>0</v>
      </c>
      <c r="AO37" s="79">
        <f t="shared" ca="1" si="18"/>
        <v>0</v>
      </c>
      <c r="AP37" s="79">
        <f t="shared" ca="1" si="18"/>
        <v>0</v>
      </c>
      <c r="AQ37" s="80">
        <f t="shared" ca="1" si="18"/>
        <v>0</v>
      </c>
    </row>
    <row r="38" spans="1:47" x14ac:dyDescent="0.25">
      <c r="A38" s="62"/>
      <c r="B38" s="81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6"/>
    </row>
    <row r="39" spans="1:47" x14ac:dyDescent="0.25">
      <c r="A39" s="10"/>
      <c r="B39" s="18" t="s">
        <v>41</v>
      </c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5"/>
    </row>
    <row r="40" spans="1:47" x14ac:dyDescent="0.25">
      <c r="A40" s="10"/>
      <c r="B40" s="73" t="s">
        <v>22</v>
      </c>
      <c r="C40" s="70">
        <f ca="1">C37*$D$7</f>
        <v>0</v>
      </c>
      <c r="D40" s="71">
        <f t="shared" ref="D40:AQ40" ca="1" si="19">D37*$D$7</f>
        <v>0</v>
      </c>
      <c r="E40" s="71">
        <f t="shared" ca="1" si="19"/>
        <v>0</v>
      </c>
      <c r="F40" s="71">
        <f t="shared" ca="1" si="19"/>
        <v>0</v>
      </c>
      <c r="G40" s="71">
        <f t="shared" ca="1" si="19"/>
        <v>0</v>
      </c>
      <c r="H40" s="71">
        <f t="shared" ca="1" si="19"/>
        <v>0</v>
      </c>
      <c r="I40" s="71">
        <f t="shared" ca="1" si="19"/>
        <v>0</v>
      </c>
      <c r="J40" s="71">
        <f t="shared" ca="1" si="19"/>
        <v>0</v>
      </c>
      <c r="K40" s="71">
        <f t="shared" ca="1" si="19"/>
        <v>0</v>
      </c>
      <c r="L40" s="71">
        <f t="shared" ca="1" si="19"/>
        <v>0</v>
      </c>
      <c r="M40" s="71">
        <f t="shared" ca="1" si="19"/>
        <v>0</v>
      </c>
      <c r="N40" s="71">
        <f t="shared" ca="1" si="19"/>
        <v>0</v>
      </c>
      <c r="O40" s="71">
        <f t="shared" ca="1" si="19"/>
        <v>0</v>
      </c>
      <c r="P40" s="71">
        <f t="shared" ca="1" si="19"/>
        <v>0</v>
      </c>
      <c r="Q40" s="71">
        <f t="shared" ca="1" si="19"/>
        <v>0</v>
      </c>
      <c r="R40" s="71">
        <f t="shared" ca="1" si="19"/>
        <v>0</v>
      </c>
      <c r="S40" s="71">
        <f t="shared" ca="1" si="19"/>
        <v>0</v>
      </c>
      <c r="T40" s="71">
        <f t="shared" ca="1" si="19"/>
        <v>0</v>
      </c>
      <c r="U40" s="71">
        <f t="shared" ca="1" si="19"/>
        <v>0</v>
      </c>
      <c r="V40" s="71">
        <f t="shared" ca="1" si="19"/>
        <v>0</v>
      </c>
      <c r="W40" s="71">
        <f t="shared" ca="1" si="19"/>
        <v>0</v>
      </c>
      <c r="X40" s="71">
        <f t="shared" ca="1" si="19"/>
        <v>0</v>
      </c>
      <c r="Y40" s="71">
        <f t="shared" ca="1" si="19"/>
        <v>0</v>
      </c>
      <c r="Z40" s="71">
        <f t="shared" ca="1" si="19"/>
        <v>0</v>
      </c>
      <c r="AA40" s="71">
        <f t="shared" ca="1" si="19"/>
        <v>0</v>
      </c>
      <c r="AB40" s="71">
        <f t="shared" ca="1" si="19"/>
        <v>0</v>
      </c>
      <c r="AC40" s="71">
        <f t="shared" ca="1" si="19"/>
        <v>0</v>
      </c>
      <c r="AD40" s="71">
        <f t="shared" ca="1" si="19"/>
        <v>0</v>
      </c>
      <c r="AE40" s="71">
        <f t="shared" ca="1" si="19"/>
        <v>0</v>
      </c>
      <c r="AF40" s="71">
        <f t="shared" ca="1" si="19"/>
        <v>0</v>
      </c>
      <c r="AG40" s="71">
        <f t="shared" ca="1" si="19"/>
        <v>0</v>
      </c>
      <c r="AH40" s="71">
        <f t="shared" ca="1" si="19"/>
        <v>0</v>
      </c>
      <c r="AI40" s="71">
        <f t="shared" ca="1" si="19"/>
        <v>0</v>
      </c>
      <c r="AJ40" s="71">
        <f t="shared" ca="1" si="19"/>
        <v>0</v>
      </c>
      <c r="AK40" s="71">
        <f t="shared" ca="1" si="19"/>
        <v>0</v>
      </c>
      <c r="AL40" s="71">
        <f t="shared" ca="1" si="19"/>
        <v>0</v>
      </c>
      <c r="AM40" s="71">
        <f t="shared" ca="1" si="19"/>
        <v>0</v>
      </c>
      <c r="AN40" s="71">
        <f t="shared" ca="1" si="19"/>
        <v>0</v>
      </c>
      <c r="AO40" s="71">
        <f t="shared" ca="1" si="19"/>
        <v>0</v>
      </c>
      <c r="AP40" s="71">
        <f t="shared" ca="1" si="19"/>
        <v>0</v>
      </c>
      <c r="AQ40" s="72">
        <f t="shared" ca="1" si="19"/>
        <v>0</v>
      </c>
      <c r="AR40" s="5"/>
    </row>
    <row r="41" spans="1:47" x14ac:dyDescent="0.25">
      <c r="A41" s="62"/>
      <c r="B41" s="73" t="s">
        <v>26</v>
      </c>
      <c r="C41" s="74">
        <f ca="1">C37*$C$7</f>
        <v>0</v>
      </c>
      <c r="D41" s="75">
        <f t="shared" ref="D41:AQ41" ca="1" si="20">D37*$C$7</f>
        <v>0</v>
      </c>
      <c r="E41" s="75">
        <f t="shared" ca="1" si="20"/>
        <v>0</v>
      </c>
      <c r="F41" s="75">
        <f t="shared" ca="1" si="20"/>
        <v>0</v>
      </c>
      <c r="G41" s="75">
        <f t="shared" ca="1" si="20"/>
        <v>0</v>
      </c>
      <c r="H41" s="75">
        <f t="shared" ca="1" si="20"/>
        <v>0</v>
      </c>
      <c r="I41" s="75">
        <f t="shared" ca="1" si="20"/>
        <v>0</v>
      </c>
      <c r="J41" s="75">
        <f t="shared" ca="1" si="20"/>
        <v>0</v>
      </c>
      <c r="K41" s="75">
        <f t="shared" ca="1" si="20"/>
        <v>0</v>
      </c>
      <c r="L41" s="75">
        <f t="shared" ca="1" si="20"/>
        <v>0</v>
      </c>
      <c r="M41" s="75">
        <f t="shared" ca="1" si="20"/>
        <v>0</v>
      </c>
      <c r="N41" s="75">
        <f t="shared" ca="1" si="20"/>
        <v>0</v>
      </c>
      <c r="O41" s="75">
        <f t="shared" ca="1" si="20"/>
        <v>0</v>
      </c>
      <c r="P41" s="75">
        <f t="shared" ca="1" si="20"/>
        <v>0</v>
      </c>
      <c r="Q41" s="75">
        <f t="shared" ca="1" si="20"/>
        <v>0</v>
      </c>
      <c r="R41" s="75">
        <f t="shared" ca="1" si="20"/>
        <v>0</v>
      </c>
      <c r="S41" s="75">
        <f t="shared" ca="1" si="20"/>
        <v>0</v>
      </c>
      <c r="T41" s="75">
        <f t="shared" ca="1" si="20"/>
        <v>0</v>
      </c>
      <c r="U41" s="75">
        <f t="shared" ca="1" si="20"/>
        <v>0</v>
      </c>
      <c r="V41" s="75">
        <f t="shared" ca="1" si="20"/>
        <v>0</v>
      </c>
      <c r="W41" s="75">
        <f t="shared" ca="1" si="20"/>
        <v>0</v>
      </c>
      <c r="X41" s="75">
        <f t="shared" ca="1" si="20"/>
        <v>0</v>
      </c>
      <c r="Y41" s="75">
        <f t="shared" ca="1" si="20"/>
        <v>0</v>
      </c>
      <c r="Z41" s="75">
        <f t="shared" ca="1" si="20"/>
        <v>0</v>
      </c>
      <c r="AA41" s="75">
        <f t="shared" ca="1" si="20"/>
        <v>0</v>
      </c>
      <c r="AB41" s="75">
        <f t="shared" ca="1" si="20"/>
        <v>0</v>
      </c>
      <c r="AC41" s="75">
        <f t="shared" ca="1" si="20"/>
        <v>0</v>
      </c>
      <c r="AD41" s="75">
        <f t="shared" ca="1" si="20"/>
        <v>0</v>
      </c>
      <c r="AE41" s="75">
        <f t="shared" ca="1" si="20"/>
        <v>0</v>
      </c>
      <c r="AF41" s="75">
        <f t="shared" ca="1" si="20"/>
        <v>0</v>
      </c>
      <c r="AG41" s="75">
        <f t="shared" ca="1" si="20"/>
        <v>0</v>
      </c>
      <c r="AH41" s="75">
        <f t="shared" ca="1" si="20"/>
        <v>0</v>
      </c>
      <c r="AI41" s="75">
        <f t="shared" ca="1" si="20"/>
        <v>0</v>
      </c>
      <c r="AJ41" s="75">
        <f t="shared" ca="1" si="20"/>
        <v>0</v>
      </c>
      <c r="AK41" s="75">
        <f t="shared" ca="1" si="20"/>
        <v>0</v>
      </c>
      <c r="AL41" s="75">
        <f t="shared" ca="1" si="20"/>
        <v>0</v>
      </c>
      <c r="AM41" s="75">
        <f t="shared" ca="1" si="20"/>
        <v>0</v>
      </c>
      <c r="AN41" s="75">
        <f t="shared" ca="1" si="20"/>
        <v>0</v>
      </c>
      <c r="AO41" s="75">
        <f t="shared" ca="1" si="20"/>
        <v>0</v>
      </c>
      <c r="AP41" s="75">
        <f t="shared" ca="1" si="20"/>
        <v>0</v>
      </c>
      <c r="AQ41" s="76">
        <f t="shared" ca="1" si="20"/>
        <v>0</v>
      </c>
      <c r="AR41" s="5"/>
    </row>
    <row r="42" spans="1:47" x14ac:dyDescent="0.25">
      <c r="A42" s="10"/>
      <c r="B42" s="73" t="s">
        <v>27</v>
      </c>
      <c r="C42" s="74">
        <f ca="1">SUM(C40:C41)</f>
        <v>0</v>
      </c>
      <c r="D42" s="75">
        <f t="shared" ref="D42:AQ42" ca="1" si="21">SUM(D40:D41)</f>
        <v>0</v>
      </c>
      <c r="E42" s="75">
        <f t="shared" ca="1" si="21"/>
        <v>0</v>
      </c>
      <c r="F42" s="75">
        <f t="shared" ca="1" si="21"/>
        <v>0</v>
      </c>
      <c r="G42" s="75">
        <f t="shared" ca="1" si="21"/>
        <v>0</v>
      </c>
      <c r="H42" s="75">
        <f t="shared" ca="1" si="21"/>
        <v>0</v>
      </c>
      <c r="I42" s="75">
        <f t="shared" ca="1" si="21"/>
        <v>0</v>
      </c>
      <c r="J42" s="75">
        <f t="shared" ca="1" si="21"/>
        <v>0</v>
      </c>
      <c r="K42" s="75">
        <f t="shared" ca="1" si="21"/>
        <v>0</v>
      </c>
      <c r="L42" s="75">
        <f t="shared" ca="1" si="21"/>
        <v>0</v>
      </c>
      <c r="M42" s="75">
        <f t="shared" ca="1" si="21"/>
        <v>0</v>
      </c>
      <c r="N42" s="75">
        <f t="shared" ca="1" si="21"/>
        <v>0</v>
      </c>
      <c r="O42" s="75">
        <f t="shared" ca="1" si="21"/>
        <v>0</v>
      </c>
      <c r="P42" s="75">
        <f t="shared" ca="1" si="21"/>
        <v>0</v>
      </c>
      <c r="Q42" s="75">
        <f t="shared" ca="1" si="21"/>
        <v>0</v>
      </c>
      <c r="R42" s="75">
        <f t="shared" ca="1" si="21"/>
        <v>0</v>
      </c>
      <c r="S42" s="75">
        <f t="shared" ca="1" si="21"/>
        <v>0</v>
      </c>
      <c r="T42" s="75">
        <f t="shared" ca="1" si="21"/>
        <v>0</v>
      </c>
      <c r="U42" s="75">
        <f t="shared" ca="1" si="21"/>
        <v>0</v>
      </c>
      <c r="V42" s="75">
        <f t="shared" ca="1" si="21"/>
        <v>0</v>
      </c>
      <c r="W42" s="75">
        <f t="shared" ca="1" si="21"/>
        <v>0</v>
      </c>
      <c r="X42" s="75">
        <f t="shared" ca="1" si="21"/>
        <v>0</v>
      </c>
      <c r="Y42" s="75">
        <f t="shared" ca="1" si="21"/>
        <v>0</v>
      </c>
      <c r="Z42" s="75">
        <f t="shared" ca="1" si="21"/>
        <v>0</v>
      </c>
      <c r="AA42" s="75">
        <f t="shared" ca="1" si="21"/>
        <v>0</v>
      </c>
      <c r="AB42" s="75">
        <f t="shared" ca="1" si="21"/>
        <v>0</v>
      </c>
      <c r="AC42" s="75">
        <f t="shared" ca="1" si="21"/>
        <v>0</v>
      </c>
      <c r="AD42" s="75">
        <f t="shared" ca="1" si="21"/>
        <v>0</v>
      </c>
      <c r="AE42" s="75">
        <f t="shared" ca="1" si="21"/>
        <v>0</v>
      </c>
      <c r="AF42" s="75">
        <f t="shared" ca="1" si="21"/>
        <v>0</v>
      </c>
      <c r="AG42" s="75">
        <f t="shared" ca="1" si="21"/>
        <v>0</v>
      </c>
      <c r="AH42" s="75">
        <f t="shared" ca="1" si="21"/>
        <v>0</v>
      </c>
      <c r="AI42" s="75">
        <f t="shared" ca="1" si="21"/>
        <v>0</v>
      </c>
      <c r="AJ42" s="75">
        <f t="shared" ca="1" si="21"/>
        <v>0</v>
      </c>
      <c r="AK42" s="75">
        <f t="shared" ca="1" si="21"/>
        <v>0</v>
      </c>
      <c r="AL42" s="75">
        <f t="shared" ca="1" si="21"/>
        <v>0</v>
      </c>
      <c r="AM42" s="75">
        <f t="shared" ca="1" si="21"/>
        <v>0</v>
      </c>
      <c r="AN42" s="75">
        <f t="shared" ca="1" si="21"/>
        <v>0</v>
      </c>
      <c r="AO42" s="75">
        <f t="shared" ca="1" si="21"/>
        <v>0</v>
      </c>
      <c r="AP42" s="75">
        <f t="shared" ca="1" si="21"/>
        <v>0</v>
      </c>
      <c r="AQ42" s="76">
        <f t="shared" ca="1" si="21"/>
        <v>0</v>
      </c>
    </row>
    <row r="43" spans="1:47" x14ac:dyDescent="0.25">
      <c r="A43" s="10"/>
      <c r="B43" s="77" t="s">
        <v>28</v>
      </c>
      <c r="C43" s="78">
        <f ca="1">C37-C42</f>
        <v>0</v>
      </c>
      <c r="D43" s="79">
        <f t="shared" ref="D43:AQ43" ca="1" si="22">D37-D42</f>
        <v>0</v>
      </c>
      <c r="E43" s="79">
        <f t="shared" ca="1" si="22"/>
        <v>0</v>
      </c>
      <c r="F43" s="79">
        <f t="shared" ca="1" si="22"/>
        <v>0</v>
      </c>
      <c r="G43" s="79">
        <f t="shared" ca="1" si="22"/>
        <v>0</v>
      </c>
      <c r="H43" s="79">
        <f t="shared" ca="1" si="22"/>
        <v>0</v>
      </c>
      <c r="I43" s="79">
        <f t="shared" ca="1" si="22"/>
        <v>0</v>
      </c>
      <c r="J43" s="79">
        <f t="shared" ca="1" si="22"/>
        <v>0</v>
      </c>
      <c r="K43" s="79">
        <f t="shared" ca="1" si="22"/>
        <v>0</v>
      </c>
      <c r="L43" s="79">
        <f t="shared" ca="1" si="22"/>
        <v>0</v>
      </c>
      <c r="M43" s="79">
        <f t="shared" ca="1" si="22"/>
        <v>0</v>
      </c>
      <c r="N43" s="79">
        <f t="shared" ca="1" si="22"/>
        <v>0</v>
      </c>
      <c r="O43" s="79">
        <f t="shared" ca="1" si="22"/>
        <v>0</v>
      </c>
      <c r="P43" s="79">
        <f t="shared" ca="1" si="22"/>
        <v>0</v>
      </c>
      <c r="Q43" s="79">
        <f t="shared" ca="1" si="22"/>
        <v>0</v>
      </c>
      <c r="R43" s="79">
        <f t="shared" ca="1" si="22"/>
        <v>0</v>
      </c>
      <c r="S43" s="79">
        <f t="shared" ca="1" si="22"/>
        <v>0</v>
      </c>
      <c r="T43" s="79">
        <f t="shared" ca="1" si="22"/>
        <v>0</v>
      </c>
      <c r="U43" s="79">
        <f t="shared" ca="1" si="22"/>
        <v>0</v>
      </c>
      <c r="V43" s="79">
        <f t="shared" ca="1" si="22"/>
        <v>0</v>
      </c>
      <c r="W43" s="79">
        <f t="shared" ca="1" si="22"/>
        <v>0</v>
      </c>
      <c r="X43" s="79">
        <f t="shared" ca="1" si="22"/>
        <v>0</v>
      </c>
      <c r="Y43" s="79">
        <f t="shared" ca="1" si="22"/>
        <v>0</v>
      </c>
      <c r="Z43" s="79">
        <f t="shared" ca="1" si="22"/>
        <v>0</v>
      </c>
      <c r="AA43" s="79">
        <f t="shared" ca="1" si="22"/>
        <v>0</v>
      </c>
      <c r="AB43" s="79">
        <f t="shared" ca="1" si="22"/>
        <v>0</v>
      </c>
      <c r="AC43" s="79">
        <f t="shared" ca="1" si="22"/>
        <v>0</v>
      </c>
      <c r="AD43" s="79">
        <f t="shared" ca="1" si="22"/>
        <v>0</v>
      </c>
      <c r="AE43" s="79">
        <f t="shared" ca="1" si="22"/>
        <v>0</v>
      </c>
      <c r="AF43" s="79">
        <f t="shared" ca="1" si="22"/>
        <v>0</v>
      </c>
      <c r="AG43" s="79">
        <f t="shared" ca="1" si="22"/>
        <v>0</v>
      </c>
      <c r="AH43" s="79">
        <f t="shared" ca="1" si="22"/>
        <v>0</v>
      </c>
      <c r="AI43" s="79">
        <f t="shared" ca="1" si="22"/>
        <v>0</v>
      </c>
      <c r="AJ43" s="79">
        <f t="shared" ca="1" si="22"/>
        <v>0</v>
      </c>
      <c r="AK43" s="79">
        <f t="shared" ca="1" si="22"/>
        <v>0</v>
      </c>
      <c r="AL43" s="79">
        <f t="shared" ca="1" si="22"/>
        <v>0</v>
      </c>
      <c r="AM43" s="79">
        <f t="shared" ca="1" si="22"/>
        <v>0</v>
      </c>
      <c r="AN43" s="79">
        <f t="shared" ca="1" si="22"/>
        <v>0</v>
      </c>
      <c r="AO43" s="79">
        <f t="shared" ca="1" si="22"/>
        <v>0</v>
      </c>
      <c r="AP43" s="79">
        <f t="shared" ca="1" si="22"/>
        <v>0</v>
      </c>
      <c r="AQ43" s="80">
        <f t="shared" ca="1" si="22"/>
        <v>0</v>
      </c>
    </row>
    <row r="44" spans="1:47" x14ac:dyDescent="0.25">
      <c r="A44" s="10"/>
      <c r="B44" s="182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5"/>
    </row>
    <row r="45" spans="1:47" x14ac:dyDescent="0.25">
      <c r="A45" s="10"/>
      <c r="B45" s="18" t="s">
        <v>88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5"/>
    </row>
    <row r="46" spans="1:47" x14ac:dyDescent="0.25">
      <c r="A46" s="10"/>
      <c r="B46" s="28" t="s">
        <v>20</v>
      </c>
      <c r="C46" s="70">
        <v>0</v>
      </c>
      <c r="D46" s="71">
        <f ca="1">IF(D10&lt;=$M$7,C50,0)</f>
        <v>9500000</v>
      </c>
      <c r="E46" s="71">
        <f t="shared" ref="E46:AQ46" ca="1" si="23">IF(E10&lt;=$M$7,D50,0)</f>
        <v>9686083.8233467992</v>
      </c>
      <c r="F46" s="71">
        <f t="shared" ca="1" si="23"/>
        <v>9875812.613989532</v>
      </c>
      <c r="G46" s="71">
        <f t="shared" ca="1" si="23"/>
        <v>10065012.414266327</v>
      </c>
      <c r="H46" s="71">
        <f t="shared" ca="1" si="23"/>
        <v>10259999.999999998</v>
      </c>
      <c r="I46" s="71">
        <f t="shared" ca="1" si="23"/>
        <v>10460970.529214542</v>
      </c>
      <c r="J46" s="71">
        <f t="shared" ca="1" si="23"/>
        <v>10665877.623108694</v>
      </c>
      <c r="K46" s="71">
        <f t="shared" ca="1" si="23"/>
        <v>10870213.407407634</v>
      </c>
      <c r="L46" s="71">
        <f t="shared" ca="1" si="23"/>
        <v>11080799.999999998</v>
      </c>
      <c r="M46" s="71">
        <f t="shared" ca="1" si="23"/>
        <v>11297848.171551706</v>
      </c>
      <c r="N46" s="71">
        <f t="shared" ca="1" si="23"/>
        <v>11519147.832957391</v>
      </c>
      <c r="O46" s="71">
        <f t="shared" ca="1" si="23"/>
        <v>11739830.480000246</v>
      </c>
      <c r="P46" s="71">
        <f t="shared" ca="1" si="23"/>
        <v>11967264</v>
      </c>
      <c r="Q46" s="71">
        <f t="shared" ca="1" si="23"/>
        <v>12201676.025275843</v>
      </c>
      <c r="R46" s="71">
        <f t="shared" ca="1" si="23"/>
        <v>12440679.659593981</v>
      </c>
      <c r="S46" s="71">
        <f t="shared" ca="1" si="23"/>
        <v>12681690.598464943</v>
      </c>
      <c r="T46" s="71">
        <f t="shared" ca="1" si="23"/>
        <v>12927370.596763914</v>
      </c>
      <c r="U46" s="71">
        <f t="shared" ca="1" si="23"/>
        <v>13180588.970076213</v>
      </c>
      <c r="V46" s="71">
        <f t="shared" ca="1" si="23"/>
        <v>13438767.326867206</v>
      </c>
      <c r="W46" s="71">
        <f t="shared" ca="1" si="23"/>
        <v>13696225.846342139</v>
      </c>
      <c r="X46" s="71">
        <f t="shared" ca="1" si="23"/>
        <v>6361560.2445050273</v>
      </c>
      <c r="Y46" s="71">
        <f t="shared" ca="1" si="23"/>
        <v>6486169.0290048691</v>
      </c>
      <c r="Z46" s="71">
        <f t="shared" ca="1" si="23"/>
        <v>6613218.6218249565</v>
      </c>
      <c r="AA46" s="71">
        <f t="shared" ca="1" si="23"/>
        <v>1989913.9826364471</v>
      </c>
      <c r="AB46" s="71">
        <f t="shared" ca="1" si="23"/>
        <v>2028464.210626428</v>
      </c>
      <c r="AC46" s="71">
        <f t="shared" ca="1" si="23"/>
        <v>2068197.3028196401</v>
      </c>
      <c r="AD46" s="71">
        <f t="shared" ca="1" si="23"/>
        <v>-390153.32751629921</v>
      </c>
      <c r="AE46" s="71">
        <f t="shared" ca="1" si="23"/>
        <v>-397627.84475641436</v>
      </c>
      <c r="AF46" s="71">
        <f t="shared" ca="1" si="23"/>
        <v>-405331.01394075039</v>
      </c>
      <c r="AG46" s="71">
        <f t="shared" ca="1" si="23"/>
        <v>299229.45502818329</v>
      </c>
      <c r="AH46" s="71">
        <f t="shared" ca="1" si="23"/>
        <v>305090.69303340686</v>
      </c>
      <c r="AI46" s="71">
        <f t="shared" ca="1" si="23"/>
        <v>311001.1574437712</v>
      </c>
      <c r="AJ46" s="71">
        <f t="shared" ca="1" si="23"/>
        <v>317026.12416555925</v>
      </c>
      <c r="AK46" s="71">
        <f t="shared" ca="1" si="23"/>
        <v>323235.95924824814</v>
      </c>
      <c r="AL46" s="71">
        <f t="shared" ca="1" si="23"/>
        <v>329567.43115773069</v>
      </c>
      <c r="AM46" s="71">
        <f t="shared" ca="1" si="23"/>
        <v>335881.25003927288</v>
      </c>
      <c r="AN46" s="71">
        <f t="shared" ca="1" si="23"/>
        <v>342388.21409880399</v>
      </c>
      <c r="AO46" s="71">
        <f t="shared" ca="1" si="23"/>
        <v>349094.83598810801</v>
      </c>
      <c r="AP46" s="71">
        <f t="shared" ca="1" si="23"/>
        <v>355932.8256503492</v>
      </c>
      <c r="AQ46" s="72">
        <f t="shared" ca="1" si="23"/>
        <v>362751.75004241476</v>
      </c>
    </row>
    <row r="47" spans="1:47" x14ac:dyDescent="0.25">
      <c r="A47" s="10"/>
      <c r="B47" s="73" t="s">
        <v>21</v>
      </c>
      <c r="C47" s="74">
        <v>0</v>
      </c>
      <c r="D47" s="75">
        <f ca="1">D46*(1+$G$4)^((D10-C10)/365)-D46</f>
        <v>186083.82334679924</v>
      </c>
      <c r="E47" s="75">
        <f t="shared" ref="E47:AQ47" ca="1" si="24">E46*(1+$G$4)^((E10-D10)/365)-E46</f>
        <v>189728.79064273275</v>
      </c>
      <c r="F47" s="75">
        <f t="shared" ca="1" si="24"/>
        <v>189199.8002767954</v>
      </c>
      <c r="G47" s="75">
        <f t="shared" ca="1" si="24"/>
        <v>194987.58573367074</v>
      </c>
      <c r="H47" s="75">
        <f t="shared" ca="1" si="24"/>
        <v>200970.52921454422</v>
      </c>
      <c r="I47" s="75">
        <f t="shared" ca="1" si="24"/>
        <v>204907.09389415197</v>
      </c>
      <c r="J47" s="75">
        <f t="shared" ca="1" si="24"/>
        <v>204335.78429893963</v>
      </c>
      <c r="K47" s="75">
        <f t="shared" ca="1" si="24"/>
        <v>210586.59259236418</v>
      </c>
      <c r="L47" s="75">
        <f t="shared" ca="1" si="24"/>
        <v>217048.17155170813</v>
      </c>
      <c r="M47" s="75">
        <f t="shared" ca="1" si="24"/>
        <v>221299.66140568443</v>
      </c>
      <c r="N47" s="75">
        <f t="shared" ca="1" si="24"/>
        <v>220682.64704285562</v>
      </c>
      <c r="O47" s="75">
        <f t="shared" ca="1" si="24"/>
        <v>227433.51999975368</v>
      </c>
      <c r="P47" s="75">
        <f t="shared" ca="1" si="24"/>
        <v>234412.02527584322</v>
      </c>
      <c r="Q47" s="75">
        <f t="shared" ca="1" si="24"/>
        <v>239003.63431813754</v>
      </c>
      <c r="R47" s="75">
        <f t="shared" ca="1" si="24"/>
        <v>241010.93887096271</v>
      </c>
      <c r="S47" s="75">
        <f t="shared" ca="1" si="24"/>
        <v>245679.99829897098</v>
      </c>
      <c r="T47" s="75">
        <f t="shared" ca="1" si="24"/>
        <v>253218.37331229821</v>
      </c>
      <c r="U47" s="75">
        <f t="shared" ca="1" si="24"/>
        <v>258178.35679099336</v>
      </c>
      <c r="V47" s="75">
        <f t="shared" ca="1" si="24"/>
        <v>257458.51947493292</v>
      </c>
      <c r="W47" s="75">
        <f t="shared" ca="1" si="24"/>
        <v>265334.39816288836</v>
      </c>
      <c r="X47" s="75">
        <f t="shared" ca="1" si="24"/>
        <v>124608.78449984174</v>
      </c>
      <c r="Y47" s="75">
        <f t="shared" ca="1" si="24"/>
        <v>127049.59282008745</v>
      </c>
      <c r="Z47" s="75">
        <f t="shared" ca="1" si="24"/>
        <v>126695.36081149057</v>
      </c>
      <c r="AA47" s="75">
        <f t="shared" ca="1" si="24"/>
        <v>38550.227989980951</v>
      </c>
      <c r="AB47" s="75">
        <f t="shared" ca="1" si="24"/>
        <v>39733.092193212127</v>
      </c>
      <c r="AC47" s="75">
        <f t="shared" ca="1" si="24"/>
        <v>40511.374899391318</v>
      </c>
      <c r="AD47" s="75">
        <f t="shared" ca="1" si="24"/>
        <v>-7474.5172401151503</v>
      </c>
      <c r="AE47" s="75">
        <f t="shared" ca="1" si="24"/>
        <v>-7703.1691843360313</v>
      </c>
      <c r="AF47" s="75">
        <f t="shared" ca="1" si="24"/>
        <v>-7939.531031066319</v>
      </c>
      <c r="AG47" s="75">
        <f t="shared" ca="1" si="24"/>
        <v>5861.2380052235676</v>
      </c>
      <c r="AH47" s="75">
        <f t="shared" ca="1" si="24"/>
        <v>5910.4644103643368</v>
      </c>
      <c r="AI47" s="75">
        <f t="shared" ca="1" si="24"/>
        <v>6024.9667217880487</v>
      </c>
      <c r="AJ47" s="75">
        <f t="shared" ca="1" si="24"/>
        <v>6209.8350826888927</v>
      </c>
      <c r="AK47" s="75">
        <f t="shared" ca="1" si="24"/>
        <v>6331.4719094825559</v>
      </c>
      <c r="AL47" s="75">
        <f t="shared" ca="1" si="24"/>
        <v>6313.818881542189</v>
      </c>
      <c r="AM47" s="75">
        <f t="shared" ca="1" si="24"/>
        <v>6506.9640595311066</v>
      </c>
      <c r="AN47" s="75">
        <f t="shared" ca="1" si="24"/>
        <v>6706.6218893040204</v>
      </c>
      <c r="AO47" s="75">
        <f t="shared" ca="1" si="24"/>
        <v>6837.9896622411907</v>
      </c>
      <c r="AP47" s="75">
        <f t="shared" ca="1" si="24"/>
        <v>6818.9243920655572</v>
      </c>
      <c r="AQ47" s="76">
        <f t="shared" ca="1" si="24"/>
        <v>7027.5211842936114</v>
      </c>
    </row>
    <row r="48" spans="1:47" x14ac:dyDescent="0.25">
      <c r="A48" s="10"/>
      <c r="B48" s="73" t="s">
        <v>19</v>
      </c>
      <c r="C48" s="74">
        <f>C54</f>
        <v>-9500000</v>
      </c>
      <c r="D48" s="75">
        <f>D54</f>
        <v>0</v>
      </c>
      <c r="E48" s="75">
        <f t="shared" ref="E48:AQ48" si="25">E54</f>
        <v>0</v>
      </c>
      <c r="F48" s="75">
        <f t="shared" si="25"/>
        <v>0</v>
      </c>
      <c r="G48" s="75">
        <f t="shared" si="25"/>
        <v>0</v>
      </c>
      <c r="H48" s="75">
        <f t="shared" si="25"/>
        <v>0</v>
      </c>
      <c r="I48" s="75">
        <f t="shared" si="25"/>
        <v>0</v>
      </c>
      <c r="J48" s="75">
        <f t="shared" si="25"/>
        <v>0</v>
      </c>
      <c r="K48" s="75">
        <f t="shared" si="25"/>
        <v>0</v>
      </c>
      <c r="L48" s="75">
        <f t="shared" si="25"/>
        <v>0</v>
      </c>
      <c r="M48" s="75">
        <f t="shared" si="25"/>
        <v>0</v>
      </c>
      <c r="N48" s="75">
        <f t="shared" si="25"/>
        <v>0</v>
      </c>
      <c r="O48" s="75">
        <f t="shared" si="25"/>
        <v>0</v>
      </c>
      <c r="P48" s="75">
        <f t="shared" si="25"/>
        <v>0</v>
      </c>
      <c r="Q48" s="75">
        <f t="shared" si="25"/>
        <v>0</v>
      </c>
      <c r="R48" s="75">
        <f t="shared" si="25"/>
        <v>0</v>
      </c>
      <c r="S48" s="75">
        <f t="shared" si="25"/>
        <v>0</v>
      </c>
      <c r="T48" s="75">
        <f t="shared" si="25"/>
        <v>0</v>
      </c>
      <c r="U48" s="75">
        <f t="shared" si="25"/>
        <v>0</v>
      </c>
      <c r="V48" s="75">
        <f t="shared" si="25"/>
        <v>0</v>
      </c>
      <c r="W48" s="75">
        <f t="shared" si="25"/>
        <v>0</v>
      </c>
      <c r="X48" s="75">
        <f t="shared" si="25"/>
        <v>0</v>
      </c>
      <c r="Y48" s="75">
        <f t="shared" si="25"/>
        <v>0</v>
      </c>
      <c r="Z48" s="75">
        <f t="shared" si="25"/>
        <v>0</v>
      </c>
      <c r="AA48" s="75">
        <f t="shared" si="25"/>
        <v>0</v>
      </c>
      <c r="AB48" s="75">
        <f t="shared" si="25"/>
        <v>0</v>
      </c>
      <c r="AC48" s="75">
        <f t="shared" si="25"/>
        <v>0</v>
      </c>
      <c r="AD48" s="75">
        <f t="shared" si="25"/>
        <v>0</v>
      </c>
      <c r="AE48" s="75">
        <f t="shared" si="25"/>
        <v>0</v>
      </c>
      <c r="AF48" s="75">
        <f t="shared" si="25"/>
        <v>-712500</v>
      </c>
      <c r="AG48" s="75">
        <f t="shared" si="25"/>
        <v>0</v>
      </c>
      <c r="AH48" s="75">
        <f t="shared" si="25"/>
        <v>0</v>
      </c>
      <c r="AI48" s="75">
        <f t="shared" si="25"/>
        <v>0</v>
      </c>
      <c r="AJ48" s="75">
        <f t="shared" si="25"/>
        <v>0</v>
      </c>
      <c r="AK48" s="75">
        <f t="shared" si="25"/>
        <v>0</v>
      </c>
      <c r="AL48" s="75">
        <f t="shared" si="25"/>
        <v>0</v>
      </c>
      <c r="AM48" s="75">
        <f t="shared" si="25"/>
        <v>0</v>
      </c>
      <c r="AN48" s="75">
        <f t="shared" si="25"/>
        <v>0</v>
      </c>
      <c r="AO48" s="75">
        <f t="shared" si="25"/>
        <v>0</v>
      </c>
      <c r="AP48" s="75">
        <f t="shared" si="25"/>
        <v>0</v>
      </c>
      <c r="AQ48" s="76">
        <f t="shared" si="25"/>
        <v>0</v>
      </c>
    </row>
    <row r="49" spans="1:43" x14ac:dyDescent="0.25">
      <c r="A49" s="10"/>
      <c r="B49" s="73" t="s">
        <v>22</v>
      </c>
      <c r="C49" s="74">
        <f ca="1">C55</f>
        <v>0</v>
      </c>
      <c r="D49" s="75">
        <f ca="1">D55</f>
        <v>0</v>
      </c>
      <c r="E49" s="75">
        <f t="shared" ref="E49:AQ49" ca="1" si="26">E55</f>
        <v>0</v>
      </c>
      <c r="F49" s="75">
        <f t="shared" ca="1" si="26"/>
        <v>0</v>
      </c>
      <c r="G49" s="75">
        <f t="shared" ca="1" si="26"/>
        <v>0</v>
      </c>
      <c r="H49" s="75">
        <f t="shared" ca="1" si="26"/>
        <v>0</v>
      </c>
      <c r="I49" s="75">
        <f t="shared" ca="1" si="26"/>
        <v>0</v>
      </c>
      <c r="J49" s="75">
        <f t="shared" ca="1" si="26"/>
        <v>0</v>
      </c>
      <c r="K49" s="75">
        <f t="shared" ca="1" si="26"/>
        <v>0</v>
      </c>
      <c r="L49" s="75">
        <f t="shared" ca="1" si="26"/>
        <v>0</v>
      </c>
      <c r="M49" s="75">
        <f t="shared" ca="1" si="26"/>
        <v>0</v>
      </c>
      <c r="N49" s="75">
        <f t="shared" ca="1" si="26"/>
        <v>0</v>
      </c>
      <c r="O49" s="75">
        <f t="shared" ca="1" si="26"/>
        <v>0</v>
      </c>
      <c r="P49" s="75">
        <f t="shared" ca="1" si="26"/>
        <v>0</v>
      </c>
      <c r="Q49" s="75">
        <f t="shared" ca="1" si="26"/>
        <v>0</v>
      </c>
      <c r="R49" s="75">
        <f t="shared" ca="1" si="26"/>
        <v>0</v>
      </c>
      <c r="S49" s="75">
        <f t="shared" ca="1" si="26"/>
        <v>0</v>
      </c>
      <c r="T49" s="75">
        <f t="shared" ca="1" si="26"/>
        <v>0</v>
      </c>
      <c r="U49" s="75">
        <f t="shared" ca="1" si="26"/>
        <v>0</v>
      </c>
      <c r="V49" s="75">
        <f t="shared" ca="1" si="26"/>
        <v>0</v>
      </c>
      <c r="W49" s="75">
        <f t="shared" ca="1" si="26"/>
        <v>7600000</v>
      </c>
      <c r="X49" s="75">
        <f t="shared" ca="1" si="26"/>
        <v>0</v>
      </c>
      <c r="Y49" s="75">
        <f t="shared" ca="1" si="26"/>
        <v>0</v>
      </c>
      <c r="Z49" s="75">
        <f t="shared" ca="1" si="26"/>
        <v>4750000</v>
      </c>
      <c r="AA49" s="75">
        <f t="shared" ca="1" si="26"/>
        <v>0</v>
      </c>
      <c r="AB49" s="75">
        <f t="shared" ca="1" si="26"/>
        <v>0</v>
      </c>
      <c r="AC49" s="75">
        <f t="shared" ca="1" si="26"/>
        <v>2498862.0052353307</v>
      </c>
      <c r="AD49" s="75">
        <f t="shared" ca="1" si="26"/>
        <v>0</v>
      </c>
      <c r="AE49" s="75">
        <f t="shared" ca="1" si="26"/>
        <v>0</v>
      </c>
      <c r="AF49" s="75">
        <f t="shared" ca="1" si="26"/>
        <v>0</v>
      </c>
      <c r="AG49" s="75">
        <f t="shared" ca="1" si="26"/>
        <v>0</v>
      </c>
      <c r="AH49" s="75">
        <f t="shared" ca="1" si="26"/>
        <v>0</v>
      </c>
      <c r="AI49" s="75">
        <f t="shared" ca="1" si="26"/>
        <v>0</v>
      </c>
      <c r="AJ49" s="75">
        <f t="shared" ca="1" si="26"/>
        <v>0</v>
      </c>
      <c r="AK49" s="75">
        <f t="shared" ca="1" si="26"/>
        <v>0</v>
      </c>
      <c r="AL49" s="75">
        <f t="shared" ca="1" si="26"/>
        <v>0</v>
      </c>
      <c r="AM49" s="75">
        <f t="shared" ca="1" si="26"/>
        <v>0</v>
      </c>
      <c r="AN49" s="75">
        <f t="shared" ca="1" si="26"/>
        <v>0</v>
      </c>
      <c r="AO49" s="75">
        <f t="shared" ca="1" si="26"/>
        <v>0</v>
      </c>
      <c r="AP49" s="75">
        <f t="shared" ca="1" si="26"/>
        <v>0</v>
      </c>
      <c r="AQ49" s="76">
        <f t="shared" ca="1" si="26"/>
        <v>95000</v>
      </c>
    </row>
    <row r="50" spans="1:43" x14ac:dyDescent="0.25">
      <c r="A50" s="92" t="s">
        <v>85</v>
      </c>
      <c r="B50" s="73" t="s">
        <v>23</v>
      </c>
      <c r="C50" s="74">
        <f ca="1">C46+C47-C48-C49</f>
        <v>9500000</v>
      </c>
      <c r="D50" s="75">
        <f ca="1">D46+D47-D48-D49</f>
        <v>9686083.8233467992</v>
      </c>
      <c r="E50" s="75">
        <f t="shared" ref="E50:AQ50" ca="1" si="27">E46+E47-E48-E49</f>
        <v>9875812.613989532</v>
      </c>
      <c r="F50" s="75">
        <f t="shared" ca="1" si="27"/>
        <v>10065012.414266327</v>
      </c>
      <c r="G50" s="75">
        <f t="shared" ca="1" si="27"/>
        <v>10259999.999999998</v>
      </c>
      <c r="H50" s="75">
        <f t="shared" ca="1" si="27"/>
        <v>10460970.529214542</v>
      </c>
      <c r="I50" s="75">
        <f t="shared" ca="1" si="27"/>
        <v>10665877.623108694</v>
      </c>
      <c r="J50" s="75">
        <f t="shared" ca="1" si="27"/>
        <v>10870213.407407634</v>
      </c>
      <c r="K50" s="75">
        <f t="shared" ca="1" si="27"/>
        <v>11080799.999999998</v>
      </c>
      <c r="L50" s="75">
        <f t="shared" ca="1" si="27"/>
        <v>11297848.171551706</v>
      </c>
      <c r="M50" s="75">
        <f t="shared" ca="1" si="27"/>
        <v>11519147.832957391</v>
      </c>
      <c r="N50" s="75">
        <f t="shared" ca="1" si="27"/>
        <v>11739830.480000246</v>
      </c>
      <c r="O50" s="75">
        <f t="shared" ca="1" si="27"/>
        <v>11967264</v>
      </c>
      <c r="P50" s="75">
        <f t="shared" ca="1" si="27"/>
        <v>12201676.025275843</v>
      </c>
      <c r="Q50" s="75">
        <f t="shared" ca="1" si="27"/>
        <v>12440679.659593981</v>
      </c>
      <c r="R50" s="75">
        <f t="shared" ca="1" si="27"/>
        <v>12681690.598464943</v>
      </c>
      <c r="S50" s="75">
        <f t="shared" ca="1" si="27"/>
        <v>12927370.596763914</v>
      </c>
      <c r="T50" s="75">
        <f t="shared" ca="1" si="27"/>
        <v>13180588.970076213</v>
      </c>
      <c r="U50" s="75">
        <f t="shared" ca="1" si="27"/>
        <v>13438767.326867206</v>
      </c>
      <c r="V50" s="75">
        <f t="shared" ca="1" si="27"/>
        <v>13696225.846342139</v>
      </c>
      <c r="W50" s="75">
        <f t="shared" ca="1" si="27"/>
        <v>6361560.2445050273</v>
      </c>
      <c r="X50" s="75">
        <f t="shared" ca="1" si="27"/>
        <v>6486169.0290048691</v>
      </c>
      <c r="Y50" s="75">
        <f t="shared" ca="1" si="27"/>
        <v>6613218.6218249565</v>
      </c>
      <c r="Z50" s="75">
        <f t="shared" ca="1" si="27"/>
        <v>1989913.9826364471</v>
      </c>
      <c r="AA50" s="75">
        <f t="shared" ca="1" si="27"/>
        <v>2028464.210626428</v>
      </c>
      <c r="AB50" s="75">
        <f t="shared" ca="1" si="27"/>
        <v>2068197.3028196401</v>
      </c>
      <c r="AC50" s="75">
        <f t="shared" ca="1" si="27"/>
        <v>-390153.32751629921</v>
      </c>
      <c r="AD50" s="75">
        <f t="shared" ca="1" si="27"/>
        <v>-397627.84475641436</v>
      </c>
      <c r="AE50" s="75">
        <f t="shared" ca="1" si="27"/>
        <v>-405331.01394075039</v>
      </c>
      <c r="AF50" s="75">
        <f t="shared" ca="1" si="27"/>
        <v>299229.45502818329</v>
      </c>
      <c r="AG50" s="75">
        <f t="shared" ca="1" si="27"/>
        <v>305090.69303340686</v>
      </c>
      <c r="AH50" s="75">
        <f t="shared" ca="1" si="27"/>
        <v>311001.1574437712</v>
      </c>
      <c r="AI50" s="75">
        <f t="shared" ca="1" si="27"/>
        <v>317026.12416555925</v>
      </c>
      <c r="AJ50" s="75">
        <f t="shared" ca="1" si="27"/>
        <v>323235.95924824814</v>
      </c>
      <c r="AK50" s="75">
        <f t="shared" ca="1" si="27"/>
        <v>329567.43115773069</v>
      </c>
      <c r="AL50" s="75">
        <f t="shared" ca="1" si="27"/>
        <v>335881.25003927288</v>
      </c>
      <c r="AM50" s="75">
        <f t="shared" ca="1" si="27"/>
        <v>342388.21409880399</v>
      </c>
      <c r="AN50" s="75">
        <f t="shared" ca="1" si="27"/>
        <v>349094.83598810801</v>
      </c>
      <c r="AO50" s="75">
        <f t="shared" ca="1" si="27"/>
        <v>355932.8256503492</v>
      </c>
      <c r="AP50" s="75">
        <f t="shared" ca="1" si="27"/>
        <v>362751.75004241476</v>
      </c>
      <c r="AQ50" s="88">
        <f t="shared" ca="1" si="27"/>
        <v>274779.27122670837</v>
      </c>
    </row>
    <row r="51" spans="1:43" x14ac:dyDescent="0.25">
      <c r="A51" s="183">
        <f ca="1">SUM(C51:AQ51)</f>
        <v>-274779.27122670837</v>
      </c>
      <c r="B51" s="77" t="s">
        <v>82</v>
      </c>
      <c r="C51" s="78">
        <f ca="1">IF($A$56&gt;=$G$4,0,MAX(IF(C10=$M$7,SUM(C49-SUM(C46:C47)),0),-SUM($C$72:$C$73)))</f>
        <v>0</v>
      </c>
      <c r="D51" s="79">
        <f t="shared" ref="D51:AQ51" ca="1" si="28">IF($A$56&gt;=$G$4,0,MAX(IF(D10=$M$7,SUM(D49-SUM(D46:D47)),0),-SUM($C$72:$C$73)))</f>
        <v>0</v>
      </c>
      <c r="E51" s="79">
        <f t="shared" ca="1" si="28"/>
        <v>0</v>
      </c>
      <c r="F51" s="79">
        <f t="shared" ca="1" si="28"/>
        <v>0</v>
      </c>
      <c r="G51" s="79">
        <f t="shared" ca="1" si="28"/>
        <v>0</v>
      </c>
      <c r="H51" s="79">
        <f t="shared" ca="1" si="28"/>
        <v>0</v>
      </c>
      <c r="I51" s="79">
        <f t="shared" ca="1" si="28"/>
        <v>0</v>
      </c>
      <c r="J51" s="79">
        <f t="shared" ca="1" si="28"/>
        <v>0</v>
      </c>
      <c r="K51" s="79">
        <f t="shared" ca="1" si="28"/>
        <v>0</v>
      </c>
      <c r="L51" s="79">
        <f t="shared" ca="1" si="28"/>
        <v>0</v>
      </c>
      <c r="M51" s="79">
        <f t="shared" ca="1" si="28"/>
        <v>0</v>
      </c>
      <c r="N51" s="79">
        <f t="shared" ca="1" si="28"/>
        <v>0</v>
      </c>
      <c r="O51" s="79">
        <f t="shared" ca="1" si="28"/>
        <v>0</v>
      </c>
      <c r="P51" s="79">
        <f t="shared" ca="1" si="28"/>
        <v>0</v>
      </c>
      <c r="Q51" s="79">
        <f t="shared" ca="1" si="28"/>
        <v>0</v>
      </c>
      <c r="R51" s="79">
        <f t="shared" ca="1" si="28"/>
        <v>0</v>
      </c>
      <c r="S51" s="79">
        <f t="shared" ca="1" si="28"/>
        <v>0</v>
      </c>
      <c r="T51" s="79">
        <f t="shared" ca="1" si="28"/>
        <v>0</v>
      </c>
      <c r="U51" s="79">
        <f t="shared" ca="1" si="28"/>
        <v>0</v>
      </c>
      <c r="V51" s="79">
        <f t="shared" ca="1" si="28"/>
        <v>0</v>
      </c>
      <c r="W51" s="79">
        <f t="shared" ca="1" si="28"/>
        <v>0</v>
      </c>
      <c r="X51" s="79">
        <f t="shared" ca="1" si="28"/>
        <v>0</v>
      </c>
      <c r="Y51" s="79">
        <f t="shared" ca="1" si="28"/>
        <v>0</v>
      </c>
      <c r="Z51" s="79">
        <f t="shared" ca="1" si="28"/>
        <v>0</v>
      </c>
      <c r="AA51" s="79">
        <f t="shared" ca="1" si="28"/>
        <v>0</v>
      </c>
      <c r="AB51" s="79">
        <f t="shared" ca="1" si="28"/>
        <v>0</v>
      </c>
      <c r="AC51" s="79">
        <f t="shared" ca="1" si="28"/>
        <v>0</v>
      </c>
      <c r="AD51" s="79">
        <f t="shared" ca="1" si="28"/>
        <v>0</v>
      </c>
      <c r="AE51" s="79">
        <f t="shared" ca="1" si="28"/>
        <v>0</v>
      </c>
      <c r="AF51" s="79">
        <f t="shared" ca="1" si="28"/>
        <v>0</v>
      </c>
      <c r="AG51" s="79">
        <f t="shared" ca="1" si="28"/>
        <v>0</v>
      </c>
      <c r="AH51" s="79">
        <f t="shared" ca="1" si="28"/>
        <v>0</v>
      </c>
      <c r="AI51" s="79">
        <f t="shared" ca="1" si="28"/>
        <v>0</v>
      </c>
      <c r="AJ51" s="79">
        <f t="shared" ca="1" si="28"/>
        <v>0</v>
      </c>
      <c r="AK51" s="79">
        <f t="shared" ca="1" si="28"/>
        <v>0</v>
      </c>
      <c r="AL51" s="79">
        <f t="shared" ca="1" si="28"/>
        <v>0</v>
      </c>
      <c r="AM51" s="79">
        <f t="shared" ca="1" si="28"/>
        <v>0</v>
      </c>
      <c r="AN51" s="79">
        <f t="shared" ca="1" si="28"/>
        <v>0</v>
      </c>
      <c r="AO51" s="79">
        <f t="shared" ca="1" si="28"/>
        <v>0</v>
      </c>
      <c r="AP51" s="79">
        <f t="shared" ca="1" si="28"/>
        <v>0</v>
      </c>
      <c r="AQ51" s="80">
        <f t="shared" ca="1" si="28"/>
        <v>-274779.27122670837</v>
      </c>
    </row>
    <row r="52" spans="1:43" x14ac:dyDescent="0.25">
      <c r="A52" s="10"/>
      <c r="B52" s="182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5"/>
    </row>
    <row r="53" spans="1:43" x14ac:dyDescent="0.25">
      <c r="A53" s="10"/>
      <c r="B53" s="18" t="s">
        <v>29</v>
      </c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5"/>
    </row>
    <row r="54" spans="1:43" x14ac:dyDescent="0.25">
      <c r="A54" s="10"/>
      <c r="B54" s="28" t="s">
        <v>30</v>
      </c>
      <c r="C54" s="70">
        <f>C14</f>
        <v>-9500000</v>
      </c>
      <c r="D54" s="71">
        <f t="shared" ref="D54:AQ54" si="29">D14</f>
        <v>0</v>
      </c>
      <c r="E54" s="71">
        <f t="shared" si="29"/>
        <v>0</v>
      </c>
      <c r="F54" s="71">
        <f t="shared" si="29"/>
        <v>0</v>
      </c>
      <c r="G54" s="71">
        <f t="shared" si="29"/>
        <v>0</v>
      </c>
      <c r="H54" s="71">
        <f t="shared" si="29"/>
        <v>0</v>
      </c>
      <c r="I54" s="71">
        <f t="shared" si="29"/>
        <v>0</v>
      </c>
      <c r="J54" s="71">
        <f t="shared" si="29"/>
        <v>0</v>
      </c>
      <c r="K54" s="71">
        <f t="shared" si="29"/>
        <v>0</v>
      </c>
      <c r="L54" s="71">
        <f t="shared" si="29"/>
        <v>0</v>
      </c>
      <c r="M54" s="71">
        <f t="shared" si="29"/>
        <v>0</v>
      </c>
      <c r="N54" s="71">
        <f t="shared" si="29"/>
        <v>0</v>
      </c>
      <c r="O54" s="71">
        <f t="shared" si="29"/>
        <v>0</v>
      </c>
      <c r="P54" s="71">
        <f t="shared" si="29"/>
        <v>0</v>
      </c>
      <c r="Q54" s="71">
        <f t="shared" si="29"/>
        <v>0</v>
      </c>
      <c r="R54" s="71">
        <f t="shared" si="29"/>
        <v>0</v>
      </c>
      <c r="S54" s="71">
        <f t="shared" si="29"/>
        <v>0</v>
      </c>
      <c r="T54" s="71">
        <f t="shared" si="29"/>
        <v>0</v>
      </c>
      <c r="U54" s="71">
        <f t="shared" si="29"/>
        <v>0</v>
      </c>
      <c r="V54" s="71">
        <f t="shared" si="29"/>
        <v>0</v>
      </c>
      <c r="W54" s="71">
        <f t="shared" si="29"/>
        <v>0</v>
      </c>
      <c r="X54" s="71">
        <f t="shared" si="29"/>
        <v>0</v>
      </c>
      <c r="Y54" s="71">
        <f t="shared" si="29"/>
        <v>0</v>
      </c>
      <c r="Z54" s="71">
        <f t="shared" si="29"/>
        <v>0</v>
      </c>
      <c r="AA54" s="71">
        <f t="shared" si="29"/>
        <v>0</v>
      </c>
      <c r="AB54" s="71">
        <f t="shared" si="29"/>
        <v>0</v>
      </c>
      <c r="AC54" s="71">
        <f t="shared" si="29"/>
        <v>0</v>
      </c>
      <c r="AD54" s="71">
        <f t="shared" si="29"/>
        <v>0</v>
      </c>
      <c r="AE54" s="71">
        <f t="shared" si="29"/>
        <v>0</v>
      </c>
      <c r="AF54" s="71">
        <f t="shared" si="29"/>
        <v>-712500</v>
      </c>
      <c r="AG54" s="71">
        <f t="shared" si="29"/>
        <v>0</v>
      </c>
      <c r="AH54" s="71">
        <f t="shared" si="29"/>
        <v>0</v>
      </c>
      <c r="AI54" s="71">
        <f t="shared" si="29"/>
        <v>0</v>
      </c>
      <c r="AJ54" s="71">
        <f t="shared" si="29"/>
        <v>0</v>
      </c>
      <c r="AK54" s="71">
        <f t="shared" si="29"/>
        <v>0</v>
      </c>
      <c r="AL54" s="71">
        <f t="shared" si="29"/>
        <v>0</v>
      </c>
      <c r="AM54" s="71">
        <f t="shared" si="29"/>
        <v>0</v>
      </c>
      <c r="AN54" s="71">
        <f t="shared" si="29"/>
        <v>0</v>
      </c>
      <c r="AO54" s="71">
        <f t="shared" si="29"/>
        <v>0</v>
      </c>
      <c r="AP54" s="71">
        <f t="shared" si="29"/>
        <v>0</v>
      </c>
      <c r="AQ54" s="72">
        <f t="shared" si="29"/>
        <v>0</v>
      </c>
    </row>
    <row r="55" spans="1:43" x14ac:dyDescent="0.25">
      <c r="A55" s="92" t="s">
        <v>79</v>
      </c>
      <c r="B55" s="73" t="s">
        <v>31</v>
      </c>
      <c r="C55" s="74">
        <f ca="1">C21+C34+C40</f>
        <v>0</v>
      </c>
      <c r="D55" s="75">
        <f t="shared" ref="D55:AQ55" ca="1" si="30">D21+D34+D40</f>
        <v>0</v>
      </c>
      <c r="E55" s="75">
        <f t="shared" ca="1" si="30"/>
        <v>0</v>
      </c>
      <c r="F55" s="75">
        <f t="shared" ca="1" si="30"/>
        <v>0</v>
      </c>
      <c r="G55" s="75">
        <f t="shared" ca="1" si="30"/>
        <v>0</v>
      </c>
      <c r="H55" s="75">
        <f t="shared" ca="1" si="30"/>
        <v>0</v>
      </c>
      <c r="I55" s="75">
        <f t="shared" ca="1" si="30"/>
        <v>0</v>
      </c>
      <c r="J55" s="75">
        <f t="shared" ca="1" si="30"/>
        <v>0</v>
      </c>
      <c r="K55" s="75">
        <f t="shared" ca="1" si="30"/>
        <v>0</v>
      </c>
      <c r="L55" s="75">
        <f t="shared" ca="1" si="30"/>
        <v>0</v>
      </c>
      <c r="M55" s="75">
        <f t="shared" ca="1" si="30"/>
        <v>0</v>
      </c>
      <c r="N55" s="75">
        <f t="shared" ca="1" si="30"/>
        <v>0</v>
      </c>
      <c r="O55" s="75">
        <f t="shared" ca="1" si="30"/>
        <v>0</v>
      </c>
      <c r="P55" s="75">
        <f t="shared" ca="1" si="30"/>
        <v>0</v>
      </c>
      <c r="Q55" s="75">
        <f t="shared" ca="1" si="30"/>
        <v>0</v>
      </c>
      <c r="R55" s="75">
        <f t="shared" ca="1" si="30"/>
        <v>0</v>
      </c>
      <c r="S55" s="75">
        <f t="shared" ca="1" si="30"/>
        <v>0</v>
      </c>
      <c r="T55" s="75">
        <f t="shared" ca="1" si="30"/>
        <v>0</v>
      </c>
      <c r="U55" s="75">
        <f t="shared" ca="1" si="30"/>
        <v>0</v>
      </c>
      <c r="V55" s="75">
        <f t="shared" ca="1" si="30"/>
        <v>0</v>
      </c>
      <c r="W55" s="75">
        <f t="shared" ca="1" si="30"/>
        <v>7600000</v>
      </c>
      <c r="X55" s="75">
        <f t="shared" ca="1" si="30"/>
        <v>0</v>
      </c>
      <c r="Y55" s="75">
        <f t="shared" ca="1" si="30"/>
        <v>0</v>
      </c>
      <c r="Z55" s="75">
        <f t="shared" ca="1" si="30"/>
        <v>4750000</v>
      </c>
      <c r="AA55" s="75">
        <f t="shared" ca="1" si="30"/>
        <v>0</v>
      </c>
      <c r="AB55" s="75">
        <f t="shared" ca="1" si="30"/>
        <v>0</v>
      </c>
      <c r="AC55" s="75">
        <f t="shared" ca="1" si="30"/>
        <v>2498862.0052353307</v>
      </c>
      <c r="AD55" s="75">
        <f t="shared" ca="1" si="30"/>
        <v>0</v>
      </c>
      <c r="AE55" s="75">
        <f t="shared" ca="1" si="30"/>
        <v>0</v>
      </c>
      <c r="AF55" s="75">
        <f t="shared" ca="1" si="30"/>
        <v>0</v>
      </c>
      <c r="AG55" s="75">
        <f t="shared" ca="1" si="30"/>
        <v>0</v>
      </c>
      <c r="AH55" s="75">
        <f t="shared" ca="1" si="30"/>
        <v>0</v>
      </c>
      <c r="AI55" s="75">
        <f t="shared" ca="1" si="30"/>
        <v>0</v>
      </c>
      <c r="AJ55" s="75">
        <f t="shared" ca="1" si="30"/>
        <v>0</v>
      </c>
      <c r="AK55" s="75">
        <f t="shared" ca="1" si="30"/>
        <v>0</v>
      </c>
      <c r="AL55" s="75">
        <f t="shared" ca="1" si="30"/>
        <v>0</v>
      </c>
      <c r="AM55" s="75">
        <f t="shared" ca="1" si="30"/>
        <v>0</v>
      </c>
      <c r="AN55" s="75">
        <f t="shared" ca="1" si="30"/>
        <v>0</v>
      </c>
      <c r="AO55" s="75">
        <f t="shared" ca="1" si="30"/>
        <v>0</v>
      </c>
      <c r="AP55" s="75">
        <f t="shared" ca="1" si="30"/>
        <v>0</v>
      </c>
      <c r="AQ55" s="76">
        <f t="shared" ca="1" si="30"/>
        <v>95000</v>
      </c>
    </row>
    <row r="56" spans="1:43" x14ac:dyDescent="0.25">
      <c r="A56" s="93">
        <f ca="1">XIRR(C56:AQ56,$C$10:$AQ$10)</f>
        <v>7.7314838767051725E-2</v>
      </c>
      <c r="B56" s="77" t="s">
        <v>86</v>
      </c>
      <c r="C56" s="78">
        <f ca="1">SUM(C54:C55)</f>
        <v>-9500000</v>
      </c>
      <c r="D56" s="79">
        <f t="shared" ref="D56:AQ56" ca="1" si="31">SUM(D54:D55)</f>
        <v>0</v>
      </c>
      <c r="E56" s="79">
        <f t="shared" ca="1" si="31"/>
        <v>0</v>
      </c>
      <c r="F56" s="79">
        <f t="shared" ca="1" si="31"/>
        <v>0</v>
      </c>
      <c r="G56" s="79">
        <f t="shared" ca="1" si="31"/>
        <v>0</v>
      </c>
      <c r="H56" s="79">
        <f t="shared" ca="1" si="31"/>
        <v>0</v>
      </c>
      <c r="I56" s="79">
        <f t="shared" ca="1" si="31"/>
        <v>0</v>
      </c>
      <c r="J56" s="79">
        <f t="shared" ca="1" si="31"/>
        <v>0</v>
      </c>
      <c r="K56" s="79">
        <f t="shared" ca="1" si="31"/>
        <v>0</v>
      </c>
      <c r="L56" s="79">
        <f t="shared" ca="1" si="31"/>
        <v>0</v>
      </c>
      <c r="M56" s="79">
        <f t="shared" ca="1" si="31"/>
        <v>0</v>
      </c>
      <c r="N56" s="79">
        <f t="shared" ca="1" si="31"/>
        <v>0</v>
      </c>
      <c r="O56" s="79">
        <f t="shared" ca="1" si="31"/>
        <v>0</v>
      </c>
      <c r="P56" s="79">
        <f t="shared" ca="1" si="31"/>
        <v>0</v>
      </c>
      <c r="Q56" s="79">
        <f t="shared" ca="1" si="31"/>
        <v>0</v>
      </c>
      <c r="R56" s="79">
        <f t="shared" ca="1" si="31"/>
        <v>0</v>
      </c>
      <c r="S56" s="79">
        <f t="shared" ca="1" si="31"/>
        <v>0</v>
      </c>
      <c r="T56" s="79">
        <f t="shared" ca="1" si="31"/>
        <v>0</v>
      </c>
      <c r="U56" s="79">
        <f t="shared" ca="1" si="31"/>
        <v>0</v>
      </c>
      <c r="V56" s="79">
        <f t="shared" ca="1" si="31"/>
        <v>0</v>
      </c>
      <c r="W56" s="79">
        <f t="shared" ca="1" si="31"/>
        <v>7600000</v>
      </c>
      <c r="X56" s="79">
        <f t="shared" ca="1" si="31"/>
        <v>0</v>
      </c>
      <c r="Y56" s="79">
        <f t="shared" ca="1" si="31"/>
        <v>0</v>
      </c>
      <c r="Z56" s="79">
        <f t="shared" ca="1" si="31"/>
        <v>4750000</v>
      </c>
      <c r="AA56" s="79">
        <f t="shared" ca="1" si="31"/>
        <v>0</v>
      </c>
      <c r="AB56" s="79">
        <f t="shared" ca="1" si="31"/>
        <v>0</v>
      </c>
      <c r="AC56" s="79">
        <f t="shared" ca="1" si="31"/>
        <v>2498862.0052353307</v>
      </c>
      <c r="AD56" s="79">
        <f t="shared" ca="1" si="31"/>
        <v>0</v>
      </c>
      <c r="AE56" s="79">
        <f t="shared" ca="1" si="31"/>
        <v>0</v>
      </c>
      <c r="AF56" s="79">
        <f t="shared" ca="1" si="31"/>
        <v>-712500</v>
      </c>
      <c r="AG56" s="79">
        <f t="shared" ca="1" si="31"/>
        <v>0</v>
      </c>
      <c r="AH56" s="79">
        <f t="shared" ca="1" si="31"/>
        <v>0</v>
      </c>
      <c r="AI56" s="79">
        <f t="shared" ca="1" si="31"/>
        <v>0</v>
      </c>
      <c r="AJ56" s="79">
        <f t="shared" ca="1" si="31"/>
        <v>0</v>
      </c>
      <c r="AK56" s="79">
        <f t="shared" ca="1" si="31"/>
        <v>0</v>
      </c>
      <c r="AL56" s="79">
        <f t="shared" ca="1" si="31"/>
        <v>0</v>
      </c>
      <c r="AM56" s="79">
        <f t="shared" ca="1" si="31"/>
        <v>0</v>
      </c>
      <c r="AN56" s="79">
        <f t="shared" ca="1" si="31"/>
        <v>0</v>
      </c>
      <c r="AO56" s="79">
        <f t="shared" ca="1" si="31"/>
        <v>0</v>
      </c>
      <c r="AP56" s="79">
        <f t="shared" ca="1" si="31"/>
        <v>0</v>
      </c>
      <c r="AQ56" s="80">
        <f t="shared" ca="1" si="31"/>
        <v>95000</v>
      </c>
    </row>
    <row r="57" spans="1:43" x14ac:dyDescent="0.25">
      <c r="A57" s="92" t="s">
        <v>79</v>
      </c>
      <c r="B57" s="89" t="s">
        <v>83</v>
      </c>
      <c r="C57" s="181">
        <f ca="1">-C51</f>
        <v>0</v>
      </c>
      <c r="D57" s="90">
        <f t="shared" ref="D57:AQ57" ca="1" si="32">-D51</f>
        <v>0</v>
      </c>
      <c r="E57" s="90">
        <f t="shared" ca="1" si="32"/>
        <v>0</v>
      </c>
      <c r="F57" s="90">
        <f t="shared" ca="1" si="32"/>
        <v>0</v>
      </c>
      <c r="G57" s="90">
        <f t="shared" ca="1" si="32"/>
        <v>0</v>
      </c>
      <c r="H57" s="90">
        <f t="shared" ca="1" si="32"/>
        <v>0</v>
      </c>
      <c r="I57" s="90">
        <f t="shared" ca="1" si="32"/>
        <v>0</v>
      </c>
      <c r="J57" s="90">
        <f t="shared" ca="1" si="32"/>
        <v>0</v>
      </c>
      <c r="K57" s="90">
        <f t="shared" ca="1" si="32"/>
        <v>0</v>
      </c>
      <c r="L57" s="90">
        <f t="shared" ca="1" si="32"/>
        <v>0</v>
      </c>
      <c r="M57" s="90">
        <f t="shared" ca="1" si="32"/>
        <v>0</v>
      </c>
      <c r="N57" s="90">
        <f t="shared" ca="1" si="32"/>
        <v>0</v>
      </c>
      <c r="O57" s="90">
        <f t="shared" ca="1" si="32"/>
        <v>0</v>
      </c>
      <c r="P57" s="90">
        <f t="shared" ca="1" si="32"/>
        <v>0</v>
      </c>
      <c r="Q57" s="90">
        <f t="shared" ca="1" si="32"/>
        <v>0</v>
      </c>
      <c r="R57" s="90">
        <f t="shared" ca="1" si="32"/>
        <v>0</v>
      </c>
      <c r="S57" s="90">
        <f t="shared" ca="1" si="32"/>
        <v>0</v>
      </c>
      <c r="T57" s="90">
        <f t="shared" ca="1" si="32"/>
        <v>0</v>
      </c>
      <c r="U57" s="90">
        <f t="shared" ca="1" si="32"/>
        <v>0</v>
      </c>
      <c r="V57" s="90">
        <f t="shared" ca="1" si="32"/>
        <v>0</v>
      </c>
      <c r="W57" s="90">
        <f t="shared" ca="1" si="32"/>
        <v>0</v>
      </c>
      <c r="X57" s="90">
        <f t="shared" ca="1" si="32"/>
        <v>0</v>
      </c>
      <c r="Y57" s="90">
        <f t="shared" ca="1" si="32"/>
        <v>0</v>
      </c>
      <c r="Z57" s="90">
        <f t="shared" ca="1" si="32"/>
        <v>0</v>
      </c>
      <c r="AA57" s="90">
        <f t="shared" ca="1" si="32"/>
        <v>0</v>
      </c>
      <c r="AB57" s="90">
        <f t="shared" ca="1" si="32"/>
        <v>0</v>
      </c>
      <c r="AC57" s="90">
        <f t="shared" ca="1" si="32"/>
        <v>0</v>
      </c>
      <c r="AD57" s="90">
        <f t="shared" ca="1" si="32"/>
        <v>0</v>
      </c>
      <c r="AE57" s="90">
        <f t="shared" ca="1" si="32"/>
        <v>0</v>
      </c>
      <c r="AF57" s="90">
        <f t="shared" ca="1" si="32"/>
        <v>0</v>
      </c>
      <c r="AG57" s="90">
        <f t="shared" ca="1" si="32"/>
        <v>0</v>
      </c>
      <c r="AH57" s="90">
        <f t="shared" ca="1" si="32"/>
        <v>0</v>
      </c>
      <c r="AI57" s="90">
        <f t="shared" ca="1" si="32"/>
        <v>0</v>
      </c>
      <c r="AJ57" s="90">
        <f t="shared" ca="1" si="32"/>
        <v>0</v>
      </c>
      <c r="AK57" s="90">
        <f t="shared" ca="1" si="32"/>
        <v>0</v>
      </c>
      <c r="AL57" s="90">
        <f t="shared" ca="1" si="32"/>
        <v>0</v>
      </c>
      <c r="AM57" s="90">
        <f t="shared" ca="1" si="32"/>
        <v>0</v>
      </c>
      <c r="AN57" s="90">
        <f t="shared" ca="1" si="32"/>
        <v>0</v>
      </c>
      <c r="AO57" s="90">
        <f t="shared" ca="1" si="32"/>
        <v>0</v>
      </c>
      <c r="AP57" s="90">
        <f t="shared" ca="1" si="32"/>
        <v>0</v>
      </c>
      <c r="AQ57" s="91">
        <f t="shared" ca="1" si="32"/>
        <v>274779.27122670837</v>
      </c>
    </row>
    <row r="58" spans="1:43" x14ac:dyDescent="0.25">
      <c r="A58" s="93">
        <f ca="1">XIRR(C58:AQ58,$C$10:$AQ$10)</f>
        <v>7.9999998211860726E-2</v>
      </c>
      <c r="B58" s="77" t="s">
        <v>87</v>
      </c>
      <c r="C58" s="78">
        <f ca="1">SUM(C56:C57)</f>
        <v>-9500000</v>
      </c>
      <c r="D58" s="79">
        <f t="shared" ref="D58:AQ58" ca="1" si="33">SUM(D56:D57)</f>
        <v>0</v>
      </c>
      <c r="E58" s="79">
        <f t="shared" ca="1" si="33"/>
        <v>0</v>
      </c>
      <c r="F58" s="79">
        <f t="shared" ca="1" si="33"/>
        <v>0</v>
      </c>
      <c r="G58" s="79">
        <f t="shared" ca="1" si="33"/>
        <v>0</v>
      </c>
      <c r="H58" s="79">
        <f t="shared" ca="1" si="33"/>
        <v>0</v>
      </c>
      <c r="I58" s="79">
        <f t="shared" ca="1" si="33"/>
        <v>0</v>
      </c>
      <c r="J58" s="79">
        <f t="shared" ca="1" si="33"/>
        <v>0</v>
      </c>
      <c r="K58" s="79">
        <f t="shared" ca="1" si="33"/>
        <v>0</v>
      </c>
      <c r="L58" s="79">
        <f t="shared" ca="1" si="33"/>
        <v>0</v>
      </c>
      <c r="M58" s="79">
        <f t="shared" ca="1" si="33"/>
        <v>0</v>
      </c>
      <c r="N58" s="79">
        <f t="shared" ca="1" si="33"/>
        <v>0</v>
      </c>
      <c r="O58" s="79">
        <f t="shared" ca="1" si="33"/>
        <v>0</v>
      </c>
      <c r="P58" s="79">
        <f t="shared" ca="1" si="33"/>
        <v>0</v>
      </c>
      <c r="Q58" s="79">
        <f t="shared" ca="1" si="33"/>
        <v>0</v>
      </c>
      <c r="R58" s="79">
        <f t="shared" ca="1" si="33"/>
        <v>0</v>
      </c>
      <c r="S58" s="79">
        <f t="shared" ca="1" si="33"/>
        <v>0</v>
      </c>
      <c r="T58" s="79">
        <f t="shared" ca="1" si="33"/>
        <v>0</v>
      </c>
      <c r="U58" s="79">
        <f t="shared" ca="1" si="33"/>
        <v>0</v>
      </c>
      <c r="V58" s="79">
        <f t="shared" ca="1" si="33"/>
        <v>0</v>
      </c>
      <c r="W58" s="79">
        <f t="shared" ca="1" si="33"/>
        <v>7600000</v>
      </c>
      <c r="X58" s="79">
        <f t="shared" ca="1" si="33"/>
        <v>0</v>
      </c>
      <c r="Y58" s="79">
        <f t="shared" ca="1" si="33"/>
        <v>0</v>
      </c>
      <c r="Z58" s="79">
        <f t="shared" ca="1" si="33"/>
        <v>4750000</v>
      </c>
      <c r="AA58" s="79">
        <f t="shared" ca="1" si="33"/>
        <v>0</v>
      </c>
      <c r="AB58" s="79">
        <f t="shared" ca="1" si="33"/>
        <v>0</v>
      </c>
      <c r="AC58" s="79">
        <f t="shared" ca="1" si="33"/>
        <v>2498862.0052353307</v>
      </c>
      <c r="AD58" s="79">
        <f t="shared" ca="1" si="33"/>
        <v>0</v>
      </c>
      <c r="AE58" s="79">
        <f t="shared" ca="1" si="33"/>
        <v>0</v>
      </c>
      <c r="AF58" s="79">
        <f t="shared" ca="1" si="33"/>
        <v>-712500</v>
      </c>
      <c r="AG58" s="79">
        <f t="shared" ca="1" si="33"/>
        <v>0</v>
      </c>
      <c r="AH58" s="79">
        <f t="shared" ca="1" si="33"/>
        <v>0</v>
      </c>
      <c r="AI58" s="79">
        <f t="shared" ca="1" si="33"/>
        <v>0</v>
      </c>
      <c r="AJ58" s="79">
        <f t="shared" ca="1" si="33"/>
        <v>0</v>
      </c>
      <c r="AK58" s="79">
        <f t="shared" ca="1" si="33"/>
        <v>0</v>
      </c>
      <c r="AL58" s="79">
        <f t="shared" ca="1" si="33"/>
        <v>0</v>
      </c>
      <c r="AM58" s="79">
        <f t="shared" ca="1" si="33"/>
        <v>0</v>
      </c>
      <c r="AN58" s="79">
        <f t="shared" ca="1" si="33"/>
        <v>0</v>
      </c>
      <c r="AO58" s="79">
        <f t="shared" ca="1" si="33"/>
        <v>0</v>
      </c>
      <c r="AP58" s="79">
        <f t="shared" ca="1" si="33"/>
        <v>0</v>
      </c>
      <c r="AQ58" s="80">
        <f t="shared" ca="1" si="33"/>
        <v>369779.27122670837</v>
      </c>
    </row>
    <row r="59" spans="1:43" x14ac:dyDescent="0.25">
      <c r="A59" s="10"/>
      <c r="B59" s="11" t="s">
        <v>4</v>
      </c>
      <c r="C59" s="13">
        <f ca="1">XIRR(C58:AQ58,$C$10:$AQ$10)</f>
        <v>7.9999998211860726E-2</v>
      </c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</row>
    <row r="60" spans="1:43" x14ac:dyDescent="0.25">
      <c r="A60" s="10"/>
      <c r="B60" s="22" t="s">
        <v>5</v>
      </c>
      <c r="C60" s="105">
        <f ca="1">SUMIF(C58:AQ58,"&gt;"&amp;0,C58:AQ58)/-SUMIF(C58:AQ58,"&lt;"&amp;0,C58:AQ58)</f>
        <v>1.4901974322117051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spans="1:43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</row>
    <row r="62" spans="1:43" x14ac:dyDescent="0.25">
      <c r="A62" s="10"/>
      <c r="B62" s="18" t="s">
        <v>33</v>
      </c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5"/>
    </row>
    <row r="63" spans="1:43" x14ac:dyDescent="0.25">
      <c r="A63" s="130"/>
      <c r="B63" s="97" t="s">
        <v>30</v>
      </c>
      <c r="C63" s="70">
        <f>C15</f>
        <v>-500000</v>
      </c>
      <c r="D63" s="71">
        <f t="shared" ref="D63:AQ63" si="34">D15</f>
        <v>0</v>
      </c>
      <c r="E63" s="71">
        <f t="shared" si="34"/>
        <v>0</v>
      </c>
      <c r="F63" s="71">
        <f t="shared" si="34"/>
        <v>0</v>
      </c>
      <c r="G63" s="71">
        <f t="shared" si="34"/>
        <v>0</v>
      </c>
      <c r="H63" s="71">
        <f t="shared" si="34"/>
        <v>0</v>
      </c>
      <c r="I63" s="71">
        <f t="shared" si="34"/>
        <v>0</v>
      </c>
      <c r="J63" s="71">
        <f t="shared" si="34"/>
        <v>0</v>
      </c>
      <c r="K63" s="71">
        <f t="shared" si="34"/>
        <v>0</v>
      </c>
      <c r="L63" s="71">
        <f t="shared" si="34"/>
        <v>0</v>
      </c>
      <c r="M63" s="71">
        <f t="shared" si="34"/>
        <v>0</v>
      </c>
      <c r="N63" s="71">
        <f t="shared" si="34"/>
        <v>0</v>
      </c>
      <c r="O63" s="71">
        <f t="shared" si="34"/>
        <v>0</v>
      </c>
      <c r="P63" s="71">
        <f t="shared" si="34"/>
        <v>0</v>
      </c>
      <c r="Q63" s="71">
        <f t="shared" si="34"/>
        <v>0</v>
      </c>
      <c r="R63" s="71">
        <f t="shared" si="34"/>
        <v>0</v>
      </c>
      <c r="S63" s="71">
        <f t="shared" si="34"/>
        <v>0</v>
      </c>
      <c r="T63" s="71">
        <f t="shared" si="34"/>
        <v>0</v>
      </c>
      <c r="U63" s="71">
        <f t="shared" si="34"/>
        <v>0</v>
      </c>
      <c r="V63" s="71">
        <f t="shared" si="34"/>
        <v>0</v>
      </c>
      <c r="W63" s="71">
        <f t="shared" si="34"/>
        <v>0</v>
      </c>
      <c r="X63" s="71">
        <f t="shared" si="34"/>
        <v>0</v>
      </c>
      <c r="Y63" s="71">
        <f t="shared" si="34"/>
        <v>0</v>
      </c>
      <c r="Z63" s="71">
        <f t="shared" si="34"/>
        <v>0</v>
      </c>
      <c r="AA63" s="71">
        <f t="shared" si="34"/>
        <v>0</v>
      </c>
      <c r="AB63" s="71">
        <f t="shared" si="34"/>
        <v>0</v>
      </c>
      <c r="AC63" s="71">
        <f t="shared" si="34"/>
        <v>0</v>
      </c>
      <c r="AD63" s="71">
        <f t="shared" si="34"/>
        <v>0</v>
      </c>
      <c r="AE63" s="71">
        <f t="shared" si="34"/>
        <v>0</v>
      </c>
      <c r="AF63" s="71">
        <f t="shared" si="34"/>
        <v>-37500</v>
      </c>
      <c r="AG63" s="71">
        <f t="shared" si="34"/>
        <v>0</v>
      </c>
      <c r="AH63" s="71">
        <f t="shared" si="34"/>
        <v>0</v>
      </c>
      <c r="AI63" s="71">
        <f t="shared" si="34"/>
        <v>0</v>
      </c>
      <c r="AJ63" s="71">
        <f t="shared" si="34"/>
        <v>0</v>
      </c>
      <c r="AK63" s="71">
        <f t="shared" si="34"/>
        <v>0</v>
      </c>
      <c r="AL63" s="71">
        <f t="shared" si="34"/>
        <v>0</v>
      </c>
      <c r="AM63" s="71">
        <f t="shared" si="34"/>
        <v>0</v>
      </c>
      <c r="AN63" s="71">
        <f t="shared" si="34"/>
        <v>0</v>
      </c>
      <c r="AO63" s="71">
        <f t="shared" si="34"/>
        <v>0</v>
      </c>
      <c r="AP63" s="71">
        <f t="shared" si="34"/>
        <v>0</v>
      </c>
      <c r="AQ63" s="72">
        <f t="shared" si="34"/>
        <v>0</v>
      </c>
    </row>
    <row r="64" spans="1:43" x14ac:dyDescent="0.25">
      <c r="A64" s="126"/>
      <c r="B64" s="99" t="s">
        <v>31</v>
      </c>
      <c r="C64" s="74">
        <f ca="1">C28+C35+C41</f>
        <v>0</v>
      </c>
      <c r="D64" s="75">
        <f t="shared" ref="D64:AQ64" ca="1" si="35">D28+D35+D41</f>
        <v>0</v>
      </c>
      <c r="E64" s="75">
        <f t="shared" ca="1" si="35"/>
        <v>0</v>
      </c>
      <c r="F64" s="75">
        <f t="shared" ca="1" si="35"/>
        <v>0</v>
      </c>
      <c r="G64" s="75">
        <f t="shared" ca="1" si="35"/>
        <v>0</v>
      </c>
      <c r="H64" s="75">
        <f t="shared" ca="1" si="35"/>
        <v>0</v>
      </c>
      <c r="I64" s="75">
        <f t="shared" ca="1" si="35"/>
        <v>0</v>
      </c>
      <c r="J64" s="75">
        <f t="shared" ca="1" si="35"/>
        <v>0</v>
      </c>
      <c r="K64" s="75">
        <f t="shared" ca="1" si="35"/>
        <v>0</v>
      </c>
      <c r="L64" s="75">
        <f t="shared" ca="1" si="35"/>
        <v>0</v>
      </c>
      <c r="M64" s="75">
        <f t="shared" ca="1" si="35"/>
        <v>0</v>
      </c>
      <c r="N64" s="75">
        <f t="shared" ca="1" si="35"/>
        <v>0</v>
      </c>
      <c r="O64" s="75">
        <f t="shared" ca="1" si="35"/>
        <v>0</v>
      </c>
      <c r="P64" s="75">
        <f t="shared" ca="1" si="35"/>
        <v>0</v>
      </c>
      <c r="Q64" s="75">
        <f t="shared" ca="1" si="35"/>
        <v>0</v>
      </c>
      <c r="R64" s="75">
        <f t="shared" ca="1" si="35"/>
        <v>0</v>
      </c>
      <c r="S64" s="75">
        <f t="shared" ca="1" si="35"/>
        <v>0</v>
      </c>
      <c r="T64" s="75">
        <f t="shared" ca="1" si="35"/>
        <v>0</v>
      </c>
      <c r="U64" s="75">
        <f t="shared" ca="1" si="35"/>
        <v>0</v>
      </c>
      <c r="V64" s="75">
        <f t="shared" ca="1" si="35"/>
        <v>0</v>
      </c>
      <c r="W64" s="75">
        <f t="shared" ca="1" si="35"/>
        <v>400000</v>
      </c>
      <c r="X64" s="75">
        <f t="shared" ca="1" si="35"/>
        <v>0</v>
      </c>
      <c r="Y64" s="75">
        <f t="shared" ca="1" si="35"/>
        <v>0</v>
      </c>
      <c r="Z64" s="75">
        <f t="shared" ca="1" si="35"/>
        <v>250000</v>
      </c>
      <c r="AA64" s="75">
        <f t="shared" ca="1" si="35"/>
        <v>0</v>
      </c>
      <c r="AB64" s="75">
        <f t="shared" ca="1" si="35"/>
        <v>0</v>
      </c>
      <c r="AC64" s="75">
        <f t="shared" ca="1" si="35"/>
        <v>501137.99476466927</v>
      </c>
      <c r="AD64" s="75">
        <f t="shared" ca="1" si="35"/>
        <v>0</v>
      </c>
      <c r="AE64" s="75">
        <f t="shared" ca="1" si="35"/>
        <v>0</v>
      </c>
      <c r="AF64" s="75">
        <f t="shared" ca="1" si="35"/>
        <v>0</v>
      </c>
      <c r="AG64" s="75">
        <f t="shared" ca="1" si="35"/>
        <v>0</v>
      </c>
      <c r="AH64" s="75">
        <f t="shared" ca="1" si="35"/>
        <v>0</v>
      </c>
      <c r="AI64" s="75">
        <f t="shared" ca="1" si="35"/>
        <v>0</v>
      </c>
      <c r="AJ64" s="75">
        <f t="shared" ca="1" si="35"/>
        <v>0</v>
      </c>
      <c r="AK64" s="75">
        <f t="shared" ca="1" si="35"/>
        <v>0</v>
      </c>
      <c r="AL64" s="75">
        <f t="shared" ca="1" si="35"/>
        <v>0</v>
      </c>
      <c r="AM64" s="75">
        <f t="shared" ca="1" si="35"/>
        <v>0</v>
      </c>
      <c r="AN64" s="75">
        <f t="shared" ca="1" si="35"/>
        <v>0</v>
      </c>
      <c r="AO64" s="75">
        <f t="shared" ca="1" si="35"/>
        <v>0</v>
      </c>
      <c r="AP64" s="75">
        <f t="shared" ca="1" si="35"/>
        <v>0</v>
      </c>
      <c r="AQ64" s="76">
        <f t="shared" ca="1" si="35"/>
        <v>5000</v>
      </c>
    </row>
    <row r="65" spans="1:43" x14ac:dyDescent="0.25">
      <c r="A65" s="184"/>
      <c r="B65" s="127" t="s">
        <v>34</v>
      </c>
      <c r="C65" s="78">
        <f ca="1">SUM(C63:C64)</f>
        <v>-500000</v>
      </c>
      <c r="D65" s="79">
        <f t="shared" ref="D65:AQ65" ca="1" si="36">SUM(D63:D64)</f>
        <v>0</v>
      </c>
      <c r="E65" s="79">
        <f t="shared" ca="1" si="36"/>
        <v>0</v>
      </c>
      <c r="F65" s="79">
        <f t="shared" ca="1" si="36"/>
        <v>0</v>
      </c>
      <c r="G65" s="79">
        <f t="shared" ca="1" si="36"/>
        <v>0</v>
      </c>
      <c r="H65" s="79">
        <f t="shared" ca="1" si="36"/>
        <v>0</v>
      </c>
      <c r="I65" s="79">
        <f t="shared" ca="1" si="36"/>
        <v>0</v>
      </c>
      <c r="J65" s="79">
        <f t="shared" ca="1" si="36"/>
        <v>0</v>
      </c>
      <c r="K65" s="79">
        <f t="shared" ca="1" si="36"/>
        <v>0</v>
      </c>
      <c r="L65" s="79">
        <f t="shared" ca="1" si="36"/>
        <v>0</v>
      </c>
      <c r="M65" s="79">
        <f t="shared" ca="1" si="36"/>
        <v>0</v>
      </c>
      <c r="N65" s="79">
        <f t="shared" ca="1" si="36"/>
        <v>0</v>
      </c>
      <c r="O65" s="79">
        <f t="shared" ca="1" si="36"/>
        <v>0</v>
      </c>
      <c r="P65" s="79">
        <f t="shared" ca="1" si="36"/>
        <v>0</v>
      </c>
      <c r="Q65" s="79">
        <f t="shared" ca="1" si="36"/>
        <v>0</v>
      </c>
      <c r="R65" s="79">
        <f t="shared" ca="1" si="36"/>
        <v>0</v>
      </c>
      <c r="S65" s="79">
        <f t="shared" ca="1" si="36"/>
        <v>0</v>
      </c>
      <c r="T65" s="79">
        <f t="shared" ca="1" si="36"/>
        <v>0</v>
      </c>
      <c r="U65" s="79">
        <f t="shared" ca="1" si="36"/>
        <v>0</v>
      </c>
      <c r="V65" s="79">
        <f t="shared" ca="1" si="36"/>
        <v>0</v>
      </c>
      <c r="W65" s="79">
        <f t="shared" ca="1" si="36"/>
        <v>400000</v>
      </c>
      <c r="X65" s="79">
        <f t="shared" ca="1" si="36"/>
        <v>0</v>
      </c>
      <c r="Y65" s="79">
        <f t="shared" ca="1" si="36"/>
        <v>0</v>
      </c>
      <c r="Z65" s="79">
        <f t="shared" ca="1" si="36"/>
        <v>250000</v>
      </c>
      <c r="AA65" s="79">
        <f t="shared" ca="1" si="36"/>
        <v>0</v>
      </c>
      <c r="AB65" s="79">
        <f t="shared" ca="1" si="36"/>
        <v>0</v>
      </c>
      <c r="AC65" s="79">
        <f t="shared" ca="1" si="36"/>
        <v>501137.99476466927</v>
      </c>
      <c r="AD65" s="79">
        <f t="shared" ca="1" si="36"/>
        <v>0</v>
      </c>
      <c r="AE65" s="79">
        <f t="shared" ca="1" si="36"/>
        <v>0</v>
      </c>
      <c r="AF65" s="79">
        <f t="shared" ca="1" si="36"/>
        <v>-37500</v>
      </c>
      <c r="AG65" s="79">
        <f t="shared" ca="1" si="36"/>
        <v>0</v>
      </c>
      <c r="AH65" s="79">
        <f t="shared" ca="1" si="36"/>
        <v>0</v>
      </c>
      <c r="AI65" s="79">
        <f t="shared" ca="1" si="36"/>
        <v>0</v>
      </c>
      <c r="AJ65" s="79">
        <f t="shared" ca="1" si="36"/>
        <v>0</v>
      </c>
      <c r="AK65" s="79">
        <f t="shared" ca="1" si="36"/>
        <v>0</v>
      </c>
      <c r="AL65" s="79">
        <f t="shared" ca="1" si="36"/>
        <v>0</v>
      </c>
      <c r="AM65" s="79">
        <f t="shared" ca="1" si="36"/>
        <v>0</v>
      </c>
      <c r="AN65" s="79">
        <f t="shared" ca="1" si="36"/>
        <v>0</v>
      </c>
      <c r="AO65" s="79">
        <f t="shared" ca="1" si="36"/>
        <v>0</v>
      </c>
      <c r="AP65" s="79">
        <f t="shared" ca="1" si="36"/>
        <v>0</v>
      </c>
      <c r="AQ65" s="80">
        <f t="shared" ca="1" si="36"/>
        <v>5000</v>
      </c>
    </row>
    <row r="66" spans="1:43" x14ac:dyDescent="0.25">
      <c r="A66" s="185"/>
      <c r="B66" s="89" t="s">
        <v>83</v>
      </c>
      <c r="C66" s="181">
        <f ca="1">C51</f>
        <v>0</v>
      </c>
      <c r="D66" s="90">
        <f t="shared" ref="D66:AQ66" ca="1" si="37">D51</f>
        <v>0</v>
      </c>
      <c r="E66" s="90">
        <f t="shared" ca="1" si="37"/>
        <v>0</v>
      </c>
      <c r="F66" s="90">
        <f t="shared" ca="1" si="37"/>
        <v>0</v>
      </c>
      <c r="G66" s="90">
        <f t="shared" ca="1" si="37"/>
        <v>0</v>
      </c>
      <c r="H66" s="90">
        <f t="shared" ca="1" si="37"/>
        <v>0</v>
      </c>
      <c r="I66" s="90">
        <f t="shared" ca="1" si="37"/>
        <v>0</v>
      </c>
      <c r="J66" s="90">
        <f t="shared" ca="1" si="37"/>
        <v>0</v>
      </c>
      <c r="K66" s="90">
        <f t="shared" ca="1" si="37"/>
        <v>0</v>
      </c>
      <c r="L66" s="90">
        <f t="shared" ca="1" si="37"/>
        <v>0</v>
      </c>
      <c r="M66" s="90">
        <f t="shared" ca="1" si="37"/>
        <v>0</v>
      </c>
      <c r="N66" s="90">
        <f t="shared" ca="1" si="37"/>
        <v>0</v>
      </c>
      <c r="O66" s="90">
        <f t="shared" ca="1" si="37"/>
        <v>0</v>
      </c>
      <c r="P66" s="90">
        <f t="shared" ca="1" si="37"/>
        <v>0</v>
      </c>
      <c r="Q66" s="90">
        <f t="shared" ca="1" si="37"/>
        <v>0</v>
      </c>
      <c r="R66" s="90">
        <f t="shared" ca="1" si="37"/>
        <v>0</v>
      </c>
      <c r="S66" s="90">
        <f t="shared" ca="1" si="37"/>
        <v>0</v>
      </c>
      <c r="T66" s="90">
        <f t="shared" ca="1" si="37"/>
        <v>0</v>
      </c>
      <c r="U66" s="90">
        <f t="shared" ca="1" si="37"/>
        <v>0</v>
      </c>
      <c r="V66" s="90">
        <f t="shared" ca="1" si="37"/>
        <v>0</v>
      </c>
      <c r="W66" s="90">
        <f t="shared" ca="1" si="37"/>
        <v>0</v>
      </c>
      <c r="X66" s="90">
        <f t="shared" ca="1" si="37"/>
        <v>0</v>
      </c>
      <c r="Y66" s="90">
        <f t="shared" ca="1" si="37"/>
        <v>0</v>
      </c>
      <c r="Z66" s="90">
        <f t="shared" ca="1" si="37"/>
        <v>0</v>
      </c>
      <c r="AA66" s="90">
        <f t="shared" ca="1" si="37"/>
        <v>0</v>
      </c>
      <c r="AB66" s="90">
        <f t="shared" ca="1" si="37"/>
        <v>0</v>
      </c>
      <c r="AC66" s="90">
        <f t="shared" ca="1" si="37"/>
        <v>0</v>
      </c>
      <c r="AD66" s="90">
        <f t="shared" ca="1" si="37"/>
        <v>0</v>
      </c>
      <c r="AE66" s="90">
        <f t="shared" ca="1" si="37"/>
        <v>0</v>
      </c>
      <c r="AF66" s="90">
        <f t="shared" ca="1" si="37"/>
        <v>0</v>
      </c>
      <c r="AG66" s="90">
        <f t="shared" ca="1" si="37"/>
        <v>0</v>
      </c>
      <c r="AH66" s="90">
        <f t="shared" ca="1" si="37"/>
        <v>0</v>
      </c>
      <c r="AI66" s="90">
        <f t="shared" ca="1" si="37"/>
        <v>0</v>
      </c>
      <c r="AJ66" s="90">
        <f t="shared" ca="1" si="37"/>
        <v>0</v>
      </c>
      <c r="AK66" s="90">
        <f t="shared" ca="1" si="37"/>
        <v>0</v>
      </c>
      <c r="AL66" s="90">
        <f t="shared" ca="1" si="37"/>
        <v>0</v>
      </c>
      <c r="AM66" s="90">
        <f t="shared" ca="1" si="37"/>
        <v>0</v>
      </c>
      <c r="AN66" s="90">
        <f t="shared" ca="1" si="37"/>
        <v>0</v>
      </c>
      <c r="AO66" s="90">
        <f t="shared" ca="1" si="37"/>
        <v>0</v>
      </c>
      <c r="AP66" s="90">
        <f t="shared" ca="1" si="37"/>
        <v>0</v>
      </c>
      <c r="AQ66" s="91">
        <f t="shared" ca="1" si="37"/>
        <v>-274779.27122670837</v>
      </c>
    </row>
    <row r="67" spans="1:43" x14ac:dyDescent="0.25">
      <c r="A67" s="185"/>
      <c r="B67" s="77" t="s">
        <v>104</v>
      </c>
      <c r="C67" s="78">
        <f ca="1">SUM(C65:C66)</f>
        <v>-500000</v>
      </c>
      <c r="D67" s="79">
        <f t="shared" ref="D67:AQ67" ca="1" si="38">SUM(D65:D66)</f>
        <v>0</v>
      </c>
      <c r="E67" s="79">
        <f t="shared" ca="1" si="38"/>
        <v>0</v>
      </c>
      <c r="F67" s="79">
        <f t="shared" ca="1" si="38"/>
        <v>0</v>
      </c>
      <c r="G67" s="79">
        <f t="shared" ca="1" si="38"/>
        <v>0</v>
      </c>
      <c r="H67" s="79">
        <f t="shared" ca="1" si="38"/>
        <v>0</v>
      </c>
      <c r="I67" s="79">
        <f t="shared" ca="1" si="38"/>
        <v>0</v>
      </c>
      <c r="J67" s="79">
        <f t="shared" ca="1" si="38"/>
        <v>0</v>
      </c>
      <c r="K67" s="79">
        <f t="shared" ca="1" si="38"/>
        <v>0</v>
      </c>
      <c r="L67" s="79">
        <f t="shared" ca="1" si="38"/>
        <v>0</v>
      </c>
      <c r="M67" s="79">
        <f t="shared" ca="1" si="38"/>
        <v>0</v>
      </c>
      <c r="N67" s="79">
        <f t="shared" ca="1" si="38"/>
        <v>0</v>
      </c>
      <c r="O67" s="79">
        <f t="shared" ca="1" si="38"/>
        <v>0</v>
      </c>
      <c r="P67" s="79">
        <f t="shared" ca="1" si="38"/>
        <v>0</v>
      </c>
      <c r="Q67" s="79">
        <f t="shared" ca="1" si="38"/>
        <v>0</v>
      </c>
      <c r="R67" s="79">
        <f t="shared" ca="1" si="38"/>
        <v>0</v>
      </c>
      <c r="S67" s="79">
        <f t="shared" ca="1" si="38"/>
        <v>0</v>
      </c>
      <c r="T67" s="79">
        <f t="shared" ca="1" si="38"/>
        <v>0</v>
      </c>
      <c r="U67" s="79">
        <f t="shared" ca="1" si="38"/>
        <v>0</v>
      </c>
      <c r="V67" s="79">
        <f t="shared" ca="1" si="38"/>
        <v>0</v>
      </c>
      <c r="W67" s="79">
        <f t="shared" ca="1" si="38"/>
        <v>400000</v>
      </c>
      <c r="X67" s="79">
        <f t="shared" ca="1" si="38"/>
        <v>0</v>
      </c>
      <c r="Y67" s="79">
        <f t="shared" ca="1" si="38"/>
        <v>0</v>
      </c>
      <c r="Z67" s="79">
        <f t="shared" ca="1" si="38"/>
        <v>250000</v>
      </c>
      <c r="AA67" s="79">
        <f t="shared" ca="1" si="38"/>
        <v>0</v>
      </c>
      <c r="AB67" s="79">
        <f t="shared" ca="1" si="38"/>
        <v>0</v>
      </c>
      <c r="AC67" s="79">
        <f t="shared" ca="1" si="38"/>
        <v>501137.99476466927</v>
      </c>
      <c r="AD67" s="79">
        <f t="shared" ca="1" si="38"/>
        <v>0</v>
      </c>
      <c r="AE67" s="79">
        <f t="shared" ca="1" si="38"/>
        <v>0</v>
      </c>
      <c r="AF67" s="79">
        <f t="shared" ca="1" si="38"/>
        <v>-37500</v>
      </c>
      <c r="AG67" s="79">
        <f t="shared" ca="1" si="38"/>
        <v>0</v>
      </c>
      <c r="AH67" s="79">
        <f t="shared" ca="1" si="38"/>
        <v>0</v>
      </c>
      <c r="AI67" s="79">
        <f t="shared" ca="1" si="38"/>
        <v>0</v>
      </c>
      <c r="AJ67" s="79">
        <f t="shared" ca="1" si="38"/>
        <v>0</v>
      </c>
      <c r="AK67" s="79">
        <f t="shared" ca="1" si="38"/>
        <v>0</v>
      </c>
      <c r="AL67" s="79">
        <f t="shared" ca="1" si="38"/>
        <v>0</v>
      </c>
      <c r="AM67" s="79">
        <f t="shared" ca="1" si="38"/>
        <v>0</v>
      </c>
      <c r="AN67" s="79">
        <f t="shared" ca="1" si="38"/>
        <v>0</v>
      </c>
      <c r="AO67" s="79">
        <f t="shared" ca="1" si="38"/>
        <v>0</v>
      </c>
      <c r="AP67" s="79">
        <f t="shared" ca="1" si="38"/>
        <v>0</v>
      </c>
      <c r="AQ67" s="80">
        <f t="shared" ca="1" si="38"/>
        <v>-269779.27122670837</v>
      </c>
    </row>
    <row r="68" spans="1:43" x14ac:dyDescent="0.25">
      <c r="A68" s="10"/>
      <c r="B68" s="11" t="s">
        <v>6</v>
      </c>
      <c r="C68" s="13">
        <f ca="1">XIRR(C67:AQ67,$C$10:$AQ$10)</f>
        <v>0.11709201931953431</v>
      </c>
      <c r="D68" s="75"/>
      <c r="E68" s="41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</row>
    <row r="69" spans="1:43" x14ac:dyDescent="0.25">
      <c r="A69" s="10"/>
      <c r="B69" s="22" t="s">
        <v>7</v>
      </c>
      <c r="C69" s="105">
        <f ca="1">SUMIF(C67:AQ67,"&gt;"&amp;0,C67:AQ67)/-SUMIF(C67:AQ67,"&lt;"&amp;0,C67:AQ67)</f>
        <v>1.4259476686617352</v>
      </c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</row>
    <row r="70" spans="1:43" x14ac:dyDescent="0.25">
      <c r="A70" s="10"/>
      <c r="B70" s="81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</row>
    <row r="71" spans="1:43" x14ac:dyDescent="0.25">
      <c r="A71" s="10"/>
      <c r="B71" s="18" t="s">
        <v>8</v>
      </c>
      <c r="C71" s="8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</row>
    <row r="72" spans="1:43" x14ac:dyDescent="0.25">
      <c r="A72" s="10"/>
      <c r="B72" s="28" t="s">
        <v>38</v>
      </c>
      <c r="C72" s="186">
        <f ca="1">SUM(C35:AQ35)-SUM(C36:AQ36)*C1</f>
        <v>351137.99476466927</v>
      </c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</row>
    <row r="73" spans="1:43" x14ac:dyDescent="0.25">
      <c r="A73" s="10"/>
      <c r="B73" s="73" t="s">
        <v>39</v>
      </c>
      <c r="C73" s="187">
        <f ca="1">SUM(C41:AQ41)-SUM(C42:AQ42)*C1</f>
        <v>0</v>
      </c>
      <c r="D73" s="75"/>
      <c r="E73" s="188"/>
      <c r="F73" s="75"/>
      <c r="G73" s="10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</row>
    <row r="74" spans="1:43" x14ac:dyDescent="0.25">
      <c r="A74" s="10"/>
      <c r="B74" s="73" t="s">
        <v>83</v>
      </c>
      <c r="C74" s="187">
        <f ca="1">A51</f>
        <v>-274779.27122670837</v>
      </c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</row>
    <row r="75" spans="1:43" x14ac:dyDescent="0.25">
      <c r="A75" s="10"/>
      <c r="B75" s="77" t="s">
        <v>35</v>
      </c>
      <c r="C75" s="189">
        <f ca="1">SUM(C72:C74)</f>
        <v>76358.723537960905</v>
      </c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</row>
    <row r="76" spans="1:43" x14ac:dyDescent="0.2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25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</sheetData>
  <sheetProtection algorithmName="SHA-512" hashValue="V86hXVgprDv+DNs9JqJbXvgPGZ4szH52BDF042dzCRhL3ZG2VJv3xSyyg7LWMLByWjU5yN2OkNj5C9sMI3oidg==" saltValue="o6Mr+D/B5jLCPpa0lTnPbQ==" spinCount="100000" sheet="1" objects="1" scenarios="1"/>
  <conditionalFormatting sqref="C25:AQ25">
    <cfRule type="containsText" dxfId="1" priority="1" operator="containsText" text="NO">
      <formula>NOT(ISERROR(SEARCH("NO",C25)))</formula>
    </cfRule>
    <cfRule type="containsText" dxfId="0" priority="2" operator="containsText" text="YES">
      <formula>NOT(ISERROR(SEARCH("YES",C25)))</formula>
    </cfRule>
  </conditionalFormatting>
  <dataValidations count="2">
    <dataValidation type="list" allowBlank="1" showInputMessage="1" showErrorMessage="1" sqref="M7" xr:uid="{05B871CD-D75C-40C7-AC4A-6390B91FF0B4}">
      <formula1>$C$10:$AQ$10</formula1>
    </dataValidation>
    <dataValidation type="list" allowBlank="1" showInputMessage="1" showErrorMessage="1" sqref="M2:M6" xr:uid="{BF924DCF-1ECB-4CD9-8599-3DE497D9B4BD}">
      <formula1>$D$10:$AQ$10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Cash-on-Cash</vt:lpstr>
      <vt:lpstr>Multiple Hurdles</vt:lpstr>
      <vt:lpstr>GP Catch-Up</vt:lpstr>
      <vt:lpstr>Catch-Up With Clawback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Kivel</dc:creator>
  <cp:lastModifiedBy>user</cp:lastModifiedBy>
  <dcterms:created xsi:type="dcterms:W3CDTF">2018-09-22T21:54:31Z</dcterms:created>
  <dcterms:modified xsi:type="dcterms:W3CDTF">2022-10-30T13:25:33Z</dcterms:modified>
</cp:coreProperties>
</file>