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5C4C1786-7FE4-B940-9D31-825137BA809B}" xr6:coauthVersionLast="47" xr6:coauthVersionMax="47" xr10:uidLastSave="{00000000-0000-0000-0000-000000000000}"/>
  <bookViews>
    <workbookView xWindow="1800" yWindow="500" windowWidth="34040" windowHeight="21900" tabRatio="674" activeTab="2" xr2:uid="{00000000-000D-0000-FFFF-FFFF00000000}"/>
  </bookViews>
  <sheets>
    <sheet name="ΔP screen" sheetId="29" r:id="rId1"/>
    <sheet name="ΔP screen (Wu) proof" sheetId="15" r:id="rId2"/>
    <sheet name="ΔP perforated" sheetId="31" r:id="rId3"/>
    <sheet name="ΔP honeycomb" sheetId="21" r:id="rId4"/>
  </sheets>
  <externalReferences>
    <externalReference r:id="rId5"/>
    <externalReference r:id="rId6"/>
  </externalReferences>
  <definedNames>
    <definedName name="bays">#REF!</definedName>
    <definedName name="bays02">#REF!</definedName>
    <definedName name="bays0412">'[1]Brighton 0.75'!$C$156</definedName>
    <definedName name="bayys">#REF!</definedName>
    <definedName name="ICLbays">'[2]Brighton 0.75'!$C$156</definedName>
    <definedName name="kljk">'[1]Brighton 0.75'!$C$156</definedName>
    <definedName name="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1" l="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H89" i="21"/>
  <c r="I89" i="21"/>
  <c r="H90" i="21"/>
  <c r="I90" i="21"/>
  <c r="H91" i="21"/>
  <c r="I91" i="21"/>
  <c r="H92" i="21"/>
  <c r="I92" i="21"/>
  <c r="H93" i="21"/>
  <c r="I93" i="21"/>
  <c r="H94" i="21"/>
  <c r="I94" i="21"/>
  <c r="H95" i="21"/>
  <c r="I95" i="21"/>
  <c r="H96" i="21"/>
  <c r="I96" i="21"/>
  <c r="H97" i="21"/>
  <c r="I97" i="21"/>
  <c r="H98" i="21"/>
  <c r="I98" i="21"/>
  <c r="H99" i="21"/>
  <c r="I99" i="21"/>
  <c r="H100" i="21"/>
  <c r="I100" i="21"/>
  <c r="H101" i="21"/>
  <c r="I101" i="21"/>
  <c r="H102" i="21"/>
  <c r="I102" i="21"/>
  <c r="H103" i="21"/>
  <c r="I103" i="21"/>
  <c r="H104" i="21"/>
  <c r="I104" i="21"/>
  <c r="H105" i="21"/>
  <c r="I105" i="21"/>
  <c r="H106" i="21"/>
  <c r="I106" i="21"/>
  <c r="H107" i="21"/>
  <c r="I107" i="21"/>
  <c r="H108" i="21"/>
  <c r="I108" i="21"/>
  <c r="H109" i="21"/>
  <c r="I109" i="21"/>
  <c r="H110" i="21"/>
  <c r="I110" i="21"/>
  <c r="C34" i="29"/>
  <c r="C53" i="31"/>
  <c r="H34" i="31" s="1"/>
  <c r="H8" i="31"/>
  <c r="H9" i="31"/>
  <c r="H10" i="31"/>
  <c r="H11" i="31"/>
  <c r="H12" i="31"/>
  <c r="K12" i="31" s="1"/>
  <c r="H13" i="31"/>
  <c r="H14" i="31"/>
  <c r="K14" i="31" s="1"/>
  <c r="H15" i="31"/>
  <c r="K15" i="31" s="1"/>
  <c r="H16" i="31"/>
  <c r="K16" i="31" s="1"/>
  <c r="H17" i="31"/>
  <c r="K17" i="31" s="1"/>
  <c r="H18" i="31"/>
  <c r="K18" i="31" s="1"/>
  <c r="H19" i="31"/>
  <c r="K19" i="31" s="1"/>
  <c r="H20" i="31"/>
  <c r="H21" i="31"/>
  <c r="H22" i="31"/>
  <c r="H23" i="31"/>
  <c r="K23" i="31" s="1"/>
  <c r="H24" i="31"/>
  <c r="K24" i="31" s="1"/>
  <c r="H25" i="31"/>
  <c r="K25" i="31" s="1"/>
  <c r="H26" i="31"/>
  <c r="K26" i="31" s="1"/>
  <c r="H27" i="31"/>
  <c r="K27" i="31" s="1"/>
  <c r="H28" i="31"/>
  <c r="K28" i="31" s="1"/>
  <c r="H7" i="31"/>
  <c r="K7" i="31" s="1"/>
  <c r="G8" i="31"/>
  <c r="J8" i="31" s="1"/>
  <c r="G9" i="31"/>
  <c r="J9" i="31" s="1"/>
  <c r="G10" i="31"/>
  <c r="G11" i="31"/>
  <c r="G12" i="31"/>
  <c r="G13" i="31"/>
  <c r="G14" i="31"/>
  <c r="G15" i="31"/>
  <c r="J15" i="31" s="1"/>
  <c r="G16" i="31"/>
  <c r="J16" i="31" s="1"/>
  <c r="G17" i="31"/>
  <c r="J17" i="31" s="1"/>
  <c r="G18" i="31"/>
  <c r="J18" i="31" s="1"/>
  <c r="G19" i="31"/>
  <c r="J19" i="31" s="1"/>
  <c r="G20" i="31"/>
  <c r="G21" i="31"/>
  <c r="J21" i="31" s="1"/>
  <c r="G22" i="31"/>
  <c r="G23" i="31"/>
  <c r="G24" i="31"/>
  <c r="G25" i="31"/>
  <c r="J25" i="31" s="1"/>
  <c r="G26" i="31"/>
  <c r="J26" i="31" s="1"/>
  <c r="G27" i="31"/>
  <c r="J27" i="31" s="1"/>
  <c r="G28" i="31"/>
  <c r="J28" i="31" s="1"/>
  <c r="G7" i="31"/>
  <c r="J7" i="31" s="1"/>
  <c r="J14" i="31"/>
  <c r="J20" i="31"/>
  <c r="F35" i="31"/>
  <c r="K35" i="31" s="1"/>
  <c r="F36" i="31"/>
  <c r="K36" i="31" s="1"/>
  <c r="F37" i="31"/>
  <c r="F38" i="31"/>
  <c r="F39" i="31"/>
  <c r="K39" i="31" s="1"/>
  <c r="F40" i="31"/>
  <c r="K40" i="31" s="1"/>
  <c r="F41" i="31"/>
  <c r="K41" i="31" s="1"/>
  <c r="F42" i="31"/>
  <c r="K42" i="31" s="1"/>
  <c r="F43" i="31"/>
  <c r="K43" i="31" s="1"/>
  <c r="F44" i="31"/>
  <c r="F45" i="31"/>
  <c r="K45" i="31" s="1"/>
  <c r="F46" i="31"/>
  <c r="K46" i="31" s="1"/>
  <c r="F47" i="31"/>
  <c r="F48" i="31"/>
  <c r="F49" i="31"/>
  <c r="F50" i="31"/>
  <c r="K50" i="31" s="1"/>
  <c r="F51" i="31"/>
  <c r="K51" i="31" s="1"/>
  <c r="F52" i="31"/>
  <c r="K52" i="31" s="1"/>
  <c r="F53" i="31"/>
  <c r="K53" i="31" s="1"/>
  <c r="F54" i="31"/>
  <c r="K54" i="31" s="1"/>
  <c r="F55" i="31"/>
  <c r="K55" i="31" s="1"/>
  <c r="F34" i="31"/>
  <c r="K20" i="31"/>
  <c r="K21" i="31"/>
  <c r="K22" i="31"/>
  <c r="I8" i="31"/>
  <c r="K8" i="31" s="1"/>
  <c r="I9" i="31"/>
  <c r="K9" i="31" s="1"/>
  <c r="I10" i="31"/>
  <c r="K10" i="31" s="1"/>
  <c r="I11" i="31"/>
  <c r="K11" i="31" s="1"/>
  <c r="I12" i="31"/>
  <c r="I13" i="31"/>
  <c r="J13" i="31" s="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7" i="31"/>
  <c r="C47" i="31"/>
  <c r="C48" i="31" s="1"/>
  <c r="C44" i="31"/>
  <c r="C45" i="31" s="1"/>
  <c r="H68" i="31"/>
  <c r="I68" i="31" s="1"/>
  <c r="H67" i="31"/>
  <c r="I67" i="31" s="1"/>
  <c r="H66" i="31"/>
  <c r="I66" i="31" s="1"/>
  <c r="H65" i="31"/>
  <c r="I65" i="31" s="1"/>
  <c r="H64" i="31"/>
  <c r="I64" i="31" s="1"/>
  <c r="H63" i="31"/>
  <c r="I63" i="31" s="1"/>
  <c r="H62" i="31"/>
  <c r="I62" i="31" s="1"/>
  <c r="H61" i="31"/>
  <c r="I61" i="31" s="1"/>
  <c r="K49" i="31"/>
  <c r="K48" i="31"/>
  <c r="K47" i="31"/>
  <c r="K44" i="31"/>
  <c r="K38" i="31"/>
  <c r="K37" i="31"/>
  <c r="C34" i="31"/>
  <c r="K34" i="31"/>
  <c r="C28" i="31"/>
  <c r="C24" i="31"/>
  <c r="C20" i="31"/>
  <c r="C16" i="31"/>
  <c r="C12" i="31"/>
  <c r="C8" i="31"/>
  <c r="H60" i="29"/>
  <c r="H61" i="29"/>
  <c r="I61" i="29" s="1"/>
  <c r="H62" i="29"/>
  <c r="I62" i="29" s="1"/>
  <c r="H63" i="29"/>
  <c r="I63" i="29" s="1"/>
  <c r="H64" i="29"/>
  <c r="I64" i="29" s="1"/>
  <c r="H65" i="29"/>
  <c r="I65" i="29" s="1"/>
  <c r="H66" i="29"/>
  <c r="I66" i="29" s="1"/>
  <c r="H59" i="29"/>
  <c r="I59" i="29" s="1"/>
  <c r="I60" i="29"/>
  <c r="C28" i="29"/>
  <c r="C24" i="29"/>
  <c r="C20" i="29"/>
  <c r="C16" i="29"/>
  <c r="C12" i="29"/>
  <c r="C8" i="29"/>
  <c r="H120" i="21"/>
  <c r="H121" i="21"/>
  <c r="H122" i="21"/>
  <c r="I123" i="21"/>
  <c r="H127" i="21"/>
  <c r="H128" i="21"/>
  <c r="H124" i="21"/>
  <c r="H125" i="21"/>
  <c r="H126" i="21"/>
  <c r="I130" i="21"/>
  <c r="H131" i="21"/>
  <c r="H132" i="21"/>
  <c r="I133" i="21"/>
  <c r="I134" i="21"/>
  <c r="H135" i="21"/>
  <c r="I136" i="21"/>
  <c r="H137" i="21"/>
  <c r="I121" i="21"/>
  <c r="I122" i="21"/>
  <c r="F25" i="21"/>
  <c r="F26" i="21"/>
  <c r="F8" i="21"/>
  <c r="F116" i="21" s="1"/>
  <c r="C49" i="21"/>
  <c r="C29" i="21"/>
  <c r="C25" i="21"/>
  <c r="C17" i="21"/>
  <c r="C13" i="21"/>
  <c r="C21" i="21"/>
  <c r="H117" i="21"/>
  <c r="H118" i="21"/>
  <c r="H119" i="21"/>
  <c r="H129" i="21"/>
  <c r="H130" i="21"/>
  <c r="I117" i="21"/>
  <c r="I118" i="21"/>
  <c r="I119" i="21"/>
  <c r="I120" i="21"/>
  <c r="I124" i="21"/>
  <c r="I129" i="21"/>
  <c r="I131" i="21"/>
  <c r="H146" i="21"/>
  <c r="I146" i="21" s="1"/>
  <c r="H147" i="21"/>
  <c r="I147" i="21" s="1"/>
  <c r="H148" i="21"/>
  <c r="I148" i="21" s="1"/>
  <c r="H149" i="21"/>
  <c r="I149" i="21" s="1"/>
  <c r="H150" i="21"/>
  <c r="I150" i="21" s="1"/>
  <c r="H151" i="21"/>
  <c r="I151" i="21" s="1"/>
  <c r="H152" i="21"/>
  <c r="I152" i="21" s="1"/>
  <c r="H145" i="21"/>
  <c r="I145" i="21" s="1"/>
  <c r="C61" i="29"/>
  <c r="F32" i="29"/>
  <c r="K32" i="29" s="1"/>
  <c r="F33" i="29"/>
  <c r="K33" i="29" s="1"/>
  <c r="F34" i="29"/>
  <c r="K34" i="29" s="1"/>
  <c r="F35" i="29"/>
  <c r="K35" i="29" s="1"/>
  <c r="F36" i="29"/>
  <c r="K36" i="29" s="1"/>
  <c r="F37" i="29"/>
  <c r="K37" i="29" s="1"/>
  <c r="F38" i="29"/>
  <c r="F39" i="29"/>
  <c r="F40" i="29"/>
  <c r="F41" i="29"/>
  <c r="F42" i="29"/>
  <c r="F43" i="29"/>
  <c r="K43" i="29" s="1"/>
  <c r="F44" i="29"/>
  <c r="F45" i="29"/>
  <c r="F46" i="29"/>
  <c r="K46" i="29" s="1"/>
  <c r="F47" i="29"/>
  <c r="K47" i="29" s="1"/>
  <c r="F48" i="29"/>
  <c r="F49" i="29"/>
  <c r="K49" i="29" s="1"/>
  <c r="F50" i="29"/>
  <c r="F51" i="29"/>
  <c r="K51" i="29" s="1"/>
  <c r="F52" i="29"/>
  <c r="F31" i="29"/>
  <c r="K48" i="29"/>
  <c r="K45" i="29"/>
  <c r="K44" i="29"/>
  <c r="C10" i="15"/>
  <c r="C7" i="15"/>
  <c r="C1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C63" i="21"/>
  <c r="C50" i="21"/>
  <c r="C51" i="21" s="1"/>
  <c r="C165" i="21"/>
  <c r="C166" i="21" s="1"/>
  <c r="C167" i="21" s="1"/>
  <c r="C145" i="21"/>
  <c r="C59" i="21"/>
  <c r="C106" i="21"/>
  <c r="C107" i="21" s="1"/>
  <c r="C108" i="21"/>
  <c r="C109" i="21" s="1"/>
  <c r="K13" i="31" l="1"/>
  <c r="J24" i="31"/>
  <c r="J23" i="31"/>
  <c r="J11" i="31"/>
  <c r="J12" i="31"/>
  <c r="J22" i="31"/>
  <c r="J10" i="31"/>
  <c r="G49" i="31"/>
  <c r="G45" i="31"/>
  <c r="G35" i="31"/>
  <c r="G55" i="31"/>
  <c r="H35" i="31"/>
  <c r="H54" i="31"/>
  <c r="G43" i="31"/>
  <c r="G34" i="31"/>
  <c r="G44" i="31"/>
  <c r="H55" i="31"/>
  <c r="H49" i="31"/>
  <c r="H53" i="31"/>
  <c r="H50" i="31"/>
  <c r="H46" i="31"/>
  <c r="H42" i="31"/>
  <c r="H39" i="31"/>
  <c r="H51" i="31"/>
  <c r="G47" i="31"/>
  <c r="H40" i="31"/>
  <c r="H37" i="31"/>
  <c r="H52" i="31"/>
  <c r="G53" i="31"/>
  <c r="G50" i="31"/>
  <c r="G46" i="31"/>
  <c r="G42" i="31"/>
  <c r="G39" i="31"/>
  <c r="H36" i="31"/>
  <c r="G54" i="31"/>
  <c r="G37" i="31"/>
  <c r="G48" i="31"/>
  <c r="G52" i="31"/>
  <c r="H45" i="31"/>
  <c r="G38" i="31"/>
  <c r="G36" i="31"/>
  <c r="G51" i="31"/>
  <c r="G40" i="31"/>
  <c r="H44" i="31"/>
  <c r="H41" i="31"/>
  <c r="H47" i="31"/>
  <c r="H43" i="31"/>
  <c r="H48" i="31"/>
  <c r="H38" i="31"/>
  <c r="G41" i="31"/>
  <c r="H48" i="29"/>
  <c r="G37" i="29"/>
  <c r="G39" i="29"/>
  <c r="G40" i="29"/>
  <c r="G44" i="29"/>
  <c r="G45" i="29"/>
  <c r="G46" i="29"/>
  <c r="H32" i="29"/>
  <c r="H49" i="29"/>
  <c r="G47" i="29"/>
  <c r="G50" i="29"/>
  <c r="H46" i="29"/>
  <c r="H47" i="29"/>
  <c r="H44" i="29"/>
  <c r="H45" i="29"/>
  <c r="G42" i="29"/>
  <c r="G31" i="29"/>
  <c r="G41" i="29"/>
  <c r="H52" i="29"/>
  <c r="H40" i="29"/>
  <c r="H39" i="29"/>
  <c r="H50" i="29"/>
  <c r="H38" i="29"/>
  <c r="AC76" i="21"/>
  <c r="AD76" i="21" s="1"/>
  <c r="AC78" i="21"/>
  <c r="AD78" i="21" s="1"/>
  <c r="AC75" i="21"/>
  <c r="AD75" i="21" s="1"/>
  <c r="I116" i="21"/>
  <c r="H116" i="21"/>
  <c r="N116" i="21" s="1"/>
  <c r="M116" i="21" s="1"/>
  <c r="P116" i="21" s="1"/>
  <c r="F24" i="21"/>
  <c r="AC66" i="21"/>
  <c r="AD66" i="21" s="1"/>
  <c r="H123" i="21"/>
  <c r="N123" i="21" s="1"/>
  <c r="M123" i="21" s="1"/>
  <c r="P123" i="21" s="1"/>
  <c r="I135" i="21"/>
  <c r="N135" i="21" s="1"/>
  <c r="M135" i="21" s="1"/>
  <c r="P135" i="21" s="1"/>
  <c r="H136" i="21"/>
  <c r="N136" i="21" s="1"/>
  <c r="M136" i="21" s="1"/>
  <c r="P136" i="21" s="1"/>
  <c r="H134" i="21"/>
  <c r="N134" i="21" s="1"/>
  <c r="M134" i="21" s="1"/>
  <c r="P134" i="21" s="1"/>
  <c r="I128" i="21"/>
  <c r="AC128" i="21" s="1"/>
  <c r="AB128" i="21" s="1"/>
  <c r="AE128" i="21" s="1"/>
  <c r="I127" i="21"/>
  <c r="AC127" i="21" s="1"/>
  <c r="AD127" i="21" s="1"/>
  <c r="I126" i="21"/>
  <c r="N126" i="21" s="1"/>
  <c r="O126" i="21" s="1"/>
  <c r="I137" i="21"/>
  <c r="N137" i="21" s="1"/>
  <c r="O137" i="21" s="1"/>
  <c r="H133" i="21"/>
  <c r="AC133" i="21" s="1"/>
  <c r="AB133" i="21" s="1"/>
  <c r="AE133" i="21" s="1"/>
  <c r="I132" i="21"/>
  <c r="N132" i="21" s="1"/>
  <c r="O132" i="21" s="1"/>
  <c r="I125" i="21"/>
  <c r="AC125" i="21" s="1"/>
  <c r="AB125" i="21" s="1"/>
  <c r="AE125" i="21" s="1"/>
  <c r="AC131" i="21"/>
  <c r="AB131" i="21" s="1"/>
  <c r="AE131" i="21" s="1"/>
  <c r="AC119" i="21"/>
  <c r="AD119" i="21" s="1"/>
  <c r="AC65" i="21"/>
  <c r="AD65" i="21" s="1"/>
  <c r="AC81" i="21"/>
  <c r="AD81" i="21" s="1"/>
  <c r="AC71" i="21"/>
  <c r="AD71" i="21" s="1"/>
  <c r="AC70" i="21"/>
  <c r="AD70" i="21" s="1"/>
  <c r="AC82" i="21"/>
  <c r="AD82" i="21" s="1"/>
  <c r="AC83" i="21"/>
  <c r="AB83" i="21" s="1"/>
  <c r="AE83" i="21" s="1"/>
  <c r="F29" i="21"/>
  <c r="F28" i="21"/>
  <c r="AC68" i="21"/>
  <c r="AD68" i="21" s="1"/>
  <c r="AC69" i="21"/>
  <c r="AB69" i="21" s="1"/>
  <c r="AE69" i="21" s="1"/>
  <c r="AC67" i="21"/>
  <c r="AB67" i="21" s="1"/>
  <c r="AE67" i="21" s="1"/>
  <c r="AC73" i="21"/>
  <c r="AB73" i="21" s="1"/>
  <c r="AE73" i="21" s="1"/>
  <c r="AC72" i="21"/>
  <c r="AD72" i="21" s="1"/>
  <c r="AC74" i="21"/>
  <c r="AD74" i="21" s="1"/>
  <c r="F27" i="21"/>
  <c r="AC92" i="21"/>
  <c r="AD92" i="21" s="1"/>
  <c r="AC77" i="21"/>
  <c r="AB77" i="21" s="1"/>
  <c r="AE77" i="21" s="1"/>
  <c r="AC64" i="21"/>
  <c r="AD64" i="21" s="1"/>
  <c r="AC63" i="21"/>
  <c r="AD63" i="21" s="1"/>
  <c r="AC129" i="21"/>
  <c r="AD129" i="21" s="1"/>
  <c r="AC117" i="21"/>
  <c r="AD117" i="21" s="1"/>
  <c r="AC96" i="21"/>
  <c r="AB96" i="21" s="1"/>
  <c r="AE96" i="21" s="1"/>
  <c r="AC109" i="21"/>
  <c r="AD109" i="21" s="1"/>
  <c r="AC102" i="21"/>
  <c r="AD102" i="21" s="1"/>
  <c r="AC106" i="21"/>
  <c r="AB106" i="21" s="1"/>
  <c r="AE106" i="21" s="1"/>
  <c r="AC104" i="21"/>
  <c r="AD104" i="21" s="1"/>
  <c r="AC99" i="21"/>
  <c r="AD99" i="21" s="1"/>
  <c r="AC94" i="21"/>
  <c r="AB94" i="21" s="1"/>
  <c r="AE94" i="21" s="1"/>
  <c r="AC97" i="21"/>
  <c r="AD97" i="21" s="1"/>
  <c r="AC91" i="21"/>
  <c r="AD91" i="21" s="1"/>
  <c r="AC90" i="21"/>
  <c r="AD90" i="21" s="1"/>
  <c r="AC108" i="21"/>
  <c r="AD108" i="21" s="1"/>
  <c r="AC103" i="21"/>
  <c r="AD103" i="21" s="1"/>
  <c r="AC100" i="21"/>
  <c r="AB100" i="21" s="1"/>
  <c r="AE100" i="21" s="1"/>
  <c r="AC98" i="21"/>
  <c r="AB98" i="21" s="1"/>
  <c r="AE98" i="21" s="1"/>
  <c r="AC89" i="21"/>
  <c r="AD89" i="21" s="1"/>
  <c r="AC130" i="21"/>
  <c r="AD130" i="21" s="1"/>
  <c r="AC118" i="21"/>
  <c r="AD118" i="21" s="1"/>
  <c r="N105" i="21"/>
  <c r="O105" i="21" s="1"/>
  <c r="AC93" i="21"/>
  <c r="AD93" i="21" s="1"/>
  <c r="AC110" i="21"/>
  <c r="AD110" i="21" s="1"/>
  <c r="AC107" i="21"/>
  <c r="AD107" i="21" s="1"/>
  <c r="AC101" i="21"/>
  <c r="AB101" i="21" s="1"/>
  <c r="AE101" i="21" s="1"/>
  <c r="AC95" i="21"/>
  <c r="AD95" i="21" s="1"/>
  <c r="AC126" i="21"/>
  <c r="AD126" i="21" s="1"/>
  <c r="AC124" i="21"/>
  <c r="AD124" i="21" s="1"/>
  <c r="AC122" i="21"/>
  <c r="AD122" i="21" s="1"/>
  <c r="AC121" i="21"/>
  <c r="AB121" i="21" s="1"/>
  <c r="AE121" i="21" s="1"/>
  <c r="AC123" i="21"/>
  <c r="AD123" i="21" s="1"/>
  <c r="AC120" i="21"/>
  <c r="AD120" i="21" s="1"/>
  <c r="AC105" i="21"/>
  <c r="N103" i="21"/>
  <c r="O103" i="21" s="1"/>
  <c r="N102" i="21"/>
  <c r="M102" i="21" s="1"/>
  <c r="P102" i="21" s="1"/>
  <c r="N90" i="21"/>
  <c r="M90" i="21" s="1"/>
  <c r="P90" i="21" s="1"/>
  <c r="H35" i="29"/>
  <c r="H37" i="29"/>
  <c r="G52" i="29"/>
  <c r="G36" i="29"/>
  <c r="H36" i="29"/>
  <c r="G51" i="29"/>
  <c r="G35" i="29"/>
  <c r="G34" i="29"/>
  <c r="H34" i="29"/>
  <c r="G49" i="29"/>
  <c r="G33" i="29"/>
  <c r="H33" i="29"/>
  <c r="G48" i="29"/>
  <c r="G32" i="29"/>
  <c r="H31" i="29"/>
  <c r="K31" i="29"/>
  <c r="G38" i="29"/>
  <c r="K39" i="29"/>
  <c r="K38" i="29"/>
  <c r="H42" i="29"/>
  <c r="K40" i="29"/>
  <c r="K52" i="29"/>
  <c r="K42" i="29"/>
  <c r="H51" i="29"/>
  <c r="K50" i="29"/>
  <c r="H43" i="29"/>
  <c r="H41" i="29"/>
  <c r="K41" i="29"/>
  <c r="G43" i="29"/>
  <c r="N131" i="21"/>
  <c r="O131" i="21" s="1"/>
  <c r="N129" i="21"/>
  <c r="M129" i="21" s="1"/>
  <c r="P129" i="21" s="1"/>
  <c r="N130" i="21"/>
  <c r="M130" i="21" s="1"/>
  <c r="P130" i="21" s="1"/>
  <c r="N93" i="21"/>
  <c r="O93" i="21" s="1"/>
  <c r="N106" i="21"/>
  <c r="M106" i="21" s="1"/>
  <c r="P106" i="21" s="1"/>
  <c r="N96" i="21"/>
  <c r="M96" i="21" s="1"/>
  <c r="P96" i="21" s="1"/>
  <c r="N97" i="21"/>
  <c r="O97" i="21" s="1"/>
  <c r="N109" i="21"/>
  <c r="M109" i="21" s="1"/>
  <c r="P109" i="21" s="1"/>
  <c r="N101" i="21"/>
  <c r="O101" i="21" s="1"/>
  <c r="N107" i="21"/>
  <c r="M107" i="21" s="1"/>
  <c r="P107" i="21" s="1"/>
  <c r="N98" i="21"/>
  <c r="O98" i="21" s="1"/>
  <c r="N110" i="21"/>
  <c r="O110" i="21" s="1"/>
  <c r="N91" i="21"/>
  <c r="O91" i="21" s="1"/>
  <c r="N108" i="21"/>
  <c r="O108" i="21" s="1"/>
  <c r="N92" i="21"/>
  <c r="O92" i="21" s="1"/>
  <c r="N121" i="21"/>
  <c r="O121" i="21" s="1"/>
  <c r="N94" i="21"/>
  <c r="M94" i="21" s="1"/>
  <c r="P94" i="21" s="1"/>
  <c r="N99" i="21"/>
  <c r="M99" i="21" s="1"/>
  <c r="P99" i="21" s="1"/>
  <c r="N104" i="21"/>
  <c r="M104" i="21" s="1"/>
  <c r="P104" i="21" s="1"/>
  <c r="N117" i="21"/>
  <c r="M117" i="21" s="1"/>
  <c r="P117" i="21" s="1"/>
  <c r="N89" i="21"/>
  <c r="O89" i="21" s="1"/>
  <c r="N95" i="21"/>
  <c r="O95" i="21" s="1"/>
  <c r="N100" i="21"/>
  <c r="O100" i="21" s="1"/>
  <c r="N119" i="21"/>
  <c r="M119" i="21" s="1"/>
  <c r="P119" i="21" s="1"/>
  <c r="N120" i="21"/>
  <c r="M120" i="21" s="1"/>
  <c r="P120" i="21" s="1"/>
  <c r="N122" i="21"/>
  <c r="M122" i="21" s="1"/>
  <c r="P122" i="21" s="1"/>
  <c r="N118" i="21"/>
  <c r="O118" i="21" s="1"/>
  <c r="N124" i="21"/>
  <c r="O124" i="21" s="1"/>
  <c r="C169" i="21"/>
  <c r="C168" i="21"/>
  <c r="C146" i="21"/>
  <c r="C110" i="21"/>
  <c r="F9" i="21"/>
  <c r="F12" i="21"/>
  <c r="F11" i="21"/>
  <c r="F10" i="21"/>
  <c r="F14" i="21"/>
  <c r="F13" i="21"/>
  <c r="C40" i="29"/>
  <c r="AC136" i="21" l="1"/>
  <c r="AD136" i="21" s="1"/>
  <c r="AC135" i="21"/>
  <c r="AD135" i="21" s="1"/>
  <c r="AC134" i="21"/>
  <c r="AD134" i="21" s="1"/>
  <c r="I52" i="29"/>
  <c r="J52" i="29" s="1"/>
  <c r="I35" i="29"/>
  <c r="J35" i="29" s="1"/>
  <c r="I45" i="29"/>
  <c r="J45" i="29" s="1"/>
  <c r="I37" i="29"/>
  <c r="J37" i="29" s="1"/>
  <c r="I40" i="29"/>
  <c r="J40" i="29" s="1"/>
  <c r="I48" i="29"/>
  <c r="J48" i="29" s="1"/>
  <c r="I41" i="29"/>
  <c r="J41" i="29" s="1"/>
  <c r="I47" i="29"/>
  <c r="J47" i="29" s="1"/>
  <c r="I42" i="29"/>
  <c r="I39" i="29"/>
  <c r="J39" i="29" s="1"/>
  <c r="I45" i="31"/>
  <c r="L45" i="31" s="1"/>
  <c r="M45" i="31" s="1"/>
  <c r="I49" i="31"/>
  <c r="L49" i="31" s="1"/>
  <c r="M49" i="31" s="1"/>
  <c r="I40" i="31"/>
  <c r="L40" i="31" s="1"/>
  <c r="M40" i="31" s="1"/>
  <c r="I38" i="31"/>
  <c r="L38" i="31" s="1"/>
  <c r="M38" i="31" s="1"/>
  <c r="I37" i="31"/>
  <c r="L37" i="31" s="1"/>
  <c r="M37" i="31" s="1"/>
  <c r="I54" i="31"/>
  <c r="L54" i="31" s="1"/>
  <c r="M54" i="31" s="1"/>
  <c r="I55" i="31"/>
  <c r="J55" i="31" s="1"/>
  <c r="I35" i="31"/>
  <c r="I42" i="31"/>
  <c r="I51" i="31"/>
  <c r="I46" i="31"/>
  <c r="I39" i="31"/>
  <c r="I50" i="31"/>
  <c r="I36" i="31"/>
  <c r="I53" i="31"/>
  <c r="I44" i="31"/>
  <c r="I41" i="31"/>
  <c r="I34" i="31"/>
  <c r="I52" i="31"/>
  <c r="I43" i="31"/>
  <c r="I48" i="31"/>
  <c r="I47" i="31"/>
  <c r="I44" i="29"/>
  <c r="J44" i="29" s="1"/>
  <c r="I50" i="29"/>
  <c r="J50" i="29" s="1"/>
  <c r="I46" i="29"/>
  <c r="J46" i="29" s="1"/>
  <c r="I31" i="29"/>
  <c r="J31" i="29" s="1"/>
  <c r="I49" i="29"/>
  <c r="J49" i="29" s="1"/>
  <c r="I38" i="29"/>
  <c r="J38" i="29" s="1"/>
  <c r="I32" i="29"/>
  <c r="J32" i="29" s="1"/>
  <c r="AC116" i="21"/>
  <c r="AB116" i="21" s="1"/>
  <c r="AE116" i="21" s="1"/>
  <c r="AC80" i="21"/>
  <c r="AD80" i="21" s="1"/>
  <c r="AC62" i="21"/>
  <c r="AD62" i="21" s="1"/>
  <c r="AC137" i="21"/>
  <c r="AD137" i="21" s="1"/>
  <c r="AC132" i="21"/>
  <c r="AD132" i="21" s="1"/>
  <c r="N127" i="21"/>
  <c r="O127" i="21" s="1"/>
  <c r="N125" i="21"/>
  <c r="O125" i="21" s="1"/>
  <c r="AD131" i="21"/>
  <c r="AB119" i="21"/>
  <c r="AE119" i="21" s="1"/>
  <c r="N133" i="21"/>
  <c r="M133" i="21" s="1"/>
  <c r="P133" i="21" s="1"/>
  <c r="N128" i="21"/>
  <c r="M128" i="21" s="1"/>
  <c r="P128" i="21" s="1"/>
  <c r="AB92" i="21"/>
  <c r="AE92" i="21" s="1"/>
  <c r="AC79" i="21"/>
  <c r="AB79" i="21" s="1"/>
  <c r="AE79" i="21" s="1"/>
  <c r="AB66" i="21"/>
  <c r="AE66" i="21" s="1"/>
  <c r="AB76" i="21"/>
  <c r="AE76" i="21" s="1"/>
  <c r="AD77" i="21"/>
  <c r="AB63" i="21"/>
  <c r="AE63" i="21" s="1"/>
  <c r="AB65" i="21"/>
  <c r="AE65" i="21" s="1"/>
  <c r="AB129" i="21"/>
  <c r="AE129" i="21" s="1"/>
  <c r="AB117" i="21"/>
  <c r="AE117" i="21" s="1"/>
  <c r="AB64" i="21"/>
  <c r="AE64" i="21" s="1"/>
  <c r="AD96" i="21"/>
  <c r="AB75" i="21"/>
  <c r="AE75" i="21" s="1"/>
  <c r="AB109" i="21"/>
  <c r="AE109" i="21" s="1"/>
  <c r="AB97" i="21"/>
  <c r="AE97" i="21" s="1"/>
  <c r="AB91" i="21"/>
  <c r="AE91" i="21" s="1"/>
  <c r="AB130" i="21"/>
  <c r="AE130" i="21" s="1"/>
  <c r="AB118" i="21"/>
  <c r="AE118" i="21" s="1"/>
  <c r="AB71" i="21"/>
  <c r="AE71" i="21" s="1"/>
  <c r="AB72" i="21"/>
  <c r="AE72" i="21" s="1"/>
  <c r="AD83" i="21"/>
  <c r="AB102" i="21"/>
  <c r="AE102" i="21" s="1"/>
  <c r="AB99" i="21"/>
  <c r="AE99" i="21" s="1"/>
  <c r="AB104" i="21"/>
  <c r="AE104" i="21" s="1"/>
  <c r="AD106" i="21"/>
  <c r="AD73" i="21"/>
  <c r="AB122" i="21"/>
  <c r="AE122" i="21" s="1"/>
  <c r="AD101" i="21"/>
  <c r="AB103" i="21"/>
  <c r="AE103" i="21" s="1"/>
  <c r="AD100" i="21"/>
  <c r="AD94" i="21"/>
  <c r="AB81" i="21"/>
  <c r="AE81" i="21" s="1"/>
  <c r="AD67" i="21"/>
  <c r="AB74" i="21"/>
  <c r="AE74" i="21" s="1"/>
  <c r="AB82" i="21"/>
  <c r="AE82" i="21" s="1"/>
  <c r="AB70" i="21"/>
  <c r="AE70" i="21" s="1"/>
  <c r="AB110" i="21"/>
  <c r="AE110" i="21" s="1"/>
  <c r="AB93" i="21"/>
  <c r="AE93" i="21" s="1"/>
  <c r="AB89" i="21"/>
  <c r="AE89" i="21" s="1"/>
  <c r="AB90" i="21"/>
  <c r="AE90" i="21" s="1"/>
  <c r="AB108" i="21"/>
  <c r="AE108" i="21" s="1"/>
  <c r="AD69" i="21"/>
  <c r="M105" i="21"/>
  <c r="P105" i="21" s="1"/>
  <c r="AD98" i="21"/>
  <c r="AB126" i="21"/>
  <c r="AE126" i="21" s="1"/>
  <c r="AD125" i="21"/>
  <c r="AD128" i="21"/>
  <c r="AB127" i="21"/>
  <c r="AE127" i="21" s="1"/>
  <c r="AB78" i="21"/>
  <c r="AE78" i="21" s="1"/>
  <c r="AB68" i="21"/>
  <c r="AE68" i="21" s="1"/>
  <c r="AB95" i="21"/>
  <c r="AE95" i="21" s="1"/>
  <c r="AB120" i="21"/>
  <c r="AE120" i="21" s="1"/>
  <c r="AB107" i="21"/>
  <c r="AE107" i="21" s="1"/>
  <c r="AB137" i="21"/>
  <c r="AE137" i="21" s="1"/>
  <c r="AB80" i="21"/>
  <c r="AE80" i="21" s="1"/>
  <c r="O134" i="21"/>
  <c r="AD121" i="21"/>
  <c r="AB124" i="21"/>
  <c r="AE124" i="21" s="1"/>
  <c r="AB135" i="21"/>
  <c r="AE135" i="21" s="1"/>
  <c r="AB123" i="21"/>
  <c r="AE123" i="21" s="1"/>
  <c r="AB136" i="21"/>
  <c r="AE136" i="21" s="1"/>
  <c r="O102" i="21"/>
  <c r="O90" i="21"/>
  <c r="M103" i="21"/>
  <c r="P103" i="21" s="1"/>
  <c r="AD105" i="21"/>
  <c r="AB105" i="21"/>
  <c r="AE105" i="21" s="1"/>
  <c r="AD133" i="21"/>
  <c r="M132" i="21"/>
  <c r="P132" i="21" s="1"/>
  <c r="I33" i="29"/>
  <c r="J33" i="29" s="1"/>
  <c r="O129" i="21"/>
  <c r="M131" i="21"/>
  <c r="P131" i="21" s="1"/>
  <c r="I34" i="29"/>
  <c r="J34" i="29" s="1"/>
  <c r="I36" i="29"/>
  <c r="J36" i="29" s="1"/>
  <c r="I51" i="29"/>
  <c r="J51" i="29" s="1"/>
  <c r="L48" i="29"/>
  <c r="M48" i="29" s="1"/>
  <c r="I43" i="29"/>
  <c r="J43" i="29" s="1"/>
  <c r="J42" i="29"/>
  <c r="L42" i="29"/>
  <c r="M42" i="29" s="1"/>
  <c r="L37" i="29"/>
  <c r="M37" i="29" s="1"/>
  <c r="L45" i="29"/>
  <c r="M45" i="29" s="1"/>
  <c r="L35" i="29"/>
  <c r="M35" i="29" s="1"/>
  <c r="L52" i="29"/>
  <c r="M52" i="29" s="1"/>
  <c r="M93" i="21"/>
  <c r="P93" i="21" s="1"/>
  <c r="O109" i="21"/>
  <c r="M97" i="21"/>
  <c r="P97" i="21" s="1"/>
  <c r="O106" i="21"/>
  <c r="O130" i="21"/>
  <c r="O119" i="21"/>
  <c r="O116" i="21"/>
  <c r="O122" i="21"/>
  <c r="M121" i="21"/>
  <c r="P121" i="21" s="1"/>
  <c r="M89" i="21"/>
  <c r="P89" i="21" s="1"/>
  <c r="O96" i="21"/>
  <c r="M101" i="21"/>
  <c r="P101" i="21" s="1"/>
  <c r="M100" i="21"/>
  <c r="P100" i="21" s="1"/>
  <c r="M95" i="21"/>
  <c r="P95" i="21" s="1"/>
  <c r="M110" i="21"/>
  <c r="P110" i="21" s="1"/>
  <c r="M98" i="21"/>
  <c r="P98" i="21" s="1"/>
  <c r="O107" i="21"/>
  <c r="M92" i="21"/>
  <c r="P92" i="21" s="1"/>
  <c r="O94" i="21"/>
  <c r="M108" i="21"/>
  <c r="P108" i="21" s="1"/>
  <c r="O104" i="21"/>
  <c r="O99" i="21"/>
  <c r="M91" i="21"/>
  <c r="P91" i="21" s="1"/>
  <c r="O117" i="21"/>
  <c r="M137" i="21"/>
  <c r="P137" i="21" s="1"/>
  <c r="O120" i="21"/>
  <c r="O136" i="21"/>
  <c r="O123" i="21"/>
  <c r="M118" i="21"/>
  <c r="P118" i="21" s="1"/>
  <c r="M124" i="21"/>
  <c r="P124" i="21" s="1"/>
  <c r="O135" i="21"/>
  <c r="M126" i="21"/>
  <c r="P126" i="21" s="1"/>
  <c r="C149" i="21"/>
  <c r="C148" i="21"/>
  <c r="C147" i="21"/>
  <c r="M127" i="21" l="1"/>
  <c r="P127" i="21" s="1"/>
  <c r="M125" i="21"/>
  <c r="P125" i="21" s="1"/>
  <c r="AB134" i="21"/>
  <c r="AE134" i="21" s="1"/>
  <c r="AD116" i="21"/>
  <c r="AB132" i="21"/>
  <c r="AE132" i="21" s="1"/>
  <c r="AB62" i="21"/>
  <c r="AE62" i="21" s="1"/>
  <c r="J45" i="31"/>
  <c r="L31" i="29"/>
  <c r="M31" i="29" s="1"/>
  <c r="L40" i="29"/>
  <c r="M40" i="29" s="1"/>
  <c r="L47" i="29"/>
  <c r="M47" i="29" s="1"/>
  <c r="L44" i="29"/>
  <c r="M44" i="29" s="1"/>
  <c r="L50" i="29"/>
  <c r="M50" i="29" s="1"/>
  <c r="J49" i="31"/>
  <c r="J40" i="31"/>
  <c r="J37" i="31"/>
  <c r="J38" i="31"/>
  <c r="J54" i="31"/>
  <c r="L55" i="31"/>
  <c r="M55" i="31" s="1"/>
  <c r="J52" i="31"/>
  <c r="L52" i="31"/>
  <c r="M52" i="31" s="1"/>
  <c r="J50" i="31"/>
  <c r="L50" i="31"/>
  <c r="M50" i="31" s="1"/>
  <c r="L47" i="31"/>
  <c r="M47" i="31" s="1"/>
  <c r="J47" i="31"/>
  <c r="L44" i="31"/>
  <c r="M44" i="31" s="1"/>
  <c r="J44" i="31"/>
  <c r="L51" i="31"/>
  <c r="M51" i="31" s="1"/>
  <c r="J51" i="31"/>
  <c r="J48" i="31"/>
  <c r="L48" i="31"/>
  <c r="M48" i="31" s="1"/>
  <c r="J46" i="31"/>
  <c r="L46" i="31"/>
  <c r="M46" i="31" s="1"/>
  <c r="J42" i="31"/>
  <c r="L42" i="31"/>
  <c r="M42" i="31" s="1"/>
  <c r="L34" i="31"/>
  <c r="M34" i="31" s="1"/>
  <c r="J34" i="31"/>
  <c r="J39" i="31"/>
  <c r="L39" i="31"/>
  <c r="M39" i="31" s="1"/>
  <c r="J41" i="31"/>
  <c r="L41" i="31"/>
  <c r="M41" i="31" s="1"/>
  <c r="J53" i="31"/>
  <c r="L53" i="31"/>
  <c r="M53" i="31" s="1"/>
  <c r="J35" i="31"/>
  <c r="L35" i="31"/>
  <c r="M35" i="31" s="1"/>
  <c r="J36" i="31"/>
  <c r="L36" i="31"/>
  <c r="M36" i="31" s="1"/>
  <c r="L43" i="31"/>
  <c r="M43" i="31" s="1"/>
  <c r="J43" i="31"/>
  <c r="L46" i="29"/>
  <c r="M46" i="29" s="1"/>
  <c r="L49" i="29"/>
  <c r="M49" i="29" s="1"/>
  <c r="L33" i="29"/>
  <c r="M33" i="29" s="1"/>
  <c r="L36" i="29"/>
  <c r="M36" i="29" s="1"/>
  <c r="L38" i="29"/>
  <c r="M38" i="29" s="1"/>
  <c r="L34" i="29"/>
  <c r="M34" i="29" s="1"/>
  <c r="AD79" i="21"/>
  <c r="O133" i="21"/>
  <c r="O128" i="21"/>
  <c r="L43" i="29"/>
  <c r="M43" i="29" s="1"/>
  <c r="L51" i="29"/>
  <c r="M51" i="29" s="1"/>
  <c r="L39" i="29"/>
  <c r="M39" i="29" s="1"/>
  <c r="L41" i="29"/>
  <c r="M41" i="29" s="1"/>
  <c r="L32" i="29"/>
  <c r="M32" i="29" s="1"/>
  <c r="C24" i="15"/>
  <c r="N15" i="29"/>
  <c r="C42" i="29"/>
  <c r="N16" i="29" l="1"/>
  <c r="N14" i="29"/>
  <c r="N13" i="29"/>
  <c r="N12" i="29"/>
  <c r="N11" i="29"/>
  <c r="N10" i="29"/>
  <c r="N8" i="29"/>
  <c r="N26" i="29"/>
  <c r="N25" i="29"/>
  <c r="N23" i="29"/>
  <c r="N20" i="29"/>
  <c r="N19" i="29"/>
  <c r="N24" i="29"/>
  <c r="N9" i="29"/>
  <c r="N5" i="29"/>
  <c r="N22" i="29"/>
  <c r="N7" i="29"/>
  <c r="N21" i="29"/>
  <c r="N18" i="29"/>
  <c r="N6" i="29"/>
  <c r="N17" i="29"/>
  <c r="C41" i="29"/>
  <c r="C44" i="29" s="1"/>
  <c r="C45" i="29" s="1"/>
  <c r="C46" i="29" s="1"/>
  <c r="G5" i="29" s="1"/>
  <c r="C43" i="29"/>
  <c r="G15" i="29" l="1"/>
  <c r="H15" i="29" s="1"/>
  <c r="G6" i="29"/>
  <c r="J6" i="29" s="1"/>
  <c r="G24" i="29"/>
  <c r="H24" i="29" s="1"/>
  <c r="H5" i="29"/>
  <c r="G8" i="29"/>
  <c r="H8" i="29" s="1"/>
  <c r="G17" i="29"/>
  <c r="H17" i="29" s="1"/>
  <c r="G9" i="29"/>
  <c r="H9" i="29" s="1"/>
  <c r="G18" i="29"/>
  <c r="H18" i="29" s="1"/>
  <c r="G19" i="29"/>
  <c r="H19" i="29" s="1"/>
  <c r="G10" i="29"/>
  <c r="I10" i="29" s="1"/>
  <c r="G12" i="29"/>
  <c r="H12" i="29" s="1"/>
  <c r="G16" i="29"/>
  <c r="H16" i="29" s="1"/>
  <c r="G23" i="29"/>
  <c r="H23" i="29" s="1"/>
  <c r="G14" i="29"/>
  <c r="H14" i="29" s="1"/>
  <c r="G22" i="29"/>
  <c r="H22" i="29" s="1"/>
  <c r="G7" i="29"/>
  <c r="H7" i="29" s="1"/>
  <c r="G21" i="29"/>
  <c r="H21" i="29" s="1"/>
  <c r="G20" i="29"/>
  <c r="H20" i="29" s="1"/>
  <c r="G26" i="29"/>
  <c r="H26" i="29" s="1"/>
  <c r="G11" i="29"/>
  <c r="H11" i="29" s="1"/>
  <c r="G13" i="29"/>
  <c r="H13" i="29" s="1"/>
  <c r="G25" i="29"/>
  <c r="H25" i="29" s="1"/>
  <c r="I6" i="29" l="1"/>
  <c r="K6" i="29" s="1"/>
  <c r="L6" i="29" s="1"/>
  <c r="O6" i="29" s="1"/>
  <c r="I22" i="29"/>
  <c r="J12" i="29"/>
  <c r="J24" i="29"/>
  <c r="J20" i="29"/>
  <c r="I24" i="29"/>
  <c r="J9" i="29"/>
  <c r="I9" i="29"/>
  <c r="I15" i="29"/>
  <c r="J18" i="29"/>
  <c r="I18" i="29"/>
  <c r="J15" i="29"/>
  <c r="J26" i="29"/>
  <c r="I8" i="29"/>
  <c r="I19" i="29"/>
  <c r="J17" i="29"/>
  <c r="J5" i="29"/>
  <c r="H6" i="29"/>
  <c r="J13" i="29"/>
  <c r="J22" i="29"/>
  <c r="I13" i="29"/>
  <c r="I11" i="29"/>
  <c r="J16" i="29"/>
  <c r="I14" i="29"/>
  <c r="J11" i="29"/>
  <c r="I5" i="29"/>
  <c r="J8" i="29"/>
  <c r="I21" i="29"/>
  <c r="I25" i="29"/>
  <c r="J23" i="29"/>
  <c r="I23" i="29"/>
  <c r="J10" i="29"/>
  <c r="K10" i="29" s="1"/>
  <c r="L10" i="29" s="1"/>
  <c r="O10" i="29" s="1"/>
  <c r="H10" i="29"/>
  <c r="J7" i="29"/>
  <c r="J14" i="29"/>
  <c r="I7" i="29"/>
  <c r="I16" i="29"/>
  <c r="J25" i="29"/>
  <c r="J21" i="29"/>
  <c r="I20" i="29"/>
  <c r="I12" i="29"/>
  <c r="I26" i="29"/>
  <c r="J19" i="29"/>
  <c r="I17" i="29"/>
  <c r="M6" i="29"/>
  <c r="K22" i="29" l="1"/>
  <c r="L22" i="29" s="1"/>
  <c r="O22" i="29" s="1"/>
  <c r="K9" i="29"/>
  <c r="L9" i="29" s="1"/>
  <c r="O9" i="29" s="1"/>
  <c r="K24" i="29"/>
  <c r="L24" i="29" s="1"/>
  <c r="O24" i="29" s="1"/>
  <c r="K19" i="29"/>
  <c r="L19" i="29" s="1"/>
  <c r="M19" i="29" s="1"/>
  <c r="K12" i="29"/>
  <c r="L12" i="29" s="1"/>
  <c r="O12" i="29" s="1"/>
  <c r="K20" i="29"/>
  <c r="L20" i="29" s="1"/>
  <c r="O20" i="29" s="1"/>
  <c r="K18" i="29"/>
  <c r="L18" i="29" s="1"/>
  <c r="O18" i="29" s="1"/>
  <c r="K15" i="29"/>
  <c r="L15" i="29" s="1"/>
  <c r="O15" i="29" s="1"/>
  <c r="K14" i="29"/>
  <c r="L14" i="29" s="1"/>
  <c r="O14" i="29" s="1"/>
  <c r="K23" i="29"/>
  <c r="L23" i="29" s="1"/>
  <c r="O23" i="29" s="1"/>
  <c r="K8" i="29"/>
  <c r="L8" i="29" s="1"/>
  <c r="O8" i="29" s="1"/>
  <c r="K25" i="29"/>
  <c r="L25" i="29" s="1"/>
  <c r="O25" i="29" s="1"/>
  <c r="K16" i="29"/>
  <c r="L16" i="29" s="1"/>
  <c r="O16" i="29" s="1"/>
  <c r="K17" i="29"/>
  <c r="L17" i="29" s="1"/>
  <c r="O17" i="29" s="1"/>
  <c r="K26" i="29"/>
  <c r="L26" i="29" s="1"/>
  <c r="O26" i="29" s="1"/>
  <c r="K21" i="29"/>
  <c r="L21" i="29" s="1"/>
  <c r="O21" i="29" s="1"/>
  <c r="K13" i="29"/>
  <c r="L13" i="29" s="1"/>
  <c r="O13" i="29" s="1"/>
  <c r="K7" i="29"/>
  <c r="L7" i="29" s="1"/>
  <c r="O7" i="29" s="1"/>
  <c r="K5" i="29"/>
  <c r="L5" i="29" s="1"/>
  <c r="K11" i="29"/>
  <c r="L11" i="29" s="1"/>
  <c r="O11" i="29" s="1"/>
  <c r="M10" i="29"/>
  <c r="P10" i="29"/>
  <c r="M24" i="29"/>
  <c r="M22" i="29"/>
  <c r="P6" i="29"/>
  <c r="M9" i="29" l="1"/>
  <c r="M12" i="29"/>
  <c r="O19" i="29"/>
  <c r="P19" i="29" s="1"/>
  <c r="M20" i="29"/>
  <c r="M14" i="29"/>
  <c r="M26" i="29"/>
  <c r="M15" i="29"/>
  <c r="M18" i="29"/>
  <c r="M8" i="29"/>
  <c r="M25" i="29"/>
  <c r="M17" i="29"/>
  <c r="M7" i="29"/>
  <c r="M16" i="29"/>
  <c r="M23" i="29"/>
  <c r="M11" i="29"/>
  <c r="M5" i="29"/>
  <c r="O5" i="29"/>
  <c r="P5" i="29" s="1"/>
  <c r="M13" i="29"/>
  <c r="M21" i="29"/>
  <c r="P23" i="29"/>
  <c r="P8" i="29"/>
  <c r="P15" i="29"/>
  <c r="P26" i="29"/>
  <c r="P9" i="29"/>
  <c r="P12" i="29"/>
  <c r="P25" i="29"/>
  <c r="P22" i="29"/>
  <c r="P16" i="29"/>
  <c r="P13" i="29"/>
  <c r="P21" i="29"/>
  <c r="P17" i="29"/>
  <c r="P24" i="29"/>
  <c r="P18" i="29"/>
  <c r="P14" i="29"/>
  <c r="P20" i="29"/>
  <c r="P11" i="29"/>
  <c r="P7" i="29"/>
  <c r="C9" i="21"/>
  <c r="C155" i="21" l="1"/>
  <c r="C156" i="21" s="1"/>
  <c r="N62" i="21"/>
  <c r="C64" i="21"/>
  <c r="C157" i="21" l="1"/>
  <c r="C159" i="21"/>
  <c r="C158" i="21"/>
  <c r="C68" i="21"/>
  <c r="C69" i="21" s="1"/>
  <c r="C66" i="21"/>
  <c r="C111" i="21" s="1"/>
  <c r="C70" i="21"/>
  <c r="G11" i="21" s="1"/>
  <c r="C95" i="21"/>
  <c r="I29" i="21"/>
  <c r="I14" i="21"/>
  <c r="I28" i="21"/>
  <c r="I12" i="21"/>
  <c r="I16" i="21"/>
  <c r="I22" i="21"/>
  <c r="I27" i="21"/>
  <c r="I25" i="21"/>
  <c r="I15" i="21"/>
  <c r="I13" i="21"/>
  <c r="I23" i="21"/>
  <c r="I24" i="21"/>
  <c r="I19" i="21"/>
  <c r="I11" i="21"/>
  <c r="I8" i="21"/>
  <c r="I10" i="21"/>
  <c r="I18" i="21"/>
  <c r="I21" i="21"/>
  <c r="I17" i="21"/>
  <c r="I9" i="21"/>
  <c r="I26" i="21"/>
  <c r="I20" i="21"/>
  <c r="C93" i="21"/>
  <c r="C94" i="21" s="1"/>
  <c r="O62" i="21"/>
  <c r="M62" i="21"/>
  <c r="P62" i="21" s="1"/>
  <c r="N63" i="21"/>
  <c r="N65" i="21"/>
  <c r="N78" i="21"/>
  <c r="N70" i="21"/>
  <c r="N77" i="21"/>
  <c r="N69" i="21"/>
  <c r="N80" i="21"/>
  <c r="N76" i="21"/>
  <c r="N72" i="21"/>
  <c r="N68" i="21"/>
  <c r="N82" i="21"/>
  <c r="N74" i="21"/>
  <c r="N81" i="21"/>
  <c r="N73" i="21"/>
  <c r="N64" i="21"/>
  <c r="N83" i="21"/>
  <c r="N79" i="21"/>
  <c r="N75" i="21"/>
  <c r="N71" i="21"/>
  <c r="N67" i="21"/>
  <c r="G17" i="21" l="1"/>
  <c r="J17" i="21" s="1"/>
  <c r="G10" i="21"/>
  <c r="H10" i="21" s="1"/>
  <c r="G14" i="21"/>
  <c r="J14" i="21" s="1"/>
  <c r="G26" i="21"/>
  <c r="H26" i="21" s="1"/>
  <c r="G16" i="21"/>
  <c r="H16" i="21" s="1"/>
  <c r="G28" i="21"/>
  <c r="J28" i="21" s="1"/>
  <c r="G23" i="21"/>
  <c r="J23" i="21" s="1"/>
  <c r="G15" i="21"/>
  <c r="H15" i="21" s="1"/>
  <c r="G29" i="21"/>
  <c r="H29" i="21" s="1"/>
  <c r="G13" i="21"/>
  <c r="H13" i="21" s="1"/>
  <c r="K13" i="21" s="1"/>
  <c r="G9" i="21"/>
  <c r="J9" i="21" s="1"/>
  <c r="G8" i="21"/>
  <c r="H8" i="21" s="1"/>
  <c r="G19" i="21"/>
  <c r="J19" i="21" s="1"/>
  <c r="G24" i="21"/>
  <c r="J24" i="21" s="1"/>
  <c r="G12" i="21"/>
  <c r="H12" i="21" s="1"/>
  <c r="K12" i="21" s="1"/>
  <c r="C96" i="21"/>
  <c r="C97" i="21"/>
  <c r="G20" i="21"/>
  <c r="H20" i="21" s="1"/>
  <c r="G18" i="21"/>
  <c r="H18" i="21" s="1"/>
  <c r="G21" i="21"/>
  <c r="J21" i="21" s="1"/>
  <c r="G25" i="21"/>
  <c r="H25" i="21" s="1"/>
  <c r="G22" i="21"/>
  <c r="J22" i="21" s="1"/>
  <c r="G27" i="21"/>
  <c r="J27" i="21" s="1"/>
  <c r="H14" i="21"/>
  <c r="K14" i="21" s="1"/>
  <c r="H19" i="21"/>
  <c r="J11" i="21"/>
  <c r="H11" i="21"/>
  <c r="N66" i="21"/>
  <c r="O66" i="21" s="1"/>
  <c r="C67" i="21"/>
  <c r="M14" i="21" l="1"/>
  <c r="AB14" i="21"/>
  <c r="AE14" i="21" s="1"/>
  <c r="M13" i="21"/>
  <c r="AB13" i="21"/>
  <c r="AE13" i="21" s="1"/>
  <c r="M12" i="21"/>
  <c r="AB12" i="21"/>
  <c r="AE12" i="21" s="1"/>
  <c r="J10" i="21"/>
  <c r="H17" i="21"/>
  <c r="K17" i="21" s="1"/>
  <c r="H24" i="21"/>
  <c r="J16" i="21"/>
  <c r="C113" i="21"/>
  <c r="C115" i="21" s="1"/>
  <c r="C112" i="21"/>
  <c r="C114" i="21" s="1"/>
  <c r="C100" i="21"/>
  <c r="I35" i="21" s="1"/>
  <c r="H28" i="21"/>
  <c r="K28" i="21" s="1"/>
  <c r="J26" i="21"/>
  <c r="C99" i="21"/>
  <c r="J20" i="21"/>
  <c r="H21" i="21"/>
  <c r="J13" i="21"/>
  <c r="C98" i="21"/>
  <c r="J25" i="21"/>
  <c r="H22" i="21"/>
  <c r="H9" i="21"/>
  <c r="K9" i="21" s="1"/>
  <c r="H27" i="21"/>
  <c r="J15" i="21"/>
  <c r="K29" i="21"/>
  <c r="H23" i="21"/>
  <c r="K23" i="21" s="1"/>
  <c r="J29" i="21"/>
  <c r="J18" i="21"/>
  <c r="J12" i="21"/>
  <c r="K8" i="21"/>
  <c r="J8" i="21"/>
  <c r="K21" i="21"/>
  <c r="K15" i="21"/>
  <c r="K22" i="21"/>
  <c r="K19" i="21"/>
  <c r="K11" i="21"/>
  <c r="K20" i="21"/>
  <c r="K26" i="21"/>
  <c r="K25" i="21"/>
  <c r="K24" i="21"/>
  <c r="K27" i="21"/>
  <c r="K16" i="21"/>
  <c r="K18" i="21"/>
  <c r="K10" i="21"/>
  <c r="M66" i="21"/>
  <c r="P66" i="21" s="1"/>
  <c r="P12" i="21" l="1"/>
  <c r="N12" i="21"/>
  <c r="O12" i="21" s="1"/>
  <c r="P13" i="21"/>
  <c r="N13" i="21"/>
  <c r="O13" i="21" s="1"/>
  <c r="N14" i="21"/>
  <c r="O14" i="21" s="1"/>
  <c r="P14" i="21"/>
  <c r="M17" i="21"/>
  <c r="AB17" i="21"/>
  <c r="AE17" i="21" s="1"/>
  <c r="AC12" i="21"/>
  <c r="AD12" i="21" s="1"/>
  <c r="M19" i="21"/>
  <c r="AB19" i="21"/>
  <c r="AE19" i="21" s="1"/>
  <c r="M22" i="21"/>
  <c r="AB22" i="21"/>
  <c r="AE22" i="21" s="1"/>
  <c r="M8" i="21"/>
  <c r="AB8" i="21"/>
  <c r="AE8" i="21" s="1"/>
  <c r="M24" i="21"/>
  <c r="AB24" i="21"/>
  <c r="AE24" i="21" s="1"/>
  <c r="M10" i="21"/>
  <c r="AB10" i="21"/>
  <c r="AE10" i="21" s="1"/>
  <c r="M18" i="21"/>
  <c r="AB18" i="21"/>
  <c r="AE18" i="21" s="1"/>
  <c r="M16" i="21"/>
  <c r="AB16" i="21"/>
  <c r="AE16" i="21" s="1"/>
  <c r="M27" i="21"/>
  <c r="AB27" i="21"/>
  <c r="AE27" i="21" s="1"/>
  <c r="AC13" i="21"/>
  <c r="AD13" i="21" s="1"/>
  <c r="M21" i="21"/>
  <c r="AB21" i="21"/>
  <c r="AE21" i="21" s="1"/>
  <c r="M15" i="21"/>
  <c r="AB15" i="21"/>
  <c r="AE15" i="21" s="1"/>
  <c r="M25" i="21"/>
  <c r="AB25" i="21"/>
  <c r="AE25" i="21" s="1"/>
  <c r="M26" i="21"/>
  <c r="AB26" i="21"/>
  <c r="AE26" i="21" s="1"/>
  <c r="M23" i="21"/>
  <c r="AB23" i="21"/>
  <c r="AE23" i="21" s="1"/>
  <c r="M20" i="21"/>
  <c r="AB20" i="21"/>
  <c r="AE20" i="21" s="1"/>
  <c r="M29" i="21"/>
  <c r="AB29" i="21"/>
  <c r="AE29" i="21" s="1"/>
  <c r="M28" i="21"/>
  <c r="AB28" i="21"/>
  <c r="AE28" i="21" s="1"/>
  <c r="AC14" i="21"/>
  <c r="AD14" i="21" s="1"/>
  <c r="M9" i="21"/>
  <c r="AB9" i="21"/>
  <c r="AE9" i="21" s="1"/>
  <c r="M11" i="21"/>
  <c r="AB11" i="21"/>
  <c r="AE11" i="21" s="1"/>
  <c r="C101" i="21"/>
  <c r="H38" i="21"/>
  <c r="H50" i="21"/>
  <c r="H39" i="21"/>
  <c r="H51" i="21"/>
  <c r="H40" i="21"/>
  <c r="H52" i="21"/>
  <c r="H41" i="21"/>
  <c r="H53" i="21"/>
  <c r="H42" i="21"/>
  <c r="H54" i="21"/>
  <c r="H43" i="21"/>
  <c r="H55" i="21"/>
  <c r="H44" i="21"/>
  <c r="H56" i="21"/>
  <c r="H45" i="21"/>
  <c r="H35" i="21"/>
  <c r="AC35" i="21" s="1"/>
  <c r="H46" i="21"/>
  <c r="H47" i="21"/>
  <c r="H36" i="21"/>
  <c r="H48" i="21"/>
  <c r="H37" i="21"/>
  <c r="H49" i="21"/>
  <c r="C102" i="21"/>
  <c r="I36" i="21"/>
  <c r="I48" i="21"/>
  <c r="I37" i="21"/>
  <c r="I49" i="21"/>
  <c r="I38" i="21"/>
  <c r="I50" i="21"/>
  <c r="I39" i="21"/>
  <c r="I51" i="21"/>
  <c r="I40" i="21"/>
  <c r="I52" i="21"/>
  <c r="I42" i="21"/>
  <c r="I54" i="21"/>
  <c r="I43" i="21"/>
  <c r="I55" i="21"/>
  <c r="I56" i="21"/>
  <c r="I45" i="21"/>
  <c r="I46" i="21"/>
  <c r="I47" i="21"/>
  <c r="I53" i="21"/>
  <c r="I41" i="21"/>
  <c r="I44" i="21"/>
  <c r="P17" i="21" l="1"/>
  <c r="N17" i="21"/>
  <c r="O17" i="21" s="1"/>
  <c r="N21" i="21"/>
  <c r="P21" i="21"/>
  <c r="P24" i="21"/>
  <c r="N24" i="21"/>
  <c r="P25" i="21"/>
  <c r="N25" i="21"/>
  <c r="O25" i="21" s="1"/>
  <c r="N10" i="21"/>
  <c r="O10" i="21" s="1"/>
  <c r="P10" i="21"/>
  <c r="AC39" i="21"/>
  <c r="AD39" i="21" s="1"/>
  <c r="N20" i="21"/>
  <c r="O20" i="21" s="1"/>
  <c r="P20" i="21"/>
  <c r="P8" i="21"/>
  <c r="N8" i="21"/>
  <c r="O8" i="21" s="1"/>
  <c r="N18" i="21"/>
  <c r="P18" i="21"/>
  <c r="N15" i="21"/>
  <c r="O15" i="21" s="1"/>
  <c r="P15" i="21"/>
  <c r="AC50" i="21"/>
  <c r="AB50" i="21" s="1"/>
  <c r="AE50" i="21" s="1"/>
  <c r="N11" i="21"/>
  <c r="O11" i="21" s="1"/>
  <c r="P11" i="21"/>
  <c r="N27" i="21"/>
  <c r="O27" i="21" s="1"/>
  <c r="P27" i="21"/>
  <c r="N22" i="21"/>
  <c r="O22" i="21" s="1"/>
  <c r="P22" i="21"/>
  <c r="P28" i="21"/>
  <c r="N28" i="21"/>
  <c r="O28" i="21" s="1"/>
  <c r="P29" i="21"/>
  <c r="N29" i="21"/>
  <c r="AC38" i="21"/>
  <c r="AD38" i="21" s="1"/>
  <c r="N23" i="21"/>
  <c r="O23" i="21" s="1"/>
  <c r="P23" i="21"/>
  <c r="N9" i="21"/>
  <c r="O9" i="21" s="1"/>
  <c r="P9" i="21"/>
  <c r="N26" i="21"/>
  <c r="O26" i="21" s="1"/>
  <c r="P26" i="21"/>
  <c r="N16" i="21"/>
  <c r="P16" i="21"/>
  <c r="N19" i="21"/>
  <c r="O19" i="21" s="1"/>
  <c r="P19" i="21"/>
  <c r="AC44" i="21"/>
  <c r="AD44" i="21" s="1"/>
  <c r="AC46" i="21"/>
  <c r="AC45" i="21"/>
  <c r="AD45" i="21" s="1"/>
  <c r="AC40" i="21"/>
  <c r="AB40" i="21" s="1"/>
  <c r="AE40" i="21" s="1"/>
  <c r="AC8" i="21"/>
  <c r="AD8" i="21" s="1"/>
  <c r="AC21" i="21"/>
  <c r="AD21" i="21" s="1"/>
  <c r="AD50" i="21"/>
  <c r="AC43" i="21"/>
  <c r="AC23" i="21"/>
  <c r="AD23" i="21" s="1"/>
  <c r="AC54" i="21"/>
  <c r="AC9" i="21"/>
  <c r="AD9" i="21" s="1"/>
  <c r="AC16" i="21"/>
  <c r="AD16" i="21" s="1"/>
  <c r="AC19" i="21"/>
  <c r="AD19" i="21" s="1"/>
  <c r="AC29" i="21"/>
  <c r="AD29" i="21" s="1"/>
  <c r="AC56" i="21"/>
  <c r="AC20" i="21"/>
  <c r="AD20" i="21" s="1"/>
  <c r="AC55" i="21"/>
  <c r="AC22" i="21"/>
  <c r="AD22" i="21" s="1"/>
  <c r="AC37" i="21"/>
  <c r="AC42" i="21"/>
  <c r="AC26" i="21"/>
  <c r="AD26" i="21" s="1"/>
  <c r="AC48" i="21"/>
  <c r="AC53" i="21"/>
  <c r="AC27" i="21"/>
  <c r="AD27" i="21" s="1"/>
  <c r="AC49" i="21"/>
  <c r="AC41" i="21"/>
  <c r="AC18" i="21"/>
  <c r="AD18" i="21" s="1"/>
  <c r="AC11" i="21"/>
  <c r="AD11" i="21" s="1"/>
  <c r="AC36" i="21"/>
  <c r="AC25" i="21"/>
  <c r="AD25" i="21" s="1"/>
  <c r="AC47" i="21"/>
  <c r="AC52" i="21"/>
  <c r="AC24" i="21"/>
  <c r="AD24" i="21" s="1"/>
  <c r="AC17" i="21"/>
  <c r="AD17" i="21" s="1"/>
  <c r="AB46" i="21"/>
  <c r="AE46" i="21" s="1"/>
  <c r="AD46" i="21"/>
  <c r="AC28" i="21"/>
  <c r="AD28" i="21" s="1"/>
  <c r="AC15" i="21"/>
  <c r="AD15" i="21" s="1"/>
  <c r="AC10" i="21"/>
  <c r="AD10" i="21" s="1"/>
  <c r="AD35" i="21"/>
  <c r="AB35" i="21"/>
  <c r="AE35" i="21" s="1"/>
  <c r="AC51" i="21"/>
  <c r="O21" i="21"/>
  <c r="O24" i="21"/>
  <c r="O29" i="21"/>
  <c r="O18" i="21"/>
  <c r="O16" i="21"/>
  <c r="N35" i="21"/>
  <c r="O35" i="21" s="1"/>
  <c r="N50" i="21"/>
  <c r="O50" i="21" s="1"/>
  <c r="N48" i="21"/>
  <c r="O48" i="21" s="1"/>
  <c r="N36" i="21"/>
  <c r="O36" i="21" s="1"/>
  <c r="N49" i="21"/>
  <c r="O49" i="21" s="1"/>
  <c r="N37" i="21"/>
  <c r="O37" i="21" s="1"/>
  <c r="N43" i="21"/>
  <c r="O43" i="21" s="1"/>
  <c r="N44" i="21"/>
  <c r="O44" i="21" s="1"/>
  <c r="N45" i="21"/>
  <c r="O45" i="21" s="1"/>
  <c r="N38" i="21"/>
  <c r="O38" i="21" s="1"/>
  <c r="N39" i="21"/>
  <c r="O39" i="21" s="1"/>
  <c r="N55" i="21"/>
  <c r="O55" i="21" s="1"/>
  <c r="N47" i="21"/>
  <c r="O47" i="21" s="1"/>
  <c r="N52" i="21"/>
  <c r="O52" i="21" s="1"/>
  <c r="N42" i="21"/>
  <c r="O42" i="21" s="1"/>
  <c r="N51" i="21"/>
  <c r="O51" i="21" s="1"/>
  <c r="N41" i="21"/>
  <c r="O41" i="21" s="1"/>
  <c r="N53" i="21"/>
  <c r="O53" i="21" s="1"/>
  <c r="N56" i="21"/>
  <c r="O56" i="21" s="1"/>
  <c r="N46" i="21"/>
  <c r="O46" i="21" s="1"/>
  <c r="N54" i="21"/>
  <c r="O54" i="21" s="1"/>
  <c r="N40" i="21"/>
  <c r="O40" i="21" s="1"/>
  <c r="O63" i="21"/>
  <c r="M63" i="21"/>
  <c r="P63" i="21" s="1"/>
  <c r="O83" i="21"/>
  <c r="M83" i="21"/>
  <c r="P83" i="21" s="1"/>
  <c r="O82" i="21"/>
  <c r="M82" i="21"/>
  <c r="P82" i="21" s="1"/>
  <c r="O81" i="21"/>
  <c r="M81" i="21"/>
  <c r="P81" i="21" s="1"/>
  <c r="O64" i="21"/>
  <c r="M64" i="21"/>
  <c r="P64" i="21" s="1"/>
  <c r="O72" i="21"/>
  <c r="M72" i="21"/>
  <c r="P72" i="21" s="1"/>
  <c r="O69" i="21"/>
  <c r="M69" i="21"/>
  <c r="P69" i="21" s="1"/>
  <c r="O79" i="21"/>
  <c r="M79" i="21"/>
  <c r="P79" i="21" s="1"/>
  <c r="O67" i="21"/>
  <c r="M67" i="21"/>
  <c r="P67" i="21" s="1"/>
  <c r="O74" i="21"/>
  <c r="M74" i="21"/>
  <c r="P74" i="21" s="1"/>
  <c r="O80" i="21"/>
  <c r="M80" i="21"/>
  <c r="P80" i="21" s="1"/>
  <c r="O77" i="21"/>
  <c r="M77" i="21"/>
  <c r="P77" i="21" s="1"/>
  <c r="O70" i="21"/>
  <c r="M70" i="21"/>
  <c r="P70" i="21" s="1"/>
  <c r="O71" i="21"/>
  <c r="M71" i="21"/>
  <c r="P71" i="21" s="1"/>
  <c r="O78" i="21"/>
  <c r="M78" i="21"/>
  <c r="P78" i="21" s="1"/>
  <c r="O65" i="21"/>
  <c r="M65" i="21"/>
  <c r="P65" i="21" s="1"/>
  <c r="O76" i="21"/>
  <c r="M76" i="21"/>
  <c r="P76" i="21" s="1"/>
  <c r="O73" i="21"/>
  <c r="M73" i="21"/>
  <c r="P73" i="21" s="1"/>
  <c r="O75" i="21"/>
  <c r="M75" i="21"/>
  <c r="P75" i="21" s="1"/>
  <c r="O68" i="21"/>
  <c r="M68" i="21"/>
  <c r="P68" i="21" s="1"/>
  <c r="AB44" i="21" l="1"/>
  <c r="AE44" i="21" s="1"/>
  <c r="AD40" i="21"/>
  <c r="AB38" i="21"/>
  <c r="AE38" i="21" s="1"/>
  <c r="AB39" i="21"/>
  <c r="AE39" i="21" s="1"/>
  <c r="AB45" i="21"/>
  <c r="AE45" i="21" s="1"/>
  <c r="AD51" i="21"/>
  <c r="AB51" i="21"/>
  <c r="AE51" i="21" s="1"/>
  <c r="AD37" i="21"/>
  <c r="AB37" i="21"/>
  <c r="AE37" i="21" s="1"/>
  <c r="AB41" i="21"/>
  <c r="AE41" i="21" s="1"/>
  <c r="AD41" i="21"/>
  <c r="AB53" i="21"/>
  <c r="AE53" i="21" s="1"/>
  <c r="AD53" i="21"/>
  <c r="AD49" i="21"/>
  <c r="AB49" i="21"/>
  <c r="AE49" i="21" s="1"/>
  <c r="AB42" i="21"/>
  <c r="AE42" i="21" s="1"/>
  <c r="AD42" i="21"/>
  <c r="AD55" i="21"/>
  <c r="AB55" i="21"/>
  <c r="AE55" i="21" s="1"/>
  <c r="AB54" i="21"/>
  <c r="AE54" i="21" s="1"/>
  <c r="AD54" i="21"/>
  <c r="AB36" i="21"/>
  <c r="AE36" i="21" s="1"/>
  <c r="AD36" i="21"/>
  <c r="AD52" i="21"/>
  <c r="AB52" i="21"/>
  <c r="AE52" i="21" s="1"/>
  <c r="AD48" i="21"/>
  <c r="AB48" i="21"/>
  <c r="AE48" i="21" s="1"/>
  <c r="AB47" i="21"/>
  <c r="AE47" i="21" s="1"/>
  <c r="AD47" i="21"/>
  <c r="AD56" i="21"/>
  <c r="AB56" i="21"/>
  <c r="AE56" i="21" s="1"/>
  <c r="AB43" i="21"/>
  <c r="AE43" i="21" s="1"/>
  <c r="AD43" i="21"/>
  <c r="M35" i="21"/>
  <c r="P35" i="21" s="1"/>
  <c r="M45" i="21"/>
  <c r="P45" i="21" s="1"/>
  <c r="M36" i="21"/>
  <c r="P36" i="21" s="1"/>
  <c r="M48" i="21"/>
  <c r="P48" i="21" s="1"/>
  <c r="M38" i="21"/>
  <c r="P38" i="21" s="1"/>
  <c r="M52" i="21"/>
  <c r="P52" i="21" s="1"/>
  <c r="M43" i="21"/>
  <c r="P43" i="21" s="1"/>
  <c r="M49" i="21"/>
  <c r="P49" i="21" s="1"/>
  <c r="M39" i="21"/>
  <c r="P39" i="21" s="1"/>
  <c r="M56" i="21"/>
  <c r="P56" i="21" s="1"/>
  <c r="M41" i="21"/>
  <c r="P41" i="21" s="1"/>
  <c r="M42" i="21"/>
  <c r="P42" i="21" s="1"/>
  <c r="M55" i="21"/>
  <c r="P55" i="21" s="1"/>
  <c r="M53" i="21"/>
  <c r="P53" i="21" s="1"/>
  <c r="M54" i="21"/>
  <c r="P54" i="21" s="1"/>
  <c r="M46" i="21"/>
  <c r="P46" i="21" s="1"/>
  <c r="M40" i="21"/>
  <c r="P40" i="21" s="1"/>
  <c r="M37" i="21"/>
  <c r="P37" i="21" s="1"/>
  <c r="M47" i="21"/>
  <c r="P47" i="21" s="1"/>
  <c r="M50" i="21"/>
  <c r="P50" i="21" s="1"/>
  <c r="M44" i="21"/>
  <c r="P44" i="21" s="1"/>
  <c r="M51" i="21"/>
  <c r="P51" i="21" s="1"/>
  <c r="C31" i="15" l="1"/>
  <c r="C25" i="15" l="1"/>
  <c r="C28" i="15" s="1"/>
  <c r="C29" i="15" s="1"/>
  <c r="C30" i="15" s="1"/>
  <c r="C26" i="15"/>
  <c r="F5" i="15" l="1"/>
  <c r="F43" i="15"/>
  <c r="I43" i="15" s="1"/>
  <c r="F44" i="15"/>
  <c r="I44" i="15" s="1"/>
  <c r="F40" i="15"/>
  <c r="H40" i="15" s="1"/>
  <c r="F45" i="15"/>
  <c r="H45" i="15" s="1"/>
  <c r="F49" i="15"/>
  <c r="I49" i="15" s="1"/>
  <c r="F50" i="15"/>
  <c r="F46" i="15"/>
  <c r="H46" i="15" s="1"/>
  <c r="F41" i="15"/>
  <c r="I41" i="15" s="1"/>
  <c r="F42" i="15"/>
  <c r="H42" i="15" s="1"/>
  <c r="F47" i="15"/>
  <c r="I47" i="15" s="1"/>
  <c r="F48" i="15"/>
  <c r="C18" i="15"/>
  <c r="C27" i="15"/>
  <c r="G5" i="15" s="1"/>
  <c r="F38" i="15"/>
  <c r="F34" i="15"/>
  <c r="F30" i="15"/>
  <c r="F25" i="15"/>
  <c r="F24" i="15"/>
  <c r="H24" i="15" s="1"/>
  <c r="F23" i="15"/>
  <c r="F22" i="15"/>
  <c r="F18" i="15"/>
  <c r="F13" i="15"/>
  <c r="F39" i="15"/>
  <c r="F35" i="15"/>
  <c r="F31" i="15"/>
  <c r="G31" i="15" s="1"/>
  <c r="F26" i="15"/>
  <c r="H26" i="15" s="1"/>
  <c r="F19" i="15"/>
  <c r="F14" i="15"/>
  <c r="F36" i="15"/>
  <c r="I36" i="15" s="1"/>
  <c r="F32" i="15"/>
  <c r="F27" i="15"/>
  <c r="F20" i="15"/>
  <c r="F15" i="15"/>
  <c r="F11" i="15"/>
  <c r="I11" i="15" s="1"/>
  <c r="F10" i="15"/>
  <c r="F9" i="15"/>
  <c r="F8" i="15"/>
  <c r="G8" i="15" s="1"/>
  <c r="F7" i="15"/>
  <c r="F6" i="15"/>
  <c r="F37" i="15"/>
  <c r="F33" i="15"/>
  <c r="F29" i="15"/>
  <c r="F28" i="15"/>
  <c r="F21" i="15"/>
  <c r="F17" i="15"/>
  <c r="F16" i="15"/>
  <c r="F12" i="15"/>
  <c r="H43" i="15" l="1"/>
  <c r="I45" i="15"/>
  <c r="J43" i="15"/>
  <c r="K43" i="15" s="1"/>
  <c r="L43" i="15" s="1"/>
  <c r="M43" i="15" s="1"/>
  <c r="H44" i="15"/>
  <c r="J44" i="15" s="1"/>
  <c r="K44" i="15" s="1"/>
  <c r="L44" i="15" s="1"/>
  <c r="M44" i="15" s="1"/>
  <c r="G50" i="15"/>
  <c r="G12" i="15"/>
  <c r="H41" i="15"/>
  <c r="J41" i="15" s="1"/>
  <c r="K41" i="15" s="1"/>
  <c r="L41" i="15" s="1"/>
  <c r="M41" i="15" s="1"/>
  <c r="G48" i="15"/>
  <c r="G9" i="15"/>
  <c r="G16" i="15"/>
  <c r="G17" i="15"/>
  <c r="G49" i="15"/>
  <c r="G28" i="15"/>
  <c r="G45" i="15"/>
  <c r="G40" i="15"/>
  <c r="G47" i="15"/>
  <c r="G32" i="15"/>
  <c r="G23" i="15"/>
  <c r="G36" i="15"/>
  <c r="G41" i="15"/>
  <c r="G44" i="15"/>
  <c r="I48" i="15"/>
  <c r="J45" i="15"/>
  <c r="K45" i="15" s="1"/>
  <c r="L45" i="15" s="1"/>
  <c r="M45" i="15" s="1"/>
  <c r="G21" i="15"/>
  <c r="G42" i="15"/>
  <c r="G37" i="15"/>
  <c r="H47" i="15"/>
  <c r="J47" i="15" s="1"/>
  <c r="K47" i="15" s="1"/>
  <c r="L47" i="15" s="1"/>
  <c r="M47" i="15" s="1"/>
  <c r="H48" i="15"/>
  <c r="G15" i="15"/>
  <c r="G18" i="15"/>
  <c r="G29" i="15"/>
  <c r="G33" i="15"/>
  <c r="G25" i="15"/>
  <c r="H50" i="15"/>
  <c r="G46" i="15"/>
  <c r="G43" i="15"/>
  <c r="G10" i="15"/>
  <c r="G39" i="15"/>
  <c r="G20" i="15"/>
  <c r="G27" i="15"/>
  <c r="H49" i="15"/>
  <c r="J49" i="15" s="1"/>
  <c r="K49" i="15" s="1"/>
  <c r="L49" i="15" s="1"/>
  <c r="M49" i="15" s="1"/>
  <c r="G14" i="15"/>
  <c r="I40" i="15"/>
  <c r="J40" i="15" s="1"/>
  <c r="K40" i="15" s="1"/>
  <c r="L40" i="15" s="1"/>
  <c r="M40" i="15" s="1"/>
  <c r="G6" i="15"/>
  <c r="G7" i="15"/>
  <c r="G19" i="15"/>
  <c r="G34" i="15"/>
  <c r="I46" i="15"/>
  <c r="J46" i="15" s="1"/>
  <c r="K46" i="15" s="1"/>
  <c r="L46" i="15" s="1"/>
  <c r="M46" i="15" s="1"/>
  <c r="I50" i="15"/>
  <c r="I42" i="15"/>
  <c r="J42" i="15" s="1"/>
  <c r="K42" i="15" s="1"/>
  <c r="L42" i="15" s="1"/>
  <c r="M42" i="15" s="1"/>
  <c r="I27" i="15"/>
  <c r="G11" i="15"/>
  <c r="H19" i="15"/>
  <c r="G26" i="15"/>
  <c r="G35" i="15"/>
  <c r="G22" i="15"/>
  <c r="H39" i="15"/>
  <c r="G13" i="15"/>
  <c r="G24" i="15"/>
  <c r="G38" i="15"/>
  <c r="G30" i="15"/>
  <c r="H13" i="15"/>
  <c r="H38" i="15"/>
  <c r="H31" i="15"/>
  <c r="I31" i="15"/>
  <c r="I13" i="15"/>
  <c r="I24" i="15"/>
  <c r="J24" i="15" s="1"/>
  <c r="K24" i="15" s="1"/>
  <c r="L24" i="15" s="1"/>
  <c r="M24" i="15" s="1"/>
  <c r="I38" i="15"/>
  <c r="I7" i="15"/>
  <c r="I32" i="15"/>
  <c r="I9" i="15"/>
  <c r="H23" i="15"/>
  <c r="H34" i="15"/>
  <c r="I19" i="15"/>
  <c r="I8" i="15"/>
  <c r="H14" i="15"/>
  <c r="I20" i="15"/>
  <c r="I14" i="15"/>
  <c r="H22" i="15"/>
  <c r="H30" i="15"/>
  <c r="I30" i="15"/>
  <c r="I26" i="15"/>
  <c r="J26" i="15" s="1"/>
  <c r="K26" i="15" s="1"/>
  <c r="L26" i="15" s="1"/>
  <c r="M26" i="15" s="1"/>
  <c r="I22" i="15"/>
  <c r="H18" i="15"/>
  <c r="H25" i="15"/>
  <c r="I18" i="15"/>
  <c r="I6" i="15"/>
  <c r="I10" i="15"/>
  <c r="I15" i="15"/>
  <c r="H35" i="15"/>
  <c r="I39" i="15"/>
  <c r="I23" i="15"/>
  <c r="I35" i="15"/>
  <c r="I25" i="15"/>
  <c r="I34" i="15"/>
  <c r="H17" i="15"/>
  <c r="H37" i="15"/>
  <c r="H6" i="15"/>
  <c r="H10" i="15"/>
  <c r="H15" i="15"/>
  <c r="H20" i="15"/>
  <c r="I29" i="15"/>
  <c r="H28" i="15"/>
  <c r="H33" i="15"/>
  <c r="H7" i="15"/>
  <c r="H11" i="15"/>
  <c r="J11" i="15" s="1"/>
  <c r="K11" i="15" s="1"/>
  <c r="L11" i="15" s="1"/>
  <c r="M11" i="15" s="1"/>
  <c r="I16" i="15"/>
  <c r="I21" i="15"/>
  <c r="H36" i="15"/>
  <c r="J36" i="15" s="1"/>
  <c r="K36" i="15" s="1"/>
  <c r="L36" i="15" s="1"/>
  <c r="M36" i="15" s="1"/>
  <c r="I5" i="15"/>
  <c r="H16" i="15"/>
  <c r="H29" i="15"/>
  <c r="H8" i="15"/>
  <c r="I12" i="15"/>
  <c r="I17" i="15"/>
  <c r="H27" i="15"/>
  <c r="H32" i="15"/>
  <c r="I37" i="15"/>
  <c r="H12" i="15"/>
  <c r="H21" i="15"/>
  <c r="H5" i="15"/>
  <c r="H9" i="15"/>
  <c r="I28" i="15"/>
  <c r="I33" i="15"/>
  <c r="J35" i="15" l="1"/>
  <c r="K35" i="15" s="1"/>
  <c r="L35" i="15" s="1"/>
  <c r="M35" i="15" s="1"/>
  <c r="J48" i="15"/>
  <c r="K48" i="15" s="1"/>
  <c r="L48" i="15" s="1"/>
  <c r="M48" i="15" s="1"/>
  <c r="J19" i="15"/>
  <c r="K19" i="15" s="1"/>
  <c r="L19" i="15" s="1"/>
  <c r="M19" i="15" s="1"/>
  <c r="J10" i="15"/>
  <c r="K10" i="15" s="1"/>
  <c r="L10" i="15" s="1"/>
  <c r="M10" i="15" s="1"/>
  <c r="J5" i="15"/>
  <c r="K5" i="15" s="1"/>
  <c r="L5" i="15" s="1"/>
  <c r="M5" i="15" s="1"/>
  <c r="J50" i="15"/>
  <c r="K50" i="15" s="1"/>
  <c r="L50" i="15" s="1"/>
  <c r="M50" i="15" s="1"/>
  <c r="J27" i="15"/>
  <c r="K27" i="15" s="1"/>
  <c r="L27" i="15" s="1"/>
  <c r="M27" i="15" s="1"/>
  <c r="J38" i="15"/>
  <c r="K38" i="15" s="1"/>
  <c r="L38" i="15" s="1"/>
  <c r="M38" i="15" s="1"/>
  <c r="J39" i="15"/>
  <c r="K39" i="15" s="1"/>
  <c r="L39" i="15" s="1"/>
  <c r="M39" i="15" s="1"/>
  <c r="J32" i="15"/>
  <c r="K32" i="15" s="1"/>
  <c r="L32" i="15" s="1"/>
  <c r="M32" i="15" s="1"/>
  <c r="J23" i="15"/>
  <c r="K23" i="15" s="1"/>
  <c r="L23" i="15" s="1"/>
  <c r="M23" i="15" s="1"/>
  <c r="J13" i="15"/>
  <c r="K13" i="15" s="1"/>
  <c r="L13" i="15" s="1"/>
  <c r="M13" i="15" s="1"/>
  <c r="J31" i="15"/>
  <c r="K31" i="15" s="1"/>
  <c r="L31" i="15" s="1"/>
  <c r="M31" i="15" s="1"/>
  <c r="J9" i="15"/>
  <c r="K9" i="15" s="1"/>
  <c r="L9" i="15" s="1"/>
  <c r="M9" i="15" s="1"/>
  <c r="J8" i="15"/>
  <c r="K8" i="15" s="1"/>
  <c r="L8" i="15" s="1"/>
  <c r="M8" i="15" s="1"/>
  <c r="J7" i="15"/>
  <c r="K7" i="15" s="1"/>
  <c r="L7" i="15" s="1"/>
  <c r="M7" i="15" s="1"/>
  <c r="J16" i="15"/>
  <c r="K16" i="15" s="1"/>
  <c r="L16" i="15" s="1"/>
  <c r="M16" i="15" s="1"/>
  <c r="J22" i="15"/>
  <c r="K22" i="15" s="1"/>
  <c r="L22" i="15" s="1"/>
  <c r="M22" i="15" s="1"/>
  <c r="J20" i="15"/>
  <c r="K20" i="15" s="1"/>
  <c r="L20" i="15" s="1"/>
  <c r="M20" i="15" s="1"/>
  <c r="J30" i="15"/>
  <c r="K30" i="15" s="1"/>
  <c r="L30" i="15" s="1"/>
  <c r="M30" i="15" s="1"/>
  <c r="J34" i="15"/>
  <c r="K34" i="15" s="1"/>
  <c r="L34" i="15" s="1"/>
  <c r="M34" i="15" s="1"/>
  <c r="J14" i="15"/>
  <c r="K14" i="15" s="1"/>
  <c r="L14" i="15" s="1"/>
  <c r="M14" i="15" s="1"/>
  <c r="J25" i="15"/>
  <c r="K25" i="15" s="1"/>
  <c r="L25" i="15" s="1"/>
  <c r="M25" i="15" s="1"/>
  <c r="J15" i="15"/>
  <c r="K15" i="15" s="1"/>
  <c r="L15" i="15" s="1"/>
  <c r="M15" i="15" s="1"/>
  <c r="J18" i="15"/>
  <c r="K18" i="15" s="1"/>
  <c r="L18" i="15" s="1"/>
  <c r="M18" i="15" s="1"/>
  <c r="J6" i="15"/>
  <c r="K6" i="15" s="1"/>
  <c r="L6" i="15" s="1"/>
  <c r="M6" i="15" s="1"/>
  <c r="J21" i="15"/>
  <c r="K21" i="15" s="1"/>
  <c r="L21" i="15" s="1"/>
  <c r="M21" i="15" s="1"/>
  <c r="J28" i="15"/>
  <c r="K28" i="15" s="1"/>
  <c r="L28" i="15" s="1"/>
  <c r="M28" i="15" s="1"/>
  <c r="J37" i="15"/>
  <c r="K37" i="15" s="1"/>
  <c r="L37" i="15" s="1"/>
  <c r="M37" i="15" s="1"/>
  <c r="J12" i="15"/>
  <c r="K12" i="15" s="1"/>
  <c r="L12" i="15" s="1"/>
  <c r="M12" i="15" s="1"/>
  <c r="J29" i="15"/>
  <c r="K29" i="15" s="1"/>
  <c r="L29" i="15" s="1"/>
  <c r="M29" i="15" s="1"/>
  <c r="J33" i="15"/>
  <c r="K33" i="15" s="1"/>
  <c r="L33" i="15" s="1"/>
  <c r="M33" i="15" s="1"/>
  <c r="J17" i="15"/>
  <c r="K17" i="15" s="1"/>
  <c r="L17" i="15" s="1"/>
  <c r="M17" i="15" s="1"/>
</calcChain>
</file>

<file path=xl/sharedStrings.xml><?xml version="1.0" encoding="utf-8"?>
<sst xmlns="http://schemas.openxmlformats.org/spreadsheetml/2006/main" count="791" uniqueCount="216">
  <si>
    <t>m/s</t>
  </si>
  <si>
    <t>m</t>
  </si>
  <si>
    <t>m^2</t>
  </si>
  <si>
    <t>Characteristic</t>
  </si>
  <si>
    <t>Unit</t>
  </si>
  <si>
    <t>Value</t>
  </si>
  <si>
    <t>Nm</t>
  </si>
  <si>
    <t>ratio</t>
  </si>
  <si>
    <t>K factor</t>
  </si>
  <si>
    <t>Velocity</t>
  </si>
  <si>
    <t>Power</t>
  </si>
  <si>
    <t>(Watt)</t>
  </si>
  <si>
    <t>(m/s)</t>
  </si>
  <si>
    <t>kg/m^3</t>
  </si>
  <si>
    <t>Total</t>
  </si>
  <si>
    <t>Wire Thickness</t>
  </si>
  <si>
    <t>Re</t>
  </si>
  <si>
    <t>Re/(1-ε)</t>
  </si>
  <si>
    <t>fk</t>
  </si>
  <si>
    <t>Gap Width</t>
  </si>
  <si>
    <t>Wire Spacing</t>
  </si>
  <si>
    <t>Wires / metre</t>
  </si>
  <si>
    <t>Porosity</t>
  </si>
  <si>
    <t>ε</t>
  </si>
  <si>
    <t>Mesh Coef</t>
  </si>
  <si>
    <t>SA/V cylinder</t>
  </si>
  <si>
    <t>Sv</t>
  </si>
  <si>
    <t>Equ. Sperical Dia.</t>
  </si>
  <si>
    <t>Dp</t>
  </si>
  <si>
    <t>Flow Velocity</t>
  </si>
  <si>
    <t>Reynoldy Number</t>
  </si>
  <si>
    <t>Friction Coefficients</t>
  </si>
  <si>
    <t>Viscous Coefficient</t>
  </si>
  <si>
    <t>⍺</t>
  </si>
  <si>
    <t>Inertial Coefficient</t>
  </si>
  <si>
    <t>β</t>
  </si>
  <si>
    <t>Exponential Coef.</t>
  </si>
  <si>
    <t>γ</t>
  </si>
  <si>
    <t>Screen Thickness</t>
  </si>
  <si>
    <t>L</t>
  </si>
  <si>
    <t>ΔP</t>
  </si>
  <si>
    <t>mm</t>
  </si>
  <si>
    <t>Geometric Characteristic</t>
  </si>
  <si>
    <t>Wire screen loss calculations as outlined by Wu et Al</t>
  </si>
  <si>
    <t>I fk</t>
  </si>
  <si>
    <t>V fk</t>
  </si>
  <si>
    <t>Roughness (ε) Guide</t>
  </si>
  <si>
    <t>Material</t>
  </si>
  <si>
    <t>concrete (corase)</t>
  </si>
  <si>
    <t>concrete (smooth)</t>
  </si>
  <si>
    <t>drawn tubing</t>
  </si>
  <si>
    <t>glass &amp; plastic perspex</t>
  </si>
  <si>
    <t>cast iron</t>
  </si>
  <si>
    <t>sewers (old)</t>
  </si>
  <si>
    <t>steel (mortar lined)</t>
  </si>
  <si>
    <t>steel (rusted)</t>
  </si>
  <si>
    <t>steel (structural / forged)</t>
  </si>
  <si>
    <t>water mains (old)</t>
  </si>
  <si>
    <t>(ratio)</t>
  </si>
  <si>
    <t>(Pa)</t>
  </si>
  <si>
    <t>Screen Area</t>
  </si>
  <si>
    <t>A</t>
  </si>
  <si>
    <t>V</t>
  </si>
  <si>
    <t>Blockage</t>
  </si>
  <si>
    <t>1-ε</t>
  </si>
  <si>
    <t>Physical haracteristics</t>
  </si>
  <si>
    <t>spacing</t>
  </si>
  <si>
    <t>roughness</t>
  </si>
  <si>
    <t>relative roughness</t>
  </si>
  <si>
    <t>Viscous ΔP</t>
  </si>
  <si>
    <t>Darcy Factor</t>
  </si>
  <si>
    <t>wall thickness</t>
  </si>
  <si>
    <t>pitch</t>
  </si>
  <si>
    <t>ΔH</t>
  </si>
  <si>
    <t>(mm)</t>
  </si>
  <si>
    <t>(kW)</t>
  </si>
  <si>
    <t>Physical Properties</t>
  </si>
  <si>
    <t>kg / (m s)</t>
  </si>
  <si>
    <t>m^2 /s</t>
  </si>
  <si>
    <t>Inertial ΔP</t>
  </si>
  <si>
    <t>Flowrate</t>
  </si>
  <si>
    <r>
      <t>(m</t>
    </r>
    <r>
      <rPr>
        <b/>
        <vertAlign val="superscript"/>
        <sz val="12"/>
        <rFont val="Calibri (Body)"/>
      </rPr>
      <t>3</t>
    </r>
    <r>
      <rPr>
        <b/>
        <sz val="12"/>
        <rFont val="Calibri"/>
        <family val="2"/>
        <scheme val="minor"/>
      </rPr>
      <t>/s)</t>
    </r>
  </si>
  <si>
    <t>coefficient</t>
  </si>
  <si>
    <t>Actual Flow</t>
  </si>
  <si>
    <t>K total</t>
  </si>
  <si>
    <t>m^3</t>
  </si>
  <si>
    <t>hydraulic cylinder Cylinder (dc)</t>
  </si>
  <si>
    <t>Innocentini (1999) coefficients</t>
  </si>
  <si>
    <t>AStar Experimental Values</t>
  </si>
  <si>
    <t>Re Rough</t>
  </si>
  <si>
    <t>Factor 1</t>
  </si>
  <si>
    <t>Factor 2</t>
  </si>
  <si>
    <t>Chosen</t>
  </si>
  <si>
    <t>honeycomb thickness</t>
  </si>
  <si>
    <t>acceleration due to gravity</t>
  </si>
  <si>
    <t>m / s^2</t>
  </si>
  <si>
    <t>metres to milimetres</t>
  </si>
  <si>
    <t>Dimensions of YingYing's HC2 (made from  paper)</t>
  </si>
  <si>
    <t>Dimensions of YingYing's HC1 (3D printed)</t>
  </si>
  <si>
    <t>Pressure Loss in Honeycombs</t>
  </si>
  <si>
    <t>Eckert Fiction coefficients</t>
  </si>
  <si>
    <t>coefficient for Darcy term</t>
  </si>
  <si>
    <t>coefficient for Forchheimer term</t>
  </si>
  <si>
    <t>coefficient for particle size</t>
  </si>
  <si>
    <t>coefficient for particle diameter</t>
  </si>
  <si>
    <t>coefficient factor 2</t>
  </si>
  <si>
    <t>coefficient factor 1</t>
  </si>
  <si>
    <t>coefficient factor 1 exponent</t>
  </si>
  <si>
    <t>coefficient expoent</t>
  </si>
  <si>
    <t>Choice</t>
  </si>
  <si>
    <t>(text)</t>
  </si>
  <si>
    <t>Re choice limit</t>
  </si>
  <si>
    <t>Re lower limit</t>
  </si>
  <si>
    <t>Re upper limit</t>
  </si>
  <si>
    <t>porosity (𝛾)</t>
  </si>
  <si>
    <t>Darcy term (D)</t>
  </si>
  <si>
    <t>Forchheimer term (F)</t>
  </si>
  <si>
    <t>Dimensions Check</t>
  </si>
  <si>
    <t>wetted (tube) circumfrance</t>
  </si>
  <si>
    <t>wetted (tube) surface area</t>
  </si>
  <si>
    <t>wetted (tube) volume</t>
  </si>
  <si>
    <t>wetted (tube) cross section area</t>
  </si>
  <si>
    <t>hexagonal (cell) circumference</t>
  </si>
  <si>
    <t>hexagonal (cell) surface area</t>
  </si>
  <si>
    <t>hexagonal (cell) cross section area</t>
  </si>
  <si>
    <t>hexagonal (cell)  volume</t>
  </si>
  <si>
    <t>Innocentini (1999) metrics for tubular honeycomb</t>
  </si>
  <si>
    <t>60° staggered honeycomb</t>
  </si>
  <si>
    <t>total width</t>
  </si>
  <si>
    <t>total height</t>
  </si>
  <si>
    <t>total area</t>
  </si>
  <si>
    <t>tubular open area coefficient</t>
  </si>
  <si>
    <t>tubular porosity</t>
  </si>
  <si>
    <t>tubular blockage</t>
  </si>
  <si>
    <t>hexagonal porosity</t>
  </si>
  <si>
    <t>hexagonal blockage</t>
  </si>
  <si>
    <t>Innocentini (1999) metrics for hexagonal honeycomb</t>
  </si>
  <si>
    <t>coefficient for hydraulic diameter</t>
  </si>
  <si>
    <t>outer diameter</t>
  </si>
  <si>
    <t>hydraulic cylinder (dc)</t>
  </si>
  <si>
    <t>air density (ρ)</t>
  </si>
  <si>
    <t>air dynamic viscosity (μ)</t>
  </si>
  <si>
    <t>air kinematic viscosity (ν)</t>
  </si>
  <si>
    <t>water  density (ρ)</t>
  </si>
  <si>
    <t>water dynamic viscosity (μ)</t>
  </si>
  <si>
    <t>water kinematic viscosity (ν)</t>
  </si>
  <si>
    <t>Particle Size (dp) DON’T USE THIS</t>
  </si>
  <si>
    <t>particle Size (dp) DON’T USE THIS</t>
  </si>
  <si>
    <t>cell diameter (dc or dg) USE THIS</t>
  </si>
  <si>
    <t>K2 ⅹ density</t>
  </si>
  <si>
    <t>K1 ⅹ dynamic viscosity</t>
  </si>
  <si>
    <t>K1 viscous term</t>
  </si>
  <si>
    <t>K2 intertial term</t>
  </si>
  <si>
    <t>(some use 3.5)</t>
  </si>
  <si>
    <t>coefficient for K</t>
  </si>
  <si>
    <t>Idelchik</t>
  </si>
  <si>
    <t xml:space="preserve"> (Referenced by Eckart and Barlow)</t>
  </si>
  <si>
    <t>from 1966</t>
  </si>
  <si>
    <t>Innocentini</t>
  </si>
  <si>
    <t>from 1999</t>
  </si>
  <si>
    <t>(Referenced by YingYing)</t>
  </si>
  <si>
    <t>from 2019</t>
  </si>
  <si>
    <t>Porous Approximation</t>
  </si>
  <si>
    <t>Note: Edinburgh Designs used specific honeycombs to validate performanceThe honeycomb was tubular and arranged hexagonally Flow speed between 0.22 and 0.50 m/s. The Honeycomb tested had a tube diameter of between10 and 12mm and a honeycomb thickness of 150mm. The pressure coefficient (K) was around 0.8.</t>
  </si>
  <si>
    <t>Porous Approximation 10mm</t>
  </si>
  <si>
    <t>Porous Approximation 7mm</t>
  </si>
  <si>
    <t>Porosity (ε)</t>
  </si>
  <si>
    <t>Blockage (1-ε)</t>
  </si>
  <si>
    <t>Mesh Coef (Nm)</t>
  </si>
  <si>
    <t>SA/V cylinder (Sv)</t>
  </si>
  <si>
    <t>Equ. Sperical Dia. (Dp)</t>
  </si>
  <si>
    <t>Screen Thickness (L)</t>
  </si>
  <si>
    <t>Screen Area (A)</t>
  </si>
  <si>
    <t>Viscous</t>
  </si>
  <si>
    <t>Inertial</t>
  </si>
  <si>
    <t>qty</t>
  </si>
  <si>
    <t>Viscous Coefficient (⍺)</t>
  </si>
  <si>
    <t>Inertial Coefficient (β)</t>
  </si>
  <si>
    <t>Exponential Coefficient (γ)</t>
  </si>
  <si>
    <t>Wire Properties</t>
  </si>
  <si>
    <t>Graphing variables</t>
  </si>
  <si>
    <t>Start Velocity</t>
  </si>
  <si>
    <t>Growt rate</t>
  </si>
  <si>
    <t>Porous Baffle Pressure</t>
  </si>
  <si>
    <t>Length (L)</t>
  </si>
  <si>
    <t>Wire screen loss calculations</t>
  </si>
  <si>
    <t>as outlined by Wu et Al</t>
  </si>
  <si>
    <t xml:space="preserve"> Total ΔP</t>
  </si>
  <si>
    <t>Wu et al</t>
  </si>
  <si>
    <t>Kinematic ΔP</t>
  </si>
  <si>
    <t>OpenFOAM Validation</t>
  </si>
  <si>
    <t>K total / m</t>
  </si>
  <si>
    <t>ΔP / m</t>
  </si>
  <si>
    <t>ΔH / m</t>
  </si>
  <si>
    <t>Power / m</t>
  </si>
  <si>
    <t>Unit Values for a honeycomb with a tube length of 1m</t>
  </si>
  <si>
    <t>OpenFoam Forchheimer Factor</t>
  </si>
  <si>
    <t>Temp (℃)</t>
  </si>
  <si>
    <t>loss coefficient</t>
  </si>
  <si>
    <t>exponential coefficient</t>
  </si>
  <si>
    <t>square loss factor</t>
  </si>
  <si>
    <t>square area coefficient</t>
  </si>
  <si>
    <t>square open / total area</t>
  </si>
  <si>
    <t>staggerd (60deg) area coefficient</t>
  </si>
  <si>
    <t>staggerd (60deg) open / total area</t>
  </si>
  <si>
    <t>staggerd (60deg) loss factor</t>
  </si>
  <si>
    <t>Loss Calculations</t>
  </si>
  <si>
    <t>ΔP Square</t>
  </si>
  <si>
    <t>ΔP Staggered</t>
  </si>
  <si>
    <t>as outlined by Idlechik</t>
  </si>
  <si>
    <t>Hole Diameter (D)</t>
  </si>
  <si>
    <t>Hole Spacing (C)</t>
  </si>
  <si>
    <t>Power (Square)</t>
  </si>
  <si>
    <t>Power (Staggered)</t>
  </si>
  <si>
    <t>A-Star Simulation</t>
  </si>
  <si>
    <t>Actual Values for Specified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</si>
</sst>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E+00"/>
    <numFmt numFmtId="167" formatCode="0.00000E+00"/>
    <numFmt numFmtId="168" formatCode="0.00000"/>
    <numFmt numFmtId="169" formatCode="0.0000000"/>
    <numFmt numFmtId="170" formatCode="0.000E+00"/>
    <numFmt numFmtId="171" formatCode="0.0"/>
  </numFmts>
  <fonts count="30" x14ac:knownFonts="1">
    <font>
      <sz val="12"/>
      <name val="Times New Roman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vertAlign val="superscript"/>
      <sz val="12"/>
      <name val="Calibri (Body)"/>
    </font>
    <font>
      <sz val="12"/>
      <name val="Times New Roman"/>
      <family val="1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 (Body)"/>
    </font>
    <font>
      <sz val="12"/>
      <color theme="1"/>
      <name val="Calibri (Body)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2" fillId="0" borderId="0"/>
    <xf numFmtId="0" fontId="11" fillId="0" borderId="0"/>
    <xf numFmtId="0" fontId="8" fillId="0" borderId="0"/>
    <xf numFmtId="0" fontId="22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5">
    <xf numFmtId="0" fontId="0" fillId="0" borderId="0" xfId="0"/>
    <xf numFmtId="1" fontId="13" fillId="0" borderId="0" xfId="0" applyNumberFormat="1" applyFont="1"/>
    <xf numFmtId="2" fontId="13" fillId="0" borderId="0" xfId="0" applyNumberFormat="1" applyFont="1"/>
    <xf numFmtId="165" fontId="13" fillId="0" borderId="0" xfId="0" applyNumberFormat="1" applyFont="1"/>
    <xf numFmtId="164" fontId="13" fillId="0" borderId="0" xfId="0" applyNumberFormat="1" applyFont="1"/>
    <xf numFmtId="2" fontId="11" fillId="0" borderId="0" xfId="0" applyNumberFormat="1" applyFont="1"/>
    <xf numFmtId="1" fontId="11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/>
    <xf numFmtId="0" fontId="14" fillId="0" borderId="0" xfId="2" applyFont="1" applyAlignment="1">
      <alignment horizontal="center"/>
    </xf>
    <xf numFmtId="0" fontId="15" fillId="0" borderId="0" xfId="2" applyFont="1"/>
    <xf numFmtId="0" fontId="11" fillId="0" borderId="0" xfId="2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65" fontId="17" fillId="0" borderId="0" xfId="0" applyNumberFormat="1" applyFont="1"/>
    <xf numFmtId="2" fontId="17" fillId="0" borderId="0" xfId="0" applyNumberFormat="1" applyFont="1"/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164" fontId="17" fillId="0" borderId="0" xfId="0" applyNumberFormat="1" applyFont="1"/>
    <xf numFmtId="1" fontId="17" fillId="0" borderId="0" xfId="0" applyNumberFormat="1" applyFont="1"/>
    <xf numFmtId="2" fontId="11" fillId="0" borderId="0" xfId="2" applyNumberFormat="1" applyAlignment="1">
      <alignment horizontal="center" vertical="center"/>
    </xf>
    <xf numFmtId="164" fontId="11" fillId="0" borderId="0" xfId="2" applyNumberFormat="1" applyAlignment="1">
      <alignment horizontal="center" vertical="center"/>
    </xf>
    <xf numFmtId="164" fontId="11" fillId="0" borderId="0" xfId="2" applyNumberFormat="1"/>
    <xf numFmtId="11" fontId="11" fillId="0" borderId="0" xfId="2" applyNumberFormat="1"/>
    <xf numFmtId="167" fontId="11" fillId="0" borderId="0" xfId="2" applyNumberFormat="1"/>
    <xf numFmtId="164" fontId="11" fillId="0" borderId="0" xfId="2" applyNumberFormat="1" applyAlignment="1">
      <alignment horizontal="right"/>
    </xf>
    <xf numFmtId="2" fontId="11" fillId="0" borderId="0" xfId="2" applyNumberFormat="1"/>
    <xf numFmtId="166" fontId="11" fillId="0" borderId="0" xfId="0" applyNumberFormat="1" applyFont="1"/>
    <xf numFmtId="166" fontId="17" fillId="0" borderId="0" xfId="0" applyNumberFormat="1" applyFont="1"/>
    <xf numFmtId="166" fontId="13" fillId="0" borderId="0" xfId="0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2" fontId="10" fillId="0" borderId="0" xfId="2" applyNumberFormat="1" applyFont="1"/>
    <xf numFmtId="0" fontId="9" fillId="0" borderId="0" xfId="2" applyFont="1"/>
    <xf numFmtId="2" fontId="10" fillId="0" borderId="0" xfId="2" applyNumberFormat="1" applyFont="1" applyAlignment="1">
      <alignment horizontal="center"/>
    </xf>
    <xf numFmtId="164" fontId="9" fillId="0" borderId="0" xfId="2" applyNumberFormat="1" applyFont="1" applyAlignment="1">
      <alignment horizontal="left" vertical="center"/>
    </xf>
    <xf numFmtId="0" fontId="9" fillId="0" borderId="0" xfId="2" applyFont="1" applyAlignment="1">
      <alignment horizontal="center"/>
    </xf>
    <xf numFmtId="0" fontId="11" fillId="0" borderId="0" xfId="2" applyAlignment="1">
      <alignment horizontal="right"/>
    </xf>
    <xf numFmtId="164" fontId="11" fillId="0" borderId="0" xfId="2" applyNumberFormat="1" applyAlignment="1">
      <alignment horizontal="right" vertical="center"/>
    </xf>
    <xf numFmtId="11" fontId="11" fillId="0" borderId="0" xfId="2" applyNumberFormat="1" applyAlignment="1">
      <alignment horizontal="right" vertical="center"/>
    </xf>
    <xf numFmtId="165" fontId="11" fillId="0" borderId="0" xfId="2" applyNumberFormat="1" applyAlignment="1">
      <alignment horizontal="right"/>
    </xf>
    <xf numFmtId="2" fontId="11" fillId="0" borderId="0" xfId="2" applyNumberFormat="1" applyAlignment="1">
      <alignment horizontal="right"/>
    </xf>
    <xf numFmtId="11" fontId="11" fillId="0" borderId="0" xfId="2" applyNumberFormat="1" applyAlignment="1">
      <alignment horizontal="right"/>
    </xf>
    <xf numFmtId="165" fontId="10" fillId="0" borderId="0" xfId="2" applyNumberFormat="1" applyFont="1" applyAlignment="1">
      <alignment horizontal="right"/>
    </xf>
    <xf numFmtId="167" fontId="11" fillId="0" borderId="0" xfId="2" applyNumberFormat="1" applyAlignment="1">
      <alignment horizontal="right"/>
    </xf>
    <xf numFmtId="2" fontId="10" fillId="0" borderId="0" xfId="2" applyNumberFormat="1" applyFont="1" applyAlignment="1">
      <alignment horizontal="right"/>
    </xf>
    <xf numFmtId="11" fontId="21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/>
    </xf>
    <xf numFmtId="0" fontId="7" fillId="0" borderId="0" xfId="2" applyFont="1"/>
    <xf numFmtId="0" fontId="6" fillId="0" borderId="0" xfId="2" applyFont="1"/>
    <xf numFmtId="0" fontId="6" fillId="0" borderId="0" xfId="2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165" fontId="11" fillId="0" borderId="0" xfId="2" applyNumberFormat="1" applyAlignment="1">
      <alignment horizontal="right" vertical="center"/>
    </xf>
    <xf numFmtId="169" fontId="11" fillId="0" borderId="0" xfId="2" applyNumberFormat="1" applyAlignment="1">
      <alignment horizontal="right"/>
    </xf>
    <xf numFmtId="164" fontId="10" fillId="0" borderId="0" xfId="2" applyNumberFormat="1" applyFont="1" applyAlignment="1">
      <alignment horizontal="right"/>
    </xf>
    <xf numFmtId="2" fontId="11" fillId="0" borderId="0" xfId="2" applyNumberFormat="1" applyAlignment="1">
      <alignment horizontal="right" vertical="center"/>
    </xf>
    <xf numFmtId="1" fontId="11" fillId="0" borderId="0" xfId="2" applyNumberFormat="1" applyAlignment="1">
      <alignment horizontal="right" vertical="center"/>
    </xf>
    <xf numFmtId="11" fontId="6" fillId="0" borderId="0" xfId="2" applyNumberFormat="1" applyFont="1" applyAlignment="1">
      <alignment horizontal="right"/>
    </xf>
    <xf numFmtId="9" fontId="11" fillId="0" borderId="0" xfId="5" applyFont="1" applyAlignment="1">
      <alignment horizontal="right"/>
    </xf>
    <xf numFmtId="1" fontId="10" fillId="0" borderId="0" xfId="2" applyNumberFormat="1" applyFont="1" applyAlignment="1">
      <alignment horizontal="right"/>
    </xf>
    <xf numFmtId="1" fontId="11" fillId="0" borderId="0" xfId="2" applyNumberFormat="1" applyAlignment="1">
      <alignment horizontal="right"/>
    </xf>
    <xf numFmtId="164" fontId="13" fillId="0" borderId="0" xfId="2" applyNumberFormat="1" applyFont="1" applyAlignment="1">
      <alignment horizontal="left" vertical="center"/>
    </xf>
    <xf numFmtId="0" fontId="21" fillId="0" borderId="0" xfId="2" applyFont="1"/>
    <xf numFmtId="10" fontId="11" fillId="0" borderId="0" xfId="5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2" fontId="17" fillId="0" borderId="0" xfId="2" applyNumberFormat="1" applyFont="1" applyAlignment="1">
      <alignment horizontal="right"/>
    </xf>
    <xf numFmtId="2" fontId="13" fillId="0" borderId="0" xfId="2" applyNumberFormat="1" applyFont="1" applyAlignment="1">
      <alignment horizontal="right"/>
    </xf>
    <xf numFmtId="164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right"/>
    </xf>
    <xf numFmtId="1" fontId="13" fillId="0" borderId="0" xfId="2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164" fontId="13" fillId="0" borderId="0" xfId="2" applyNumberFormat="1" applyFont="1" applyAlignment="1">
      <alignment horizontal="right" vertical="center"/>
    </xf>
    <xf numFmtId="0" fontId="13" fillId="0" borderId="0" xfId="2" applyFont="1" applyAlignment="1">
      <alignment horizontal="right"/>
    </xf>
    <xf numFmtId="164" fontId="13" fillId="0" borderId="0" xfId="2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5" fillId="0" borderId="0" xfId="2" applyFont="1" applyAlignment="1">
      <alignment horizontal="left"/>
    </xf>
    <xf numFmtId="0" fontId="13" fillId="0" borderId="0" xfId="2" applyFont="1"/>
    <xf numFmtId="164" fontId="17" fillId="0" borderId="0" xfId="2" applyNumberFormat="1" applyFont="1" applyAlignment="1">
      <alignment horizontal="right"/>
    </xf>
    <xf numFmtId="0" fontId="17" fillId="0" borderId="0" xfId="2" applyFont="1" applyAlignment="1">
      <alignment horizontal="right"/>
    </xf>
    <xf numFmtId="0" fontId="17" fillId="0" borderId="0" xfId="2" applyFont="1"/>
    <xf numFmtId="0" fontId="5" fillId="0" borderId="0" xfId="2" applyFont="1" applyAlignment="1">
      <alignment horizontal="right"/>
    </xf>
    <xf numFmtId="164" fontId="5" fillId="0" borderId="0" xfId="2" applyNumberFormat="1" applyFont="1" applyAlignment="1">
      <alignment horizontal="right"/>
    </xf>
    <xf numFmtId="0" fontId="25" fillId="0" borderId="0" xfId="2" applyFont="1"/>
    <xf numFmtId="164" fontId="11" fillId="0" borderId="0" xfId="2" applyNumberFormat="1" applyAlignment="1">
      <alignment horizontal="right" vertical="top"/>
    </xf>
    <xf numFmtId="168" fontId="5" fillId="0" borderId="0" xfId="2" applyNumberFormat="1" applyFont="1" applyAlignment="1">
      <alignment horizontal="right"/>
    </xf>
    <xf numFmtId="2" fontId="26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2" fontId="27" fillId="0" borderId="0" xfId="0" applyNumberFormat="1" applyFont="1"/>
    <xf numFmtId="1" fontId="27" fillId="0" borderId="0" xfId="0" applyNumberFormat="1" applyFont="1"/>
    <xf numFmtId="165" fontId="27" fillId="0" borderId="0" xfId="0" applyNumberFormat="1" applyFont="1"/>
    <xf numFmtId="164" fontId="27" fillId="0" borderId="0" xfId="0" applyNumberFormat="1" applyFont="1"/>
    <xf numFmtId="166" fontId="27" fillId="0" borderId="0" xfId="0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11" fillId="0" borderId="0" xfId="2" applyNumberFormat="1"/>
    <xf numFmtId="1" fontId="11" fillId="0" borderId="0" xfId="2" applyNumberFormat="1"/>
    <xf numFmtId="0" fontId="14" fillId="0" borderId="0" xfId="2" applyFont="1"/>
    <xf numFmtId="1" fontId="3" fillId="0" borderId="0" xfId="2" applyNumberFormat="1" applyFont="1" applyAlignment="1">
      <alignment horizontal="right"/>
    </xf>
    <xf numFmtId="164" fontId="3" fillId="0" borderId="0" xfId="2" applyNumberFormat="1" applyFont="1" applyAlignment="1">
      <alignment horizontal="left" vertical="center"/>
    </xf>
    <xf numFmtId="170" fontId="17" fillId="0" borderId="0" xfId="0" applyNumberFormat="1" applyFont="1"/>
    <xf numFmtId="170" fontId="11" fillId="0" borderId="0" xfId="2" applyNumberFormat="1"/>
    <xf numFmtId="0" fontId="2" fillId="2" borderId="0" xfId="6" applyAlignment="1">
      <alignment horizontal="right"/>
    </xf>
    <xf numFmtId="0" fontId="2" fillId="4" borderId="0" xfId="8" applyAlignment="1">
      <alignment horizontal="right"/>
    </xf>
    <xf numFmtId="0" fontId="2" fillId="3" borderId="0" xfId="7" applyAlignment="1">
      <alignment horizontal="right"/>
    </xf>
    <xf numFmtId="0" fontId="2" fillId="6" borderId="0" xfId="10"/>
    <xf numFmtId="0" fontId="2" fillId="5" borderId="0" xfId="9"/>
    <xf numFmtId="11" fontId="17" fillId="0" borderId="0" xfId="0" applyNumberFormat="1" applyFont="1"/>
    <xf numFmtId="2" fontId="28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2" fontId="29" fillId="0" borderId="0" xfId="0" applyNumberFormat="1" applyFont="1"/>
    <xf numFmtId="1" fontId="29" fillId="0" borderId="0" xfId="0" applyNumberFormat="1" applyFont="1"/>
    <xf numFmtId="165" fontId="29" fillId="0" borderId="0" xfId="0" applyNumberFormat="1" applyFont="1"/>
    <xf numFmtId="164" fontId="29" fillId="0" borderId="0" xfId="0" applyNumberFormat="1" applyFont="1"/>
    <xf numFmtId="166" fontId="29" fillId="0" borderId="0" xfId="0" applyNumberFormat="1" applyFont="1"/>
    <xf numFmtId="0" fontId="5" fillId="0" borderId="0" xfId="2" applyFont="1" applyAlignment="1">
      <alignment horizontal="left" wrapText="1"/>
    </xf>
    <xf numFmtId="171" fontId="11" fillId="0" borderId="0" xfId="2" applyNumberFormat="1" applyAlignment="1">
      <alignment horizontal="right" vertical="center"/>
    </xf>
  </cellXfs>
  <cellStyles count="11">
    <cellStyle name="20% - Accent1" xfId="6" builtinId="30"/>
    <cellStyle name="20% - Accent2" xfId="7" builtinId="34"/>
    <cellStyle name="20% - Accent3" xfId="8" builtinId="38"/>
    <cellStyle name="20% - Accent4" xfId="9" builtinId="42"/>
    <cellStyle name="20% - Accent5" xfId="10" builtinId="46"/>
    <cellStyle name="Hyperlink 2" xfId="4" xr:uid="{84C5FC50-D195-8349-88C7-588FA6599261}"/>
    <cellStyle name="Normal" xfId="0" builtinId="0"/>
    <cellStyle name="Normal 2" xfId="1" xr:uid="{00000000-0005-0000-0000-000002000000}"/>
    <cellStyle name="Normal 3" xfId="2" xr:uid="{10B03A3C-5A35-A74C-9FF9-136ED6999651}"/>
    <cellStyle name="Normal 4" xfId="3" xr:uid="{899A2450-14EB-614F-BF2B-F6C5FAC50DD8}"/>
    <cellStyle name="Per 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screen'!$N$5:$N$26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screen'!$P$5:$P$26</c:f>
              <c:numCache>
                <c:formatCode>0.0E+00</c:formatCode>
                <c:ptCount val="22"/>
                <c:pt idx="0">
                  <c:v>4.5962849454224373E-5</c:v>
                </c:pt>
                <c:pt idx="1">
                  <c:v>5.1273343179567509E-4</c:v>
                </c:pt>
                <c:pt idx="2">
                  <c:v>3.4734192872971758E-3</c:v>
                </c:pt>
                <c:pt idx="3">
                  <c:v>2.4727075776274431E-2</c:v>
                </c:pt>
                <c:pt idx="4">
                  <c:v>0.18141355244056259</c:v>
                </c:pt>
                <c:pt idx="5">
                  <c:v>0.34600522819621077</c:v>
                </c:pt>
                <c:pt idx="6">
                  <c:v>1.3539996073817959</c:v>
                </c:pt>
                <c:pt idx="7">
                  <c:v>2.5919678764551501</c:v>
                </c:pt>
                <c:pt idx="8">
                  <c:v>6.9101330689630425</c:v>
                </c:pt>
                <c:pt idx="9">
                  <c:v>14.386149334706188</c:v>
                </c:pt>
                <c:pt idx="10">
                  <c:v>19.567382098227014</c:v>
                </c:pt>
                <c:pt idx="11">
                  <c:v>63.969356384017765</c:v>
                </c:pt>
                <c:pt idx="12">
                  <c:v>284.88108494640244</c:v>
                </c:pt>
                <c:pt idx="13">
                  <c:v>1126.9041441037975</c:v>
                </c:pt>
                <c:pt idx="14">
                  <c:v>2165.2893162138334</c:v>
                </c:pt>
                <c:pt idx="15">
                  <c:v>7095.5595849712627</c:v>
                </c:pt>
                <c:pt idx="16">
                  <c:v>16473.202039816613</c:v>
                </c:pt>
                <c:pt idx="17">
                  <c:v>21775.821399944012</c:v>
                </c:pt>
                <c:pt idx="18">
                  <c:v>28094.509971277716</c:v>
                </c:pt>
                <c:pt idx="19">
                  <c:v>31661.625227810146</c:v>
                </c:pt>
                <c:pt idx="20">
                  <c:v>44121.665674905256</c:v>
                </c:pt>
                <c:pt idx="21">
                  <c:v>53999.695674408511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A-8D4C-B03B-5076A65AC6DD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screen'!$K$31:$K$52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screen'!$M$31:$M$52</c:f>
              <c:numCache>
                <c:formatCode>0.0E+00</c:formatCode>
                <c:ptCount val="22"/>
                <c:pt idx="0">
                  <c:v>7.5255232000000022E-6</c:v>
                </c:pt>
                <c:pt idx="1">
                  <c:v>6.5002300000000006E-5</c:v>
                </c:pt>
                <c:pt idx="2">
                  <c:v>3.7979440000000017E-4</c:v>
                </c:pt>
                <c:pt idx="3">
                  <c:v>2.4774592000000005E-3</c:v>
                </c:pt>
                <c:pt idx="4">
                  <c:v>1.7576089600000008E-2</c:v>
                </c:pt>
                <c:pt idx="5">
                  <c:v>3.34519E-2</c:v>
                </c:pt>
                <c:pt idx="6">
                  <c:v>0.13163438080000003</c:v>
                </c:pt>
                <c:pt idx="7">
                  <c:v>0.25359280000000006</c:v>
                </c:pt>
                <c:pt idx="8">
                  <c:v>0.68486508159999993</c:v>
                </c:pt>
                <c:pt idx="9">
                  <c:v>1.4426071488000005</c:v>
                </c:pt>
                <c:pt idx="10">
                  <c:v>1.9726528000000003</c:v>
                </c:pt>
                <c:pt idx="11">
                  <c:v>6.5946023999999994</c:v>
                </c:pt>
                <c:pt idx="12">
                  <c:v>30.296860000000009</c:v>
                </c:pt>
                <c:pt idx="13">
                  <c:v>123.55747840000002</c:v>
                </c:pt>
                <c:pt idx="14">
                  <c:v>240.97264000000001</c:v>
                </c:pt>
                <c:pt idx="15">
                  <c:v>811.70514000000026</c:v>
                </c:pt>
                <c:pt idx="16">
                  <c:v>1922.1721600000003</c:v>
                </c:pt>
                <c:pt idx="17">
                  <c:v>2557.7324608000004</c:v>
                </c:pt>
                <c:pt idx="18">
                  <c:v>3319.8981120000008</c:v>
                </c:pt>
                <c:pt idx="19">
                  <c:v>3752.0515000000005</c:v>
                </c:pt>
                <c:pt idx="20">
                  <c:v>5270.0429824000003</c:v>
                </c:pt>
                <c:pt idx="21">
                  <c:v>6481.0209600000007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9-8447-A7E3-F52DE2E7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66180555147192"/>
          <c:y val="0.76239975230106682"/>
          <c:w val="0.36720824978291594"/>
          <c:h val="0.128927970276128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honeycomb'!$AE$8:$AE$29</c:f>
              <c:numCache>
                <c:formatCode>0</c:formatCode>
                <c:ptCount val="22"/>
                <c:pt idx="0">
                  <c:v>2.4038662188890481E-4</c:v>
                </c:pt>
                <c:pt idx="1">
                  <c:v>1.8061354573090404E-3</c:v>
                </c:pt>
                <c:pt idx="2">
                  <c:v>1.3576081876730697E-2</c:v>
                </c:pt>
                <c:pt idx="3">
                  <c:v>0.10209233930156271</c:v>
                </c:pt>
                <c:pt idx="4">
                  <c:v>0.19548604378956783</c:v>
                </c:pt>
                <c:pt idx="5">
                  <c:v>0.76809921406986492</c:v>
                </c:pt>
                <c:pt idx="6">
                  <c:v>1.4830919848201192</c:v>
                </c:pt>
                <c:pt idx="7">
                  <c:v>2.5627829497691659</c:v>
                </c:pt>
                <c:pt idx="8">
                  <c:v>4.0696044063464063</c:v>
                </c:pt>
                <c:pt idx="9">
                  <c:v>8.649392455470938</c:v>
                </c:pt>
                <c:pt idx="10">
                  <c:v>11.864735878560953</c:v>
                </c:pt>
                <c:pt idx="11">
                  <c:v>40.043483590143225</c:v>
                </c:pt>
                <c:pt idx="12">
                  <c:v>185.38649810251491</c:v>
                </c:pt>
                <c:pt idx="13">
                  <c:v>759.34309622790101</c:v>
                </c:pt>
                <c:pt idx="14">
                  <c:v>1483.0919848201193</c:v>
                </c:pt>
                <c:pt idx="15">
                  <c:v>5005.435448767902</c:v>
                </c:pt>
                <c:pt idx="16">
                  <c:v>11864.735878560954</c:v>
                </c:pt>
                <c:pt idx="17">
                  <c:v>15791.96345436463</c:v>
                </c:pt>
                <c:pt idx="18">
                  <c:v>20502.263598153331</c:v>
                </c:pt>
                <c:pt idx="19">
                  <c:v>23173.312262814361</c:v>
                </c:pt>
                <c:pt idx="20">
                  <c:v>32556.835250771259</c:v>
                </c:pt>
                <c:pt idx="21">
                  <c:v>40043.483590143216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2-E34D-9739-DE523039909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honeycomb'!$AE$35:$AE$56</c:f>
              <c:numCache>
                <c:formatCode>0</c:formatCode>
                <c:ptCount val="22"/>
                <c:pt idx="0">
                  <c:v>4.279729042836812E-2</c:v>
                </c:pt>
                <c:pt idx="1">
                  <c:v>0.33011602241292792</c:v>
                </c:pt>
                <c:pt idx="2">
                  <c:v>2.5918789752473543</c:v>
                </c:pt>
                <c:pt idx="3">
                  <c:v>20.538834985754566</c:v>
                </c:pt>
                <c:pt idx="4">
                  <c:v>40.038272700214272</c:v>
                </c:pt>
                <c:pt idx="5">
                  <c:v>163.52589262113941</c:v>
                </c:pt>
                <c:pt idx="6">
                  <c:v>319.0799515003124</c:v>
                </c:pt>
                <c:pt idx="7">
                  <c:v>2547.7346915968928</c:v>
                </c:pt>
                <c:pt idx="8">
                  <c:v>20362.257851152714</c:v>
                </c:pt>
                <c:pt idx="9">
                  <c:v>39762.370927398886</c:v>
                </c:pt>
                <c:pt idx="10">
                  <c:v>162819.58408273204</c:v>
                </c:pt>
                <c:pt idx="11">
                  <c:v>317976.34440905089</c:v>
                </c:pt>
                <c:pt idx="12">
                  <c:v>549427.80771191954</c:v>
                </c:pt>
                <c:pt idx="13">
                  <c:v>872430.95261848567</c:v>
                </c:pt>
                <c:pt idx="14">
                  <c:v>1073032.2114941392</c:v>
                </c:pt>
                <c:pt idx="15">
                  <c:v>1854120.2017513015</c:v>
                </c:pt>
                <c:pt idx="16">
                  <c:v>2543320.2632318465</c:v>
                </c:pt>
                <c:pt idx="17">
                  <c:v>3385099.9208246805</c:v>
                </c:pt>
                <c:pt idx="18">
                  <c:v>4394716.1531569501</c:v>
                </c:pt>
                <c:pt idx="19">
                  <c:v>4967230.7906713579</c:v>
                </c:pt>
                <c:pt idx="20">
                  <c:v>6978486.2565483879</c:v>
                </c:pt>
                <c:pt idx="21">
                  <c:v>8583154.0848618541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2-E34D-9739-DE523039909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honeycomb'!$AE$62:$AE$83</c:f>
              <c:numCache>
                <c:formatCode>0</c:formatCode>
                <c:ptCount val="22"/>
                <c:pt idx="0">
                  <c:v>4.3081706250000008E-4</c:v>
                </c:pt>
                <c:pt idx="1">
                  <c:v>3.0458964999999999E-3</c:v>
                </c:pt>
                <c:pt idx="2">
                  <c:v>2.2764612000000004E-2</c:v>
                </c:pt>
                <c:pt idx="3">
                  <c:v>0.17570665600000004</c:v>
                </c:pt>
                <c:pt idx="4">
                  <c:v>0.34067306250000001</c:v>
                </c:pt>
                <c:pt idx="5">
                  <c:v>1.3800122880000003</c:v>
                </c:pt>
                <c:pt idx="6">
                  <c:v>2.6853205</c:v>
                </c:pt>
                <c:pt idx="7">
                  <c:v>21.322308</c:v>
                </c:pt>
                <c:pt idx="8">
                  <c:v>169.93744000000001</c:v>
                </c:pt>
                <c:pt idx="9">
                  <c:v>331.6586625000001</c:v>
                </c:pt>
                <c:pt idx="10">
                  <c:v>1356.9354239999998</c:v>
                </c:pt>
                <c:pt idx="11">
                  <c:v>2649.2629000000006</c:v>
                </c:pt>
                <c:pt idx="12">
                  <c:v>4576.7724479999997</c:v>
                </c:pt>
                <c:pt idx="13">
                  <c:v>7266.4363800000001</c:v>
                </c:pt>
                <c:pt idx="14">
                  <c:v>8936.7550874999997</c:v>
                </c:pt>
                <c:pt idx="15">
                  <c:v>15440.116644</c:v>
                </c:pt>
                <c:pt idx="16">
                  <c:v>21178.077600000001</c:v>
                </c:pt>
                <c:pt idx="17">
                  <c:v>28186.082187999997</c:v>
                </c:pt>
                <c:pt idx="18">
                  <c:v>36591.10272000001</c:v>
                </c:pt>
                <c:pt idx="19">
                  <c:v>41357.172812500001</c:v>
                </c:pt>
                <c:pt idx="20">
                  <c:v>58100.080863999996</c:v>
                </c:pt>
                <c:pt idx="21">
                  <c:v>71457.983100000012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2-E34D-9739-DE523039909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honeycomb'!$AE$89:$AE$110</c:f>
              <c:numCache>
                <c:formatCode>0</c:formatCode>
                <c:ptCount val="22"/>
                <c:pt idx="0">
                  <c:v>4.4329468750000007E-4</c:v>
                </c:pt>
                <c:pt idx="1">
                  <c:v>3.1457175000000007E-3</c:v>
                </c:pt>
                <c:pt idx="2">
                  <c:v>2.3563180000000006E-2</c:v>
                </c:pt>
                <c:pt idx="3">
                  <c:v>0.18209520000000007</c:v>
                </c:pt>
                <c:pt idx="4">
                  <c:v>0.35315068750000006</c:v>
                </c:pt>
                <c:pt idx="5">
                  <c:v>1.4311206400000005</c:v>
                </c:pt>
                <c:pt idx="6">
                  <c:v>2.7851415000000004</c:v>
                </c:pt>
                <c:pt idx="7">
                  <c:v>22.120876000000003</c:v>
                </c:pt>
                <c:pt idx="8">
                  <c:v>176.32598400000003</c:v>
                </c:pt>
                <c:pt idx="9">
                  <c:v>344.13628750000009</c:v>
                </c:pt>
                <c:pt idx="10">
                  <c:v>1408.043776</c:v>
                </c:pt>
                <c:pt idx="11">
                  <c:v>2749.083900000001</c:v>
                </c:pt>
                <c:pt idx="12">
                  <c:v>4749.2631360000005</c:v>
                </c:pt>
                <c:pt idx="13">
                  <c:v>7540.3452040000002</c:v>
                </c:pt>
                <c:pt idx="14">
                  <c:v>9273.6509625000017</c:v>
                </c:pt>
                <c:pt idx="15">
                  <c:v>16022.272716000001</c:v>
                </c:pt>
                <c:pt idx="16">
                  <c:v>21976.645600000011</c:v>
                </c:pt>
                <c:pt idx="17">
                  <c:v>29248.976196000007</c:v>
                </c:pt>
                <c:pt idx="18">
                  <c:v>37971.028224000009</c:v>
                </c:pt>
                <c:pt idx="19">
                  <c:v>42916.875937500008</c:v>
                </c:pt>
                <c:pt idx="20">
                  <c:v>60291.351456000019</c:v>
                </c:pt>
                <c:pt idx="21">
                  <c:v>74153.150100000013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2-E34D-9739-DE523039909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honeycomb'!$AE$116:$AE$137</c:f>
              <c:numCache>
                <c:formatCode>0</c:formatCode>
                <c:ptCount val="22"/>
                <c:pt idx="0">
                  <c:v>2.0647406250001534E-3</c:v>
                </c:pt>
                <c:pt idx="1">
                  <c:v>9.5067250000006164E-3</c:v>
                </c:pt>
                <c:pt idx="2">
                  <c:v>4.8009000000002466E-2</c:v>
                </c:pt>
                <c:pt idx="3">
                  <c:v>0.27189280000000987</c:v>
                </c:pt>
                <c:pt idx="4">
                  <c:v>0.48722062500001534</c:v>
                </c:pt>
                <c:pt idx="5">
                  <c:v>1.7264256000000393</c:v>
                </c:pt>
                <c:pt idx="6">
                  <c:v>3.1966450000000615</c:v>
                </c:pt>
                <c:pt idx="7">
                  <c:v>22.768680000000248</c:v>
                </c:pt>
                <c:pt idx="8">
                  <c:v>170.93152000000097</c:v>
                </c:pt>
                <c:pt idx="9">
                  <c:v>329.46862500000157</c:v>
                </c:pt>
                <c:pt idx="10">
                  <c:v>1322.5804800000039</c:v>
                </c:pt>
                <c:pt idx="11">
                  <c:v>2565.6370000000061</c:v>
                </c:pt>
                <c:pt idx="12">
                  <c:v>4413.2284800000098</c:v>
                </c:pt>
                <c:pt idx="13">
                  <c:v>6985.1401200000118</c:v>
                </c:pt>
                <c:pt idx="14">
                  <c:v>8580.1488750000171</c:v>
                </c:pt>
                <c:pt idx="15">
                  <c:v>14781.064680000018</c:v>
                </c:pt>
                <c:pt idx="16">
                  <c:v>20244.648000000027</c:v>
                </c:pt>
                <c:pt idx="17">
                  <c:v>26911.692280000028</c:v>
                </c:pt>
                <c:pt idx="18">
                  <c:v>34901.982720000044</c:v>
                </c:pt>
                <c:pt idx="19">
                  <c:v>39430.778125000048</c:v>
                </c:pt>
                <c:pt idx="20">
                  <c:v>55331.442880000053</c:v>
                </c:pt>
                <c:pt idx="21">
                  <c:v>68010.183000000063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12-E34D-9739-DE523039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honeycomb'!$AB$8:$AB$29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C-D640-BB93-4D39D5174FCD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honeycomb'!$AB$62:$AB$83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5C-D640-BB93-4D39D5174FCD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honeycomb'!$AB$89:$AB$110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C-D640-BB93-4D39D5174FCD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honeycomb'!$AB$116:$AB$137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5C-D640-BB93-4D39D51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honeycomb'!$AB$8:$AB$29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6-DF40-9EDC-322AF31FC311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honeycomb'!$AB$62:$AB$83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6-DF40-9EDC-322AF31FC311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honeycomb'!$AB$89:$AB$110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6-DF40-9EDC-322AF31FC311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honeycomb'!$AB$116:$AB$137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6-DF40-9EDC-322AF31F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honeycomb'!$N$8:$N$29</c:f>
              <c:numCache>
                <c:formatCode>0.0</c:formatCode>
                <c:ptCount val="22"/>
                <c:pt idx="0">
                  <c:v>-1.1867566802417395</c:v>
                </c:pt>
                <c:pt idx="1">
                  <c:v>-4.5473951997447903</c:v>
                </c:pt>
                <c:pt idx="2">
                  <c:v>-17.444529617175313</c:v>
                </c:pt>
                <c:pt idx="3">
                  <c:v>-66.997489136675313</c:v>
                </c:pt>
                <c:pt idx="4">
                  <c:v>-103.34775943280854</c:v>
                </c:pt>
                <c:pt idx="5">
                  <c:v>-257.61228093064074</c:v>
                </c:pt>
                <c:pt idx="6">
                  <c:v>-399.60013171991477</c:v>
                </c:pt>
                <c:pt idx="7">
                  <c:v>-575.4241896766772</c:v>
                </c:pt>
                <c:pt idx="8">
                  <c:v>-783.21625817103279</c:v>
                </c:pt>
                <c:pt idx="9">
                  <c:v>-1294.7044267725239</c:v>
                </c:pt>
                <c:pt idx="10">
                  <c:v>-1598.4005268796591</c:v>
                </c:pt>
                <c:pt idx="11">
                  <c:v>-3596.4011854792329</c:v>
                </c:pt>
                <c:pt idx="12">
                  <c:v>-9990.0032929978697</c:v>
                </c:pt>
                <c:pt idx="13">
                  <c:v>-25574.408430074545</c:v>
                </c:pt>
                <c:pt idx="14">
                  <c:v>-39960.013171991479</c:v>
                </c:pt>
                <c:pt idx="15">
                  <c:v>-89910.02963698082</c:v>
                </c:pt>
                <c:pt idx="16">
                  <c:v>-159840.05268796592</c:v>
                </c:pt>
                <c:pt idx="17">
                  <c:v>-193406.46375243875</c:v>
                </c:pt>
                <c:pt idx="18">
                  <c:v>-230169.67587067091</c:v>
                </c:pt>
                <c:pt idx="19">
                  <c:v>-249750.08232494674</c:v>
                </c:pt>
                <c:pt idx="20">
                  <c:v>-313286.50326841319</c:v>
                </c:pt>
                <c:pt idx="21">
                  <c:v>-359640.11854792328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B-4D46-8EB3-E681DC6B9977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honeycomb'!$N$62:$N$83</c:f>
              <c:numCache>
                <c:formatCode>0</c:formatCode>
                <c:ptCount val="22"/>
                <c:pt idx="0">
                  <c:v>-1.2924511875000002</c:v>
                </c:pt>
                <c:pt idx="1">
                  <c:v>-4.5688447500000002</c:v>
                </c:pt>
                <c:pt idx="2">
                  <c:v>-17.073459</c:v>
                </c:pt>
                <c:pt idx="3">
                  <c:v>-65.889996000000011</c:v>
                </c:pt>
                <c:pt idx="4">
                  <c:v>-102.20191875</c:v>
                </c:pt>
                <c:pt idx="5">
                  <c:v>-258.75230400000004</c:v>
                </c:pt>
                <c:pt idx="6">
                  <c:v>-402.79807499999998</c:v>
                </c:pt>
                <c:pt idx="7">
                  <c:v>-1599.1731</c:v>
                </c:pt>
                <c:pt idx="8">
                  <c:v>-6372.6539999999995</c:v>
                </c:pt>
                <c:pt idx="9">
                  <c:v>-9949.7598750000016</c:v>
                </c:pt>
                <c:pt idx="10">
                  <c:v>-25442.539199999996</c:v>
                </c:pt>
                <c:pt idx="11">
                  <c:v>-39738.943500000001</c:v>
                </c:pt>
                <c:pt idx="12">
                  <c:v>-57209.655599999991</c:v>
                </c:pt>
                <c:pt idx="13">
                  <c:v>-77854.675499999998</c:v>
                </c:pt>
                <c:pt idx="14">
                  <c:v>-89367.550875000001</c:v>
                </c:pt>
                <c:pt idx="15">
                  <c:v>-128667.6387</c:v>
                </c:pt>
                <c:pt idx="16">
                  <c:v>-158835.58200000002</c:v>
                </c:pt>
                <c:pt idx="17">
                  <c:v>-192177.83309999999</c:v>
                </c:pt>
                <c:pt idx="18">
                  <c:v>-228694.39199999999</c:v>
                </c:pt>
                <c:pt idx="19">
                  <c:v>-248143.03687499999</c:v>
                </c:pt>
                <c:pt idx="20">
                  <c:v>-311250.43319999997</c:v>
                </c:pt>
                <c:pt idx="21">
                  <c:v>-357289.9155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B-4D46-8EB3-E681DC6B9977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honeycomb'!$N$89:$N$110</c:f>
              <c:numCache>
                <c:formatCode>0</c:formatCode>
                <c:ptCount val="22"/>
                <c:pt idx="0">
                  <c:v>-1.3298840625000001</c:v>
                </c:pt>
                <c:pt idx="1">
                  <c:v>-4.7185762500000008</c:v>
                </c:pt>
                <c:pt idx="2">
                  <c:v>-17.672385000000002</c:v>
                </c:pt>
                <c:pt idx="3">
                  <c:v>-68.28570000000002</c:v>
                </c:pt>
                <c:pt idx="4">
                  <c:v>-105.94520625000001</c:v>
                </c:pt>
                <c:pt idx="5">
                  <c:v>-268.33512000000007</c:v>
                </c:pt>
                <c:pt idx="6">
                  <c:v>-417.77122500000002</c:v>
                </c:pt>
                <c:pt idx="7">
                  <c:v>-1659.0657000000003</c:v>
                </c:pt>
                <c:pt idx="8">
                  <c:v>-6612.224400000001</c:v>
                </c:pt>
                <c:pt idx="9">
                  <c:v>-10324.088625000002</c:v>
                </c:pt>
                <c:pt idx="10">
                  <c:v>-26400.820800000001</c:v>
                </c:pt>
                <c:pt idx="11">
                  <c:v>-41236.258500000011</c:v>
                </c:pt>
                <c:pt idx="12">
                  <c:v>-59365.789199999999</c:v>
                </c:pt>
                <c:pt idx="13">
                  <c:v>-80789.412899999996</c:v>
                </c:pt>
                <c:pt idx="14">
                  <c:v>-92736.509625000006</c:v>
                </c:pt>
                <c:pt idx="15">
                  <c:v>-133518.9393</c:v>
                </c:pt>
                <c:pt idx="16">
                  <c:v>-164824.84200000003</c:v>
                </c:pt>
                <c:pt idx="17">
                  <c:v>-199424.83770000003</c:v>
                </c:pt>
                <c:pt idx="18">
                  <c:v>-237318.92640000003</c:v>
                </c:pt>
                <c:pt idx="19">
                  <c:v>-257501.25562500005</c:v>
                </c:pt>
                <c:pt idx="20">
                  <c:v>-322989.38280000002</c:v>
                </c:pt>
                <c:pt idx="21">
                  <c:v>-370765.75050000002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B-4D46-8EB3-E681DC6B9977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honeycomb'!$N$116:$N$137</c:f>
              <c:numCache>
                <c:formatCode>0</c:formatCode>
                <c:ptCount val="22"/>
                <c:pt idx="0">
                  <c:v>-6.1942218750004603</c:v>
                </c:pt>
                <c:pt idx="1">
                  <c:v>-14.260087500000921</c:v>
                </c:pt>
                <c:pt idx="2">
                  <c:v>-36.006750000001844</c:v>
                </c:pt>
                <c:pt idx="3">
                  <c:v>-101.9598000000037</c:v>
                </c:pt>
                <c:pt idx="4">
                  <c:v>-146.16618750000458</c:v>
                </c:pt>
                <c:pt idx="5">
                  <c:v>-323.70480000000737</c:v>
                </c:pt>
                <c:pt idx="6">
                  <c:v>-479.49675000000917</c:v>
                </c:pt>
                <c:pt idx="7">
                  <c:v>-1707.6510000000185</c:v>
                </c:pt>
                <c:pt idx="8">
                  <c:v>-6409.9320000000362</c:v>
                </c:pt>
                <c:pt idx="9">
                  <c:v>-9884.0587500000456</c:v>
                </c:pt>
                <c:pt idx="10">
                  <c:v>-24798.384000000075</c:v>
                </c:pt>
                <c:pt idx="11">
                  <c:v>-38484.555000000095</c:v>
                </c:pt>
                <c:pt idx="12">
                  <c:v>-55165.356000000116</c:v>
                </c:pt>
                <c:pt idx="13">
                  <c:v>-74840.787000000128</c:v>
                </c:pt>
                <c:pt idx="14">
                  <c:v>-85801.48875000015</c:v>
                </c:pt>
                <c:pt idx="15">
                  <c:v>-123175.53900000015</c:v>
                </c:pt>
                <c:pt idx="16">
                  <c:v>-151834.86000000016</c:v>
                </c:pt>
                <c:pt idx="17">
                  <c:v>-183488.81100000019</c:v>
                </c:pt>
                <c:pt idx="18">
                  <c:v>-218137.39200000025</c:v>
                </c:pt>
                <c:pt idx="19">
                  <c:v>-236584.66875000024</c:v>
                </c:pt>
                <c:pt idx="20">
                  <c:v>-296418.44400000025</c:v>
                </c:pt>
                <c:pt idx="21">
                  <c:v>-340050.91500000027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DB-4D46-8EB3-E681DC6B9977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honeycomb'!$H$145:$H$152</c:f>
              <c:numCache>
                <c:formatCode>0.00</c:formatCode>
                <c:ptCount val="8"/>
                <c:pt idx="0">
                  <c:v>-139.39100000000002</c:v>
                </c:pt>
                <c:pt idx="1">
                  <c:v>-457.99900000000002</c:v>
                </c:pt>
                <c:pt idx="2">
                  <c:v>-935.91099999999994</c:v>
                </c:pt>
                <c:pt idx="3">
                  <c:v>-1612.953</c:v>
                </c:pt>
                <c:pt idx="4">
                  <c:v>-2479.1685000000002</c:v>
                </c:pt>
                <c:pt idx="5">
                  <c:v>-3544.5140000000001</c:v>
                </c:pt>
                <c:pt idx="6">
                  <c:v>-4808.9894999999997</c:v>
                </c:pt>
                <c:pt idx="7">
                  <c:v>-6272.5949999999993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DB-4D46-8EB3-E681DC6B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Change (Pa)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1915341367851"/>
          <c:y val="5.8344827156765353E-2"/>
          <c:w val="0.25539130441793095"/>
          <c:h val="0.2161723203876067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11.51131762209965</c:v>
                </c:pt>
                <c:pt idx="1">
                  <c:v>8.2184459269400225</c:v>
                </c:pt>
                <c:pt idx="2">
                  <c:v>6.9592957139222698</c:v>
                </c:pt>
                <c:pt idx="3">
                  <c:v>6.1928541530024805</c:v>
                </c:pt>
                <c:pt idx="4">
                  <c:v>5.679339531529016</c:v>
                </c:pt>
                <c:pt idx="5">
                  <c:v>5.5460110108487921</c:v>
                </c:pt>
                <c:pt idx="6">
                  <c:v>5.2985453625340746</c:v>
                </c:pt>
                <c:pt idx="7">
                  <c:v>5.1932316375414986</c:v>
                </c:pt>
                <c:pt idx="8">
                  <c:v>5.0455717110910188</c:v>
                </c:pt>
                <c:pt idx="9">
                  <c:v>4.9423685594423166</c:v>
                </c:pt>
                <c:pt idx="10">
                  <c:v>4.9006176301146587</c:v>
                </c:pt>
                <c:pt idx="11">
                  <c:v>4.7469679158299112</c:v>
                </c:pt>
                <c:pt idx="12">
                  <c:v>4.5662709842041647</c:v>
                </c:pt>
                <c:pt idx="13">
                  <c:v>4.409862967617495</c:v>
                </c:pt>
                <c:pt idx="14">
                  <c:v>4.3383442686685845</c:v>
                </c:pt>
                <c:pt idx="15">
                  <c:v>4.2123160961654769</c:v>
                </c:pt>
                <c:pt idx="16">
                  <c:v>4.1256854869758399</c:v>
                </c:pt>
                <c:pt idx="17">
                  <c:v>4.0974586809306786</c:v>
                </c:pt>
                <c:pt idx="18">
                  <c:v>4.0718879229117739</c:v>
                </c:pt>
                <c:pt idx="19">
                  <c:v>4.059955349234829</c:v>
                </c:pt>
                <c:pt idx="20">
                  <c:v>4.0270394570151975</c:v>
                </c:pt>
                <c:pt idx="21">
                  <c:v>4.0071502563224106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2-4041-90D2-DDF57F39F552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1.8847545105739276</c:v>
                </c:pt>
                <c:pt idx="1">
                  <c:v>1.0419018042295709</c:v>
                </c:pt>
                <c:pt idx="2">
                  <c:v>0.76095090211478544</c:v>
                </c:pt>
                <c:pt idx="3">
                  <c:v>0.62047545105739266</c:v>
                </c:pt>
                <c:pt idx="4">
                  <c:v>0.55023772552869643</c:v>
                </c:pt>
                <c:pt idx="5">
                  <c:v>0.53619018042295707</c:v>
                </c:pt>
                <c:pt idx="6">
                  <c:v>0.51511886276434815</c:v>
                </c:pt>
                <c:pt idx="7">
                  <c:v>0.50809509021147858</c:v>
                </c:pt>
                <c:pt idx="8">
                  <c:v>0.50006792157962754</c:v>
                </c:pt>
                <c:pt idx="9">
                  <c:v>0.49560838345082148</c:v>
                </c:pt>
                <c:pt idx="10">
                  <c:v>0.49404754510573934</c:v>
                </c:pt>
                <c:pt idx="11">
                  <c:v>0.48936503007049292</c:v>
                </c:pt>
                <c:pt idx="12">
                  <c:v>0.48561901804229579</c:v>
                </c:pt>
                <c:pt idx="13">
                  <c:v>0.48351188627643488</c:v>
                </c:pt>
                <c:pt idx="14">
                  <c:v>0.48280950902114789</c:v>
                </c:pt>
                <c:pt idx="15">
                  <c:v>0.48187300601409871</c:v>
                </c:pt>
                <c:pt idx="16">
                  <c:v>0.48140475451057402</c:v>
                </c:pt>
                <c:pt idx="17">
                  <c:v>0.48127704955506728</c:v>
                </c:pt>
                <c:pt idx="18">
                  <c:v>0.48117062875881172</c:v>
                </c:pt>
                <c:pt idx="19">
                  <c:v>0.48112380360845924</c:v>
                </c:pt>
                <c:pt idx="20">
                  <c:v>0.4810033960789814</c:v>
                </c:pt>
                <c:pt idx="21">
                  <c:v>0.48093650300704938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2-4041-90D2-DDF57F39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77117726890107"/>
          <c:y val="3.4260222651798192E-2"/>
          <c:w val="0.30802614289260744"/>
          <c:h val="0.107193283019291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11.51131762209965</c:v>
                </c:pt>
                <c:pt idx="1">
                  <c:v>8.2184459269400225</c:v>
                </c:pt>
                <c:pt idx="2">
                  <c:v>6.9592957139222698</c:v>
                </c:pt>
                <c:pt idx="3">
                  <c:v>6.1928541530024805</c:v>
                </c:pt>
                <c:pt idx="4">
                  <c:v>5.679339531529016</c:v>
                </c:pt>
                <c:pt idx="5">
                  <c:v>5.5460110108487921</c:v>
                </c:pt>
                <c:pt idx="6">
                  <c:v>5.2985453625340746</c:v>
                </c:pt>
                <c:pt idx="7">
                  <c:v>5.1932316375414986</c:v>
                </c:pt>
                <c:pt idx="8">
                  <c:v>5.0455717110910188</c:v>
                </c:pt>
                <c:pt idx="9">
                  <c:v>4.9423685594423166</c:v>
                </c:pt>
                <c:pt idx="10">
                  <c:v>4.9006176301146587</c:v>
                </c:pt>
                <c:pt idx="11">
                  <c:v>4.7469679158299112</c:v>
                </c:pt>
                <c:pt idx="12">
                  <c:v>4.5662709842041647</c:v>
                </c:pt>
                <c:pt idx="13">
                  <c:v>4.409862967617495</c:v>
                </c:pt>
                <c:pt idx="14">
                  <c:v>4.3383442686685845</c:v>
                </c:pt>
                <c:pt idx="15">
                  <c:v>4.2123160961654769</c:v>
                </c:pt>
                <c:pt idx="16">
                  <c:v>4.1256854869758399</c:v>
                </c:pt>
                <c:pt idx="17">
                  <c:v>4.0974586809306786</c:v>
                </c:pt>
                <c:pt idx="18">
                  <c:v>4.0718879229117739</c:v>
                </c:pt>
                <c:pt idx="19">
                  <c:v>4.059955349234829</c:v>
                </c:pt>
                <c:pt idx="20">
                  <c:v>4.0270394570151975</c:v>
                </c:pt>
                <c:pt idx="21">
                  <c:v>4.0071502563224106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5-C048-8386-59BDC9C8D19A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1.8847545105739276</c:v>
                </c:pt>
                <c:pt idx="1">
                  <c:v>1.0419018042295709</c:v>
                </c:pt>
                <c:pt idx="2">
                  <c:v>0.76095090211478544</c:v>
                </c:pt>
                <c:pt idx="3">
                  <c:v>0.62047545105739266</c:v>
                </c:pt>
                <c:pt idx="4">
                  <c:v>0.55023772552869643</c:v>
                </c:pt>
                <c:pt idx="5">
                  <c:v>0.53619018042295707</c:v>
                </c:pt>
                <c:pt idx="6">
                  <c:v>0.51511886276434815</c:v>
                </c:pt>
                <c:pt idx="7">
                  <c:v>0.50809509021147858</c:v>
                </c:pt>
                <c:pt idx="8">
                  <c:v>0.50006792157962754</c:v>
                </c:pt>
                <c:pt idx="9">
                  <c:v>0.49560838345082148</c:v>
                </c:pt>
                <c:pt idx="10">
                  <c:v>0.49404754510573934</c:v>
                </c:pt>
                <c:pt idx="11">
                  <c:v>0.48936503007049292</c:v>
                </c:pt>
                <c:pt idx="12">
                  <c:v>0.48561901804229579</c:v>
                </c:pt>
                <c:pt idx="13">
                  <c:v>0.48351188627643488</c:v>
                </c:pt>
                <c:pt idx="14">
                  <c:v>0.48280950902114789</c:v>
                </c:pt>
                <c:pt idx="15">
                  <c:v>0.48187300601409871</c:v>
                </c:pt>
                <c:pt idx="16">
                  <c:v>0.48140475451057402</c:v>
                </c:pt>
                <c:pt idx="17">
                  <c:v>0.48127704955506728</c:v>
                </c:pt>
                <c:pt idx="18">
                  <c:v>0.48117062875881172</c:v>
                </c:pt>
                <c:pt idx="19">
                  <c:v>0.48112380360845924</c:v>
                </c:pt>
                <c:pt idx="20">
                  <c:v>0.4810033960789814</c:v>
                </c:pt>
                <c:pt idx="21">
                  <c:v>0.48093650300704938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5-C048-8386-59BDC9C8D19A}"/>
            </c:ext>
          </c:extLst>
        </c:ser>
        <c:ser>
          <c:idx val="2"/>
          <c:order val="2"/>
          <c:tx>
            <c:strRef>
              <c:f>'ΔP screen'!$F$56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3"/>
            <c:spPr>
              <a:ln w="22225">
                <a:solidFill>
                  <a:srgbClr val="00B0F0"/>
                </a:solidFill>
              </a:ln>
            </c:spPr>
          </c:marker>
          <c:xVal>
            <c:numRef>
              <c:f>'ΔP screen'!$F$59:$F$66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screen'!$I$59:$I$66</c:f>
              <c:numCache>
                <c:formatCode>0.00</c:formatCode>
                <c:ptCount val="8"/>
                <c:pt idx="0">
                  <c:v>0.54879999999999995</c:v>
                </c:pt>
                <c:pt idx="1">
                  <c:v>0.52200000000000002</c:v>
                </c:pt>
                <c:pt idx="2">
                  <c:v>0.50666666666666671</c:v>
                </c:pt>
                <c:pt idx="3">
                  <c:v>0.4995</c:v>
                </c:pt>
                <c:pt idx="4">
                  <c:v>0.496</c:v>
                </c:pt>
                <c:pt idx="5">
                  <c:v>0.4933333333333334</c:v>
                </c:pt>
                <c:pt idx="6">
                  <c:v>0.49142857142857138</c:v>
                </c:pt>
                <c:pt idx="7">
                  <c:v>0.48875000000000002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A-554D-9DD3-E94982F5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5131978759715"/>
          <c:y val="3.5429198804953994E-2"/>
          <c:w val="0.29191443743060846"/>
          <c:h val="0.170675801317537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'ΔP screen (Wu) proof'!$G$5:$G$50</c:f>
              <c:numCache>
                <c:formatCode>0</c:formatCode>
                <c:ptCount val="46"/>
                <c:pt idx="0">
                  <c:v>1.5012799859373076E-2</c:v>
                </c:pt>
                <c:pt idx="1">
                  <c:v>2.116804780171604E-2</c:v>
                </c:pt>
                <c:pt idx="2">
                  <c:v>2.9846947400419613E-2</c:v>
                </c:pt>
                <c:pt idx="3">
                  <c:v>4.2084195834591651E-2</c:v>
                </c:pt>
                <c:pt idx="4">
                  <c:v>5.9338716126774216E-2</c:v>
                </c:pt>
                <c:pt idx="5">
                  <c:v>8.3667589738751658E-2</c:v>
                </c:pt>
                <c:pt idx="6">
                  <c:v>0.11797130153163983</c:v>
                </c:pt>
                <c:pt idx="7">
                  <c:v>0.16633953515961211</c:v>
                </c:pt>
                <c:pt idx="8">
                  <c:v>0.23453874457505308</c:v>
                </c:pt>
                <c:pt idx="9">
                  <c:v>0.33069962985082485</c:v>
                </c:pt>
                <c:pt idx="10">
                  <c:v>0.46628647808966295</c:v>
                </c:pt>
                <c:pt idx="11">
                  <c:v>0.65746393410642479</c:v>
                </c:pt>
                <c:pt idx="12">
                  <c:v>0.92702414709005865</c:v>
                </c:pt>
                <c:pt idx="13">
                  <c:v>1.3071040473969828</c:v>
                </c:pt>
                <c:pt idx="14">
                  <c:v>1.8430167068297463</c:v>
                </c:pt>
                <c:pt idx="15">
                  <c:v>2.5986535566299418</c:v>
                </c:pt>
                <c:pt idx="16">
                  <c:v>3.6641015148482174</c:v>
                </c:pt>
                <c:pt idx="17">
                  <c:v>5.1663831359359857</c:v>
                </c:pt>
                <c:pt idx="18">
                  <c:v>7.2846002216697405</c:v>
                </c:pt>
                <c:pt idx="19">
                  <c:v>10.271286312554331</c:v>
                </c:pt>
                <c:pt idx="20">
                  <c:v>14.48251370070161</c:v>
                </c:pt>
                <c:pt idx="21">
                  <c:v>20.420344317989269</c:v>
                </c:pt>
                <c:pt idx="22">
                  <c:v>28.792685488364864</c:v>
                </c:pt>
                <c:pt idx="23">
                  <c:v>40.597686538594452</c:v>
                </c:pt>
                <c:pt idx="24">
                  <c:v>57.242738019418169</c:v>
                </c:pt>
                <c:pt idx="25">
                  <c:v>80.712260607379633</c:v>
                </c:pt>
                <c:pt idx="26">
                  <c:v>113.80428745640525</c:v>
                </c:pt>
                <c:pt idx="27">
                  <c:v>160.46404531353141</c:v>
                </c:pt>
                <c:pt idx="28">
                  <c:v>226.25430389207929</c:v>
                </c:pt>
                <c:pt idx="29">
                  <c:v>319.01856848783171</c:v>
                </c:pt>
                <c:pt idx="30">
                  <c:v>449.81618156784276</c:v>
                </c:pt>
                <c:pt idx="31">
                  <c:v>750.63999296865381</c:v>
                </c:pt>
                <c:pt idx="32">
                  <c:v>1058.4023900858019</c:v>
                </c:pt>
                <c:pt idx="33">
                  <c:v>1492.3473700209804</c:v>
                </c:pt>
                <c:pt idx="34">
                  <c:v>2104.2097917295823</c:v>
                </c:pt>
                <c:pt idx="35">
                  <c:v>2966.9358063387103</c:v>
                </c:pt>
                <c:pt idx="36">
                  <c:v>4183.3794869375815</c:v>
                </c:pt>
                <c:pt idx="37">
                  <c:v>5898.5650765819892</c:v>
                </c:pt>
                <c:pt idx="38">
                  <c:v>8316.976757980603</c:v>
                </c:pt>
                <c:pt idx="39">
                  <c:v>11726.937228752649</c:v>
                </c:pt>
                <c:pt idx="40">
                  <c:v>16534.981492541236</c:v>
                </c:pt>
                <c:pt idx="41">
                  <c:v>23314.323904483143</c:v>
                </c:pt>
                <c:pt idx="42">
                  <c:v>32873.196705321221</c:v>
                </c:pt>
                <c:pt idx="43">
                  <c:v>46351.20735450292</c:v>
                </c:pt>
                <c:pt idx="44">
                  <c:v>65355.202369849118</c:v>
                </c:pt>
                <c:pt idx="45">
                  <c:v>92150.835341487254</c:v>
                </c:pt>
              </c:numCache>
            </c:numRef>
          </c:xVal>
          <c:yVal>
            <c:numRef>
              <c:f>'ΔP screen (Wu) proof'!$J$5:$J$50</c:f>
              <c:numCache>
                <c:formatCode>0.000</c:formatCode>
                <c:ptCount val="46"/>
                <c:pt idx="0">
                  <c:v>16654.733699606761</c:v>
                </c:pt>
                <c:pt idx="1">
                  <c:v>11812.475096244438</c:v>
                </c:pt>
                <c:pt idx="2">
                  <c:v>8378.2345024807546</c:v>
                </c:pt>
                <c:pt idx="3">
                  <c:v>5942.5885944394122</c:v>
                </c:pt>
                <c:pt idx="4">
                  <c:v>4215.1662119357516</c:v>
                </c:pt>
                <c:pt idx="5">
                  <c:v>2990.0303536365013</c:v>
                </c:pt>
                <c:pt idx="6">
                  <c:v>2121.1264005723974</c:v>
                </c:pt>
                <c:pt idx="7">
                  <c:v>1504.8695086954904</c:v>
                </c:pt>
                <c:pt idx="8">
                  <c:v>1067.7952418938246</c:v>
                </c:pt>
                <c:pt idx="9">
                  <c:v>757.80115568520091</c:v>
                </c:pt>
                <c:pt idx="10">
                  <c:v>537.93515444231548</c:v>
                </c:pt>
                <c:pt idx="11">
                  <c:v>381.99007098069035</c:v>
                </c:pt>
                <c:pt idx="12">
                  <c:v>271.37925491464159</c:v>
                </c:pt>
                <c:pt idx="13">
                  <c:v>192.920677870118</c:v>
                </c:pt>
                <c:pt idx="14">
                  <c:v>137.26537689399984</c:v>
                </c:pt>
                <c:pt idx="15">
                  <c:v>97.782875307794527</c:v>
                </c:pt>
                <c:pt idx="16">
                  <c:v>69.770701039722894</c:v>
                </c:pt>
                <c:pt idx="17">
                  <c:v>49.893761324552322</c:v>
                </c:pt>
                <c:pt idx="18">
                  <c:v>35.786736104049879</c:v>
                </c:pt>
                <c:pt idx="19">
                  <c:v>25.772087527254961</c:v>
                </c:pt>
                <c:pt idx="20">
                  <c:v>18.660066684753083</c:v>
                </c:pt>
                <c:pt idx="21">
                  <c:v>13.606874409701799</c:v>
                </c:pt>
                <c:pt idx="22">
                  <c:v>10.014066097912096</c:v>
                </c:pt>
                <c:pt idx="23">
                  <c:v>7.457207605354772</c:v>
                </c:pt>
                <c:pt idx="24">
                  <c:v>5.635276590727571</c:v>
                </c:pt>
                <c:pt idx="25">
                  <c:v>4.3347769397023947</c:v>
                </c:pt>
                <c:pt idx="26">
                  <c:v>3.404287998949548</c:v>
                </c:pt>
                <c:pt idx="27">
                  <c:v>2.7364143845449447</c:v>
                </c:pt>
                <c:pt idx="28">
                  <c:v>2.2549844247627844</c:v>
                </c:pt>
                <c:pt idx="29">
                  <c:v>1.905971038672122</c:v>
                </c:pt>
                <c:pt idx="30">
                  <c:v>1.6510526401941767</c:v>
                </c:pt>
                <c:pt idx="31">
                  <c:v>1.3892123897729922</c:v>
                </c:pt>
                <c:pt idx="32">
                  <c:v>1.2669150774046694</c:v>
                </c:pt>
                <c:pt idx="33">
                  <c:v>1.1733915146604119</c:v>
                </c:pt>
                <c:pt idx="34">
                  <c:v>1.1004384525496729</c:v>
                </c:pt>
                <c:pt idx="35">
                  <c:v>1.0422340416101505</c:v>
                </c:pt>
                <c:pt idx="36">
                  <c:v>0.99464546322535075</c:v>
                </c:pt>
                <c:pt idx="37">
                  <c:v>0.95473788571611984</c:v>
                </c:pt>
                <c:pt idx="38">
                  <c:v>0.92042620401499542</c:v>
                </c:pt>
                <c:pt idx="39">
                  <c:v>0.89022804434676472</c:v>
                </c:pt>
                <c:pt idx="40">
                  <c:v>0.86308858811490963</c:v>
                </c:pt>
                <c:pt idx="41">
                  <c:v>0.83825633144636025</c:v>
                </c:pt>
                <c:pt idx="42">
                  <c:v>0.81519496936665026</c:v>
                </c:pt>
                <c:pt idx="43">
                  <c:v>0.79352090032917599</c:v>
                </c:pt>
                <c:pt idx="44">
                  <c:v>0.77295890125601907</c:v>
                </c:pt>
                <c:pt idx="45">
                  <c:v>0.75331068951292857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C-CD48-96EE-097C24CE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logBase val="10"/>
          <c:orientation val="minMax"/>
          <c:max val="1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Re/(1-ε)</a:t>
                </a:r>
              </a:p>
            </c:rich>
          </c:tx>
          <c:overlay val="0"/>
        </c:title>
        <c:numFmt formatCode="0.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.1"/>
        <c:crossBetween val="midCat"/>
      </c:valAx>
      <c:valAx>
        <c:axId val="1846353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</a:t>
                </a:r>
                <a:r>
                  <a:rPr lang="en-GB" baseline="-25000"/>
                  <a:t>k</a:t>
                </a:r>
              </a:p>
            </c:rich>
          </c:tx>
          <c:overlay val="0"/>
        </c:title>
        <c:numFmt formatCode="0.E+0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perforated'!$K$5</c:f>
              <c:strCache>
                <c:ptCount val="1"/>
                <c:pt idx="0">
                  <c:v>Power (Staggered)</c:v>
                </c:pt>
              </c:strCache>
            </c:strRef>
          </c:tx>
          <c:marker>
            <c:symbol val="none"/>
          </c:marker>
          <c:xVal>
            <c:numRef>
              <c:f>'ΔP perforated'!$I$7:$I$28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perforated'!$K$7:$K$28</c:f>
              <c:numCache>
                <c:formatCode>0.00E+00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120454.95271368721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5C43-A7B7-758FFA63C94F}"/>
            </c:ext>
          </c:extLst>
        </c:ser>
        <c:ser>
          <c:idx val="2"/>
          <c:order val="1"/>
          <c:tx>
            <c:strRef>
              <c:f>'ΔP perforated'!$J$5</c:f>
              <c:strCache>
                <c:ptCount val="1"/>
                <c:pt idx="0">
                  <c:v>Power (Square)</c:v>
                </c:pt>
              </c:strCache>
            </c:strRef>
          </c:tx>
          <c:marker>
            <c:symbol val="none"/>
          </c:marker>
          <c:xVal>
            <c:numRef>
              <c:f>'ΔP perforated'!$I$7:$I$28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perforated'!$J$7:$J$28</c:f>
              <c:numCache>
                <c:formatCode>0.00E+00</c:formatCode>
                <c:ptCount val="22"/>
                <c:pt idx="0">
                  <c:v>8.990105825076877E-5</c:v>
                </c:pt>
                <c:pt idx="1">
                  <c:v>1.4047040351682625E-3</c:v>
                </c:pt>
                <c:pt idx="2">
                  <c:v>1.12376322813461E-2</c:v>
                </c:pt>
                <c:pt idx="3">
                  <c:v>8.9901058250768801E-2</c:v>
                </c:pt>
                <c:pt idx="4">
                  <c:v>0.7192084660061504</c:v>
                </c:pt>
                <c:pt idx="5">
                  <c:v>1.4047040351682623</c:v>
                </c:pt>
                <c:pt idx="6">
                  <c:v>5.7536677280492032</c:v>
                </c:pt>
                <c:pt idx="7">
                  <c:v>11.237632281346098</c:v>
                </c:pt>
                <c:pt idx="8">
                  <c:v>30.836062980013683</c:v>
                </c:pt>
                <c:pt idx="9">
                  <c:v>65.537871464810436</c:v>
                </c:pt>
                <c:pt idx="10">
                  <c:v>89.901058250768784</c:v>
                </c:pt>
                <c:pt idx="11">
                  <c:v>303.41607159634458</c:v>
                </c:pt>
                <c:pt idx="12">
                  <c:v>1404.704035168262</c:v>
                </c:pt>
                <c:pt idx="13">
                  <c:v>5753.6677280492022</c:v>
                </c:pt>
                <c:pt idx="14">
                  <c:v>11237.632281346096</c:v>
                </c:pt>
                <c:pt idx="15">
                  <c:v>37927.008949543073</c:v>
                </c:pt>
                <c:pt idx="16">
                  <c:v>89901.058250768765</c:v>
                </c:pt>
                <c:pt idx="17">
                  <c:v>119658.30853177323</c:v>
                </c:pt>
                <c:pt idx="18">
                  <c:v>155349.02865732842</c:v>
                </c:pt>
                <c:pt idx="19">
                  <c:v>175588.00439603275</c:v>
                </c:pt>
                <c:pt idx="20">
                  <c:v>246688.50384010954</c:v>
                </c:pt>
                <c:pt idx="21">
                  <c:v>303416.07159634458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5-5C43-A7B7-758FFA63C94F}"/>
            </c:ext>
          </c:extLst>
        </c:ser>
        <c:ser>
          <c:idx val="0"/>
          <c:order val="2"/>
          <c:tx>
            <c:strRef>
              <c:f>'ΔP perforated'!$F$31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perforated'!$K$34:$K$55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perforated'!$M$34:$M$55</c:f>
              <c:numCache>
                <c:formatCode>0.0E+00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120454.95271368722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5-5C43-A7B7-758FFA63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perforated'!$H$5</c:f>
              <c:strCache>
                <c:ptCount val="1"/>
                <c:pt idx="0">
                  <c:v>ΔP Staggered</c:v>
                </c:pt>
              </c:strCache>
            </c:strRef>
          </c:tx>
          <c:marker>
            <c:symbol val="none"/>
          </c:marker>
          <c:xVal>
            <c:numRef>
              <c:f>'ΔP perforated'!$F$7:$F$28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perforated'!$H$7:$H$28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4818198.1085474882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D-A747-B106-C8DE004C2E41}"/>
            </c:ext>
          </c:extLst>
        </c:ser>
        <c:ser>
          <c:idx val="2"/>
          <c:order val="1"/>
          <c:tx>
            <c:strRef>
              <c:f>'ΔP perforated'!$G$5</c:f>
              <c:strCache>
                <c:ptCount val="1"/>
                <c:pt idx="0">
                  <c:v>ΔP Square</c:v>
                </c:pt>
              </c:strCache>
            </c:strRef>
          </c:tx>
          <c:marker>
            <c:symbol val="none"/>
          </c:marker>
          <c:xVal>
            <c:numRef>
              <c:f>'ΔP perforated'!$F$7:$F$28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perforated'!$G$7:$G$28</c:f>
              <c:numCache>
                <c:formatCode>0</c:formatCode>
                <c:ptCount val="22"/>
                <c:pt idx="0">
                  <c:v>4.4950529125384389</c:v>
                </c:pt>
                <c:pt idx="1">
                  <c:v>28.094080703365247</c:v>
                </c:pt>
                <c:pt idx="2">
                  <c:v>112.37632281346099</c:v>
                </c:pt>
                <c:pt idx="3">
                  <c:v>449.50529125384395</c:v>
                </c:pt>
                <c:pt idx="4">
                  <c:v>1798.0211650153758</c:v>
                </c:pt>
                <c:pt idx="5">
                  <c:v>2809.4080703365244</c:v>
                </c:pt>
                <c:pt idx="6">
                  <c:v>7192.0846600615032</c:v>
                </c:pt>
                <c:pt idx="7">
                  <c:v>11237.632281346097</c:v>
                </c:pt>
                <c:pt idx="8">
                  <c:v>22025.759271438346</c:v>
                </c:pt>
                <c:pt idx="9">
                  <c:v>36409.928591561351</c:v>
                </c:pt>
                <c:pt idx="10">
                  <c:v>44950.52912538439</c:v>
                </c:pt>
                <c:pt idx="11">
                  <c:v>101138.69053211485</c:v>
                </c:pt>
                <c:pt idx="12">
                  <c:v>280940.80703365238</c:v>
                </c:pt>
                <c:pt idx="13">
                  <c:v>719208.46600615024</c:v>
                </c:pt>
                <c:pt idx="14">
                  <c:v>1123763.2281346095</c:v>
                </c:pt>
                <c:pt idx="15">
                  <c:v>2528467.2633028715</c:v>
                </c:pt>
                <c:pt idx="16">
                  <c:v>4495052.9125384381</c:v>
                </c:pt>
                <c:pt idx="17">
                  <c:v>5439014.0241715107</c:v>
                </c:pt>
                <c:pt idx="18">
                  <c:v>6472876.1940553505</c:v>
                </c:pt>
                <c:pt idx="19">
                  <c:v>7023520.1758413101</c:v>
                </c:pt>
                <c:pt idx="20">
                  <c:v>8810303.70857534</c:v>
                </c:pt>
                <c:pt idx="21">
                  <c:v>10113869.053211486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D-A747-B106-C8DE004C2E41}"/>
            </c:ext>
          </c:extLst>
        </c:ser>
        <c:ser>
          <c:idx val="0"/>
          <c:order val="2"/>
          <c:tx>
            <c:strRef>
              <c:f>'ΔP perforated'!$F$31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perforated'!$F$34:$F$55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perforated'!$I$34:$I$55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4818198.1085474892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8D-A747-B106-C8DE004C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honeycomb'!$P$8:$P$29</c:f>
              <c:numCache>
                <c:formatCode>0.00</c:formatCode>
                <c:ptCount val="22"/>
                <c:pt idx="0">
                  <c:v>5.9337834012086976E-5</c:v>
                </c:pt>
                <c:pt idx="1">
                  <c:v>4.5473951997447901E-4</c:v>
                </c:pt>
                <c:pt idx="2">
                  <c:v>3.4889059234350624E-3</c:v>
                </c:pt>
                <c:pt idx="3">
                  <c:v>2.679899565467013E-2</c:v>
                </c:pt>
                <c:pt idx="4">
                  <c:v>5.1673879716404275E-2</c:v>
                </c:pt>
                <c:pt idx="5">
                  <c:v>0.2060898247445126</c:v>
                </c:pt>
                <c:pt idx="6">
                  <c:v>0.39960013171991476</c:v>
                </c:pt>
                <c:pt idx="7">
                  <c:v>0.69050902761201272</c:v>
                </c:pt>
                <c:pt idx="8">
                  <c:v>1.0965027614394458</c:v>
                </c:pt>
                <c:pt idx="9">
                  <c:v>2.3304679681905434</c:v>
                </c:pt>
                <c:pt idx="10">
                  <c:v>3.1968010537593181</c:v>
                </c:pt>
                <c:pt idx="11">
                  <c:v>10.789203556437698</c:v>
                </c:pt>
                <c:pt idx="12">
                  <c:v>49.950016464989346</c:v>
                </c:pt>
                <c:pt idx="13">
                  <c:v>204.59526744059636</c:v>
                </c:pt>
                <c:pt idx="14">
                  <c:v>399.60013171991477</c:v>
                </c:pt>
                <c:pt idx="15">
                  <c:v>1348.6504445547123</c:v>
                </c:pt>
                <c:pt idx="16">
                  <c:v>3196.8010537593182</c:v>
                </c:pt>
                <c:pt idx="17">
                  <c:v>4254.9422025536524</c:v>
                </c:pt>
                <c:pt idx="18">
                  <c:v>5524.0722208961015</c:v>
                </c:pt>
                <c:pt idx="19">
                  <c:v>6243.7520581236686</c:v>
                </c:pt>
                <c:pt idx="20">
                  <c:v>8772.0220915155696</c:v>
                </c:pt>
                <c:pt idx="21">
                  <c:v>10789.203556437698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3-7F45-A14E-CCA38F62BDF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honeycomb'!$P$35:$P$56</c:f>
              <c:numCache>
                <c:formatCode>0</c:formatCode>
                <c:ptCount val="22"/>
                <c:pt idx="0">
                  <c:v>6.4195935642552176E-3</c:v>
                </c:pt>
                <c:pt idx="1">
                  <c:v>4.9517403361939182E-2</c:v>
                </c:pt>
                <c:pt idx="2">
                  <c:v>0.38878184628710316</c:v>
                </c:pt>
                <c:pt idx="3">
                  <c:v>3.0808252478631846</c:v>
                </c:pt>
                <c:pt idx="4">
                  <c:v>6.0057409050321402</c:v>
                </c:pt>
                <c:pt idx="5">
                  <c:v>24.528883893170914</c:v>
                </c:pt>
                <c:pt idx="6">
                  <c:v>47.861992725046861</c:v>
                </c:pt>
                <c:pt idx="7">
                  <c:v>382.16020373953393</c:v>
                </c:pt>
                <c:pt idx="8">
                  <c:v>3054.3386776729071</c:v>
                </c:pt>
                <c:pt idx="9">
                  <c:v>5964.3556391098336</c:v>
                </c:pt>
                <c:pt idx="10">
                  <c:v>24422.937612409805</c:v>
                </c:pt>
                <c:pt idx="11">
                  <c:v>47696.451661357634</c:v>
                </c:pt>
                <c:pt idx="12">
                  <c:v>82414.171156787954</c:v>
                </c:pt>
                <c:pt idx="13">
                  <c:v>130864.64289277287</c:v>
                </c:pt>
                <c:pt idx="14">
                  <c:v>160954.83172412086</c:v>
                </c:pt>
                <c:pt idx="15">
                  <c:v>278118.03026269528</c:v>
                </c:pt>
                <c:pt idx="16">
                  <c:v>381498.03948477696</c:v>
                </c:pt>
                <c:pt idx="17">
                  <c:v>507764.988123702</c:v>
                </c:pt>
                <c:pt idx="18">
                  <c:v>659207.42297354236</c:v>
                </c:pt>
                <c:pt idx="19">
                  <c:v>745084.61860070343</c:v>
                </c:pt>
                <c:pt idx="20">
                  <c:v>1046772.938482258</c:v>
                </c:pt>
                <c:pt idx="21">
                  <c:v>1287473.1127292779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3-7F45-A14E-CCA38F62BDF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honeycomb'!$P$62:$P$83</c:f>
              <c:numCache>
                <c:formatCode>0.00</c:formatCode>
                <c:ptCount val="22"/>
                <c:pt idx="0">
                  <c:v>6.4622559375000034E-5</c:v>
                </c:pt>
                <c:pt idx="1">
                  <c:v>4.5688447500000007E-4</c:v>
                </c:pt>
                <c:pt idx="2">
                  <c:v>3.4146917999999999E-3</c:v>
                </c:pt>
                <c:pt idx="3">
                  <c:v>2.6355998400000007E-2</c:v>
                </c:pt>
                <c:pt idx="4">
                  <c:v>5.1100959375000005E-2</c:v>
                </c:pt>
                <c:pt idx="5">
                  <c:v>0.20700184320000004</c:v>
                </c:pt>
                <c:pt idx="6">
                  <c:v>0.40279807499999998</c:v>
                </c:pt>
                <c:pt idx="7">
                  <c:v>3.1983462</c:v>
                </c:pt>
                <c:pt idx="8">
                  <c:v>25.490615999999999</c:v>
                </c:pt>
                <c:pt idx="9">
                  <c:v>49.748799375000004</c:v>
                </c:pt>
                <c:pt idx="10">
                  <c:v>203.54031359999996</c:v>
                </c:pt>
                <c:pt idx="11">
                  <c:v>397.38943499999999</c:v>
                </c:pt>
                <c:pt idx="12">
                  <c:v>686.5158672</c:v>
                </c:pt>
                <c:pt idx="13">
                  <c:v>1089.965457</c:v>
                </c:pt>
                <c:pt idx="14">
                  <c:v>1340.5132631250001</c:v>
                </c:pt>
                <c:pt idx="15">
                  <c:v>2316.0174965999995</c:v>
                </c:pt>
                <c:pt idx="16">
                  <c:v>3176.7116400000004</c:v>
                </c:pt>
                <c:pt idx="17">
                  <c:v>4227.9123282</c:v>
                </c:pt>
                <c:pt idx="18">
                  <c:v>5488.6654079999998</c:v>
                </c:pt>
                <c:pt idx="19">
                  <c:v>6203.5759218749999</c:v>
                </c:pt>
                <c:pt idx="20">
                  <c:v>8715.0121295999998</c:v>
                </c:pt>
                <c:pt idx="21">
                  <c:v>10718.697464999999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3-7F45-A14E-CCA38F62BDF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honeycomb'!$P$89:$P$110</c:f>
              <c:numCache>
                <c:formatCode>0.00</c:formatCode>
                <c:ptCount val="22"/>
                <c:pt idx="0">
                  <c:v>6.6494203124999992E-5</c:v>
                </c:pt>
                <c:pt idx="1">
                  <c:v>4.7185762500000006E-4</c:v>
                </c:pt>
                <c:pt idx="2">
                  <c:v>3.5344770000000007E-3</c:v>
                </c:pt>
                <c:pt idx="3">
                  <c:v>2.7314280000000007E-2</c:v>
                </c:pt>
                <c:pt idx="4">
                  <c:v>5.2972603125000003E-2</c:v>
                </c:pt>
                <c:pt idx="5">
                  <c:v>0.21466809600000009</c:v>
                </c:pt>
                <c:pt idx="6">
                  <c:v>0.41777122500000002</c:v>
                </c:pt>
                <c:pt idx="7">
                  <c:v>3.3181314000000008</c:v>
                </c:pt>
                <c:pt idx="8">
                  <c:v>26.448897600000002</c:v>
                </c:pt>
                <c:pt idx="9">
                  <c:v>51.620443125000016</c:v>
                </c:pt>
                <c:pt idx="10">
                  <c:v>211.20656640000001</c:v>
                </c:pt>
                <c:pt idx="11">
                  <c:v>412.36258500000014</c:v>
                </c:pt>
                <c:pt idx="12">
                  <c:v>712.38947040000016</c:v>
                </c:pt>
                <c:pt idx="13">
                  <c:v>1131.0517806</c:v>
                </c:pt>
                <c:pt idx="14">
                  <c:v>1391.0476443750001</c:v>
                </c:pt>
                <c:pt idx="15">
                  <c:v>2403.3409074000001</c:v>
                </c:pt>
                <c:pt idx="16">
                  <c:v>3296.4968400000012</c:v>
                </c:pt>
                <c:pt idx="17">
                  <c:v>4387.3464294000005</c:v>
                </c:pt>
                <c:pt idx="18">
                  <c:v>5695.6542336000011</c:v>
                </c:pt>
                <c:pt idx="19">
                  <c:v>6437.5313906250021</c:v>
                </c:pt>
                <c:pt idx="20">
                  <c:v>9043.7027184000017</c:v>
                </c:pt>
                <c:pt idx="21">
                  <c:v>11122.972515000001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3-7F45-A14E-CCA38F62BDF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honeycomb'!$P$116:$P$137</c:f>
              <c:numCache>
                <c:formatCode>0.00</c:formatCode>
                <c:ptCount val="22"/>
                <c:pt idx="0">
                  <c:v>3.0971109375002305E-4</c:v>
                </c:pt>
                <c:pt idx="1">
                  <c:v>1.4260087500000923E-3</c:v>
                </c:pt>
                <c:pt idx="2">
                  <c:v>7.2013500000003691E-3</c:v>
                </c:pt>
                <c:pt idx="3">
                  <c:v>4.0783920000001479E-2</c:v>
                </c:pt>
                <c:pt idx="4">
                  <c:v>7.3083093750002298E-2</c:v>
                </c:pt>
                <c:pt idx="5">
                  <c:v>0.25896384000000588</c:v>
                </c:pt>
                <c:pt idx="6">
                  <c:v>0.47949675000000919</c:v>
                </c:pt>
                <c:pt idx="7">
                  <c:v>3.4153020000000369</c:v>
                </c:pt>
                <c:pt idx="8">
                  <c:v>25.639728000000144</c:v>
                </c:pt>
                <c:pt idx="9">
                  <c:v>49.420293750000226</c:v>
                </c:pt>
                <c:pt idx="10">
                  <c:v>198.38707200000059</c:v>
                </c:pt>
                <c:pt idx="11">
                  <c:v>384.84555000000097</c:v>
                </c:pt>
                <c:pt idx="12">
                  <c:v>661.9842720000014</c:v>
                </c:pt>
                <c:pt idx="13">
                  <c:v>1047.7710180000017</c:v>
                </c:pt>
                <c:pt idx="14">
                  <c:v>1287.0223312500025</c:v>
                </c:pt>
                <c:pt idx="15">
                  <c:v>2217.1597020000022</c:v>
                </c:pt>
                <c:pt idx="16">
                  <c:v>3036.6972000000032</c:v>
                </c:pt>
                <c:pt idx="17">
                  <c:v>4036.7538420000042</c:v>
                </c:pt>
                <c:pt idx="18">
                  <c:v>5235.2974080000067</c:v>
                </c:pt>
                <c:pt idx="19">
                  <c:v>5914.6167187500059</c:v>
                </c:pt>
                <c:pt idx="20">
                  <c:v>8299.7164320000084</c:v>
                </c:pt>
                <c:pt idx="21">
                  <c:v>10201.527450000009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3-7F45-A14E-CCA38F62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0.95110782720408671</c:v>
                </c:pt>
                <c:pt idx="1">
                  <c:v>0.91110992671778268</c:v>
                </c:pt>
                <c:pt idx="2">
                  <c:v>0.873790565971855</c:v>
                </c:pt>
                <c:pt idx="3">
                  <c:v>0.83897037117284068</c:v>
                </c:pt>
                <c:pt idx="4">
                  <c:v>0.82826466922037278</c:v>
                </c:pt>
                <c:pt idx="5">
                  <c:v>0.80648198065362198</c:v>
                </c:pt>
                <c:pt idx="6">
                  <c:v>0.8006333972208548</c:v>
                </c:pt>
                <c:pt idx="7">
                  <c:v>0.8006333972208548</c:v>
                </c:pt>
                <c:pt idx="8">
                  <c:v>0.8006333972208548</c:v>
                </c:pt>
                <c:pt idx="9">
                  <c:v>0.8006333972208548</c:v>
                </c:pt>
                <c:pt idx="10">
                  <c:v>0.8006333972208548</c:v>
                </c:pt>
                <c:pt idx="11">
                  <c:v>0.8006333972208548</c:v>
                </c:pt>
                <c:pt idx="12">
                  <c:v>0.8006333972208548</c:v>
                </c:pt>
                <c:pt idx="13">
                  <c:v>0.8006333972208548</c:v>
                </c:pt>
                <c:pt idx="14">
                  <c:v>0.8006333972208548</c:v>
                </c:pt>
                <c:pt idx="15">
                  <c:v>0.8006333972208548</c:v>
                </c:pt>
                <c:pt idx="16">
                  <c:v>0.8006333972208548</c:v>
                </c:pt>
                <c:pt idx="17">
                  <c:v>0.8006333972208548</c:v>
                </c:pt>
                <c:pt idx="18">
                  <c:v>0.8006333972208548</c:v>
                </c:pt>
                <c:pt idx="19">
                  <c:v>0.8006333972208548</c:v>
                </c:pt>
                <c:pt idx="20">
                  <c:v>0.8006333972208548</c:v>
                </c:pt>
                <c:pt idx="21">
                  <c:v>0.8006333972208548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4-D94B-8EC9-54578C86DE60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1.0358150589555304</c:v>
                </c:pt>
                <c:pt idx="1">
                  <c:v>0.91540752947776505</c:v>
                </c:pt>
                <c:pt idx="2">
                  <c:v>0.85520376473888238</c:v>
                </c:pt>
                <c:pt idx="3">
                  <c:v>0.82510188236944126</c:v>
                </c:pt>
                <c:pt idx="4">
                  <c:v>0.81908150589555306</c:v>
                </c:pt>
                <c:pt idx="5">
                  <c:v>0.81005094118472054</c:v>
                </c:pt>
                <c:pt idx="6">
                  <c:v>0.80704075294777644</c:v>
                </c:pt>
                <c:pt idx="7">
                  <c:v>0.80102037647388824</c:v>
                </c:pt>
                <c:pt idx="8">
                  <c:v>0.79801018823694403</c:v>
                </c:pt>
                <c:pt idx="9">
                  <c:v>0.79740815058955539</c:v>
                </c:pt>
                <c:pt idx="10">
                  <c:v>0.79650509411847192</c:v>
                </c:pt>
                <c:pt idx="11">
                  <c:v>0.79620407529477766</c:v>
                </c:pt>
                <c:pt idx="12">
                  <c:v>0.7960033960789813</c:v>
                </c:pt>
                <c:pt idx="13">
                  <c:v>0.79586005378198399</c:v>
                </c:pt>
                <c:pt idx="14">
                  <c:v>0.79580271686318516</c:v>
                </c:pt>
                <c:pt idx="15">
                  <c:v>0.79566893071932077</c:v>
                </c:pt>
                <c:pt idx="16">
                  <c:v>0.7956020376473889</c:v>
                </c:pt>
                <c:pt idx="17">
                  <c:v>0.79554730695217157</c:v>
                </c:pt>
                <c:pt idx="18">
                  <c:v>0.79550169803949067</c:v>
                </c:pt>
                <c:pt idx="19">
                  <c:v>0.79548163011791106</c:v>
                </c:pt>
                <c:pt idx="20">
                  <c:v>0.79543002689099196</c:v>
                </c:pt>
                <c:pt idx="21">
                  <c:v>0.79540135843159254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4-D94B-8EC9-54578C86DE60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1.0658150589555302</c:v>
                </c:pt>
                <c:pt idx="1">
                  <c:v>0.94540752947776507</c:v>
                </c:pt>
                <c:pt idx="2">
                  <c:v>0.88520376473888251</c:v>
                </c:pt>
                <c:pt idx="3">
                  <c:v>0.85510188236944129</c:v>
                </c:pt>
                <c:pt idx="4">
                  <c:v>0.84908150589555309</c:v>
                </c:pt>
                <c:pt idx="5">
                  <c:v>0.84005094118472068</c:v>
                </c:pt>
                <c:pt idx="6">
                  <c:v>0.83704075294777647</c:v>
                </c:pt>
                <c:pt idx="7">
                  <c:v>0.83102037647388838</c:v>
                </c:pt>
                <c:pt idx="8">
                  <c:v>0.82801018823694417</c:v>
                </c:pt>
                <c:pt idx="9">
                  <c:v>0.82740815058955552</c:v>
                </c:pt>
                <c:pt idx="10">
                  <c:v>0.82650509411847206</c:v>
                </c:pt>
                <c:pt idx="11">
                  <c:v>0.82620407529477791</c:v>
                </c:pt>
                <c:pt idx="12">
                  <c:v>0.82600339607898143</c:v>
                </c:pt>
                <c:pt idx="13">
                  <c:v>0.82586005378198402</c:v>
                </c:pt>
                <c:pt idx="14">
                  <c:v>0.82580271686318518</c:v>
                </c:pt>
                <c:pt idx="15">
                  <c:v>0.82566893071932079</c:v>
                </c:pt>
                <c:pt idx="16">
                  <c:v>0.82560203764738904</c:v>
                </c:pt>
                <c:pt idx="17">
                  <c:v>0.82554730695217182</c:v>
                </c:pt>
                <c:pt idx="18">
                  <c:v>0.82550169803949081</c:v>
                </c:pt>
                <c:pt idx="19">
                  <c:v>0.8254816301179112</c:v>
                </c:pt>
                <c:pt idx="20">
                  <c:v>0.8254300268909921</c:v>
                </c:pt>
                <c:pt idx="21">
                  <c:v>0.82540135843159257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4-D94B-8EC9-54578C86DE60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4.9642635317221497</c:v>
                </c:pt>
                <c:pt idx="1">
                  <c:v>2.8571317658610749</c:v>
                </c:pt>
                <c:pt idx="2">
                  <c:v>1.8035658829305374</c:v>
                </c:pt>
                <c:pt idx="3">
                  <c:v>1.2767829414652687</c:v>
                </c:pt>
                <c:pt idx="4">
                  <c:v>1.1714263531722149</c:v>
                </c:pt>
                <c:pt idx="5">
                  <c:v>1.0133914707326341</c:v>
                </c:pt>
                <c:pt idx="6">
                  <c:v>0.96071317658610744</c:v>
                </c:pt>
                <c:pt idx="7">
                  <c:v>0.85535658829305383</c:v>
                </c:pt>
                <c:pt idx="8">
                  <c:v>0.80267829414652681</c:v>
                </c:pt>
                <c:pt idx="9">
                  <c:v>0.79214263531722151</c:v>
                </c:pt>
                <c:pt idx="10">
                  <c:v>0.77633914707326346</c:v>
                </c:pt>
                <c:pt idx="11">
                  <c:v>0.77107131765861081</c:v>
                </c:pt>
                <c:pt idx="12">
                  <c:v>0.76755943138217575</c:v>
                </c:pt>
                <c:pt idx="13">
                  <c:v>0.76505094118472194</c:v>
                </c:pt>
                <c:pt idx="14">
                  <c:v>0.76404754510574058</c:v>
                </c:pt>
                <c:pt idx="15">
                  <c:v>0.76170628758811687</c:v>
                </c:pt>
                <c:pt idx="16">
                  <c:v>0.76053565882930529</c:v>
                </c:pt>
                <c:pt idx="17">
                  <c:v>0.75957787166300483</c:v>
                </c:pt>
                <c:pt idx="18">
                  <c:v>0.75877971569108793</c:v>
                </c:pt>
                <c:pt idx="19">
                  <c:v>0.75842852706344432</c:v>
                </c:pt>
                <c:pt idx="20">
                  <c:v>0.75752547059236097</c:v>
                </c:pt>
                <c:pt idx="21">
                  <c:v>0.75702377255287023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54-D94B-8EC9-54578C86DE60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honeycomb'!$I$145:$I$152</c:f>
              <c:numCache>
                <c:formatCode>0.00</c:formatCode>
                <c:ptCount val="8"/>
                <c:pt idx="0">
                  <c:v>1.1171276585087306</c:v>
                </c:pt>
                <c:pt idx="1">
                  <c:v>0.91764057663217158</c:v>
                </c:pt>
                <c:pt idx="2">
                  <c:v>0.83341269761762449</c:v>
                </c:pt>
                <c:pt idx="3">
                  <c:v>0.80792268160006409</c:v>
                </c:pt>
                <c:pt idx="4">
                  <c:v>0.79475653419621128</c:v>
                </c:pt>
                <c:pt idx="5">
                  <c:v>0.78908223497838914</c:v>
                </c:pt>
                <c:pt idx="6">
                  <c:v>0.78654906568471838</c:v>
                </c:pt>
                <c:pt idx="7">
                  <c:v>0.78548038488895111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D7-7149-A151-11723568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38116336214038"/>
          <c:y val="7.3216963339785113E-2"/>
          <c:w val="0.32361883663785967"/>
          <c:h val="7.8039904235930949E-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0.95110782720408671</c:v>
                </c:pt>
                <c:pt idx="1">
                  <c:v>0.91110992671778268</c:v>
                </c:pt>
                <c:pt idx="2">
                  <c:v>0.873790565971855</c:v>
                </c:pt>
                <c:pt idx="3">
                  <c:v>0.83897037117284068</c:v>
                </c:pt>
                <c:pt idx="4">
                  <c:v>0.82826466922037278</c:v>
                </c:pt>
                <c:pt idx="5">
                  <c:v>0.80648198065362198</c:v>
                </c:pt>
                <c:pt idx="6">
                  <c:v>0.8006333972208548</c:v>
                </c:pt>
                <c:pt idx="7">
                  <c:v>0.8006333972208548</c:v>
                </c:pt>
                <c:pt idx="8">
                  <c:v>0.8006333972208548</c:v>
                </c:pt>
                <c:pt idx="9">
                  <c:v>0.8006333972208548</c:v>
                </c:pt>
                <c:pt idx="10">
                  <c:v>0.8006333972208548</c:v>
                </c:pt>
                <c:pt idx="11">
                  <c:v>0.8006333972208548</c:v>
                </c:pt>
                <c:pt idx="12">
                  <c:v>0.8006333972208548</c:v>
                </c:pt>
                <c:pt idx="13">
                  <c:v>0.8006333972208548</c:v>
                </c:pt>
                <c:pt idx="14">
                  <c:v>0.8006333972208548</c:v>
                </c:pt>
                <c:pt idx="15">
                  <c:v>0.8006333972208548</c:v>
                </c:pt>
                <c:pt idx="16">
                  <c:v>0.8006333972208548</c:v>
                </c:pt>
                <c:pt idx="17">
                  <c:v>0.8006333972208548</c:v>
                </c:pt>
                <c:pt idx="18">
                  <c:v>0.8006333972208548</c:v>
                </c:pt>
                <c:pt idx="19">
                  <c:v>0.8006333972208548</c:v>
                </c:pt>
                <c:pt idx="20">
                  <c:v>0.8006333972208548</c:v>
                </c:pt>
                <c:pt idx="21">
                  <c:v>0.8006333972208548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0-1F48-83ED-6741BEFFC792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1.0358150589555304</c:v>
                </c:pt>
                <c:pt idx="1">
                  <c:v>0.91540752947776505</c:v>
                </c:pt>
                <c:pt idx="2">
                  <c:v>0.85520376473888238</c:v>
                </c:pt>
                <c:pt idx="3">
                  <c:v>0.82510188236944126</c:v>
                </c:pt>
                <c:pt idx="4">
                  <c:v>0.81908150589555306</c:v>
                </c:pt>
                <c:pt idx="5">
                  <c:v>0.81005094118472054</c:v>
                </c:pt>
                <c:pt idx="6">
                  <c:v>0.80704075294777644</c:v>
                </c:pt>
                <c:pt idx="7">
                  <c:v>0.80102037647388824</c:v>
                </c:pt>
                <c:pt idx="8">
                  <c:v>0.79801018823694403</c:v>
                </c:pt>
                <c:pt idx="9">
                  <c:v>0.79740815058955539</c:v>
                </c:pt>
                <c:pt idx="10">
                  <c:v>0.79650509411847192</c:v>
                </c:pt>
                <c:pt idx="11">
                  <c:v>0.79620407529477766</c:v>
                </c:pt>
                <c:pt idx="12">
                  <c:v>0.7960033960789813</c:v>
                </c:pt>
                <c:pt idx="13">
                  <c:v>0.79586005378198399</c:v>
                </c:pt>
                <c:pt idx="14">
                  <c:v>0.79580271686318516</c:v>
                </c:pt>
                <c:pt idx="15">
                  <c:v>0.79566893071932077</c:v>
                </c:pt>
                <c:pt idx="16">
                  <c:v>0.7956020376473889</c:v>
                </c:pt>
                <c:pt idx="17">
                  <c:v>0.79554730695217157</c:v>
                </c:pt>
                <c:pt idx="18">
                  <c:v>0.79550169803949067</c:v>
                </c:pt>
                <c:pt idx="19">
                  <c:v>0.79548163011791106</c:v>
                </c:pt>
                <c:pt idx="20">
                  <c:v>0.79543002689099196</c:v>
                </c:pt>
                <c:pt idx="21">
                  <c:v>0.79540135843159254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0-1F48-83ED-6741BEFFC792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1.0658150589555302</c:v>
                </c:pt>
                <c:pt idx="1">
                  <c:v>0.94540752947776507</c:v>
                </c:pt>
                <c:pt idx="2">
                  <c:v>0.88520376473888251</c:v>
                </c:pt>
                <c:pt idx="3">
                  <c:v>0.85510188236944129</c:v>
                </c:pt>
                <c:pt idx="4">
                  <c:v>0.84908150589555309</c:v>
                </c:pt>
                <c:pt idx="5">
                  <c:v>0.84005094118472068</c:v>
                </c:pt>
                <c:pt idx="6">
                  <c:v>0.83704075294777647</c:v>
                </c:pt>
                <c:pt idx="7">
                  <c:v>0.83102037647388838</c:v>
                </c:pt>
                <c:pt idx="8">
                  <c:v>0.82801018823694417</c:v>
                </c:pt>
                <c:pt idx="9">
                  <c:v>0.82740815058955552</c:v>
                </c:pt>
                <c:pt idx="10">
                  <c:v>0.82650509411847206</c:v>
                </c:pt>
                <c:pt idx="11">
                  <c:v>0.82620407529477791</c:v>
                </c:pt>
                <c:pt idx="12">
                  <c:v>0.82600339607898143</c:v>
                </c:pt>
                <c:pt idx="13">
                  <c:v>0.82586005378198402</c:v>
                </c:pt>
                <c:pt idx="14">
                  <c:v>0.82580271686318518</c:v>
                </c:pt>
                <c:pt idx="15">
                  <c:v>0.82566893071932079</c:v>
                </c:pt>
                <c:pt idx="16">
                  <c:v>0.82560203764738904</c:v>
                </c:pt>
                <c:pt idx="17">
                  <c:v>0.82554730695217182</c:v>
                </c:pt>
                <c:pt idx="18">
                  <c:v>0.82550169803949081</c:v>
                </c:pt>
                <c:pt idx="19">
                  <c:v>0.8254816301179112</c:v>
                </c:pt>
                <c:pt idx="20">
                  <c:v>0.8254300268909921</c:v>
                </c:pt>
                <c:pt idx="21">
                  <c:v>0.82540135843159257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0-1F48-83ED-6741BEFFC792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4.9642635317221497</c:v>
                </c:pt>
                <c:pt idx="1">
                  <c:v>2.8571317658610749</c:v>
                </c:pt>
                <c:pt idx="2">
                  <c:v>1.8035658829305374</c:v>
                </c:pt>
                <c:pt idx="3">
                  <c:v>1.2767829414652687</c:v>
                </c:pt>
                <c:pt idx="4">
                  <c:v>1.1714263531722149</c:v>
                </c:pt>
                <c:pt idx="5">
                  <c:v>1.0133914707326341</c:v>
                </c:pt>
                <c:pt idx="6">
                  <c:v>0.96071317658610744</c:v>
                </c:pt>
                <c:pt idx="7">
                  <c:v>0.85535658829305383</c:v>
                </c:pt>
                <c:pt idx="8">
                  <c:v>0.80267829414652681</c:v>
                </c:pt>
                <c:pt idx="9">
                  <c:v>0.79214263531722151</c:v>
                </c:pt>
                <c:pt idx="10">
                  <c:v>0.77633914707326346</c:v>
                </c:pt>
                <c:pt idx="11">
                  <c:v>0.77107131765861081</c:v>
                </c:pt>
                <c:pt idx="12">
                  <c:v>0.76755943138217575</c:v>
                </c:pt>
                <c:pt idx="13">
                  <c:v>0.76505094118472194</c:v>
                </c:pt>
                <c:pt idx="14">
                  <c:v>0.76404754510574058</c:v>
                </c:pt>
                <c:pt idx="15">
                  <c:v>0.76170628758811687</c:v>
                </c:pt>
                <c:pt idx="16">
                  <c:v>0.76053565882930529</c:v>
                </c:pt>
                <c:pt idx="17">
                  <c:v>0.75957787166300483</c:v>
                </c:pt>
                <c:pt idx="18">
                  <c:v>0.75877971569108793</c:v>
                </c:pt>
                <c:pt idx="19">
                  <c:v>0.75842852706344432</c:v>
                </c:pt>
                <c:pt idx="20">
                  <c:v>0.75752547059236097</c:v>
                </c:pt>
                <c:pt idx="21">
                  <c:v>0.75702377255287023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0-1F48-83ED-6741BEFFC792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honeycomb'!$I$145:$I$152</c:f>
              <c:numCache>
                <c:formatCode>0.00</c:formatCode>
                <c:ptCount val="8"/>
                <c:pt idx="0">
                  <c:v>1.1171276585087306</c:v>
                </c:pt>
                <c:pt idx="1">
                  <c:v>0.91764057663217158</c:v>
                </c:pt>
                <c:pt idx="2">
                  <c:v>0.83341269761762449</c:v>
                </c:pt>
                <c:pt idx="3">
                  <c:v>0.80792268160006409</c:v>
                </c:pt>
                <c:pt idx="4">
                  <c:v>0.79475653419621128</c:v>
                </c:pt>
                <c:pt idx="5">
                  <c:v>0.78908223497838914</c:v>
                </c:pt>
                <c:pt idx="6">
                  <c:v>0.78654906568471838</c:v>
                </c:pt>
                <c:pt idx="7">
                  <c:v>0.78548038488895111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10-1F48-83ED-6741BEFF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.2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1915341367851"/>
          <c:y val="5.8344827156765353E-2"/>
          <c:w val="0.25539130441793095"/>
          <c:h val="0.2161723203876067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9.xml"/><Relationship Id="rId7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379913</xdr:colOff>
      <xdr:row>2</xdr:row>
      <xdr:rowOff>32563</xdr:rowOff>
    </xdr:from>
    <xdr:to>
      <xdr:col>29</xdr:col>
      <xdr:colOff>227948</xdr:colOff>
      <xdr:row>23</xdr:row>
      <xdr:rowOff>206238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00272-3B1C-9849-874E-A4EED16E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62</xdr:row>
      <xdr:rowOff>80760</xdr:rowOff>
    </xdr:from>
    <xdr:to>
      <xdr:col>2</xdr:col>
      <xdr:colOff>610685</xdr:colOff>
      <xdr:row>64</xdr:row>
      <xdr:rowOff>138182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D86F10-B3FF-1899-A419-F0B5B483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9394093"/>
          <a:ext cx="3170658" cy="463822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</xdr:row>
      <xdr:rowOff>206238</xdr:rowOff>
    </xdr:from>
    <xdr:to>
      <xdr:col>24</xdr:col>
      <xdr:colOff>10855</xdr:colOff>
      <xdr:row>23</xdr:row>
      <xdr:rowOff>10854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7A28E-4DE1-444A-8B14-F730C544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10855</xdr:colOff>
      <xdr:row>45</xdr:row>
      <xdr:rowOff>184531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F98445-B9F6-3E40-9253-229974463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621570</xdr:colOff>
      <xdr:row>0</xdr:row>
      <xdr:rowOff>149788</xdr:rowOff>
    </xdr:from>
    <xdr:to>
      <xdr:col>26</xdr:col>
      <xdr:colOff>620889</xdr:colOff>
      <xdr:row>45</xdr:row>
      <xdr:rowOff>168788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BAC837-D8F0-EF43-915D-CE6D2A36E65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16636" t="17634" r="60590" b="12085"/>
        <a:stretch/>
      </xdr:blipFill>
      <xdr:spPr>
        <a:xfrm>
          <a:off x="11896348" y="149788"/>
          <a:ext cx="10822541" cy="9036000"/>
        </a:xfrm>
        <a:prstGeom prst="rect">
          <a:avLst/>
        </a:prstGeom>
      </xdr:spPr>
    </xdr:pic>
    <xdr:clientData/>
  </xdr:twoCellAnchor>
  <xdr:twoCellAnchor>
    <xdr:from>
      <xdr:col>13</xdr:col>
      <xdr:colOff>761998</xdr:colOff>
      <xdr:row>2</xdr:row>
      <xdr:rowOff>28223</xdr:rowOff>
    </xdr:from>
    <xdr:to>
      <xdr:col>25</xdr:col>
      <xdr:colOff>555956</xdr:colOff>
      <xdr:row>44</xdr:row>
      <xdr:rowOff>10890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0BE4F-D524-DB40-843B-DD46AE2EA6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746801</xdr:colOff>
      <xdr:row>3</xdr:row>
      <xdr:rowOff>74896</xdr:rowOff>
    </xdr:from>
    <xdr:to>
      <xdr:col>18</xdr:col>
      <xdr:colOff>552503</xdr:colOff>
      <xdr:row>25</xdr:row>
      <xdr:rowOff>51016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3A878-9870-C44D-9E33-B336906E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55</xdr:row>
      <xdr:rowOff>80760</xdr:rowOff>
    </xdr:from>
    <xdr:to>
      <xdr:col>2</xdr:col>
      <xdr:colOff>610685</xdr:colOff>
      <xdr:row>57</xdr:row>
      <xdr:rowOff>138183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22D65-F548-C242-8D6C-CB3DCB8E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12844260"/>
          <a:ext cx="3179125" cy="463822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28</xdr:row>
      <xdr:rowOff>0</xdr:rowOff>
    </xdr:from>
    <xdr:to>
      <xdr:col>18</xdr:col>
      <xdr:colOff>652369</xdr:colOff>
      <xdr:row>49</xdr:row>
      <xdr:rowOff>173675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D02F8-8AFC-BF43-B4E1-2D8F4BE3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32235</xdr:colOff>
      <xdr:row>28</xdr:row>
      <xdr:rowOff>172598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71F7A0-EF74-DE4E-8BF5-C7E4997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26</xdr:col>
      <xdr:colOff>32235</xdr:colOff>
      <xdr:row>54</xdr:row>
      <xdr:rowOff>168315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1C446-C773-304A-8D55-4F3FCDED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26</xdr:col>
      <xdr:colOff>32235</xdr:colOff>
      <xdr:row>80</xdr:row>
      <xdr:rowOff>168314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AEA149-E418-9E42-A95C-63363B6A5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41</xdr:col>
      <xdr:colOff>32234</xdr:colOff>
      <xdr:row>28</xdr:row>
      <xdr:rowOff>172598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04D24B-69D0-564E-AD56-3B50BDD3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41</xdr:col>
      <xdr:colOff>32234</xdr:colOff>
      <xdr:row>54</xdr:row>
      <xdr:rowOff>168314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CFCFCD-8CF6-154C-ACEB-FBCC570C1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57</xdr:row>
      <xdr:rowOff>0</xdr:rowOff>
    </xdr:from>
    <xdr:to>
      <xdr:col>41</xdr:col>
      <xdr:colOff>32234</xdr:colOff>
      <xdr:row>81</xdr:row>
      <xdr:rowOff>168313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634B4A-228E-6547-AFD4-DB352ED7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134</xdr:row>
      <xdr:rowOff>118140</xdr:rowOff>
    </xdr:from>
    <xdr:to>
      <xdr:col>2</xdr:col>
      <xdr:colOff>785628</xdr:colOff>
      <xdr:row>138</xdr:row>
      <xdr:rowOff>91263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656A8-77CA-8C81-C625-8B059EE2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4064000" cy="8001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84</xdr:row>
      <xdr:rowOff>0</xdr:rowOff>
    </xdr:from>
    <xdr:to>
      <xdr:col>26</xdr:col>
      <xdr:colOff>32235</xdr:colOff>
      <xdr:row>108</xdr:row>
      <xdr:rowOff>168314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7764A-9433-CC46-BDFA-B5561F84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sheets/quotes/orders/quote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TTHEW/wp/tenders/Narec/2002/quote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56">
          <cell r="C156">
            <v>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156">
          <cell r="C156">
            <v>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2FDE-5CA5-354F-9E90-E8D841C9E032}">
  <dimension ref="A1:P66"/>
  <sheetViews>
    <sheetView zoomScale="75" zoomScaleNormal="90" workbookViewId="0">
      <selection activeCell="C43" sqref="C43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0.33203125" style="14" bestFit="1" customWidth="1"/>
    <col min="8" max="8" width="12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6" ht="26" x14ac:dyDescent="0.3">
      <c r="A1" s="12" t="s">
        <v>185</v>
      </c>
    </row>
    <row r="2" spans="1:16" x14ac:dyDescent="0.2">
      <c r="A2" s="17" t="s">
        <v>186</v>
      </c>
      <c r="F2" s="10" t="s">
        <v>188</v>
      </c>
      <c r="I2" s="16" t="s">
        <v>173</v>
      </c>
      <c r="J2" s="16" t="s">
        <v>174</v>
      </c>
      <c r="K2" s="16" t="s">
        <v>14</v>
      </c>
    </row>
    <row r="3" spans="1:16" x14ac:dyDescent="0.2">
      <c r="F3" s="18" t="s">
        <v>62</v>
      </c>
      <c r="G3" s="18" t="s">
        <v>16</v>
      </c>
      <c r="H3" s="18" t="s">
        <v>17</v>
      </c>
      <c r="I3" s="18" t="s">
        <v>45</v>
      </c>
      <c r="J3" s="18" t="s">
        <v>44</v>
      </c>
      <c r="K3" s="18" t="s">
        <v>18</v>
      </c>
      <c r="L3" s="18" t="s">
        <v>187</v>
      </c>
      <c r="M3" s="18" t="s">
        <v>8</v>
      </c>
      <c r="N3" s="18" t="s">
        <v>80</v>
      </c>
      <c r="O3" s="18" t="s">
        <v>10</v>
      </c>
      <c r="P3" s="18" t="s">
        <v>10</v>
      </c>
    </row>
    <row r="4" spans="1:16" ht="16" customHeight="1" x14ac:dyDescent="0.2">
      <c r="A4" s="15" t="s">
        <v>76</v>
      </c>
      <c r="F4" s="18" t="s">
        <v>12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58</v>
      </c>
      <c r="L4" s="18" t="s">
        <v>59</v>
      </c>
      <c r="M4" s="18" t="s">
        <v>58</v>
      </c>
      <c r="N4" s="18" t="s">
        <v>81</v>
      </c>
      <c r="O4" s="18" t="s">
        <v>11</v>
      </c>
      <c r="P4" s="18" t="s">
        <v>75</v>
      </c>
    </row>
    <row r="5" spans="1:16" x14ac:dyDescent="0.2">
      <c r="A5" s="17" t="s">
        <v>3</v>
      </c>
      <c r="B5" s="18" t="s">
        <v>4</v>
      </c>
      <c r="C5" s="18" t="s">
        <v>5</v>
      </c>
      <c r="D5" s="18" t="s">
        <v>197</v>
      </c>
      <c r="F5" s="91">
        <v>0.02</v>
      </c>
      <c r="G5" s="92">
        <f t="shared" ref="G5:G26" si="0">(1-$C$42)*($C$46*$C$32*F5)/$C$33</f>
        <v>216.45176606605935</v>
      </c>
      <c r="H5" s="93">
        <f t="shared" ref="H5:H26" si="1">G5/$C$43</f>
        <v>313.08201877412159</v>
      </c>
      <c r="I5" s="94">
        <f t="shared" ref="I5:I26" si="2">$C$52*(1-$C$42)/G5</f>
        <v>0.79851280178555006</v>
      </c>
      <c r="J5" s="92">
        <f t="shared" ref="J5:J26" si="3">$C$53*((1-$C$42)/G5)^$C$54</f>
        <v>1.1238153964466666</v>
      </c>
      <c r="K5" s="95">
        <f>I5+J5</f>
        <v>1.9223281982322167</v>
      </c>
      <c r="L5" s="92">
        <f t="shared" ref="L5:L26" si="4">K5*$C$47*$C$32*F5^2*(1-$C$42)/($C$42^3*$C$46)</f>
        <v>2.2981424727112185</v>
      </c>
      <c r="M5" s="95">
        <f t="shared" ref="M5:M26" si="5">2*L5/($C$32*F5^2)</f>
        <v>11.51131762209965</v>
      </c>
      <c r="N5" s="96">
        <f t="shared" ref="N5:N26" si="6">F5*$C$48</f>
        <v>0.02</v>
      </c>
      <c r="O5" s="96">
        <f>L5*N5</f>
        <v>4.5962849454224373E-2</v>
      </c>
      <c r="P5" s="96">
        <f>O5/1000</f>
        <v>4.5962849454224373E-5</v>
      </c>
    </row>
    <row r="6" spans="1:16" x14ac:dyDescent="0.2">
      <c r="A6" s="110" t="s">
        <v>140</v>
      </c>
      <c r="B6" s="13" t="s">
        <v>13</v>
      </c>
      <c r="C6" s="14">
        <v>1.204</v>
      </c>
      <c r="D6" s="106">
        <v>20</v>
      </c>
      <c r="F6" s="91">
        <v>0.05</v>
      </c>
      <c r="G6" s="92">
        <f t="shared" si="0"/>
        <v>541.12941516514843</v>
      </c>
      <c r="H6" s="93">
        <f t="shared" si="1"/>
        <v>782.70504693530404</v>
      </c>
      <c r="I6" s="94">
        <f t="shared" si="2"/>
        <v>0.31940512071422</v>
      </c>
      <c r="J6" s="92">
        <f t="shared" si="3"/>
        <v>1.053031195409414</v>
      </c>
      <c r="K6" s="95">
        <f t="shared" ref="K6:K26" si="7">I6+J6</f>
        <v>1.3724363161236339</v>
      </c>
      <c r="L6" s="92">
        <f t="shared" si="4"/>
        <v>10.254668635913502</v>
      </c>
      <c r="M6" s="95">
        <f t="shared" si="5"/>
        <v>8.2184459269400225</v>
      </c>
      <c r="N6" s="96">
        <f t="shared" si="6"/>
        <v>0.05</v>
      </c>
      <c r="O6" s="96">
        <f t="shared" ref="O6:O26" si="8">L6*N6</f>
        <v>0.5127334317956751</v>
      </c>
      <c r="P6" s="96">
        <f t="shared" ref="P6:P26" si="9">O6/1000</f>
        <v>5.1273343179567509E-4</v>
      </c>
    </row>
    <row r="7" spans="1:16" x14ac:dyDescent="0.2">
      <c r="A7" s="110" t="s">
        <v>141</v>
      </c>
      <c r="B7" s="13" t="s">
        <v>77</v>
      </c>
      <c r="C7" s="104">
        <v>1.8130000000000001E-5</v>
      </c>
      <c r="D7" s="106">
        <v>20</v>
      </c>
      <c r="F7" s="91">
        <v>0.1</v>
      </c>
      <c r="G7" s="92">
        <f t="shared" si="0"/>
        <v>1082.2588303302969</v>
      </c>
      <c r="H7" s="93">
        <f t="shared" si="1"/>
        <v>1565.4100938706081</v>
      </c>
      <c r="I7" s="94">
        <f t="shared" si="2"/>
        <v>0.15970256035711</v>
      </c>
      <c r="J7" s="92">
        <f t="shared" si="3"/>
        <v>1.0024624349885092</v>
      </c>
      <c r="K7" s="95">
        <f t="shared" si="7"/>
        <v>1.1621649953456192</v>
      </c>
      <c r="L7" s="92">
        <f t="shared" si="4"/>
        <v>34.734192872971754</v>
      </c>
      <c r="M7" s="95">
        <f t="shared" si="5"/>
        <v>6.9592957139222698</v>
      </c>
      <c r="N7" s="96">
        <f t="shared" si="6"/>
        <v>0.1</v>
      </c>
      <c r="O7" s="96">
        <f t="shared" si="8"/>
        <v>3.4734192872971756</v>
      </c>
      <c r="P7" s="96">
        <f t="shared" si="9"/>
        <v>3.4734192872971758E-3</v>
      </c>
    </row>
    <row r="8" spans="1:16" x14ac:dyDescent="0.2">
      <c r="A8" s="110" t="s">
        <v>142</v>
      </c>
      <c r="B8" s="13" t="s">
        <v>78</v>
      </c>
      <c r="C8" s="104">
        <f>C7/C6</f>
        <v>1.5058139534883723E-5</v>
      </c>
      <c r="D8" s="106">
        <v>20</v>
      </c>
      <c r="F8" s="91">
        <v>0.2</v>
      </c>
      <c r="G8" s="92">
        <f t="shared" si="0"/>
        <v>2164.5176606605937</v>
      </c>
      <c r="H8" s="93">
        <f t="shared" si="1"/>
        <v>3130.8201877412162</v>
      </c>
      <c r="I8" s="94">
        <f t="shared" si="2"/>
        <v>7.9851280178555001E-2</v>
      </c>
      <c r="J8" s="92">
        <f t="shared" si="3"/>
        <v>0.95432209220770359</v>
      </c>
      <c r="K8" s="95">
        <f t="shared" si="7"/>
        <v>1.0341733723862585</v>
      </c>
      <c r="L8" s="92">
        <f t="shared" si="4"/>
        <v>123.63537888137216</v>
      </c>
      <c r="M8" s="95">
        <f t="shared" si="5"/>
        <v>6.1928541530024805</v>
      </c>
      <c r="N8" s="96">
        <f t="shared" si="6"/>
        <v>0.2</v>
      </c>
      <c r="O8" s="96">
        <f t="shared" si="8"/>
        <v>24.727075776274432</v>
      </c>
      <c r="P8" s="96">
        <f t="shared" si="9"/>
        <v>2.4727075776274431E-2</v>
      </c>
    </row>
    <row r="9" spans="1:16" x14ac:dyDescent="0.2">
      <c r="A9" s="11"/>
      <c r="B9" s="36"/>
      <c r="C9" s="42"/>
      <c r="D9" s="42"/>
      <c r="F9" s="91">
        <v>0.4</v>
      </c>
      <c r="G9" s="92">
        <f t="shared" si="0"/>
        <v>4329.0353213211874</v>
      </c>
      <c r="H9" s="93">
        <f t="shared" si="1"/>
        <v>6261.6403754824323</v>
      </c>
      <c r="I9" s="94">
        <f t="shared" si="2"/>
        <v>3.99256400892775E-2</v>
      </c>
      <c r="J9" s="92">
        <f t="shared" si="3"/>
        <v>0.90849354937287796</v>
      </c>
      <c r="K9" s="95">
        <f t="shared" si="7"/>
        <v>0.94841918946215542</v>
      </c>
      <c r="L9" s="92">
        <f t="shared" si="4"/>
        <v>453.53388110140645</v>
      </c>
      <c r="M9" s="95">
        <f t="shared" si="5"/>
        <v>5.679339531529016</v>
      </c>
      <c r="N9" s="96">
        <f t="shared" si="6"/>
        <v>0.4</v>
      </c>
      <c r="O9" s="96">
        <f t="shared" si="8"/>
        <v>181.4135524405626</v>
      </c>
      <c r="P9" s="96">
        <f t="shared" si="9"/>
        <v>0.18141355244056259</v>
      </c>
    </row>
    <row r="10" spans="1:16" x14ac:dyDescent="0.2">
      <c r="A10" s="110" t="s">
        <v>140</v>
      </c>
      <c r="B10" s="13" t="s">
        <v>13</v>
      </c>
      <c r="C10" s="11">
        <v>1.1839999999999999</v>
      </c>
      <c r="D10" s="107">
        <v>25</v>
      </c>
      <c r="F10" s="91">
        <v>0.5</v>
      </c>
      <c r="G10" s="92">
        <f t="shared" si="0"/>
        <v>5411.2941516514838</v>
      </c>
      <c r="H10" s="93">
        <f t="shared" si="1"/>
        <v>7827.0504693530393</v>
      </c>
      <c r="I10" s="94">
        <f t="shared" si="2"/>
        <v>3.1940512071421998E-2</v>
      </c>
      <c r="J10" s="92">
        <f t="shared" si="3"/>
        <v>0.89421353074582355</v>
      </c>
      <c r="K10" s="95">
        <f t="shared" si="7"/>
        <v>0.92615404281724556</v>
      </c>
      <c r="L10" s="92">
        <f t="shared" si="4"/>
        <v>692.01045639242159</v>
      </c>
      <c r="M10" s="95">
        <f t="shared" si="5"/>
        <v>5.5460110108487921</v>
      </c>
      <c r="N10" s="96">
        <f t="shared" si="6"/>
        <v>0.5</v>
      </c>
      <c r="O10" s="96">
        <f t="shared" si="8"/>
        <v>346.00522819621079</v>
      </c>
      <c r="P10" s="96">
        <f t="shared" si="9"/>
        <v>0.34600522819621077</v>
      </c>
    </row>
    <row r="11" spans="1:16" x14ac:dyDescent="0.2">
      <c r="A11" s="110" t="s">
        <v>141</v>
      </c>
      <c r="B11" s="13" t="s">
        <v>77</v>
      </c>
      <c r="C11" s="105">
        <v>1.8369999999999999E-5</v>
      </c>
      <c r="D11" s="107">
        <v>25</v>
      </c>
      <c r="F11" s="112">
        <v>0.8</v>
      </c>
      <c r="G11" s="113">
        <f t="shared" si="0"/>
        <v>8658.0706426423749</v>
      </c>
      <c r="H11" s="114">
        <f t="shared" si="1"/>
        <v>12523.280750964865</v>
      </c>
      <c r="I11" s="115">
        <f t="shared" si="2"/>
        <v>1.996282004463875E-2</v>
      </c>
      <c r="J11" s="113">
        <f t="shared" si="3"/>
        <v>0.86486578901549116</v>
      </c>
      <c r="K11" s="116">
        <f t="shared" si="7"/>
        <v>0.88482860906012994</v>
      </c>
      <c r="L11" s="113">
        <f t="shared" si="4"/>
        <v>1692.4995092272447</v>
      </c>
      <c r="M11" s="116">
        <f t="shared" si="5"/>
        <v>5.2985453625340746</v>
      </c>
      <c r="N11" s="117">
        <f t="shared" si="6"/>
        <v>0.8</v>
      </c>
      <c r="O11" s="117">
        <f t="shared" si="8"/>
        <v>1353.9996073817958</v>
      </c>
      <c r="P11" s="117">
        <f t="shared" si="9"/>
        <v>1.3539996073817959</v>
      </c>
    </row>
    <row r="12" spans="1:16" x14ac:dyDescent="0.2">
      <c r="A12" s="110" t="s">
        <v>142</v>
      </c>
      <c r="B12" s="13" t="s">
        <v>78</v>
      </c>
      <c r="C12" s="104">
        <f>C11/C10</f>
        <v>1.5515202702702703E-5</v>
      </c>
      <c r="D12" s="107">
        <v>25</v>
      </c>
      <c r="F12" s="79">
        <v>1</v>
      </c>
      <c r="G12" s="118">
        <f t="shared" si="0"/>
        <v>10822.588303302968</v>
      </c>
      <c r="H12" s="119">
        <f t="shared" si="1"/>
        <v>15654.100938706079</v>
      </c>
      <c r="I12" s="120">
        <f t="shared" si="2"/>
        <v>1.5970256035710999E-2</v>
      </c>
      <c r="J12" s="118">
        <f t="shared" si="3"/>
        <v>0.85127152674960227</v>
      </c>
      <c r="K12" s="121">
        <f t="shared" si="7"/>
        <v>0.86724178278531328</v>
      </c>
      <c r="L12" s="118">
        <f t="shared" si="4"/>
        <v>2591.96787645515</v>
      </c>
      <c r="M12" s="121">
        <f t="shared" si="5"/>
        <v>5.1932316375414986</v>
      </c>
      <c r="N12" s="122">
        <f t="shared" si="6"/>
        <v>1</v>
      </c>
      <c r="O12" s="122">
        <f t="shared" si="8"/>
        <v>2591.96787645515</v>
      </c>
      <c r="P12" s="122">
        <f t="shared" si="9"/>
        <v>2.5919678764551501</v>
      </c>
    </row>
    <row r="13" spans="1:16" x14ac:dyDescent="0.2">
      <c r="A13" s="11"/>
      <c r="B13" s="36"/>
      <c r="D13" s="42"/>
      <c r="F13" s="91">
        <v>1.4</v>
      </c>
      <c r="G13" s="92">
        <f t="shared" si="0"/>
        <v>15151.623624624155</v>
      </c>
      <c r="H13" s="93">
        <f t="shared" si="1"/>
        <v>21915.741314188512</v>
      </c>
      <c r="I13" s="94">
        <f t="shared" si="2"/>
        <v>1.1407325739793571E-2</v>
      </c>
      <c r="J13" s="92">
        <f t="shared" si="3"/>
        <v>0.83117604263258504</v>
      </c>
      <c r="K13" s="95">
        <f t="shared" si="7"/>
        <v>0.84258336837237857</v>
      </c>
      <c r="L13" s="92">
        <f t="shared" si="4"/>
        <v>4935.8093349736018</v>
      </c>
      <c r="M13" s="95">
        <f t="shared" si="5"/>
        <v>5.0455717110910188</v>
      </c>
      <c r="N13" s="96">
        <f t="shared" si="6"/>
        <v>1.4</v>
      </c>
      <c r="O13" s="96">
        <f t="shared" si="8"/>
        <v>6910.1330689630422</v>
      </c>
      <c r="P13" s="96">
        <f t="shared" si="9"/>
        <v>6.9101330689630425</v>
      </c>
    </row>
    <row r="14" spans="1:16" x14ac:dyDescent="0.2">
      <c r="A14" s="110" t="s">
        <v>140</v>
      </c>
      <c r="B14" s="13" t="s">
        <v>13</v>
      </c>
      <c r="C14" s="14">
        <v>1.1639999999999999</v>
      </c>
      <c r="D14" s="108">
        <v>30</v>
      </c>
      <c r="F14" s="91">
        <v>1.8</v>
      </c>
      <c r="G14" s="92">
        <f t="shared" si="0"/>
        <v>19480.658945945343</v>
      </c>
      <c r="H14" s="93">
        <f t="shared" si="1"/>
        <v>28177.381689670943</v>
      </c>
      <c r="I14" s="94">
        <f t="shared" si="2"/>
        <v>8.872364464283888E-3</v>
      </c>
      <c r="J14" s="92">
        <f t="shared" si="3"/>
        <v>0.81647663204263055</v>
      </c>
      <c r="K14" s="95">
        <f t="shared" si="7"/>
        <v>0.8253489965069144</v>
      </c>
      <c r="L14" s="92">
        <f t="shared" si="4"/>
        <v>7992.3051859478819</v>
      </c>
      <c r="M14" s="95">
        <f t="shared" si="5"/>
        <v>4.9423685594423166</v>
      </c>
      <c r="N14" s="96">
        <f t="shared" si="6"/>
        <v>1.8</v>
      </c>
      <c r="O14" s="96">
        <f t="shared" si="8"/>
        <v>14386.149334706188</v>
      </c>
      <c r="P14" s="96">
        <f t="shared" si="9"/>
        <v>14.386149334706188</v>
      </c>
    </row>
    <row r="15" spans="1:16" x14ac:dyDescent="0.2">
      <c r="A15" s="110" t="s">
        <v>141</v>
      </c>
      <c r="B15" s="13" t="s">
        <v>77</v>
      </c>
      <c r="C15" s="105">
        <v>1.8600000000000001E-5</v>
      </c>
      <c r="D15" s="108">
        <v>30</v>
      </c>
      <c r="F15" s="91">
        <v>2</v>
      </c>
      <c r="G15" s="92">
        <f t="shared" si="0"/>
        <v>21645.176606605935</v>
      </c>
      <c r="H15" s="93">
        <f t="shared" si="1"/>
        <v>31308.201877412157</v>
      </c>
      <c r="I15" s="94">
        <f t="shared" si="2"/>
        <v>7.9851280178554994E-3</v>
      </c>
      <c r="J15" s="92">
        <f t="shared" si="3"/>
        <v>0.81039168759858671</v>
      </c>
      <c r="K15" s="95">
        <f t="shared" si="7"/>
        <v>0.81837681561644215</v>
      </c>
      <c r="L15" s="92">
        <f t="shared" si="4"/>
        <v>9783.6910491135077</v>
      </c>
      <c r="M15" s="95">
        <f t="shared" si="5"/>
        <v>4.9006176301146587</v>
      </c>
      <c r="N15" s="96">
        <f t="shared" si="6"/>
        <v>2</v>
      </c>
      <c r="O15" s="96">
        <f t="shared" si="8"/>
        <v>19567.382098227015</v>
      </c>
      <c r="P15" s="96">
        <f t="shared" si="9"/>
        <v>19.567382098227014</v>
      </c>
    </row>
    <row r="16" spans="1:16" x14ac:dyDescent="0.2">
      <c r="A16" s="110" t="s">
        <v>142</v>
      </c>
      <c r="B16" s="13" t="s">
        <v>78</v>
      </c>
      <c r="C16" s="104">
        <f>C15/C14</f>
        <v>1.5979381443298972E-5</v>
      </c>
      <c r="D16" s="108">
        <v>30</v>
      </c>
      <c r="F16" s="91">
        <v>3</v>
      </c>
      <c r="G16" s="92">
        <f t="shared" si="0"/>
        <v>32467.764909908907</v>
      </c>
      <c r="H16" s="93">
        <f t="shared" si="1"/>
        <v>46962.302816118245</v>
      </c>
      <c r="I16" s="94">
        <f t="shared" si="2"/>
        <v>5.3234186785703326E-3</v>
      </c>
      <c r="J16" s="92">
        <f t="shared" si="3"/>
        <v>0.78739472013680378</v>
      </c>
      <c r="K16" s="95">
        <f t="shared" si="7"/>
        <v>0.79271813881537412</v>
      </c>
      <c r="L16" s="92">
        <f t="shared" si="4"/>
        <v>21323.118794672588</v>
      </c>
      <c r="M16" s="95">
        <f t="shared" si="5"/>
        <v>4.7469679158299112</v>
      </c>
      <c r="N16" s="96">
        <f t="shared" si="6"/>
        <v>3</v>
      </c>
      <c r="O16" s="96">
        <f t="shared" si="8"/>
        <v>63969.356384017767</v>
      </c>
      <c r="P16" s="96">
        <f t="shared" si="9"/>
        <v>63.969356384017765</v>
      </c>
    </row>
    <row r="17" spans="1:16" x14ac:dyDescent="0.2">
      <c r="A17" s="11"/>
      <c r="B17" s="36"/>
      <c r="C17" s="11"/>
      <c r="D17" s="42"/>
      <c r="F17" s="91">
        <v>5</v>
      </c>
      <c r="G17" s="92">
        <f t="shared" si="0"/>
        <v>54112.941516514846</v>
      </c>
      <c r="H17" s="93">
        <f t="shared" si="1"/>
        <v>78270.504693530413</v>
      </c>
      <c r="I17" s="94">
        <f t="shared" si="2"/>
        <v>3.1940512071421995E-3</v>
      </c>
      <c r="J17" s="92">
        <f t="shared" si="3"/>
        <v>0.75934867082263791</v>
      </c>
      <c r="K17" s="95">
        <f t="shared" si="7"/>
        <v>0.76254272202978013</v>
      </c>
      <c r="L17" s="92">
        <f t="shared" si="4"/>
        <v>56976.216989280489</v>
      </c>
      <c r="M17" s="95">
        <f t="shared" si="5"/>
        <v>4.5662709842041647</v>
      </c>
      <c r="N17" s="96">
        <f t="shared" si="6"/>
        <v>5</v>
      </c>
      <c r="O17" s="96">
        <f t="shared" si="8"/>
        <v>284881.08494640246</v>
      </c>
      <c r="P17" s="96">
        <f t="shared" si="9"/>
        <v>284.88108494640244</v>
      </c>
    </row>
    <row r="18" spans="1:16" x14ac:dyDescent="0.2">
      <c r="A18" s="109" t="s">
        <v>143</v>
      </c>
      <c r="B18" s="13" t="s">
        <v>13</v>
      </c>
      <c r="C18" s="14">
        <v>998.21</v>
      </c>
      <c r="D18" s="106">
        <v>20</v>
      </c>
      <c r="F18" s="91">
        <v>8</v>
      </c>
      <c r="G18" s="92">
        <f t="shared" si="0"/>
        <v>86580.706426423742</v>
      </c>
      <c r="H18" s="93">
        <f t="shared" si="1"/>
        <v>125232.80750964863</v>
      </c>
      <c r="I18" s="94">
        <f t="shared" si="2"/>
        <v>1.9962820044638748E-3</v>
      </c>
      <c r="J18" s="92">
        <f t="shared" si="3"/>
        <v>0.73442714155883126</v>
      </c>
      <c r="K18" s="95">
        <f t="shared" si="7"/>
        <v>0.73642342356329515</v>
      </c>
      <c r="L18" s="92">
        <f t="shared" si="4"/>
        <v>140863.0180129747</v>
      </c>
      <c r="M18" s="95">
        <f t="shared" si="5"/>
        <v>4.409862967617495</v>
      </c>
      <c r="N18" s="96">
        <f t="shared" si="6"/>
        <v>8</v>
      </c>
      <c r="O18" s="96">
        <f t="shared" si="8"/>
        <v>1126904.1441037976</v>
      </c>
      <c r="P18" s="96">
        <f t="shared" si="9"/>
        <v>1126.9041441037975</v>
      </c>
    </row>
    <row r="19" spans="1:16" x14ac:dyDescent="0.2">
      <c r="A19" s="109" t="s">
        <v>144</v>
      </c>
      <c r="B19" s="13" t="s">
        <v>77</v>
      </c>
      <c r="C19" s="104">
        <v>1.0016000000000001E-3</v>
      </c>
      <c r="D19" s="106">
        <v>20</v>
      </c>
      <c r="F19" s="91">
        <v>10</v>
      </c>
      <c r="G19" s="92">
        <f t="shared" si="0"/>
        <v>108225.88303302969</v>
      </c>
      <c r="H19" s="93">
        <f t="shared" si="1"/>
        <v>156541.00938706083</v>
      </c>
      <c r="I19" s="94">
        <f t="shared" si="2"/>
        <v>1.5970256035710997E-3</v>
      </c>
      <c r="J19" s="92">
        <f t="shared" si="3"/>
        <v>0.72288315947011539</v>
      </c>
      <c r="K19" s="95">
        <f t="shared" si="7"/>
        <v>0.7244801850736865</v>
      </c>
      <c r="L19" s="92">
        <f t="shared" si="4"/>
        <v>216528.93162138338</v>
      </c>
      <c r="M19" s="95">
        <f t="shared" si="5"/>
        <v>4.3383442686685845</v>
      </c>
      <c r="N19" s="96">
        <f t="shared" si="6"/>
        <v>10</v>
      </c>
      <c r="O19" s="96">
        <f t="shared" si="8"/>
        <v>2165289.3162138336</v>
      </c>
      <c r="P19" s="96">
        <f t="shared" si="9"/>
        <v>2165.2893162138334</v>
      </c>
    </row>
    <row r="20" spans="1:16" x14ac:dyDescent="0.2">
      <c r="A20" s="109" t="s">
        <v>145</v>
      </c>
      <c r="B20" s="13" t="s">
        <v>78</v>
      </c>
      <c r="C20" s="104">
        <f>C19/C18</f>
        <v>1.0033960789813768E-6</v>
      </c>
      <c r="D20" s="106">
        <v>20</v>
      </c>
      <c r="F20" s="91">
        <v>15</v>
      </c>
      <c r="G20" s="92">
        <f t="shared" si="0"/>
        <v>162338.82454954452</v>
      </c>
      <c r="H20" s="93">
        <f t="shared" si="1"/>
        <v>234811.51408059118</v>
      </c>
      <c r="I20" s="94">
        <f t="shared" si="2"/>
        <v>1.0646837357140666E-3</v>
      </c>
      <c r="J20" s="92">
        <f t="shared" si="3"/>
        <v>0.70236947361745439</v>
      </c>
      <c r="K20" s="95">
        <f t="shared" si="7"/>
        <v>0.7034341573531685</v>
      </c>
      <c r="L20" s="92">
        <f t="shared" si="4"/>
        <v>473037.30566475086</v>
      </c>
      <c r="M20" s="95">
        <f t="shared" si="5"/>
        <v>4.2123160961654769</v>
      </c>
      <c r="N20" s="96">
        <f t="shared" si="6"/>
        <v>15</v>
      </c>
      <c r="O20" s="96">
        <f t="shared" si="8"/>
        <v>7095559.5849712631</v>
      </c>
      <c r="P20" s="96">
        <f t="shared" si="9"/>
        <v>7095.5595849712627</v>
      </c>
    </row>
    <row r="21" spans="1:16" x14ac:dyDescent="0.2">
      <c r="A21" s="11"/>
      <c r="B21" s="36"/>
      <c r="C21" s="11"/>
      <c r="D21" s="42"/>
      <c r="F21" s="91">
        <v>20</v>
      </c>
      <c r="G21" s="92">
        <f t="shared" si="0"/>
        <v>216451.76606605938</v>
      </c>
      <c r="H21" s="93">
        <f t="shared" si="1"/>
        <v>313082.01877412165</v>
      </c>
      <c r="I21" s="94">
        <f t="shared" si="2"/>
        <v>7.9851280178554987E-4</v>
      </c>
      <c r="J21" s="92">
        <f t="shared" si="3"/>
        <v>0.68816879824044785</v>
      </c>
      <c r="K21" s="95">
        <f t="shared" si="7"/>
        <v>0.68896731104223341</v>
      </c>
      <c r="L21" s="92">
        <f t="shared" si="4"/>
        <v>823660.10199083062</v>
      </c>
      <c r="M21" s="95">
        <f t="shared" si="5"/>
        <v>4.1256854869758399</v>
      </c>
      <c r="N21" s="96">
        <f t="shared" si="6"/>
        <v>20</v>
      </c>
      <c r="O21" s="96">
        <f t="shared" si="8"/>
        <v>16473202.039816612</v>
      </c>
      <c r="P21" s="96">
        <f t="shared" si="9"/>
        <v>16473.202039816613</v>
      </c>
    </row>
    <row r="22" spans="1:16" x14ac:dyDescent="0.2">
      <c r="A22" s="109" t="s">
        <v>143</v>
      </c>
      <c r="B22" s="13" t="s">
        <v>13</v>
      </c>
      <c r="C22" s="14">
        <v>997.05</v>
      </c>
      <c r="D22" s="107">
        <v>25</v>
      </c>
      <c r="F22" s="91">
        <v>22</v>
      </c>
      <c r="G22" s="92">
        <f t="shared" si="0"/>
        <v>238096.94267266529</v>
      </c>
      <c r="H22" s="93">
        <f t="shared" si="1"/>
        <v>344390.22065153375</v>
      </c>
      <c r="I22" s="94">
        <f t="shared" si="2"/>
        <v>7.2592072889595457E-4</v>
      </c>
      <c r="J22" s="92">
        <f t="shared" si="3"/>
        <v>0.68352766535256726</v>
      </c>
      <c r="K22" s="95">
        <f t="shared" si="7"/>
        <v>0.68425358608146325</v>
      </c>
      <c r="L22" s="92">
        <f t="shared" si="4"/>
        <v>989810.06363381876</v>
      </c>
      <c r="M22" s="95">
        <f t="shared" si="5"/>
        <v>4.0974586809306786</v>
      </c>
      <c r="N22" s="96">
        <f t="shared" si="6"/>
        <v>22</v>
      </c>
      <c r="O22" s="96">
        <f t="shared" si="8"/>
        <v>21775821.399944011</v>
      </c>
      <c r="P22" s="96">
        <f t="shared" si="9"/>
        <v>21775.821399944012</v>
      </c>
    </row>
    <row r="23" spans="1:16" x14ac:dyDescent="0.2">
      <c r="A23" s="109" t="s">
        <v>144</v>
      </c>
      <c r="B23" s="13" t="s">
        <v>77</v>
      </c>
      <c r="C23" s="104">
        <v>8.9004000000000004E-4</v>
      </c>
      <c r="D23" s="107">
        <v>25</v>
      </c>
      <c r="F23" s="91">
        <v>24</v>
      </c>
      <c r="G23" s="92">
        <f t="shared" si="0"/>
        <v>259742.11927927125</v>
      </c>
      <c r="H23" s="93">
        <f t="shared" si="1"/>
        <v>375698.42252894596</v>
      </c>
      <c r="I23" s="94">
        <f t="shared" si="2"/>
        <v>6.6542733482129158E-4</v>
      </c>
      <c r="J23" s="92">
        <f t="shared" si="3"/>
        <v>0.67931797953661444</v>
      </c>
      <c r="K23" s="95">
        <f t="shared" si="7"/>
        <v>0.67998340687143577</v>
      </c>
      <c r="L23" s="92">
        <f t="shared" si="4"/>
        <v>1170604.5821365714</v>
      </c>
      <c r="M23" s="95">
        <f t="shared" si="5"/>
        <v>4.0718879229117739</v>
      </c>
      <c r="N23" s="96">
        <f t="shared" si="6"/>
        <v>24</v>
      </c>
      <c r="O23" s="96">
        <f t="shared" si="8"/>
        <v>28094509.971277714</v>
      </c>
      <c r="P23" s="96">
        <f t="shared" si="9"/>
        <v>28094.509971277716</v>
      </c>
    </row>
    <row r="24" spans="1:16" x14ac:dyDescent="0.2">
      <c r="A24" s="109" t="s">
        <v>145</v>
      </c>
      <c r="B24" s="13" t="s">
        <v>78</v>
      </c>
      <c r="C24" s="104">
        <f>C23/C22</f>
        <v>8.9267338649014606E-7</v>
      </c>
      <c r="D24" s="107">
        <v>25</v>
      </c>
      <c r="E24" s="20"/>
      <c r="F24" s="90">
        <v>25</v>
      </c>
      <c r="G24" s="5">
        <f t="shared" si="0"/>
        <v>270564.70758257422</v>
      </c>
      <c r="H24" s="6">
        <f t="shared" si="1"/>
        <v>391352.52346765203</v>
      </c>
      <c r="I24" s="7">
        <f t="shared" si="2"/>
        <v>6.3881024142843992E-4</v>
      </c>
      <c r="J24" s="5">
        <f t="shared" si="3"/>
        <v>0.6773519209338178</v>
      </c>
      <c r="K24" s="8">
        <f t="shared" si="7"/>
        <v>0.67799073117524622</v>
      </c>
      <c r="L24" s="5">
        <f t="shared" si="4"/>
        <v>1266465.0091124058</v>
      </c>
      <c r="M24" s="8">
        <f t="shared" si="5"/>
        <v>4.059955349234829</v>
      </c>
      <c r="N24" s="32">
        <f t="shared" si="6"/>
        <v>25</v>
      </c>
      <c r="O24" s="32">
        <f t="shared" si="8"/>
        <v>31661625.227810144</v>
      </c>
      <c r="P24" s="33">
        <f t="shared" si="9"/>
        <v>31661.625227810146</v>
      </c>
    </row>
    <row r="25" spans="1:16" x14ac:dyDescent="0.2">
      <c r="A25" s="11"/>
      <c r="B25" s="36"/>
      <c r="C25" s="11"/>
      <c r="D25" s="42"/>
      <c r="E25" s="20"/>
      <c r="F25" s="90">
        <v>28</v>
      </c>
      <c r="G25" s="5">
        <f t="shared" si="0"/>
        <v>303032.4724924831</v>
      </c>
      <c r="H25" s="6">
        <f t="shared" si="1"/>
        <v>438314.82628377021</v>
      </c>
      <c r="I25" s="7">
        <f t="shared" si="2"/>
        <v>5.7036628698967854E-4</v>
      </c>
      <c r="J25" s="5">
        <f t="shared" si="3"/>
        <v>0.67192358772850802</v>
      </c>
      <c r="K25" s="8">
        <f t="shared" si="7"/>
        <v>0.67249395401549772</v>
      </c>
      <c r="L25" s="5">
        <f t="shared" si="4"/>
        <v>1575773.7741037591</v>
      </c>
      <c r="M25" s="8">
        <f t="shared" si="5"/>
        <v>4.0270394570151975</v>
      </c>
      <c r="N25" s="32">
        <f t="shared" si="6"/>
        <v>28</v>
      </c>
      <c r="O25" s="32">
        <f t="shared" si="8"/>
        <v>44121665.674905255</v>
      </c>
      <c r="P25" s="33">
        <f t="shared" si="9"/>
        <v>44121.665674905256</v>
      </c>
    </row>
    <row r="26" spans="1:16" x14ac:dyDescent="0.2">
      <c r="A26" s="109" t="s">
        <v>143</v>
      </c>
      <c r="B26" s="13" t="s">
        <v>13</v>
      </c>
      <c r="C26" s="14">
        <v>995.65</v>
      </c>
      <c r="D26" s="108">
        <v>30</v>
      </c>
      <c r="F26" s="90">
        <v>30</v>
      </c>
      <c r="G26" s="5">
        <f t="shared" si="0"/>
        <v>324677.64909908903</v>
      </c>
      <c r="H26" s="6">
        <f t="shared" si="1"/>
        <v>469623.02816118236</v>
      </c>
      <c r="I26" s="7">
        <f t="shared" si="2"/>
        <v>5.3234186785703329E-4</v>
      </c>
      <c r="J26" s="5">
        <f t="shared" si="3"/>
        <v>0.66864022248685639</v>
      </c>
      <c r="K26" s="8">
        <f t="shared" si="7"/>
        <v>0.6691725643547134</v>
      </c>
      <c r="L26" s="5">
        <f t="shared" si="4"/>
        <v>1799989.8558136171</v>
      </c>
      <c r="M26" s="8">
        <f t="shared" si="5"/>
        <v>4.0071502563224106</v>
      </c>
      <c r="N26" s="32">
        <f t="shared" si="6"/>
        <v>30</v>
      </c>
      <c r="O26" s="32">
        <f t="shared" si="8"/>
        <v>53999695.67440851</v>
      </c>
      <c r="P26" s="33">
        <f t="shared" si="9"/>
        <v>53999.695674408511</v>
      </c>
    </row>
    <row r="27" spans="1:16" x14ac:dyDescent="0.2">
      <c r="A27" s="109" t="s">
        <v>144</v>
      </c>
      <c r="B27" s="13" t="s">
        <v>77</v>
      </c>
      <c r="C27" s="104">
        <v>7.9721999999999996E-4</v>
      </c>
      <c r="D27" s="108">
        <v>30</v>
      </c>
    </row>
    <row r="28" spans="1:16" x14ac:dyDescent="0.2">
      <c r="A28" s="109" t="s">
        <v>145</v>
      </c>
      <c r="B28" s="13" t="s">
        <v>78</v>
      </c>
      <c r="C28" s="104">
        <f>C27/C26</f>
        <v>8.0070305830362075E-7</v>
      </c>
      <c r="D28" s="108">
        <v>30</v>
      </c>
      <c r="F28" s="10" t="s">
        <v>162</v>
      </c>
      <c r="G28" s="5"/>
      <c r="H28" s="6"/>
      <c r="I28" s="7"/>
      <c r="J28" s="5"/>
      <c r="K28" s="8"/>
      <c r="L28" s="5"/>
      <c r="M28" s="8"/>
      <c r="N28" s="32"/>
      <c r="O28" s="32"/>
      <c r="P28" s="33"/>
    </row>
    <row r="29" spans="1:16" x14ac:dyDescent="0.2">
      <c r="F29" s="18" t="s">
        <v>62</v>
      </c>
      <c r="G29" s="18" t="s">
        <v>69</v>
      </c>
      <c r="H29" s="18" t="s">
        <v>79</v>
      </c>
      <c r="I29" s="18" t="s">
        <v>187</v>
      </c>
      <c r="J29" s="18" t="s">
        <v>8</v>
      </c>
      <c r="K29" s="18" t="s">
        <v>80</v>
      </c>
      <c r="L29" s="18" t="s">
        <v>10</v>
      </c>
      <c r="M29" s="18" t="s">
        <v>10</v>
      </c>
    </row>
    <row r="30" spans="1:16" ht="19" x14ac:dyDescent="0.2">
      <c r="A30" s="10" t="s">
        <v>83</v>
      </c>
      <c r="B30" s="36"/>
      <c r="C30" s="42"/>
      <c r="D30" s="11"/>
      <c r="F30" s="18" t="s">
        <v>12</v>
      </c>
      <c r="G30" s="18" t="s">
        <v>59</v>
      </c>
      <c r="H30" s="18" t="s">
        <v>59</v>
      </c>
      <c r="I30" s="18" t="s">
        <v>59</v>
      </c>
      <c r="J30" s="18" t="s">
        <v>58</v>
      </c>
      <c r="K30" s="18" t="s">
        <v>81</v>
      </c>
      <c r="L30" s="18" t="s">
        <v>11</v>
      </c>
      <c r="M30" s="18" t="s">
        <v>75</v>
      </c>
    </row>
    <row r="31" spans="1:16" x14ac:dyDescent="0.2">
      <c r="A31" s="17" t="s">
        <v>3</v>
      </c>
      <c r="B31" s="18" t="s">
        <v>4</v>
      </c>
      <c r="C31" s="18" t="s">
        <v>5</v>
      </c>
      <c r="D31" s="18" t="s">
        <v>197</v>
      </c>
      <c r="F31" s="91">
        <f>F5</f>
        <v>0.02</v>
      </c>
      <c r="G31" s="92">
        <f t="shared" ref="G31:G52" si="10">$C$59 * $C$33 * $C$61 *F31</f>
        <v>0.28044800000000003</v>
      </c>
      <c r="H31" s="95">
        <f t="shared" ref="H31:H52" si="11">0.5 * $C$60 * $C$32 * $C$61 *F31 ^2</f>
        <v>9.5828160000000023E-2</v>
      </c>
      <c r="I31" s="92">
        <f>G31+H31</f>
        <v>0.37627616000000008</v>
      </c>
      <c r="J31" s="95">
        <f t="shared" ref="J31:J52" si="12">2*I31/($C$32*F31^2)</f>
        <v>1.8847545105739276</v>
      </c>
      <c r="K31" s="96">
        <f t="shared" ref="K31:K52" si="13">F31*$C$48</f>
        <v>0.02</v>
      </c>
      <c r="L31" s="96">
        <f>I31*K31</f>
        <v>7.5255232000000019E-3</v>
      </c>
      <c r="M31" s="96">
        <f>L31/1000</f>
        <v>7.5255232000000022E-6</v>
      </c>
    </row>
    <row r="32" spans="1:16" x14ac:dyDescent="0.2">
      <c r="A32" s="109" t="s">
        <v>143</v>
      </c>
      <c r="B32" s="13" t="s">
        <v>13</v>
      </c>
      <c r="C32" s="14">
        <v>998.21</v>
      </c>
      <c r="D32" s="106">
        <v>20</v>
      </c>
      <c r="F32" s="91">
        <f t="shared" ref="F32:F52" si="14">F6</f>
        <v>0.05</v>
      </c>
      <c r="G32" s="92">
        <f t="shared" si="10"/>
        <v>0.70112000000000008</v>
      </c>
      <c r="H32" s="95">
        <f t="shared" si="11"/>
        <v>0.59892600000000018</v>
      </c>
      <c r="I32" s="92">
        <f t="shared" ref="I32:I52" si="15">G32+H32</f>
        <v>1.3000460000000003</v>
      </c>
      <c r="J32" s="95">
        <f t="shared" si="12"/>
        <v>1.0419018042295709</v>
      </c>
      <c r="K32" s="96">
        <f t="shared" si="13"/>
        <v>0.05</v>
      </c>
      <c r="L32" s="96">
        <f t="shared" ref="L32:L52" si="16">I32*K32</f>
        <v>6.5002300000000013E-2</v>
      </c>
      <c r="M32" s="96">
        <f t="shared" ref="M32:M52" si="17">L32/1000</f>
        <v>6.5002300000000006E-5</v>
      </c>
    </row>
    <row r="33" spans="1:13" x14ac:dyDescent="0.2">
      <c r="A33" s="109" t="s">
        <v>144</v>
      </c>
      <c r="B33" s="13" t="s">
        <v>77</v>
      </c>
      <c r="C33" s="104">
        <v>1.0016000000000001E-3</v>
      </c>
      <c r="D33" s="106">
        <v>20</v>
      </c>
      <c r="F33" s="91">
        <f t="shared" si="14"/>
        <v>0.1</v>
      </c>
      <c r="G33" s="92">
        <f t="shared" si="10"/>
        <v>1.4022400000000002</v>
      </c>
      <c r="H33" s="95">
        <f t="shared" si="11"/>
        <v>2.3957040000000007</v>
      </c>
      <c r="I33" s="92">
        <f t="shared" si="15"/>
        <v>3.7979440000000011</v>
      </c>
      <c r="J33" s="95">
        <f t="shared" si="12"/>
        <v>0.76095090211478544</v>
      </c>
      <c r="K33" s="96">
        <f t="shared" si="13"/>
        <v>0.1</v>
      </c>
      <c r="L33" s="96">
        <f t="shared" si="16"/>
        <v>0.37979440000000014</v>
      </c>
      <c r="M33" s="96">
        <f t="shared" si="17"/>
        <v>3.7979440000000017E-4</v>
      </c>
    </row>
    <row r="34" spans="1:13" x14ac:dyDescent="0.2">
      <c r="A34" s="109" t="s">
        <v>145</v>
      </c>
      <c r="B34" s="13" t="s">
        <v>78</v>
      </c>
      <c r="C34" s="104">
        <f>C33/C32</f>
        <v>1.0033960789813768E-6</v>
      </c>
      <c r="D34" s="106">
        <v>20</v>
      </c>
      <c r="F34" s="91">
        <f t="shared" si="14"/>
        <v>0.2</v>
      </c>
      <c r="G34" s="92">
        <f t="shared" si="10"/>
        <v>2.8044800000000003</v>
      </c>
      <c r="H34" s="95">
        <f t="shared" si="11"/>
        <v>9.5828160000000029</v>
      </c>
      <c r="I34" s="92">
        <f t="shared" si="15"/>
        <v>12.387296000000003</v>
      </c>
      <c r="J34" s="95">
        <f t="shared" si="12"/>
        <v>0.62047545105739266</v>
      </c>
      <c r="K34" s="96">
        <f t="shared" si="13"/>
        <v>0.2</v>
      </c>
      <c r="L34" s="96">
        <f t="shared" si="16"/>
        <v>2.4774592000000006</v>
      </c>
      <c r="M34" s="96">
        <f t="shared" si="17"/>
        <v>2.4774592000000005E-3</v>
      </c>
    </row>
    <row r="35" spans="1:13" x14ac:dyDescent="0.2">
      <c r="A35" s="53"/>
      <c r="B35" s="52"/>
      <c r="C35" s="45"/>
      <c r="F35" s="91">
        <f t="shared" si="14"/>
        <v>0.4</v>
      </c>
      <c r="G35" s="92">
        <f t="shared" si="10"/>
        <v>5.6089600000000006</v>
      </c>
      <c r="H35" s="95">
        <f t="shared" si="11"/>
        <v>38.331264000000012</v>
      </c>
      <c r="I35" s="92">
        <f t="shared" si="15"/>
        <v>43.940224000000015</v>
      </c>
      <c r="J35" s="95">
        <f t="shared" si="12"/>
        <v>0.55023772552869643</v>
      </c>
      <c r="K35" s="96">
        <f t="shared" si="13"/>
        <v>0.4</v>
      </c>
      <c r="L35" s="96">
        <f t="shared" si="16"/>
        <v>17.576089600000007</v>
      </c>
      <c r="M35" s="96">
        <f t="shared" si="17"/>
        <v>1.7576089600000008E-2</v>
      </c>
    </row>
    <row r="36" spans="1:13" x14ac:dyDescent="0.2">
      <c r="A36" s="15" t="s">
        <v>42</v>
      </c>
      <c r="F36" s="91">
        <f t="shared" si="14"/>
        <v>0.5</v>
      </c>
      <c r="G36" s="92">
        <f t="shared" si="10"/>
        <v>7.0112000000000005</v>
      </c>
      <c r="H36" s="95">
        <f t="shared" si="11"/>
        <v>59.892600000000009</v>
      </c>
      <c r="I36" s="92">
        <f t="shared" si="15"/>
        <v>66.903800000000004</v>
      </c>
      <c r="J36" s="95">
        <f t="shared" si="12"/>
        <v>0.53619018042295707</v>
      </c>
      <c r="K36" s="96">
        <f t="shared" si="13"/>
        <v>0.5</v>
      </c>
      <c r="L36" s="96">
        <f t="shared" si="16"/>
        <v>33.451900000000002</v>
      </c>
      <c r="M36" s="96">
        <f t="shared" si="17"/>
        <v>3.34519E-2</v>
      </c>
    </row>
    <row r="37" spans="1:13" x14ac:dyDescent="0.2">
      <c r="A37" s="17" t="s">
        <v>3</v>
      </c>
      <c r="B37" s="18" t="s">
        <v>4</v>
      </c>
      <c r="C37" s="18" t="s">
        <v>5</v>
      </c>
      <c r="F37" s="91">
        <f t="shared" si="14"/>
        <v>0.8</v>
      </c>
      <c r="G37" s="92">
        <f t="shared" si="10"/>
        <v>11.217920000000001</v>
      </c>
      <c r="H37" s="95">
        <f t="shared" si="11"/>
        <v>153.32505600000005</v>
      </c>
      <c r="I37" s="92">
        <f t="shared" si="15"/>
        <v>164.54297600000004</v>
      </c>
      <c r="J37" s="95">
        <f t="shared" si="12"/>
        <v>0.51511886276434815</v>
      </c>
      <c r="K37" s="34">
        <f t="shared" si="13"/>
        <v>0.8</v>
      </c>
      <c r="L37" s="34">
        <f t="shared" si="16"/>
        <v>131.63438080000003</v>
      </c>
      <c r="M37" s="34">
        <f t="shared" si="17"/>
        <v>0.13163438080000003</v>
      </c>
    </row>
    <row r="38" spans="1:13" x14ac:dyDescent="0.2">
      <c r="A38" s="14" t="s">
        <v>15</v>
      </c>
      <c r="B38" s="13" t="s">
        <v>1</v>
      </c>
      <c r="C38" s="19">
        <v>4.0000000000000001E-3</v>
      </c>
      <c r="F38" s="91">
        <f t="shared" si="14"/>
        <v>1</v>
      </c>
      <c r="G38" s="92">
        <f t="shared" si="10"/>
        <v>14.022400000000001</v>
      </c>
      <c r="H38" s="95">
        <f t="shared" si="11"/>
        <v>239.57040000000003</v>
      </c>
      <c r="I38" s="92">
        <f t="shared" si="15"/>
        <v>253.59280000000004</v>
      </c>
      <c r="J38" s="95">
        <f t="shared" si="12"/>
        <v>0.50809509021147858</v>
      </c>
      <c r="K38" s="96">
        <f t="shared" si="13"/>
        <v>1</v>
      </c>
      <c r="L38" s="96">
        <f t="shared" si="16"/>
        <v>253.59280000000004</v>
      </c>
      <c r="M38" s="96">
        <f t="shared" si="17"/>
        <v>0.25359280000000006</v>
      </c>
    </row>
    <row r="39" spans="1:13" x14ac:dyDescent="0.2">
      <c r="A39" s="14" t="s">
        <v>19</v>
      </c>
      <c r="B39" s="13" t="s">
        <v>1</v>
      </c>
      <c r="C39" s="19">
        <v>5.0000000000000001E-3</v>
      </c>
      <c r="F39" s="91">
        <f t="shared" si="14"/>
        <v>1.4</v>
      </c>
      <c r="G39" s="92">
        <f t="shared" si="10"/>
        <v>19.631360000000001</v>
      </c>
      <c r="H39" s="95">
        <f t="shared" si="11"/>
        <v>469.55798400000003</v>
      </c>
      <c r="I39" s="92">
        <f t="shared" si="15"/>
        <v>489.18934400000001</v>
      </c>
      <c r="J39" s="95">
        <f t="shared" si="12"/>
        <v>0.50006792157962754</v>
      </c>
      <c r="K39" s="96">
        <f t="shared" si="13"/>
        <v>1.4</v>
      </c>
      <c r="L39" s="96">
        <f t="shared" si="16"/>
        <v>684.86508159999994</v>
      </c>
      <c r="M39" s="96">
        <f t="shared" si="17"/>
        <v>0.68486508159999993</v>
      </c>
    </row>
    <row r="40" spans="1:13" x14ac:dyDescent="0.2">
      <c r="A40" s="14" t="s">
        <v>20</v>
      </c>
      <c r="B40" s="13" t="s">
        <v>1</v>
      </c>
      <c r="C40" s="19">
        <f>C38+C39</f>
        <v>9.0000000000000011E-3</v>
      </c>
      <c r="F40" s="91">
        <f t="shared" si="14"/>
        <v>1.8</v>
      </c>
      <c r="G40" s="92">
        <f t="shared" si="10"/>
        <v>25.240320000000004</v>
      </c>
      <c r="H40" s="95">
        <f t="shared" si="11"/>
        <v>776.20809600000018</v>
      </c>
      <c r="I40" s="92">
        <f t="shared" si="15"/>
        <v>801.44841600000018</v>
      </c>
      <c r="J40" s="95">
        <f t="shared" si="12"/>
        <v>0.49560838345082148</v>
      </c>
      <c r="K40" s="96">
        <f t="shared" si="13"/>
        <v>1.8</v>
      </c>
      <c r="L40" s="96">
        <f t="shared" si="16"/>
        <v>1442.6071488000005</v>
      </c>
      <c r="M40" s="96">
        <f t="shared" si="17"/>
        <v>1.4426071488000005</v>
      </c>
    </row>
    <row r="41" spans="1:13" x14ac:dyDescent="0.2">
      <c r="A41" s="14" t="s">
        <v>21</v>
      </c>
      <c r="B41" s="13" t="s">
        <v>175</v>
      </c>
      <c r="C41" s="24">
        <f>1/C40</f>
        <v>111.1111111111111</v>
      </c>
      <c r="F41" s="91">
        <f t="shared" si="14"/>
        <v>2</v>
      </c>
      <c r="G41" s="92">
        <f t="shared" si="10"/>
        <v>28.044800000000002</v>
      </c>
      <c r="H41" s="95">
        <f t="shared" si="11"/>
        <v>958.28160000000014</v>
      </c>
      <c r="I41" s="92">
        <f t="shared" si="15"/>
        <v>986.32640000000015</v>
      </c>
      <c r="J41" s="95">
        <f t="shared" si="12"/>
        <v>0.49404754510573934</v>
      </c>
      <c r="K41" s="96">
        <f t="shared" si="13"/>
        <v>2</v>
      </c>
      <c r="L41" s="96">
        <f t="shared" si="16"/>
        <v>1972.6528000000003</v>
      </c>
      <c r="M41" s="96">
        <f t="shared" si="17"/>
        <v>1.9726528000000003</v>
      </c>
    </row>
    <row r="42" spans="1:13" x14ac:dyDescent="0.2">
      <c r="A42" s="14" t="s">
        <v>166</v>
      </c>
      <c r="B42" s="13" t="s">
        <v>7</v>
      </c>
      <c r="C42" s="19">
        <f>(1-C38/C40)^2</f>
        <v>0.30864197530864201</v>
      </c>
      <c r="F42" s="91">
        <f t="shared" si="14"/>
        <v>3</v>
      </c>
      <c r="G42" s="92">
        <f t="shared" si="10"/>
        <v>42.0672</v>
      </c>
      <c r="H42" s="95">
        <f t="shared" si="11"/>
        <v>2156.1336000000001</v>
      </c>
      <c r="I42" s="92">
        <f t="shared" si="15"/>
        <v>2198.2008000000001</v>
      </c>
      <c r="J42" s="95">
        <f t="shared" si="12"/>
        <v>0.48936503007049292</v>
      </c>
      <c r="K42" s="96">
        <f t="shared" si="13"/>
        <v>3</v>
      </c>
      <c r="L42" s="96">
        <f t="shared" si="16"/>
        <v>6594.6023999999998</v>
      </c>
      <c r="M42" s="96">
        <f t="shared" si="17"/>
        <v>6.5946023999999994</v>
      </c>
    </row>
    <row r="43" spans="1:13" x14ac:dyDescent="0.2">
      <c r="A43" s="14" t="s">
        <v>167</v>
      </c>
      <c r="B43" s="13" t="s">
        <v>7</v>
      </c>
      <c r="C43" s="19">
        <f>1-C42</f>
        <v>0.69135802469135799</v>
      </c>
      <c r="F43" s="91">
        <f t="shared" si="14"/>
        <v>5</v>
      </c>
      <c r="G43" s="92">
        <f t="shared" si="10"/>
        <v>70.112000000000009</v>
      </c>
      <c r="H43" s="95">
        <f t="shared" si="11"/>
        <v>5989.2600000000011</v>
      </c>
      <c r="I43" s="92">
        <f t="shared" si="15"/>
        <v>6059.3720000000012</v>
      </c>
      <c r="J43" s="95">
        <f t="shared" si="12"/>
        <v>0.48561901804229579</v>
      </c>
      <c r="K43" s="96">
        <f t="shared" si="13"/>
        <v>5</v>
      </c>
      <c r="L43" s="96">
        <f t="shared" si="16"/>
        <v>30296.860000000008</v>
      </c>
      <c r="M43" s="96">
        <f t="shared" si="17"/>
        <v>30.296860000000009</v>
      </c>
    </row>
    <row r="44" spans="1:13" x14ac:dyDescent="0.2">
      <c r="A44" s="14" t="s">
        <v>168</v>
      </c>
      <c r="B44" s="13" t="s">
        <v>7</v>
      </c>
      <c r="C44" s="19">
        <f>((1/C41^2)+C38^2)^0.5</f>
        <v>9.848857801796106E-3</v>
      </c>
      <c r="F44" s="91">
        <f t="shared" si="14"/>
        <v>8</v>
      </c>
      <c r="G44" s="92">
        <f t="shared" si="10"/>
        <v>112.17920000000001</v>
      </c>
      <c r="H44" s="95">
        <f t="shared" si="11"/>
        <v>15332.505600000002</v>
      </c>
      <c r="I44" s="92">
        <f t="shared" si="15"/>
        <v>15444.684800000003</v>
      </c>
      <c r="J44" s="95">
        <f t="shared" si="12"/>
        <v>0.48351188627643488</v>
      </c>
      <c r="K44" s="96">
        <f t="shared" si="13"/>
        <v>8</v>
      </c>
      <c r="L44" s="96">
        <f t="shared" si="16"/>
        <v>123557.47840000002</v>
      </c>
      <c r="M44" s="96">
        <f t="shared" si="17"/>
        <v>123.55747840000002</v>
      </c>
    </row>
    <row r="45" spans="1:13" x14ac:dyDescent="0.2">
      <c r="A45" s="14" t="s">
        <v>169</v>
      </c>
      <c r="B45" s="13" t="s">
        <v>26</v>
      </c>
      <c r="C45" s="24">
        <f>PI()*C44*C41^2</f>
        <v>381.98888044905135</v>
      </c>
      <c r="F45" s="91">
        <f t="shared" si="14"/>
        <v>10</v>
      </c>
      <c r="G45" s="92">
        <f t="shared" si="10"/>
        <v>140.22400000000002</v>
      </c>
      <c r="H45" s="95">
        <f t="shared" si="11"/>
        <v>23957.040000000005</v>
      </c>
      <c r="I45" s="92">
        <f t="shared" si="15"/>
        <v>24097.264000000003</v>
      </c>
      <c r="J45" s="95">
        <f t="shared" si="12"/>
        <v>0.48280950902114789</v>
      </c>
      <c r="K45" s="96">
        <f t="shared" si="13"/>
        <v>10</v>
      </c>
      <c r="L45" s="96">
        <f t="shared" si="16"/>
        <v>240972.64</v>
      </c>
      <c r="M45" s="96">
        <f t="shared" si="17"/>
        <v>240.97264000000001</v>
      </c>
    </row>
    <row r="46" spans="1:13" x14ac:dyDescent="0.2">
      <c r="A46" s="14" t="s">
        <v>170</v>
      </c>
      <c r="B46" s="13" t="s">
        <v>1</v>
      </c>
      <c r="C46" s="19">
        <f>6/C45</f>
        <v>1.5707263501876369E-2</v>
      </c>
      <c r="F46" s="91">
        <f t="shared" si="14"/>
        <v>15</v>
      </c>
      <c r="G46" s="92">
        <f t="shared" si="10"/>
        <v>210.33600000000001</v>
      </c>
      <c r="H46" s="95">
        <f t="shared" si="11"/>
        <v>53903.340000000011</v>
      </c>
      <c r="I46" s="92">
        <f t="shared" si="15"/>
        <v>54113.676000000014</v>
      </c>
      <c r="J46" s="95">
        <f t="shared" si="12"/>
        <v>0.48187300601409871</v>
      </c>
      <c r="K46" s="96">
        <f t="shared" si="13"/>
        <v>15</v>
      </c>
      <c r="L46" s="96">
        <f t="shared" si="16"/>
        <v>811705.14000000025</v>
      </c>
      <c r="M46" s="96">
        <f t="shared" si="17"/>
        <v>811.70514000000026</v>
      </c>
    </row>
    <row r="47" spans="1:13" x14ac:dyDescent="0.2">
      <c r="A47" s="14" t="s">
        <v>171</v>
      </c>
      <c r="B47" s="13" t="s">
        <v>1</v>
      </c>
      <c r="C47" s="19">
        <v>2E-3</v>
      </c>
      <c r="F47" s="91">
        <f t="shared" si="14"/>
        <v>20</v>
      </c>
      <c r="G47" s="92">
        <f t="shared" si="10"/>
        <v>280.44800000000004</v>
      </c>
      <c r="H47" s="95">
        <f t="shared" si="11"/>
        <v>95828.160000000018</v>
      </c>
      <c r="I47" s="92">
        <f t="shared" si="15"/>
        <v>96108.608000000022</v>
      </c>
      <c r="J47" s="95">
        <f t="shared" si="12"/>
        <v>0.48140475451057402</v>
      </c>
      <c r="K47" s="96">
        <f t="shared" si="13"/>
        <v>20</v>
      </c>
      <c r="L47" s="96">
        <f t="shared" si="16"/>
        <v>1922172.1600000004</v>
      </c>
      <c r="M47" s="96">
        <f t="shared" si="17"/>
        <v>1922.1721600000003</v>
      </c>
    </row>
    <row r="48" spans="1:13" x14ac:dyDescent="0.2">
      <c r="A48" s="14" t="s">
        <v>172</v>
      </c>
      <c r="B48" s="13" t="s">
        <v>2</v>
      </c>
      <c r="C48" s="14">
        <v>1</v>
      </c>
      <c r="F48" s="91">
        <f t="shared" si="14"/>
        <v>22</v>
      </c>
      <c r="G48" s="92">
        <f t="shared" si="10"/>
        <v>308.49280000000005</v>
      </c>
      <c r="H48" s="95">
        <f t="shared" si="11"/>
        <v>115952.07360000002</v>
      </c>
      <c r="I48" s="92">
        <f t="shared" si="15"/>
        <v>116260.56640000003</v>
      </c>
      <c r="J48" s="95">
        <f t="shared" si="12"/>
        <v>0.48127704955506728</v>
      </c>
      <c r="K48" s="96">
        <f t="shared" si="13"/>
        <v>22</v>
      </c>
      <c r="L48" s="96">
        <f t="shared" si="16"/>
        <v>2557732.4608000005</v>
      </c>
      <c r="M48" s="96">
        <f t="shared" si="17"/>
        <v>2557.7324608000004</v>
      </c>
    </row>
    <row r="49" spans="1:13" x14ac:dyDescent="0.2">
      <c r="F49" s="91">
        <f t="shared" si="14"/>
        <v>24</v>
      </c>
      <c r="G49" s="92">
        <f t="shared" si="10"/>
        <v>336.5376</v>
      </c>
      <c r="H49" s="95">
        <f t="shared" si="11"/>
        <v>137992.55040000001</v>
      </c>
      <c r="I49" s="92">
        <f t="shared" si="15"/>
        <v>138329.08800000002</v>
      </c>
      <c r="J49" s="95">
        <f t="shared" si="12"/>
        <v>0.48117062875881172</v>
      </c>
      <c r="K49" s="96">
        <f t="shared" si="13"/>
        <v>24</v>
      </c>
      <c r="L49" s="96">
        <f t="shared" si="16"/>
        <v>3319898.1120000007</v>
      </c>
      <c r="M49" s="96">
        <f t="shared" si="17"/>
        <v>3319.8981120000008</v>
      </c>
    </row>
    <row r="50" spans="1:13" x14ac:dyDescent="0.2">
      <c r="A50" s="15" t="s">
        <v>31</v>
      </c>
      <c r="F50" s="91">
        <f t="shared" si="14"/>
        <v>25</v>
      </c>
      <c r="G50" s="92">
        <f t="shared" si="10"/>
        <v>350.56</v>
      </c>
      <c r="H50" s="95">
        <f t="shared" si="11"/>
        <v>149731.50000000003</v>
      </c>
      <c r="I50" s="92">
        <f t="shared" si="15"/>
        <v>150082.06000000003</v>
      </c>
      <c r="J50" s="95">
        <f t="shared" si="12"/>
        <v>0.48112380360845924</v>
      </c>
      <c r="K50" s="32">
        <f t="shared" si="13"/>
        <v>25</v>
      </c>
      <c r="L50" s="32">
        <f t="shared" si="16"/>
        <v>3752051.5000000005</v>
      </c>
      <c r="M50" s="33">
        <f t="shared" si="17"/>
        <v>3752.0515000000005</v>
      </c>
    </row>
    <row r="51" spans="1:13" x14ac:dyDescent="0.2">
      <c r="A51" s="17" t="s">
        <v>3</v>
      </c>
      <c r="B51" s="18" t="s">
        <v>4</v>
      </c>
      <c r="C51" s="18" t="s">
        <v>5</v>
      </c>
      <c r="F51" s="91">
        <f t="shared" si="14"/>
        <v>28</v>
      </c>
      <c r="G51" s="92">
        <f t="shared" si="10"/>
        <v>392.62720000000002</v>
      </c>
      <c r="H51" s="95">
        <f t="shared" si="11"/>
        <v>187823.19360000003</v>
      </c>
      <c r="I51" s="92">
        <f t="shared" si="15"/>
        <v>188215.82080000002</v>
      </c>
      <c r="J51" s="95">
        <f t="shared" si="12"/>
        <v>0.4810033960789814</v>
      </c>
      <c r="K51" s="32">
        <f t="shared" si="13"/>
        <v>28</v>
      </c>
      <c r="L51" s="32">
        <f t="shared" si="16"/>
        <v>5270042.9824000001</v>
      </c>
      <c r="M51" s="33">
        <f t="shared" si="17"/>
        <v>5270.0429824000003</v>
      </c>
    </row>
    <row r="52" spans="1:13" x14ac:dyDescent="0.2">
      <c r="A52" s="14" t="s">
        <v>176</v>
      </c>
      <c r="B52" s="13" t="s">
        <v>7</v>
      </c>
      <c r="C52" s="14">
        <v>250</v>
      </c>
      <c r="F52" s="91">
        <f t="shared" si="14"/>
        <v>30</v>
      </c>
      <c r="G52" s="92">
        <f t="shared" si="10"/>
        <v>420.67200000000003</v>
      </c>
      <c r="H52" s="95">
        <f t="shared" si="11"/>
        <v>215613.36000000004</v>
      </c>
      <c r="I52" s="92">
        <f t="shared" si="15"/>
        <v>216034.03200000004</v>
      </c>
      <c r="J52" s="95">
        <f t="shared" si="12"/>
        <v>0.48093650300704938</v>
      </c>
      <c r="K52" s="32">
        <f t="shared" si="13"/>
        <v>30</v>
      </c>
      <c r="L52" s="32">
        <f t="shared" si="16"/>
        <v>6481020.9600000009</v>
      </c>
      <c r="M52" s="33">
        <f t="shared" si="17"/>
        <v>6481.0209600000007</v>
      </c>
    </row>
    <row r="53" spans="1:13" x14ac:dyDescent="0.2">
      <c r="A53" s="14" t="s">
        <v>177</v>
      </c>
      <c r="B53" s="13" t="s">
        <v>7</v>
      </c>
      <c r="C53" s="14">
        <v>1.69</v>
      </c>
    </row>
    <row r="54" spans="1:13" x14ac:dyDescent="0.2">
      <c r="A54" s="14" t="s">
        <v>178</v>
      </c>
      <c r="B54" s="13" t="s">
        <v>7</v>
      </c>
      <c r="C54" s="14">
        <v>7.0999999999999994E-2</v>
      </c>
    </row>
    <row r="56" spans="1:13" x14ac:dyDescent="0.2">
      <c r="A56" s="15"/>
      <c r="F56" s="10" t="s">
        <v>190</v>
      </c>
      <c r="G56" s="31"/>
      <c r="H56" s="31"/>
      <c r="I56" s="31"/>
    </row>
    <row r="57" spans="1:13" x14ac:dyDescent="0.2">
      <c r="A57" s="15" t="s">
        <v>183</v>
      </c>
      <c r="F57" s="9" t="s">
        <v>9</v>
      </c>
      <c r="G57" s="9" t="s">
        <v>189</v>
      </c>
      <c r="H57" s="9" t="s">
        <v>40</v>
      </c>
      <c r="I57" s="9" t="s">
        <v>84</v>
      </c>
    </row>
    <row r="58" spans="1:13" x14ac:dyDescent="0.2">
      <c r="A58" s="17" t="s">
        <v>3</v>
      </c>
      <c r="B58" s="18" t="s">
        <v>4</v>
      </c>
      <c r="C58" s="18" t="s">
        <v>5</v>
      </c>
      <c r="F58" s="9" t="s">
        <v>12</v>
      </c>
      <c r="G58" s="9"/>
      <c r="H58" s="9" t="s">
        <v>59</v>
      </c>
      <c r="I58" s="9" t="s">
        <v>58</v>
      </c>
    </row>
    <row r="59" spans="1:13" x14ac:dyDescent="0.2">
      <c r="A59" s="14" t="s">
        <v>115</v>
      </c>
      <c r="B59" s="13" t="s">
        <v>7</v>
      </c>
      <c r="C59" s="14">
        <v>7000000</v>
      </c>
      <c r="F59" s="31">
        <v>0.5</v>
      </c>
      <c r="G59" s="99">
        <v>-6.8599999999999994E-2</v>
      </c>
      <c r="H59" s="31">
        <f>G59*$C$32</f>
        <v>-68.477205999999995</v>
      </c>
      <c r="I59" s="50">
        <f>-H59/(0.5*$C$32*F59^2)</f>
        <v>0.54879999999999995</v>
      </c>
    </row>
    <row r="60" spans="1:13" x14ac:dyDescent="0.2">
      <c r="A60" s="14" t="s">
        <v>116</v>
      </c>
      <c r="B60" s="13" t="s">
        <v>7</v>
      </c>
      <c r="C60" s="14">
        <v>240</v>
      </c>
      <c r="F60" s="31">
        <v>1</v>
      </c>
      <c r="G60" s="99">
        <v>-0.26100000000000001</v>
      </c>
      <c r="H60" s="31">
        <f t="shared" ref="H60:H66" si="18">G60*$C$32</f>
        <v>-260.53281000000004</v>
      </c>
      <c r="I60" s="50">
        <f t="shared" ref="I60:I66" si="19">-H60/(0.5*$C$32*F60^2)</f>
        <v>0.52200000000000002</v>
      </c>
    </row>
    <row r="61" spans="1:13" x14ac:dyDescent="0.2">
      <c r="A61" s="14" t="s">
        <v>184</v>
      </c>
      <c r="B61" s="13" t="s">
        <v>1</v>
      </c>
      <c r="C61" s="19">
        <f>C47</f>
        <v>2E-3</v>
      </c>
      <c r="F61" s="31">
        <v>1.5</v>
      </c>
      <c r="G61" s="99">
        <v>-0.56999999999999995</v>
      </c>
      <c r="H61" s="31">
        <f t="shared" si="18"/>
        <v>-568.97969999999998</v>
      </c>
      <c r="I61" s="50">
        <f t="shared" si="19"/>
        <v>0.50666666666666671</v>
      </c>
    </row>
    <row r="62" spans="1:13" x14ac:dyDescent="0.2">
      <c r="F62" s="31">
        <v>2</v>
      </c>
      <c r="G62" s="99">
        <v>-0.999</v>
      </c>
      <c r="H62" s="31">
        <f t="shared" si="18"/>
        <v>-997.21179000000006</v>
      </c>
      <c r="I62" s="50">
        <f t="shared" si="19"/>
        <v>0.4995</v>
      </c>
    </row>
    <row r="63" spans="1:13" x14ac:dyDescent="0.2">
      <c r="F63" s="31">
        <v>2.5</v>
      </c>
      <c r="G63" s="99">
        <v>-1.55</v>
      </c>
      <c r="H63" s="31">
        <f t="shared" si="18"/>
        <v>-1547.2255</v>
      </c>
      <c r="I63" s="50">
        <f t="shared" si="19"/>
        <v>0.496</v>
      </c>
    </row>
    <row r="64" spans="1:13" x14ac:dyDescent="0.2">
      <c r="F64" s="31">
        <v>3</v>
      </c>
      <c r="G64" s="99">
        <v>-2.2200000000000002</v>
      </c>
      <c r="H64" s="31">
        <f t="shared" si="18"/>
        <v>-2216.0262000000002</v>
      </c>
      <c r="I64" s="50">
        <f t="shared" si="19"/>
        <v>0.4933333333333334</v>
      </c>
    </row>
    <row r="65" spans="2:9" x14ac:dyDescent="0.2">
      <c r="B65" s="13"/>
      <c r="C65" s="19"/>
      <c r="F65" s="31">
        <v>3.5</v>
      </c>
      <c r="G65" s="99">
        <v>-3.01</v>
      </c>
      <c r="H65" s="31">
        <f t="shared" si="18"/>
        <v>-3004.6120999999998</v>
      </c>
      <c r="I65" s="50">
        <f t="shared" si="19"/>
        <v>0.49142857142857138</v>
      </c>
    </row>
    <row r="66" spans="2:9" x14ac:dyDescent="0.2">
      <c r="F66" s="31">
        <v>4</v>
      </c>
      <c r="G66" s="99">
        <v>-3.91</v>
      </c>
      <c r="H66" s="31">
        <f t="shared" si="18"/>
        <v>-3903.0011000000004</v>
      </c>
      <c r="I66" s="50">
        <f t="shared" si="19"/>
        <v>0.48875000000000002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8D87-C5D5-C547-87B7-DE708B3EFF40}">
  <dimension ref="A1:M87"/>
  <sheetViews>
    <sheetView zoomScale="90" zoomScaleNormal="90" workbookViewId="0">
      <selection activeCell="F36" sqref="F36"/>
    </sheetView>
  </sheetViews>
  <sheetFormatPr baseColWidth="10" defaultColWidth="11" defaultRowHeight="16" x14ac:dyDescent="0.2"/>
  <cols>
    <col min="1" max="1" width="25.33203125" style="14" customWidth="1"/>
    <col min="2" max="3" width="11.83203125" style="14" customWidth="1"/>
    <col min="4" max="4" width="9.1640625" style="14" customWidth="1"/>
    <col min="5" max="5" width="8.6640625" style="14" customWidth="1"/>
    <col min="6" max="6" width="9.33203125" style="14" customWidth="1"/>
    <col min="7" max="7" width="8" style="14" bestFit="1" customWidth="1"/>
    <col min="8" max="8" width="9.83203125" style="14" customWidth="1"/>
    <col min="9" max="10" width="11" style="14"/>
    <col min="11" max="11" width="11.6640625" style="14" bestFit="1" customWidth="1"/>
    <col min="12" max="16384" width="11" style="14"/>
  </cols>
  <sheetData>
    <row r="1" spans="1:13" ht="26" x14ac:dyDescent="0.3">
      <c r="A1" s="12" t="s">
        <v>43</v>
      </c>
    </row>
    <row r="3" spans="1:13" x14ac:dyDescent="0.2">
      <c r="A3" s="15" t="s">
        <v>76</v>
      </c>
      <c r="E3" s="18" t="s">
        <v>62</v>
      </c>
      <c r="F3" s="18" t="s">
        <v>16</v>
      </c>
      <c r="G3" s="18" t="s">
        <v>17</v>
      </c>
      <c r="H3" s="18" t="s">
        <v>45</v>
      </c>
      <c r="I3" s="18" t="s">
        <v>44</v>
      </c>
      <c r="J3" s="18" t="s">
        <v>18</v>
      </c>
      <c r="K3" s="18" t="s">
        <v>40</v>
      </c>
      <c r="L3" s="18" t="s">
        <v>8</v>
      </c>
      <c r="M3" s="18" t="s">
        <v>10</v>
      </c>
    </row>
    <row r="4" spans="1:13" x14ac:dyDescent="0.2">
      <c r="A4" s="17" t="s">
        <v>3</v>
      </c>
      <c r="B4" s="18" t="s">
        <v>4</v>
      </c>
      <c r="C4" s="18" t="s">
        <v>5</v>
      </c>
      <c r="E4" s="18" t="s">
        <v>12</v>
      </c>
      <c r="F4" s="18" t="s">
        <v>58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59</v>
      </c>
      <c r="L4" s="18" t="s">
        <v>58</v>
      </c>
      <c r="M4" s="18" t="s">
        <v>11</v>
      </c>
    </row>
    <row r="5" spans="1:13" x14ac:dyDescent="0.2">
      <c r="A5" s="14" t="s">
        <v>140</v>
      </c>
      <c r="B5" s="13" t="s">
        <v>13</v>
      </c>
      <c r="C5" s="14">
        <v>1.204</v>
      </c>
      <c r="E5" s="5">
        <v>2.0000000000000002E-5</v>
      </c>
      <c r="F5" s="5">
        <f t="shared" ref="F5:F50" si="0">(1-$C$26)*($C$30*$C$14*E5)/$C$15</f>
        <v>4.5872444014751056E-3</v>
      </c>
      <c r="G5" s="6">
        <f t="shared" ref="G5:G50" si="1">F5/$C$27</f>
        <v>1.5012799859373076E-2</v>
      </c>
      <c r="H5" s="5">
        <f t="shared" ref="H5:H50" si="2">$C$36*(1-$C$26)/F5</f>
        <v>16652.456726379074</v>
      </c>
      <c r="I5" s="5">
        <f t="shared" ref="I5:I50" si="3">$C$37*((1-$C$26)/F5)^$C$38</f>
        <v>2.2769732276852022</v>
      </c>
      <c r="J5" s="8">
        <f>H5+I5</f>
        <v>16654.733699606761</v>
      </c>
      <c r="K5" s="5">
        <f t="shared" ref="K5:K50" si="4">J5*$C$31*$C$14*E5^2*(1-$C$26)/($C$26^3*$C$30)</f>
        <v>1.748085134365656E-6</v>
      </c>
      <c r="L5" s="8">
        <f t="shared" ref="L5:L50" si="5">2*K5/($C$14*E5^2)</f>
        <v>7259.4897606547165</v>
      </c>
      <c r="M5" s="32">
        <f t="shared" ref="M5:M50" si="6">0.5*$C$14*L5*$C$32*E5^3</f>
        <v>6.9923405374626245E-11</v>
      </c>
    </row>
    <row r="6" spans="1:13" x14ac:dyDescent="0.2">
      <c r="A6" s="14" t="s">
        <v>141</v>
      </c>
      <c r="B6" s="13" t="s">
        <v>77</v>
      </c>
      <c r="C6" s="14">
        <v>1.8130000000000001E-5</v>
      </c>
      <c r="E6" s="5">
        <f>E5*$C$43</f>
        <v>2.8200000000000001E-5</v>
      </c>
      <c r="F6" s="5">
        <f t="shared" si="0"/>
        <v>6.4680146060798992E-3</v>
      </c>
      <c r="G6" s="6">
        <f t="shared" si="1"/>
        <v>2.116804780171604E-2</v>
      </c>
      <c r="H6" s="5">
        <f t="shared" si="2"/>
        <v>11810.252997431968</v>
      </c>
      <c r="I6" s="5">
        <f t="shared" si="3"/>
        <v>2.2220988124691012</v>
      </c>
      <c r="J6" s="8">
        <f t="shared" ref="J6:J39" si="7">H6+I6</f>
        <v>11812.475096244438</v>
      </c>
      <c r="K6" s="5">
        <f t="shared" si="4"/>
        <v>2.4649267498290901E-6</v>
      </c>
      <c r="L6" s="8">
        <f t="shared" si="5"/>
        <v>5148.8389761044373</v>
      </c>
      <c r="M6" s="32">
        <f t="shared" si="6"/>
        <v>1.3902186869036072E-10</v>
      </c>
    </row>
    <row r="7" spans="1:13" x14ac:dyDescent="0.2">
      <c r="A7" s="14" t="s">
        <v>142</v>
      </c>
      <c r="B7" s="13" t="s">
        <v>78</v>
      </c>
      <c r="C7" s="14">
        <f>C6/C5</f>
        <v>1.5058139534883723E-5</v>
      </c>
      <c r="E7" s="5">
        <f t="shared" ref="E7:E50" si="8">E6*$C$43</f>
        <v>3.9761999999999996E-5</v>
      </c>
      <c r="F7" s="5">
        <f t="shared" si="0"/>
        <v>9.119900594572657E-3</v>
      </c>
      <c r="G7" s="6">
        <f t="shared" si="1"/>
        <v>2.9846947400419613E-2</v>
      </c>
      <c r="H7" s="5">
        <f t="shared" si="2"/>
        <v>8376.0659556255086</v>
      </c>
      <c r="I7" s="5">
        <f t="shared" si="3"/>
        <v>2.1685468552462241</v>
      </c>
      <c r="J7" s="8">
        <f t="shared" si="7"/>
        <v>8378.2345024807546</v>
      </c>
      <c r="K7" s="5">
        <f t="shared" si="4"/>
        <v>3.4757925591226246E-6</v>
      </c>
      <c r="L7" s="8">
        <f t="shared" si="5"/>
        <v>3651.917147408918</v>
      </c>
      <c r="M7" s="32">
        <f t="shared" si="6"/>
        <v>2.7640892747166763E-10</v>
      </c>
    </row>
    <row r="8" spans="1:13" x14ac:dyDescent="0.2">
      <c r="A8" s="14" t="s">
        <v>143</v>
      </c>
      <c r="B8" s="13" t="s">
        <v>13</v>
      </c>
      <c r="C8" s="14">
        <v>998.2</v>
      </c>
      <c r="E8" s="5">
        <f t="shared" si="8"/>
        <v>5.6064419999999993E-5</v>
      </c>
      <c r="F8" s="5">
        <f t="shared" si="0"/>
        <v>1.2859059838347446E-2</v>
      </c>
      <c r="G8" s="6">
        <f t="shared" si="1"/>
        <v>4.2084195834591651E-2</v>
      </c>
      <c r="H8" s="5">
        <f t="shared" si="2"/>
        <v>5940.4723089542622</v>
      </c>
      <c r="I8" s="5">
        <f t="shared" si="3"/>
        <v>2.1162854851503949</v>
      </c>
      <c r="J8" s="8">
        <f t="shared" si="7"/>
        <v>5942.5885944394122</v>
      </c>
      <c r="K8" s="5">
        <f t="shared" si="4"/>
        <v>4.9013444876363912E-6</v>
      </c>
      <c r="L8" s="8">
        <f t="shared" si="5"/>
        <v>2590.2642354548739</v>
      </c>
      <c r="M8" s="32">
        <f t="shared" si="6"/>
        <v>5.495820718390629E-10</v>
      </c>
    </row>
    <row r="9" spans="1:13" x14ac:dyDescent="0.2">
      <c r="A9" s="14" t="s">
        <v>144</v>
      </c>
      <c r="B9" s="13" t="s">
        <v>77</v>
      </c>
      <c r="C9" s="14">
        <v>1.307E-3</v>
      </c>
      <c r="E9" s="5">
        <f t="shared" si="8"/>
        <v>7.9050832199999989E-5</v>
      </c>
      <c r="F9" s="5">
        <f t="shared" si="0"/>
        <v>1.8131274372069895E-2</v>
      </c>
      <c r="G9" s="6">
        <f t="shared" si="1"/>
        <v>5.9338716126774216E-2</v>
      </c>
      <c r="H9" s="5">
        <f t="shared" si="2"/>
        <v>4213.1009283363574</v>
      </c>
      <c r="I9" s="5">
        <f t="shared" si="3"/>
        <v>2.0652835993943603</v>
      </c>
      <c r="J9" s="8">
        <f t="shared" si="7"/>
        <v>4215.1662119357516</v>
      </c>
      <c r="K9" s="5">
        <f t="shared" si="4"/>
        <v>6.9118211567192001E-6</v>
      </c>
      <c r="L9" s="8">
        <f t="shared" si="5"/>
        <v>1837.3128329111512</v>
      </c>
      <c r="M9" s="32">
        <f t="shared" si="6"/>
        <v>1.0927704289124388E-9</v>
      </c>
    </row>
    <row r="10" spans="1:13" x14ac:dyDescent="0.2">
      <c r="A10" s="14" t="s">
        <v>145</v>
      </c>
      <c r="B10" s="13" t="s">
        <v>78</v>
      </c>
      <c r="C10" s="14">
        <f>C9/C8</f>
        <v>1.3093568423161691E-6</v>
      </c>
      <c r="E10" s="5">
        <f t="shared" si="8"/>
        <v>1.1146167340199998E-4</v>
      </c>
      <c r="F10" s="5">
        <f t="shared" si="0"/>
        <v>2.5565096864618556E-2</v>
      </c>
      <c r="G10" s="6">
        <f t="shared" si="1"/>
        <v>8.3667589738751658E-2</v>
      </c>
      <c r="H10" s="5">
        <f t="shared" si="2"/>
        <v>2988.014842791742</v>
      </c>
      <c r="I10" s="5">
        <f t="shared" si="3"/>
        <v>2.0155108447593033</v>
      </c>
      <c r="J10" s="8">
        <f t="shared" si="7"/>
        <v>2990.0303536365013</v>
      </c>
      <c r="K10" s="5">
        <f t="shared" si="4"/>
        <v>9.7474633369064331E-6</v>
      </c>
      <c r="L10" s="8">
        <f t="shared" si="5"/>
        <v>1303.2988174877567</v>
      </c>
      <c r="M10" s="32">
        <f t="shared" si="6"/>
        <v>2.1729371499124674E-9</v>
      </c>
    </row>
    <row r="11" spans="1:13" x14ac:dyDescent="0.2">
      <c r="E11" s="5">
        <f t="shared" si="8"/>
        <v>1.5716095949681996E-4</v>
      </c>
      <c r="F11" s="5">
        <f t="shared" si="0"/>
        <v>3.6046786579112158E-2</v>
      </c>
      <c r="G11" s="6">
        <f t="shared" si="1"/>
        <v>0.11797130153163983</v>
      </c>
      <c r="H11" s="5">
        <f t="shared" si="2"/>
        <v>2119.159462972867</v>
      </c>
      <c r="I11" s="5">
        <f t="shared" si="3"/>
        <v>1.966937599530455</v>
      </c>
      <c r="J11" s="8">
        <f t="shared" si="7"/>
        <v>2121.1264005723974</v>
      </c>
      <c r="K11" s="5">
        <f t="shared" si="4"/>
        <v>1.3747406922932069E-5</v>
      </c>
      <c r="L11" s="8">
        <f t="shared" si="5"/>
        <v>924.55968757839014</v>
      </c>
      <c r="M11" s="32">
        <f t="shared" si="6"/>
        <v>4.3211113252024589E-9</v>
      </c>
    </row>
    <row r="12" spans="1:13" x14ac:dyDescent="0.2">
      <c r="A12" s="10" t="s">
        <v>83</v>
      </c>
      <c r="B12" s="36"/>
      <c r="C12" s="42"/>
      <c r="E12" s="5">
        <f t="shared" si="8"/>
        <v>2.2159695289051612E-4</v>
      </c>
      <c r="F12" s="5">
        <f t="shared" si="0"/>
        <v>5.0825969076548135E-2</v>
      </c>
      <c r="G12" s="6">
        <f t="shared" si="1"/>
        <v>0.16633953515961211</v>
      </c>
      <c r="H12" s="5">
        <f t="shared" si="2"/>
        <v>1502.9499737396222</v>
      </c>
      <c r="I12" s="5">
        <f t="shared" si="3"/>
        <v>1.9195349558680512</v>
      </c>
      <c r="J12" s="8">
        <f t="shared" si="7"/>
        <v>1504.8695086954904</v>
      </c>
      <c r="K12" s="5">
        <f t="shared" si="4"/>
        <v>1.9390602632698926E-5</v>
      </c>
      <c r="L12" s="8">
        <f t="shared" si="5"/>
        <v>655.94472938071362</v>
      </c>
      <c r="M12" s="32">
        <f t="shared" si="6"/>
        <v>8.5937969162338038E-9</v>
      </c>
    </row>
    <row r="13" spans="1:13" x14ac:dyDescent="0.2">
      <c r="A13" s="17" t="s">
        <v>3</v>
      </c>
      <c r="B13" s="18" t="s">
        <v>4</v>
      </c>
      <c r="C13" s="18" t="s">
        <v>5</v>
      </c>
      <c r="E13" s="5">
        <f t="shared" si="8"/>
        <v>3.1245170357562771E-4</v>
      </c>
      <c r="F13" s="5">
        <f t="shared" si="0"/>
        <v>7.1664616397932868E-2</v>
      </c>
      <c r="G13" s="6">
        <f t="shared" si="1"/>
        <v>0.23453874457505308</v>
      </c>
      <c r="H13" s="5">
        <f t="shared" si="2"/>
        <v>1065.9219671912215</v>
      </c>
      <c r="I13" s="5">
        <f t="shared" si="3"/>
        <v>1.8732747026031471</v>
      </c>
      <c r="J13" s="8">
        <f t="shared" si="7"/>
        <v>1067.7952418938246</v>
      </c>
      <c r="K13" s="5">
        <f t="shared" si="4"/>
        <v>2.735386318881695E-5</v>
      </c>
      <c r="L13" s="8">
        <f t="shared" si="5"/>
        <v>465.43215669591115</v>
      </c>
      <c r="M13" s="32">
        <f t="shared" si="6"/>
        <v>1.7093522305441018E-8</v>
      </c>
    </row>
    <row r="14" spans="1:13" x14ac:dyDescent="0.2">
      <c r="A14" s="14" t="s">
        <v>140</v>
      </c>
      <c r="B14" s="13" t="s">
        <v>13</v>
      </c>
      <c r="C14" s="14">
        <v>1.204</v>
      </c>
      <c r="E14" s="5">
        <f t="shared" si="8"/>
        <v>4.4055690204163506E-4</v>
      </c>
      <c r="F14" s="5">
        <f t="shared" si="0"/>
        <v>0.10104710912108535</v>
      </c>
      <c r="G14" s="6">
        <f t="shared" si="1"/>
        <v>0.33069962985082485</v>
      </c>
      <c r="H14" s="5">
        <f t="shared" si="2"/>
        <v>755.97302637675284</v>
      </c>
      <c r="I14" s="5">
        <f t="shared" si="3"/>
        <v>1.8281293084480454</v>
      </c>
      <c r="J14" s="8">
        <f t="shared" si="7"/>
        <v>757.80115568520091</v>
      </c>
      <c r="K14" s="5">
        <f t="shared" si="4"/>
        <v>3.859438969784143E-5</v>
      </c>
      <c r="L14" s="8">
        <f t="shared" si="5"/>
        <v>330.311479578861</v>
      </c>
      <c r="M14" s="32">
        <f t="shared" si="6"/>
        <v>3.400604952293723E-8</v>
      </c>
    </row>
    <row r="15" spans="1:13" x14ac:dyDescent="0.2">
      <c r="A15" s="14" t="s">
        <v>141</v>
      </c>
      <c r="B15" s="13" t="s">
        <v>77</v>
      </c>
      <c r="C15" s="14">
        <v>1.8130000000000001E-5</v>
      </c>
      <c r="E15" s="5">
        <f t="shared" si="8"/>
        <v>6.2118523187870537E-4</v>
      </c>
      <c r="F15" s="5">
        <f t="shared" si="0"/>
        <v>0.14247642386073031</v>
      </c>
      <c r="G15" s="6">
        <f t="shared" si="1"/>
        <v>0.46628647808966295</v>
      </c>
      <c r="H15" s="5">
        <f t="shared" si="2"/>
        <v>536.15108253670417</v>
      </c>
      <c r="I15" s="5">
        <f t="shared" si="3"/>
        <v>1.7840719056113483</v>
      </c>
      <c r="J15" s="8">
        <f t="shared" si="7"/>
        <v>537.93515444231548</v>
      </c>
      <c r="K15" s="5">
        <f t="shared" si="4"/>
        <v>5.4467452887710385E-5</v>
      </c>
      <c r="L15" s="8">
        <f t="shared" si="5"/>
        <v>234.47596437176344</v>
      </c>
      <c r="M15" s="32">
        <f t="shared" si="6"/>
        <v>6.7668754703789673E-8</v>
      </c>
    </row>
    <row r="16" spans="1:13" x14ac:dyDescent="0.2">
      <c r="A16" s="14" t="s">
        <v>142</v>
      </c>
      <c r="B16" s="13" t="s">
        <v>78</v>
      </c>
      <c r="C16" s="14">
        <f>C15/C14</f>
        <v>1.5058139534883723E-5</v>
      </c>
      <c r="E16" s="5">
        <f t="shared" si="8"/>
        <v>8.7587117694897453E-4</v>
      </c>
      <c r="F16" s="5">
        <f t="shared" si="0"/>
        <v>0.20089175764362974</v>
      </c>
      <c r="G16" s="6">
        <f t="shared" si="1"/>
        <v>0.65746393410642479</v>
      </c>
      <c r="H16" s="5">
        <f t="shared" si="2"/>
        <v>380.24899470688246</v>
      </c>
      <c r="I16" s="5">
        <f t="shared" si="3"/>
        <v>1.7410762738078844</v>
      </c>
      <c r="J16" s="8">
        <f t="shared" si="7"/>
        <v>381.99007098069035</v>
      </c>
      <c r="K16" s="5">
        <f t="shared" si="4"/>
        <v>7.689488284251246E-5</v>
      </c>
      <c r="L16" s="8">
        <f t="shared" si="5"/>
        <v>166.50239259133667</v>
      </c>
      <c r="M16" s="32">
        <f t="shared" si="6"/>
        <v>1.3470002307324981E-7</v>
      </c>
    </row>
    <row r="17" spans="1:13" x14ac:dyDescent="0.2">
      <c r="A17" s="14" t="s">
        <v>29</v>
      </c>
      <c r="B17" s="13" t="s">
        <v>62</v>
      </c>
      <c r="C17" s="23">
        <v>40</v>
      </c>
      <c r="E17" s="5">
        <f t="shared" si="8"/>
        <v>1.234978359498054E-3</v>
      </c>
      <c r="F17" s="5">
        <f t="shared" si="0"/>
        <v>0.28325737827751785</v>
      </c>
      <c r="G17" s="6">
        <f t="shared" si="1"/>
        <v>0.92702414709005865</v>
      </c>
      <c r="H17" s="5">
        <f t="shared" si="2"/>
        <v>269.68013808998762</v>
      </c>
      <c r="I17" s="5">
        <f t="shared" si="3"/>
        <v>1.6991168246539905</v>
      </c>
      <c r="J17" s="8">
        <f t="shared" si="7"/>
        <v>271.37925491464159</v>
      </c>
      <c r="K17" s="5">
        <f t="shared" si="4"/>
        <v>1.0860760483653307E-4</v>
      </c>
      <c r="L17" s="8">
        <f t="shared" si="5"/>
        <v>118.28918779730851</v>
      </c>
      <c r="M17" s="32">
        <f t="shared" si="6"/>
        <v>2.6825608330006902E-7</v>
      </c>
    </row>
    <row r="18" spans="1:13" x14ac:dyDescent="0.2">
      <c r="A18" s="14" t="s">
        <v>30</v>
      </c>
      <c r="B18" s="13" t="s">
        <v>16</v>
      </c>
      <c r="C18" s="24">
        <f>(1-C26)*(C30*C14*C17)/C15</f>
        <v>9174.4888029502108</v>
      </c>
      <c r="E18" s="5">
        <f t="shared" si="8"/>
        <v>1.741319486892256E-3</v>
      </c>
      <c r="F18" s="5">
        <f t="shared" si="0"/>
        <v>0.39939290337130018</v>
      </c>
      <c r="G18" s="6">
        <f t="shared" si="1"/>
        <v>1.3071040473969828</v>
      </c>
      <c r="H18" s="5">
        <f t="shared" si="2"/>
        <v>191.26250928367915</v>
      </c>
      <c r="I18" s="5">
        <f t="shared" si="3"/>
        <v>1.6581685864388609</v>
      </c>
      <c r="J18" s="8">
        <f t="shared" si="7"/>
        <v>192.920677870118</v>
      </c>
      <c r="K18" s="5">
        <f t="shared" si="4"/>
        <v>1.5349724848806785E-4</v>
      </c>
      <c r="L18" s="8">
        <f t="shared" si="5"/>
        <v>84.090548121448279</v>
      </c>
      <c r="M18" s="32">
        <f t="shared" si="6"/>
        <v>5.3457549995323075E-7</v>
      </c>
    </row>
    <row r="19" spans="1:13" x14ac:dyDescent="0.2">
      <c r="E19" s="5">
        <f t="shared" si="8"/>
        <v>2.455260476518081E-3</v>
      </c>
      <c r="F19" s="5">
        <f t="shared" si="0"/>
        <v>0.56314399375353341</v>
      </c>
      <c r="G19" s="6">
        <f t="shared" si="1"/>
        <v>1.8430167068297463</v>
      </c>
      <c r="H19" s="5">
        <f t="shared" si="2"/>
        <v>135.64716970473694</v>
      </c>
      <c r="I19" s="5">
        <f t="shared" si="3"/>
        <v>1.6182071892629073</v>
      </c>
      <c r="J19" s="8">
        <f t="shared" si="7"/>
        <v>137.26537689399984</v>
      </c>
      <c r="K19" s="5">
        <f t="shared" si="4"/>
        <v>2.1713060770909288E-4</v>
      </c>
      <c r="L19" s="8">
        <f t="shared" si="5"/>
        <v>59.831433875038805</v>
      </c>
      <c r="M19" s="32">
        <f t="shared" si="6"/>
        <v>1.0662243987009757E-6</v>
      </c>
    </row>
    <row r="20" spans="1:13" x14ac:dyDescent="0.2">
      <c r="A20" s="15" t="s">
        <v>179</v>
      </c>
      <c r="E20" s="5">
        <f t="shared" si="8"/>
        <v>3.4619172718904942E-3</v>
      </c>
      <c r="F20" s="5">
        <f t="shared" si="0"/>
        <v>0.79403303119248203</v>
      </c>
      <c r="G20" s="6">
        <f t="shared" si="1"/>
        <v>2.5986535566299418</v>
      </c>
      <c r="H20" s="5">
        <f t="shared" si="2"/>
        <v>96.203666457260255</v>
      </c>
      <c r="I20" s="5">
        <f t="shared" si="3"/>
        <v>1.5792088505342763</v>
      </c>
      <c r="J20" s="8">
        <f t="shared" si="7"/>
        <v>97.782875307794527</v>
      </c>
      <c r="K20" s="5">
        <f t="shared" si="4"/>
        <v>3.0751129335905607E-4</v>
      </c>
      <c r="L20" s="8">
        <f t="shared" si="5"/>
        <v>42.621743155285138</v>
      </c>
      <c r="M20" s="32">
        <f t="shared" si="6"/>
        <v>2.1291573155622013E-6</v>
      </c>
    </row>
    <row r="21" spans="1:13" x14ac:dyDescent="0.2">
      <c r="A21" s="17" t="s">
        <v>3</v>
      </c>
      <c r="B21" s="18" t="s">
        <v>4</v>
      </c>
      <c r="C21" s="18" t="s">
        <v>5</v>
      </c>
      <c r="E21" s="5">
        <f t="shared" si="8"/>
        <v>4.8813033533655964E-3</v>
      </c>
      <c r="F21" s="5">
        <f t="shared" si="0"/>
        <v>1.1195865739813995</v>
      </c>
      <c r="G21" s="6">
        <f t="shared" si="1"/>
        <v>3.6641015148482174</v>
      </c>
      <c r="H21" s="5">
        <f t="shared" si="2"/>
        <v>68.229550678907998</v>
      </c>
      <c r="I21" s="5">
        <f t="shared" si="3"/>
        <v>1.5411503608148969</v>
      </c>
      <c r="J21" s="8">
        <f t="shared" si="7"/>
        <v>69.770701039722894</v>
      </c>
      <c r="K21" s="5">
        <f t="shared" si="4"/>
        <v>4.3622402268277631E-4</v>
      </c>
      <c r="L21" s="8">
        <f t="shared" si="5"/>
        <v>30.411755536116964</v>
      </c>
      <c r="M21" s="32">
        <f t="shared" si="6"/>
        <v>4.2586835694801326E-6</v>
      </c>
    </row>
    <row r="22" spans="1:13" x14ac:dyDescent="0.2">
      <c r="A22" s="14" t="s">
        <v>15</v>
      </c>
      <c r="B22" s="13"/>
      <c r="C22" s="19">
        <v>1E-3</v>
      </c>
      <c r="E22" s="5">
        <f t="shared" si="8"/>
        <v>6.8826377282454904E-3</v>
      </c>
      <c r="F22" s="5">
        <f t="shared" si="0"/>
        <v>1.5786170693137731</v>
      </c>
      <c r="G22" s="6">
        <f t="shared" si="1"/>
        <v>5.1663831359359857</v>
      </c>
      <c r="H22" s="5">
        <f t="shared" si="2"/>
        <v>48.389752254544682</v>
      </c>
      <c r="I22" s="5">
        <f t="shared" si="3"/>
        <v>1.5040090700076374</v>
      </c>
      <c r="J22" s="8">
        <f t="shared" si="7"/>
        <v>49.893761324552322</v>
      </c>
      <c r="K22" s="5">
        <f t="shared" si="4"/>
        <v>6.2018457743991237E-4</v>
      </c>
      <c r="L22" s="8">
        <f t="shared" si="5"/>
        <v>21.747765889807642</v>
      </c>
      <c r="M22" s="32">
        <f t="shared" si="6"/>
        <v>8.5370115423278554E-6</v>
      </c>
    </row>
    <row r="23" spans="1:13" x14ac:dyDescent="0.2">
      <c r="A23" s="14" t="s">
        <v>19</v>
      </c>
      <c r="B23" s="13"/>
      <c r="C23" s="19">
        <v>5.0000000000000001E-3</v>
      </c>
      <c r="E23" s="5">
        <f t="shared" si="8"/>
        <v>9.7045191968261404E-3</v>
      </c>
      <c r="F23" s="5">
        <f t="shared" si="0"/>
        <v>2.22585006773242</v>
      </c>
      <c r="G23" s="6">
        <f t="shared" si="1"/>
        <v>7.2846002216697405</v>
      </c>
      <c r="H23" s="5">
        <f t="shared" si="2"/>
        <v>34.318973230173533</v>
      </c>
      <c r="I23" s="5">
        <f t="shared" si="3"/>
        <v>1.4677628738763446</v>
      </c>
      <c r="J23" s="8">
        <f t="shared" si="7"/>
        <v>35.786736104049879</v>
      </c>
      <c r="K23" s="5">
        <f t="shared" si="4"/>
        <v>8.8437209988518988E-4</v>
      </c>
      <c r="L23" s="8">
        <f t="shared" si="5"/>
        <v>15.598775038999069</v>
      </c>
      <c r="M23" s="32">
        <f t="shared" si="6"/>
        <v>1.716481204094654E-5</v>
      </c>
    </row>
    <row r="24" spans="1:13" x14ac:dyDescent="0.2">
      <c r="A24" s="14" t="s">
        <v>20</v>
      </c>
      <c r="B24" s="13"/>
      <c r="C24" s="19">
        <f>C22+C23</f>
        <v>6.0000000000000001E-3</v>
      </c>
      <c r="E24" s="5">
        <f t="shared" si="8"/>
        <v>1.3683372067524856E-2</v>
      </c>
      <c r="F24" s="5">
        <f t="shared" si="0"/>
        <v>3.1384485955027115</v>
      </c>
      <c r="G24" s="6">
        <f t="shared" si="1"/>
        <v>10.271286312554331</v>
      </c>
      <c r="H24" s="5">
        <f t="shared" si="2"/>
        <v>24.339697326364213</v>
      </c>
      <c r="I24" s="5">
        <f t="shared" si="3"/>
        <v>1.4323902008907476</v>
      </c>
      <c r="J24" s="8">
        <f t="shared" si="7"/>
        <v>25.772087527254961</v>
      </c>
      <c r="K24" s="5">
        <f t="shared" si="4"/>
        <v>1.2661954984549836E-3</v>
      </c>
      <c r="L24" s="8">
        <f t="shared" si="5"/>
        <v>11.233575323946608</v>
      </c>
      <c r="M24" s="32">
        <f t="shared" si="6"/>
        <v>3.4651648231169274E-5</v>
      </c>
    </row>
    <row r="25" spans="1:13" x14ac:dyDescent="0.2">
      <c r="A25" s="14" t="s">
        <v>21</v>
      </c>
      <c r="B25" s="13"/>
      <c r="C25" s="24">
        <f>1/C24</f>
        <v>166.66666666666666</v>
      </c>
      <c r="E25" s="5">
        <f t="shared" si="8"/>
        <v>1.9293554615210047E-2</v>
      </c>
      <c r="F25" s="5">
        <f t="shared" si="0"/>
        <v>4.4252125196588237</v>
      </c>
      <c r="G25" s="6">
        <f t="shared" si="1"/>
        <v>14.48251370070161</v>
      </c>
      <c r="H25" s="5">
        <f t="shared" si="2"/>
        <v>17.262196685364689</v>
      </c>
      <c r="I25" s="5">
        <f t="shared" si="3"/>
        <v>1.3978699993883961</v>
      </c>
      <c r="J25" s="8">
        <f t="shared" si="7"/>
        <v>18.660066684753083</v>
      </c>
      <c r="K25" s="5">
        <f t="shared" si="4"/>
        <v>1.8226470806654918E-3</v>
      </c>
      <c r="L25" s="8">
        <f t="shared" si="5"/>
        <v>8.1335772444261689</v>
      </c>
      <c r="M25" s="32">
        <f t="shared" si="6"/>
        <v>7.033068199014563E-5</v>
      </c>
    </row>
    <row r="26" spans="1:13" x14ac:dyDescent="0.2">
      <c r="A26" s="14" t="s">
        <v>22</v>
      </c>
      <c r="B26" s="13" t="s">
        <v>23</v>
      </c>
      <c r="C26" s="19">
        <f>(1-C22/C24)^2</f>
        <v>0.69444444444444453</v>
      </c>
      <c r="E26" s="5">
        <f t="shared" si="8"/>
        <v>2.7203912007446165E-2</v>
      </c>
      <c r="F26" s="5">
        <f t="shared" si="0"/>
        <v>6.2395496527189414</v>
      </c>
      <c r="G26" s="6">
        <f t="shared" si="1"/>
        <v>20.420344317989269</v>
      </c>
      <c r="H26" s="5">
        <f t="shared" si="2"/>
        <v>12.242692684655808</v>
      </c>
      <c r="I26" s="5">
        <f t="shared" si="3"/>
        <v>1.3641817250459913</v>
      </c>
      <c r="J26" s="8">
        <f t="shared" si="7"/>
        <v>13.606874409701799</v>
      </c>
      <c r="K26" s="5">
        <f t="shared" si="4"/>
        <v>2.642323543993083E-3</v>
      </c>
      <c r="L26" s="8">
        <f t="shared" si="5"/>
        <v>5.9309843815801884</v>
      </c>
      <c r="M26" s="32">
        <f t="shared" si="6"/>
        <v>1.437630743719823E-4</v>
      </c>
    </row>
    <row r="27" spans="1:13" x14ac:dyDescent="0.2">
      <c r="A27" s="14" t="s">
        <v>63</v>
      </c>
      <c r="B27" s="13" t="s">
        <v>64</v>
      </c>
      <c r="C27" s="19">
        <f>1-C26</f>
        <v>0.30555555555555547</v>
      </c>
      <c r="E27" s="5">
        <f t="shared" si="8"/>
        <v>3.8357515930499089E-2</v>
      </c>
      <c r="F27" s="5">
        <f t="shared" si="0"/>
        <v>8.7977650103337055</v>
      </c>
      <c r="G27" s="6">
        <f t="shared" si="1"/>
        <v>28.792685488364864</v>
      </c>
      <c r="H27" s="5">
        <f t="shared" si="2"/>
        <v>8.6827607692594402</v>
      </c>
      <c r="I27" s="5">
        <f t="shared" si="3"/>
        <v>1.3313053286526564</v>
      </c>
      <c r="J27" s="8">
        <f t="shared" si="7"/>
        <v>10.014066097912096</v>
      </c>
      <c r="K27" s="5">
        <f t="shared" si="4"/>
        <v>3.866128610294698E-3</v>
      </c>
      <c r="L27" s="8">
        <f t="shared" si="5"/>
        <v>4.3649458233024081</v>
      </c>
      <c r="M27" s="32">
        <f t="shared" si="6"/>
        <v>2.9659017951747435E-4</v>
      </c>
    </row>
    <row r="28" spans="1:13" x14ac:dyDescent="0.2">
      <c r="A28" s="14" t="s">
        <v>24</v>
      </c>
      <c r="B28" s="13" t="s">
        <v>6</v>
      </c>
      <c r="C28" s="19">
        <f>((1/C25^2)+C22^2)^0.5</f>
        <v>6.0827625302982205E-3</v>
      </c>
      <c r="E28" s="5">
        <f t="shared" si="8"/>
        <v>5.4084097462003711E-2</v>
      </c>
      <c r="F28" s="5">
        <f t="shared" si="0"/>
        <v>12.404848664570524</v>
      </c>
      <c r="G28" s="6">
        <f t="shared" si="1"/>
        <v>40.597686538594452</v>
      </c>
      <c r="H28" s="5">
        <f t="shared" si="2"/>
        <v>6.1579863611769081</v>
      </c>
      <c r="I28" s="5">
        <f t="shared" si="3"/>
        <v>1.2992212441778637</v>
      </c>
      <c r="J28" s="8">
        <f t="shared" si="7"/>
        <v>7.457207605354772</v>
      </c>
      <c r="K28" s="5">
        <f t="shared" si="4"/>
        <v>5.7237453357877437E-3</v>
      </c>
      <c r="L28" s="8">
        <f t="shared" si="5"/>
        <v>3.2504585921675613</v>
      </c>
      <c r="M28" s="32">
        <f t="shared" si="6"/>
        <v>6.1912720117686686E-4</v>
      </c>
    </row>
    <row r="29" spans="1:13" x14ac:dyDescent="0.2">
      <c r="A29" s="14" t="s">
        <v>25</v>
      </c>
      <c r="B29" s="13" t="s">
        <v>26</v>
      </c>
      <c r="C29" s="24">
        <f>PI()*C28*C25^2</f>
        <v>530.82116885322637</v>
      </c>
      <c r="E29" s="5">
        <f t="shared" si="8"/>
        <v>7.6258577421425222E-2</v>
      </c>
      <c r="F29" s="5">
        <f t="shared" si="0"/>
        <v>17.490836617044437</v>
      </c>
      <c r="G29" s="6">
        <f t="shared" si="1"/>
        <v>57.242738019418169</v>
      </c>
      <c r="H29" s="5">
        <f t="shared" si="2"/>
        <v>4.3673662136006444</v>
      </c>
      <c r="I29" s="5">
        <f t="shared" si="3"/>
        <v>1.2679103771269262</v>
      </c>
      <c r="J29" s="8">
        <f t="shared" si="7"/>
        <v>5.635276590727571</v>
      </c>
      <c r="K29" s="5">
        <f t="shared" si="4"/>
        <v>8.5991897274846525E-3</v>
      </c>
      <c r="L29" s="8">
        <f t="shared" si="5"/>
        <v>2.4563126283916472</v>
      </c>
      <c r="M29" s="32">
        <f t="shared" si="6"/>
        <v>1.3115239511898257E-3</v>
      </c>
    </row>
    <row r="30" spans="1:13" x14ac:dyDescent="0.2">
      <c r="A30" s="14" t="s">
        <v>27</v>
      </c>
      <c r="B30" s="13" t="s">
        <v>28</v>
      </c>
      <c r="C30" s="19">
        <f>6/C29</f>
        <v>1.1303241754586125E-2</v>
      </c>
      <c r="E30" s="20">
        <f t="shared" si="8"/>
        <v>0.10752459416420956</v>
      </c>
      <c r="F30" s="20">
        <f t="shared" si="0"/>
        <v>24.662079630032657</v>
      </c>
      <c r="G30" s="24">
        <f t="shared" si="1"/>
        <v>80.712260607379633</v>
      </c>
      <c r="H30" s="20">
        <f t="shared" si="2"/>
        <v>3.0974228465252795</v>
      </c>
      <c r="I30" s="20">
        <f t="shared" si="3"/>
        <v>1.2373540931771154</v>
      </c>
      <c r="J30" s="23">
        <f t="shared" si="7"/>
        <v>4.3347769397023947</v>
      </c>
      <c r="K30" s="20">
        <f t="shared" si="4"/>
        <v>1.315065164832442E-2</v>
      </c>
      <c r="L30" s="23">
        <f t="shared" si="5"/>
        <v>1.8894489324218211</v>
      </c>
      <c r="M30" s="33">
        <f t="shared" si="6"/>
        <v>2.8280369629619536E-3</v>
      </c>
    </row>
    <row r="31" spans="1:13" x14ac:dyDescent="0.2">
      <c r="A31" s="14" t="s">
        <v>38</v>
      </c>
      <c r="B31" s="13" t="s">
        <v>39</v>
      </c>
      <c r="C31" s="19">
        <f>C22*2.7</f>
        <v>2.7000000000000001E-3</v>
      </c>
      <c r="E31" s="5">
        <f t="shared" si="8"/>
        <v>0.15160967777153547</v>
      </c>
      <c r="F31" s="5">
        <f t="shared" si="0"/>
        <v>34.773532278346039</v>
      </c>
      <c r="G31" s="6">
        <f t="shared" si="1"/>
        <v>113.80428745640525</v>
      </c>
      <c r="H31" s="5">
        <f t="shared" si="2"/>
        <v>2.1967537918619011</v>
      </c>
      <c r="I31" s="5">
        <f t="shared" si="3"/>
        <v>1.2075342070876467</v>
      </c>
      <c r="J31" s="8">
        <f t="shared" si="7"/>
        <v>3.404287998949548</v>
      </c>
      <c r="K31" s="5">
        <f t="shared" si="4"/>
        <v>2.0532651622246059E-2</v>
      </c>
      <c r="L31" s="8">
        <f t="shared" si="5"/>
        <v>1.4838660477217651</v>
      </c>
      <c r="M31" s="32">
        <f t="shared" si="6"/>
        <v>6.225897392487841E-3</v>
      </c>
    </row>
    <row r="32" spans="1:13" x14ac:dyDescent="0.2">
      <c r="A32" s="14" t="s">
        <v>60</v>
      </c>
      <c r="B32" s="13" t="s">
        <v>61</v>
      </c>
      <c r="C32" s="14">
        <v>2</v>
      </c>
      <c r="E32" s="5">
        <f t="shared" si="8"/>
        <v>0.21376964565786499</v>
      </c>
      <c r="F32" s="5">
        <f t="shared" si="0"/>
        <v>49.030680512467917</v>
      </c>
      <c r="G32" s="6">
        <f t="shared" si="1"/>
        <v>160.46404531353141</v>
      </c>
      <c r="H32" s="5">
        <f t="shared" si="2"/>
        <v>1.5579814126680149</v>
      </c>
      <c r="I32" s="5">
        <f t="shared" si="3"/>
        <v>1.1784329718769297</v>
      </c>
      <c r="J32" s="8">
        <f t="shared" si="7"/>
        <v>2.7364143845449447</v>
      </c>
      <c r="K32" s="5">
        <f t="shared" si="4"/>
        <v>3.2812463282688761E-2</v>
      </c>
      <c r="L32" s="8">
        <f t="shared" si="5"/>
        <v>1.1927523167771419</v>
      </c>
      <c r="M32" s="32">
        <f t="shared" si="6"/>
        <v>1.4028617298204166E-2</v>
      </c>
    </row>
    <row r="33" spans="1:13" x14ac:dyDescent="0.2">
      <c r="E33" s="5">
        <f t="shared" si="8"/>
        <v>0.30141520037758962</v>
      </c>
      <c r="F33" s="5">
        <f t="shared" si="0"/>
        <v>69.133259522579763</v>
      </c>
      <c r="G33" s="6">
        <f t="shared" si="1"/>
        <v>226.25430389207929</v>
      </c>
      <c r="H33" s="5">
        <f t="shared" si="2"/>
        <v>1.1049513565021383</v>
      </c>
      <c r="I33" s="5">
        <f t="shared" si="3"/>
        <v>1.1500330682606459</v>
      </c>
      <c r="J33" s="8">
        <f t="shared" si="7"/>
        <v>2.2549844247627844</v>
      </c>
      <c r="K33" s="5">
        <f t="shared" si="4"/>
        <v>5.3757460181334232E-2</v>
      </c>
      <c r="L33" s="8">
        <f t="shared" si="5"/>
        <v>0.98290591955774198</v>
      </c>
      <c r="M33" s="32">
        <f t="shared" si="6"/>
        <v>3.2406631264694306E-2</v>
      </c>
    </row>
    <row r="34" spans="1:13" x14ac:dyDescent="0.2">
      <c r="A34" s="15" t="s">
        <v>31</v>
      </c>
      <c r="E34" s="5">
        <f t="shared" si="8"/>
        <v>0.42499543253240135</v>
      </c>
      <c r="F34" s="5">
        <f t="shared" si="0"/>
        <v>97.477895926837448</v>
      </c>
      <c r="G34" s="6">
        <f t="shared" si="1"/>
        <v>319.01856848783171</v>
      </c>
      <c r="H34" s="5">
        <f t="shared" si="2"/>
        <v>0.78365344432775774</v>
      </c>
      <c r="I34" s="5">
        <f t="shared" si="3"/>
        <v>1.1223175943443642</v>
      </c>
      <c r="J34" s="8">
        <f t="shared" si="7"/>
        <v>1.905971038672122</v>
      </c>
      <c r="K34" s="5">
        <f t="shared" si="4"/>
        <v>9.0333683137265017E-2</v>
      </c>
      <c r="L34" s="8">
        <f t="shared" si="5"/>
        <v>0.83077745275935566</v>
      </c>
      <c r="M34" s="32">
        <f t="shared" si="6"/>
        <v>7.6782805474333679E-2</v>
      </c>
    </row>
    <row r="35" spans="1:13" x14ac:dyDescent="0.2">
      <c r="A35" s="17" t="s">
        <v>3</v>
      </c>
      <c r="B35" s="18" t="s">
        <v>4</v>
      </c>
      <c r="C35" s="18" t="s">
        <v>5</v>
      </c>
      <c r="E35" s="5">
        <f t="shared" si="8"/>
        <v>0.59924355987068589</v>
      </c>
      <c r="F35" s="5">
        <f t="shared" si="0"/>
        <v>137.4438332568408</v>
      </c>
      <c r="G35" s="6">
        <f t="shared" si="1"/>
        <v>449.81618156784276</v>
      </c>
      <c r="H35" s="5">
        <f t="shared" si="2"/>
        <v>0.55578258462961538</v>
      </c>
      <c r="I35" s="5">
        <f t="shared" si="3"/>
        <v>1.0952700555645614</v>
      </c>
      <c r="J35" s="8">
        <f t="shared" si="7"/>
        <v>1.6510526401941767</v>
      </c>
      <c r="K35" s="5">
        <f t="shared" si="4"/>
        <v>0.15557240516370574</v>
      </c>
      <c r="L35" s="8">
        <f t="shared" si="5"/>
        <v>0.71966324721688957</v>
      </c>
      <c r="M35" s="32">
        <f t="shared" si="6"/>
        <v>0.18645152377588745</v>
      </c>
    </row>
    <row r="36" spans="1:13" x14ac:dyDescent="0.2">
      <c r="A36" s="14" t="s">
        <v>32</v>
      </c>
      <c r="B36" s="13" t="s">
        <v>33</v>
      </c>
      <c r="C36" s="14">
        <v>250</v>
      </c>
      <c r="E36" s="2">
        <v>1</v>
      </c>
      <c r="F36" s="2">
        <f t="shared" si="0"/>
        <v>229.36222007375528</v>
      </c>
      <c r="G36" s="1">
        <f t="shared" si="1"/>
        <v>750.63999296865381</v>
      </c>
      <c r="H36" s="2">
        <f t="shared" si="2"/>
        <v>0.3330491345275815</v>
      </c>
      <c r="I36" s="2">
        <f t="shared" si="3"/>
        <v>1.0561632552454108</v>
      </c>
      <c r="J36" s="4">
        <f t="shared" si="7"/>
        <v>1.3892123897729922</v>
      </c>
      <c r="K36" s="2">
        <f t="shared" si="4"/>
        <v>0.36453022468562407</v>
      </c>
      <c r="L36" s="4">
        <f t="shared" si="5"/>
        <v>0.60553193469372768</v>
      </c>
      <c r="M36" s="34">
        <f t="shared" si="6"/>
        <v>0.72906044937124814</v>
      </c>
    </row>
    <row r="37" spans="1:13" x14ac:dyDescent="0.2">
      <c r="A37" s="14" t="s">
        <v>34</v>
      </c>
      <c r="B37" s="13" t="s">
        <v>35</v>
      </c>
      <c r="C37" s="14">
        <v>1.69</v>
      </c>
      <c r="E37" s="5">
        <f t="shared" si="8"/>
        <v>1.41</v>
      </c>
      <c r="F37" s="5">
        <f t="shared" si="0"/>
        <v>323.40073030399492</v>
      </c>
      <c r="G37" s="6">
        <f t="shared" si="1"/>
        <v>1058.4023900858019</v>
      </c>
      <c r="H37" s="5">
        <f t="shared" si="2"/>
        <v>0.23620505994863936</v>
      </c>
      <c r="I37" s="5">
        <f t="shared" si="3"/>
        <v>1.03071001745603</v>
      </c>
      <c r="J37" s="8">
        <f t="shared" si="7"/>
        <v>1.2669150774046694</v>
      </c>
      <c r="K37" s="5">
        <f t="shared" si="4"/>
        <v>0.66092263446324973</v>
      </c>
      <c r="L37" s="8">
        <f t="shared" si="5"/>
        <v>0.55222480274514574</v>
      </c>
      <c r="M37" s="32">
        <f t="shared" si="6"/>
        <v>1.8638018291863641</v>
      </c>
    </row>
    <row r="38" spans="1:13" x14ac:dyDescent="0.2">
      <c r="A38" s="14" t="s">
        <v>36</v>
      </c>
      <c r="B38" s="13" t="s">
        <v>37</v>
      </c>
      <c r="C38" s="14">
        <v>7.0999999999999994E-2</v>
      </c>
      <c r="E38" s="5">
        <f t="shared" si="8"/>
        <v>1.9880999999999998</v>
      </c>
      <c r="F38" s="5">
        <f t="shared" si="0"/>
        <v>455.9950297286328</v>
      </c>
      <c r="G38" s="6">
        <f t="shared" si="1"/>
        <v>1492.3473700209804</v>
      </c>
      <c r="H38" s="5">
        <f t="shared" si="2"/>
        <v>0.1675213191125102</v>
      </c>
      <c r="I38" s="5">
        <f t="shared" si="3"/>
        <v>1.0058701955479017</v>
      </c>
      <c r="J38" s="8">
        <f t="shared" si="7"/>
        <v>1.1733915146604119</v>
      </c>
      <c r="K38" s="5">
        <f t="shared" si="4"/>
        <v>1.216982376891776</v>
      </c>
      <c r="L38" s="8">
        <f t="shared" si="5"/>
        <v>0.51145961499927883</v>
      </c>
      <c r="M38" s="32">
        <f t="shared" si="6"/>
        <v>4.8389653269970792</v>
      </c>
    </row>
    <row r="39" spans="1:13" x14ac:dyDescent="0.2">
      <c r="E39" s="5">
        <f t="shared" si="8"/>
        <v>2.8032209999999993</v>
      </c>
      <c r="F39" s="5">
        <f t="shared" si="0"/>
        <v>642.95299191737217</v>
      </c>
      <c r="G39" s="6">
        <f t="shared" si="1"/>
        <v>2104.2097917295823</v>
      </c>
      <c r="H39" s="5">
        <f t="shared" si="2"/>
        <v>0.11880944617908526</v>
      </c>
      <c r="I39" s="5">
        <f t="shared" si="3"/>
        <v>0.98162900637058759</v>
      </c>
      <c r="J39" s="8">
        <f t="shared" si="7"/>
        <v>1.1004384525496729</v>
      </c>
      <c r="K39" s="5">
        <f t="shared" si="4"/>
        <v>2.2690565978412058</v>
      </c>
      <c r="L39" s="8">
        <f t="shared" si="5"/>
        <v>0.47966072725039693</v>
      </c>
      <c r="M39" s="32">
        <f t="shared" si="6"/>
        <v>12.721334210514044</v>
      </c>
    </row>
    <row r="40" spans="1:13" x14ac:dyDescent="0.2">
      <c r="A40" s="15" t="s">
        <v>180</v>
      </c>
      <c r="E40" s="5">
        <f t="shared" si="8"/>
        <v>3.9525416099999986</v>
      </c>
      <c r="F40" s="5">
        <f t="shared" si="0"/>
        <v>906.56371860349452</v>
      </c>
      <c r="G40" s="6">
        <f t="shared" si="1"/>
        <v>2966.9358063387103</v>
      </c>
      <c r="H40" s="5">
        <f t="shared" si="2"/>
        <v>8.4262018566727159E-2</v>
      </c>
      <c r="I40" s="5">
        <f t="shared" si="3"/>
        <v>0.95797202304342344</v>
      </c>
      <c r="J40" s="8">
        <f t="shared" ref="J40:J50" si="9">H40+I40</f>
        <v>1.0422340416101505</v>
      </c>
      <c r="K40" s="5">
        <f t="shared" si="4"/>
        <v>4.272509633579662</v>
      </c>
      <c r="L40" s="8">
        <f t="shared" si="5"/>
        <v>0.45429050321310832</v>
      </c>
      <c r="M40" s="32">
        <f t="shared" si="6"/>
        <v>33.774544211698917</v>
      </c>
    </row>
    <row r="41" spans="1:13" x14ac:dyDescent="0.2">
      <c r="A41" s="17" t="s">
        <v>3</v>
      </c>
      <c r="B41" s="18" t="s">
        <v>4</v>
      </c>
      <c r="C41" s="18" t="s">
        <v>5</v>
      </c>
      <c r="E41" s="5">
        <f t="shared" si="8"/>
        <v>5.5730836700999973</v>
      </c>
      <c r="F41" s="5">
        <f t="shared" si="0"/>
        <v>1278.2548432309272</v>
      </c>
      <c r="G41" s="6">
        <f t="shared" si="1"/>
        <v>4183.3794869375815</v>
      </c>
      <c r="H41" s="5">
        <f t="shared" si="2"/>
        <v>5.9760296855834866E-2</v>
      </c>
      <c r="I41" s="5">
        <f t="shared" si="3"/>
        <v>0.93488516636951591</v>
      </c>
      <c r="J41" s="8">
        <f t="shared" si="9"/>
        <v>0.99464546322535075</v>
      </c>
      <c r="K41" s="5">
        <f t="shared" si="4"/>
        <v>8.1063309058200197</v>
      </c>
      <c r="L41" s="8">
        <f t="shared" si="5"/>
        <v>0.43354752384522288</v>
      </c>
      <c r="M41" s="32">
        <f t="shared" si="6"/>
        <v>90.35452079130495</v>
      </c>
    </row>
    <row r="42" spans="1:13" x14ac:dyDescent="0.2">
      <c r="A42" s="14" t="s">
        <v>181</v>
      </c>
      <c r="B42" s="14" t="s">
        <v>0</v>
      </c>
      <c r="C42" s="5">
        <v>2.0000000000000002E-5</v>
      </c>
      <c r="E42" s="5">
        <f t="shared" si="8"/>
        <v>7.8580479748409955</v>
      </c>
      <c r="F42" s="5">
        <f t="shared" si="0"/>
        <v>1802.3393289556072</v>
      </c>
      <c r="G42" s="6">
        <f t="shared" si="1"/>
        <v>5898.5650765819892</v>
      </c>
      <c r="H42" s="5">
        <f t="shared" si="2"/>
        <v>4.2383189259457353E-2</v>
      </c>
      <c r="I42" s="5">
        <f t="shared" si="3"/>
        <v>0.91235469645666245</v>
      </c>
      <c r="J42" s="8">
        <f t="shared" si="9"/>
        <v>0.95473788571611984</v>
      </c>
      <c r="K42" s="5">
        <f t="shared" si="4"/>
        <v>15.469575759532065</v>
      </c>
      <c r="L42" s="8">
        <f t="shared" si="5"/>
        <v>0.41615255040847343</v>
      </c>
      <c r="M42" s="32">
        <f t="shared" si="6"/>
        <v>243.12133693768055</v>
      </c>
    </row>
    <row r="43" spans="1:13" x14ac:dyDescent="0.2">
      <c r="A43" s="14" t="s">
        <v>182</v>
      </c>
      <c r="B43" s="14" t="s">
        <v>7</v>
      </c>
      <c r="C43" s="21">
        <v>1.41</v>
      </c>
      <c r="E43" s="5">
        <f t="shared" si="8"/>
        <v>11.079847644525803</v>
      </c>
      <c r="F43" s="5">
        <f t="shared" si="0"/>
        <v>2541.2984538274059</v>
      </c>
      <c r="G43" s="6">
        <f t="shared" si="1"/>
        <v>8316.976757980603</v>
      </c>
      <c r="H43" s="5">
        <f t="shared" si="2"/>
        <v>3.0058999474792455E-2</v>
      </c>
      <c r="I43" s="5">
        <f t="shared" si="3"/>
        <v>0.89036720454020302</v>
      </c>
      <c r="J43" s="8">
        <f t="shared" si="9"/>
        <v>0.92042620401499542</v>
      </c>
      <c r="K43" s="5">
        <f t="shared" si="4"/>
        <v>29.649778056586452</v>
      </c>
      <c r="L43" s="8">
        <f t="shared" si="5"/>
        <v>0.40119672424680763</v>
      </c>
      <c r="M43" s="32">
        <f t="shared" si="6"/>
        <v>657.03004712196446</v>
      </c>
    </row>
    <row r="44" spans="1:13" x14ac:dyDescent="0.2">
      <c r="A44" s="17"/>
      <c r="B44" s="16"/>
      <c r="E44" s="5">
        <f t="shared" si="8"/>
        <v>15.62258517878138</v>
      </c>
      <c r="F44" s="5">
        <f t="shared" si="0"/>
        <v>3583.2308198966421</v>
      </c>
      <c r="G44" s="6">
        <f t="shared" si="1"/>
        <v>11726.937228752649</v>
      </c>
      <c r="H44" s="5">
        <f t="shared" si="2"/>
        <v>2.1318439343824439E-2</v>
      </c>
      <c r="I44" s="5">
        <f t="shared" si="3"/>
        <v>0.86890960500294023</v>
      </c>
      <c r="J44" s="8">
        <f t="shared" si="9"/>
        <v>0.89022804434676472</v>
      </c>
      <c r="K44" s="5">
        <f t="shared" si="4"/>
        <v>57.012747333282256</v>
      </c>
      <c r="L44" s="8">
        <f t="shared" si="5"/>
        <v>0.38803390610416072</v>
      </c>
      <c r="M44" s="32">
        <f t="shared" si="6"/>
        <v>1781.3730029810858</v>
      </c>
    </row>
    <row r="45" spans="1:13" x14ac:dyDescent="0.2">
      <c r="B45" s="13"/>
      <c r="C45" s="19"/>
      <c r="E45" s="5">
        <f t="shared" si="8"/>
        <v>22.027845102081745</v>
      </c>
      <c r="F45" s="5">
        <f t="shared" si="0"/>
        <v>5052.3554560542652</v>
      </c>
      <c r="G45" s="6">
        <f t="shared" si="1"/>
        <v>16534.981492541236</v>
      </c>
      <c r="H45" s="5">
        <f t="shared" si="2"/>
        <v>1.5119460527535062E-2</v>
      </c>
      <c r="I45" s="5">
        <f t="shared" si="3"/>
        <v>0.84796912758737453</v>
      </c>
      <c r="J45" s="8">
        <f t="shared" si="9"/>
        <v>0.86308858811490963</v>
      </c>
      <c r="K45" s="5">
        <f t="shared" si="4"/>
        <v>109.89154959570971</v>
      </c>
      <c r="L45" s="8">
        <f t="shared" si="5"/>
        <v>0.37620432010306243</v>
      </c>
      <c r="M45" s="32">
        <f t="shared" si="6"/>
        <v>4841.3480650440551</v>
      </c>
    </row>
    <row r="46" spans="1:13" x14ac:dyDescent="0.2">
      <c r="B46" s="13"/>
      <c r="C46" s="19"/>
      <c r="E46" s="5">
        <f t="shared" si="8"/>
        <v>31.059261593935258</v>
      </c>
      <c r="F46" s="5">
        <f t="shared" si="0"/>
        <v>7123.8211930365133</v>
      </c>
      <c r="G46" s="6">
        <f t="shared" si="1"/>
        <v>23314.323904483143</v>
      </c>
      <c r="H46" s="5">
        <f t="shared" si="2"/>
        <v>1.0723021650734087E-2</v>
      </c>
      <c r="I46" s="5">
        <f t="shared" si="3"/>
        <v>0.82753330979562612</v>
      </c>
      <c r="J46" s="8">
        <f t="shared" si="9"/>
        <v>0.83825633144636025</v>
      </c>
      <c r="K46" s="5">
        <f t="shared" si="4"/>
        <v>212.1895495387983</v>
      </c>
      <c r="L46" s="8">
        <f t="shared" si="5"/>
        <v>0.36538039963271934</v>
      </c>
      <c r="M46" s="32">
        <f t="shared" si="6"/>
        <v>13180.90145324964</v>
      </c>
    </row>
    <row r="47" spans="1:13" x14ac:dyDescent="0.2">
      <c r="B47" s="13"/>
      <c r="C47" s="19"/>
      <c r="E47" s="5">
        <f t="shared" si="8"/>
        <v>43.793558847448708</v>
      </c>
      <c r="F47" s="5">
        <f t="shared" si="0"/>
        <v>10044.587882181482</v>
      </c>
      <c r="G47" s="6">
        <f t="shared" si="1"/>
        <v>32873.196705321221</v>
      </c>
      <c r="H47" s="5">
        <f t="shared" si="2"/>
        <v>7.6049798941376524E-3</v>
      </c>
      <c r="I47" s="5">
        <f t="shared" si="3"/>
        <v>0.80758998947251259</v>
      </c>
      <c r="J47" s="8">
        <f t="shared" si="9"/>
        <v>0.81519496936665026</v>
      </c>
      <c r="K47" s="5">
        <f t="shared" si="4"/>
        <v>410.24837047677312</v>
      </c>
      <c r="L47" s="8">
        <f t="shared" si="5"/>
        <v>0.35532837929399985</v>
      </c>
      <c r="M47" s="32">
        <f t="shared" si="6"/>
        <v>35932.472309089004</v>
      </c>
    </row>
    <row r="48" spans="1:13" x14ac:dyDescent="0.2">
      <c r="E48" s="5">
        <f t="shared" si="8"/>
        <v>61.748917974902675</v>
      </c>
      <c r="F48" s="5">
        <f t="shared" si="0"/>
        <v>14162.868913875889</v>
      </c>
      <c r="G48" s="6">
        <f t="shared" si="1"/>
        <v>46351.20735450292</v>
      </c>
      <c r="H48" s="5">
        <f t="shared" si="2"/>
        <v>5.3936027617997534E-3</v>
      </c>
      <c r="I48" s="5">
        <f t="shared" si="3"/>
        <v>0.78812729756737621</v>
      </c>
      <c r="J48" s="8">
        <f t="shared" si="9"/>
        <v>0.79352090032917599</v>
      </c>
      <c r="K48" s="5">
        <f t="shared" si="4"/>
        <v>793.92955441259164</v>
      </c>
      <c r="L48" s="8">
        <f t="shared" si="5"/>
        <v>0.34588105428195343</v>
      </c>
      <c r="M48" s="32">
        <f t="shared" si="6"/>
        <v>98048.581866548295</v>
      </c>
    </row>
    <row r="49" spans="1:13" x14ac:dyDescent="0.2">
      <c r="E49" s="5">
        <f t="shared" si="8"/>
        <v>87.065974344612769</v>
      </c>
      <c r="F49" s="5">
        <f t="shared" si="0"/>
        <v>19969.645168565003</v>
      </c>
      <c r="G49" s="6">
        <f t="shared" si="1"/>
        <v>65355.202369849118</v>
      </c>
      <c r="H49" s="5">
        <f t="shared" si="2"/>
        <v>3.8252501856735842E-3</v>
      </c>
      <c r="I49" s="5">
        <f t="shared" si="3"/>
        <v>0.76913365107034548</v>
      </c>
      <c r="J49" s="8">
        <f t="shared" si="9"/>
        <v>0.77295890125601907</v>
      </c>
      <c r="K49" s="5">
        <f t="shared" si="4"/>
        <v>1537.5109843984294</v>
      </c>
      <c r="L49" s="8">
        <f t="shared" si="5"/>
        <v>0.33691845995757236</v>
      </c>
      <c r="M49" s="32">
        <f t="shared" si="6"/>
        <v>267729.78384438797</v>
      </c>
    </row>
    <row r="50" spans="1:13" x14ac:dyDescent="0.2">
      <c r="E50" s="5">
        <f t="shared" si="8"/>
        <v>122.763023825904</v>
      </c>
      <c r="F50" s="5">
        <f t="shared" si="0"/>
        <v>28157.199687676653</v>
      </c>
      <c r="G50" s="6">
        <f t="shared" si="1"/>
        <v>92150.835341487254</v>
      </c>
      <c r="H50" s="5">
        <f t="shared" si="2"/>
        <v>2.7129433940947406E-3</v>
      </c>
      <c r="I50" s="5">
        <f t="shared" si="3"/>
        <v>0.75059774611883379</v>
      </c>
      <c r="J50" s="8">
        <f t="shared" si="9"/>
        <v>0.75331068951292857</v>
      </c>
      <c r="K50" s="5">
        <f t="shared" si="4"/>
        <v>2979.0252194114601</v>
      </c>
      <c r="L50" s="8">
        <f t="shared" si="5"/>
        <v>0.32835416859532085</v>
      </c>
      <c r="M50" s="32">
        <f t="shared" si="6"/>
        <v>731428.28797715611</v>
      </c>
    </row>
    <row r="54" spans="1:13" x14ac:dyDescent="0.2">
      <c r="A54" s="15"/>
    </row>
    <row r="55" spans="1:13" x14ac:dyDescent="0.2">
      <c r="A55" s="17"/>
      <c r="B55" s="18"/>
      <c r="C55" s="18"/>
    </row>
    <row r="56" spans="1:13" x14ac:dyDescent="0.2">
      <c r="B56" s="13"/>
    </row>
    <row r="57" spans="1:13" x14ac:dyDescent="0.2">
      <c r="B57" s="13"/>
    </row>
    <row r="58" spans="1:13" x14ac:dyDescent="0.2">
      <c r="B58" s="13"/>
    </row>
    <row r="59" spans="1:13" x14ac:dyDescent="0.2">
      <c r="B59" s="13"/>
    </row>
    <row r="60" spans="1:13" x14ac:dyDescent="0.2">
      <c r="B60" s="13"/>
    </row>
    <row r="61" spans="1:13" x14ac:dyDescent="0.2">
      <c r="B61" s="13"/>
    </row>
    <row r="63" spans="1:13" x14ac:dyDescent="0.2">
      <c r="A63" s="10"/>
      <c r="B63" s="36"/>
      <c r="C63" s="42"/>
    </row>
    <row r="64" spans="1:13" x14ac:dyDescent="0.2">
      <c r="A64" s="17"/>
      <c r="B64" s="18"/>
      <c r="C64" s="18"/>
    </row>
    <row r="65" spans="1:3" x14ac:dyDescent="0.2">
      <c r="B65" s="13"/>
    </row>
    <row r="66" spans="1:3" x14ac:dyDescent="0.2">
      <c r="B66" s="13"/>
    </row>
    <row r="67" spans="1:3" x14ac:dyDescent="0.2">
      <c r="B67" s="13"/>
    </row>
    <row r="68" spans="1:3" x14ac:dyDescent="0.2">
      <c r="A68" s="53"/>
      <c r="B68" s="52"/>
      <c r="C68" s="45"/>
    </row>
    <row r="69" spans="1:3" x14ac:dyDescent="0.2">
      <c r="A69" s="15"/>
    </row>
    <row r="70" spans="1:3" x14ac:dyDescent="0.2">
      <c r="A70" s="17"/>
      <c r="B70" s="18"/>
      <c r="C70" s="18"/>
    </row>
    <row r="71" spans="1:3" x14ac:dyDescent="0.2">
      <c r="B71" s="13"/>
      <c r="C71" s="19"/>
    </row>
    <row r="72" spans="1:3" x14ac:dyDescent="0.2">
      <c r="B72" s="13"/>
      <c r="C72" s="19"/>
    </row>
    <row r="73" spans="1:3" x14ac:dyDescent="0.2">
      <c r="B73" s="13"/>
      <c r="C73" s="19"/>
    </row>
    <row r="74" spans="1:3" x14ac:dyDescent="0.2">
      <c r="B74" s="13"/>
      <c r="C74" s="24"/>
    </row>
    <row r="75" spans="1:3" x14ac:dyDescent="0.2">
      <c r="B75" s="13"/>
      <c r="C75" s="19"/>
    </row>
    <row r="76" spans="1:3" x14ac:dyDescent="0.2">
      <c r="B76" s="13"/>
      <c r="C76" s="19"/>
    </row>
    <row r="77" spans="1:3" x14ac:dyDescent="0.2">
      <c r="B77" s="13"/>
      <c r="C77" s="19"/>
    </row>
    <row r="78" spans="1:3" x14ac:dyDescent="0.2">
      <c r="B78" s="13"/>
      <c r="C78" s="24"/>
    </row>
    <row r="79" spans="1:3" x14ac:dyDescent="0.2">
      <c r="B79" s="13"/>
      <c r="C79" s="19"/>
    </row>
    <row r="80" spans="1:3" x14ac:dyDescent="0.2">
      <c r="B80" s="13"/>
      <c r="C80" s="19"/>
    </row>
    <row r="81" spans="1:3" x14ac:dyDescent="0.2">
      <c r="B81" s="13"/>
    </row>
    <row r="83" spans="1:3" x14ac:dyDescent="0.2">
      <c r="A83" s="15"/>
    </row>
    <row r="84" spans="1:3" x14ac:dyDescent="0.2">
      <c r="A84" s="17"/>
      <c r="B84" s="18"/>
      <c r="C84" s="18"/>
    </row>
    <row r="85" spans="1:3" x14ac:dyDescent="0.2">
      <c r="B85" s="13"/>
    </row>
    <row r="86" spans="1:3" x14ac:dyDescent="0.2">
      <c r="B86" s="13"/>
    </row>
    <row r="87" spans="1:3" x14ac:dyDescent="0.2">
      <c r="B8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20FF-D5A2-8E48-931E-932D39998E0D}">
  <dimension ref="A1:U86"/>
  <sheetViews>
    <sheetView tabSelected="1" topLeftCell="A10" zoomScale="90" zoomScaleNormal="100" workbookViewId="0">
      <selection activeCell="H34" sqref="H34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1.83203125" style="14" bestFit="1" customWidth="1"/>
    <col min="8" max="8" width="12.1640625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1" ht="26" x14ac:dyDescent="0.3">
      <c r="A1" s="12" t="s">
        <v>185</v>
      </c>
    </row>
    <row r="2" spans="1:11" x14ac:dyDescent="0.2">
      <c r="A2" s="17" t="s">
        <v>209</v>
      </c>
    </row>
    <row r="4" spans="1:11" ht="16" customHeight="1" x14ac:dyDescent="0.2">
      <c r="A4" s="15" t="s">
        <v>76</v>
      </c>
      <c r="F4" s="10" t="s">
        <v>155</v>
      </c>
    </row>
    <row r="5" spans="1:11" x14ac:dyDescent="0.2">
      <c r="A5" s="17" t="s">
        <v>3</v>
      </c>
      <c r="B5" s="18" t="s">
        <v>4</v>
      </c>
      <c r="C5" s="18" t="s">
        <v>5</v>
      </c>
      <c r="D5" s="18" t="s">
        <v>197</v>
      </c>
      <c r="F5" s="18" t="s">
        <v>62</v>
      </c>
      <c r="G5" s="18" t="s">
        <v>207</v>
      </c>
      <c r="H5" s="18" t="s">
        <v>208</v>
      </c>
      <c r="I5" s="18" t="s">
        <v>80</v>
      </c>
      <c r="J5" s="18" t="s">
        <v>212</v>
      </c>
      <c r="K5" s="18" t="s">
        <v>213</v>
      </c>
    </row>
    <row r="6" spans="1:11" ht="19" x14ac:dyDescent="0.2">
      <c r="A6" s="110" t="s">
        <v>140</v>
      </c>
      <c r="B6" s="13" t="s">
        <v>13</v>
      </c>
      <c r="C6" s="14">
        <v>1.204</v>
      </c>
      <c r="D6" s="106">
        <v>20</v>
      </c>
      <c r="F6" s="18" t="s">
        <v>12</v>
      </c>
      <c r="G6" s="18" t="s">
        <v>58</v>
      </c>
      <c r="H6" s="18" t="s">
        <v>58</v>
      </c>
      <c r="I6" s="18" t="s">
        <v>81</v>
      </c>
      <c r="J6" s="18" t="s">
        <v>58</v>
      </c>
      <c r="K6" s="18" t="s">
        <v>58</v>
      </c>
    </row>
    <row r="7" spans="1:11" x14ac:dyDescent="0.2">
      <c r="A7" s="110" t="s">
        <v>141</v>
      </c>
      <c r="B7" s="13" t="s">
        <v>77</v>
      </c>
      <c r="C7" s="104">
        <v>1.8130000000000001E-5</v>
      </c>
      <c r="D7" s="106">
        <v>20</v>
      </c>
      <c r="F7" s="91">
        <v>0.02</v>
      </c>
      <c r="G7" s="93">
        <f>0.5*$C$32*F7^2*$C$45</f>
        <v>4.4950529125384389</v>
      </c>
      <c r="H7" s="93">
        <f>0.5*$C$32*F7^2*$C$48</f>
        <v>3.0836467894703929</v>
      </c>
      <c r="I7" s="20">
        <f>F7*$C$40</f>
        <v>0.02</v>
      </c>
      <c r="J7" s="111">
        <f>G7*I7/1000</f>
        <v>8.990105825076877E-5</v>
      </c>
      <c r="K7" s="111">
        <f>H7*I7/1000</f>
        <v>6.1672935789407865E-5</v>
      </c>
    </row>
    <row r="8" spans="1:11" x14ac:dyDescent="0.2">
      <c r="A8" s="110" t="s">
        <v>142</v>
      </c>
      <c r="B8" s="13" t="s">
        <v>78</v>
      </c>
      <c r="C8" s="104">
        <f>C7/C6</f>
        <v>1.5058139534883723E-5</v>
      </c>
      <c r="D8" s="106">
        <v>20</v>
      </c>
      <c r="F8" s="91">
        <v>0.05</v>
      </c>
      <c r="G8" s="93">
        <f t="shared" ref="G8:G28" si="0">0.5*$C$32*F8^2*$C$45</f>
        <v>28.094080703365247</v>
      </c>
      <c r="H8" s="93">
        <f t="shared" ref="H8:H28" si="1">0.5*$C$32*F8^2*$C$48</f>
        <v>19.272792434189959</v>
      </c>
      <c r="I8" s="20">
        <f t="shared" ref="I8:I28" si="2">F8*$C$40</f>
        <v>0.05</v>
      </c>
      <c r="J8" s="111">
        <f t="shared" ref="J8:J28" si="3">G8*I8/1000</f>
        <v>1.4047040351682625E-3</v>
      </c>
      <c r="K8" s="111">
        <f t="shared" ref="K8:K28" si="4">H8*I8/1000</f>
        <v>9.6363962170949798E-4</v>
      </c>
    </row>
    <row r="9" spans="1:11" x14ac:dyDescent="0.2">
      <c r="A9" s="11"/>
      <c r="B9" s="36"/>
      <c r="C9" s="42"/>
      <c r="D9" s="42"/>
      <c r="F9" s="91">
        <v>0.1</v>
      </c>
      <c r="G9" s="93">
        <f t="shared" si="0"/>
        <v>112.37632281346099</v>
      </c>
      <c r="H9" s="93">
        <f t="shared" si="1"/>
        <v>77.091169736759838</v>
      </c>
      <c r="I9" s="20">
        <f t="shared" si="2"/>
        <v>0.1</v>
      </c>
      <c r="J9" s="111">
        <f t="shared" si="3"/>
        <v>1.12376322813461E-2</v>
      </c>
      <c r="K9" s="111">
        <f t="shared" si="4"/>
        <v>7.7091169736759838E-3</v>
      </c>
    </row>
    <row r="10" spans="1:11" x14ac:dyDescent="0.2">
      <c r="A10" s="110" t="s">
        <v>140</v>
      </c>
      <c r="B10" s="13" t="s">
        <v>13</v>
      </c>
      <c r="C10" s="11">
        <v>1.1839999999999999</v>
      </c>
      <c r="D10" s="107">
        <v>25</v>
      </c>
      <c r="F10" s="91">
        <v>0.2</v>
      </c>
      <c r="G10" s="93">
        <f t="shared" si="0"/>
        <v>449.50529125384395</v>
      </c>
      <c r="H10" s="93">
        <f t="shared" si="1"/>
        <v>308.36467894703935</v>
      </c>
      <c r="I10" s="20">
        <f t="shared" si="2"/>
        <v>0.2</v>
      </c>
      <c r="J10" s="111">
        <f t="shared" si="3"/>
        <v>8.9901058250768801E-2</v>
      </c>
      <c r="K10" s="111">
        <f t="shared" si="4"/>
        <v>6.1672935789407871E-2</v>
      </c>
    </row>
    <row r="11" spans="1:11" x14ac:dyDescent="0.2">
      <c r="A11" s="110" t="s">
        <v>141</v>
      </c>
      <c r="B11" s="13" t="s">
        <v>77</v>
      </c>
      <c r="C11" s="105">
        <v>1.8369999999999999E-5</v>
      </c>
      <c r="D11" s="107">
        <v>25</v>
      </c>
      <c r="F11" s="91">
        <v>0.4</v>
      </c>
      <c r="G11" s="93">
        <f t="shared" si="0"/>
        <v>1798.0211650153758</v>
      </c>
      <c r="H11" s="93">
        <f t="shared" si="1"/>
        <v>1233.4587157881574</v>
      </c>
      <c r="I11" s="20">
        <f t="shared" si="2"/>
        <v>0.4</v>
      </c>
      <c r="J11" s="111">
        <f t="shared" si="3"/>
        <v>0.7192084660061504</v>
      </c>
      <c r="K11" s="111">
        <f t="shared" si="4"/>
        <v>0.49338348631526296</v>
      </c>
    </row>
    <row r="12" spans="1:11" x14ac:dyDescent="0.2">
      <c r="A12" s="110" t="s">
        <v>142</v>
      </c>
      <c r="B12" s="13" t="s">
        <v>78</v>
      </c>
      <c r="C12" s="104">
        <f>C11/C10</f>
        <v>1.5515202702702703E-5</v>
      </c>
      <c r="D12" s="107">
        <v>25</v>
      </c>
      <c r="F12" s="91">
        <v>0.5</v>
      </c>
      <c r="G12" s="93">
        <f t="shared" si="0"/>
        <v>2809.4080703365244</v>
      </c>
      <c r="H12" s="93">
        <f t="shared" si="1"/>
        <v>1927.2792434189955</v>
      </c>
      <c r="I12" s="20">
        <f t="shared" si="2"/>
        <v>0.5</v>
      </c>
      <c r="J12" s="111">
        <f t="shared" si="3"/>
        <v>1.4047040351682623</v>
      </c>
      <c r="K12" s="111">
        <f t="shared" si="4"/>
        <v>0.9636396217094978</v>
      </c>
    </row>
    <row r="13" spans="1:11" x14ac:dyDescent="0.2">
      <c r="A13" s="11"/>
      <c r="B13" s="36"/>
      <c r="D13" s="42"/>
      <c r="F13" s="91">
        <v>0.8</v>
      </c>
      <c r="G13" s="93">
        <f t="shared" si="0"/>
        <v>7192.0846600615032</v>
      </c>
      <c r="H13" s="93">
        <f t="shared" si="1"/>
        <v>4933.8348631526296</v>
      </c>
      <c r="I13" s="20">
        <f t="shared" si="2"/>
        <v>0.8</v>
      </c>
      <c r="J13" s="111">
        <f t="shared" si="3"/>
        <v>5.7536677280492032</v>
      </c>
      <c r="K13" s="111">
        <f t="shared" si="4"/>
        <v>3.9470678905221037</v>
      </c>
    </row>
    <row r="14" spans="1:11" x14ac:dyDescent="0.2">
      <c r="A14" s="110" t="s">
        <v>140</v>
      </c>
      <c r="B14" s="13" t="s">
        <v>13</v>
      </c>
      <c r="C14" s="14">
        <v>1.1639999999999999</v>
      </c>
      <c r="D14" s="108">
        <v>30</v>
      </c>
      <c r="F14" s="79">
        <v>1</v>
      </c>
      <c r="G14" s="93">
        <f t="shared" si="0"/>
        <v>11237.632281346097</v>
      </c>
      <c r="H14" s="93">
        <f t="shared" si="1"/>
        <v>7709.1169736759821</v>
      </c>
      <c r="I14" s="20">
        <f t="shared" si="2"/>
        <v>1</v>
      </c>
      <c r="J14" s="111">
        <f t="shared" si="3"/>
        <v>11.237632281346098</v>
      </c>
      <c r="K14" s="111">
        <f t="shared" si="4"/>
        <v>7.7091169736759824</v>
      </c>
    </row>
    <row r="15" spans="1:11" x14ac:dyDescent="0.2">
      <c r="A15" s="110" t="s">
        <v>141</v>
      </c>
      <c r="B15" s="13" t="s">
        <v>77</v>
      </c>
      <c r="C15" s="105">
        <v>1.8600000000000001E-5</v>
      </c>
      <c r="D15" s="108">
        <v>30</v>
      </c>
      <c r="F15" s="91">
        <v>1.4</v>
      </c>
      <c r="G15" s="93">
        <f t="shared" si="0"/>
        <v>22025.759271438346</v>
      </c>
      <c r="H15" s="93">
        <f t="shared" si="1"/>
        <v>15109.869268404924</v>
      </c>
      <c r="I15" s="20">
        <f t="shared" si="2"/>
        <v>1.4</v>
      </c>
      <c r="J15" s="111">
        <f t="shared" si="3"/>
        <v>30.836062980013683</v>
      </c>
      <c r="K15" s="111">
        <f t="shared" si="4"/>
        <v>21.15381697576689</v>
      </c>
    </row>
    <row r="16" spans="1:11" x14ac:dyDescent="0.2">
      <c r="A16" s="110" t="s">
        <v>142</v>
      </c>
      <c r="B16" s="13" t="s">
        <v>78</v>
      </c>
      <c r="C16" s="104">
        <f>C15/C14</f>
        <v>1.5979381443298972E-5</v>
      </c>
      <c r="D16" s="108">
        <v>30</v>
      </c>
      <c r="F16" s="91">
        <v>1.8</v>
      </c>
      <c r="G16" s="93">
        <f t="shared" si="0"/>
        <v>36409.928591561351</v>
      </c>
      <c r="H16" s="93">
        <f t="shared" si="1"/>
        <v>24977.538994710183</v>
      </c>
      <c r="I16" s="20">
        <f t="shared" si="2"/>
        <v>1.8</v>
      </c>
      <c r="J16" s="111">
        <f t="shared" si="3"/>
        <v>65.537871464810436</v>
      </c>
      <c r="K16" s="111">
        <f t="shared" si="4"/>
        <v>44.959570190478324</v>
      </c>
    </row>
    <row r="17" spans="1:16" x14ac:dyDescent="0.2">
      <c r="A17" s="11"/>
      <c r="B17" s="36"/>
      <c r="C17" s="11"/>
      <c r="D17" s="42"/>
      <c r="F17" s="91">
        <v>2</v>
      </c>
      <c r="G17" s="93">
        <f t="shared" si="0"/>
        <v>44950.52912538439</v>
      </c>
      <c r="H17" s="93">
        <f t="shared" si="1"/>
        <v>30836.467894703928</v>
      </c>
      <c r="I17" s="20">
        <f t="shared" si="2"/>
        <v>2</v>
      </c>
      <c r="J17" s="111">
        <f t="shared" si="3"/>
        <v>89.901058250768784</v>
      </c>
      <c r="K17" s="111">
        <f t="shared" si="4"/>
        <v>61.672935789407859</v>
      </c>
    </row>
    <row r="18" spans="1:16" x14ac:dyDescent="0.2">
      <c r="A18" s="109" t="s">
        <v>143</v>
      </c>
      <c r="B18" s="13" t="s">
        <v>13</v>
      </c>
      <c r="C18" s="14">
        <v>998.21</v>
      </c>
      <c r="D18" s="106">
        <v>20</v>
      </c>
      <c r="F18" s="91">
        <v>3</v>
      </c>
      <c r="G18" s="93">
        <f t="shared" si="0"/>
        <v>101138.69053211485</v>
      </c>
      <c r="H18" s="93">
        <f t="shared" si="1"/>
        <v>69382.052763083833</v>
      </c>
      <c r="I18" s="20">
        <f t="shared" si="2"/>
        <v>3</v>
      </c>
      <c r="J18" s="111">
        <f t="shared" si="3"/>
        <v>303.41607159634458</v>
      </c>
      <c r="K18" s="111">
        <f t="shared" si="4"/>
        <v>208.1461582892515</v>
      </c>
    </row>
    <row r="19" spans="1:16" x14ac:dyDescent="0.2">
      <c r="A19" s="109" t="s">
        <v>144</v>
      </c>
      <c r="B19" s="13" t="s">
        <v>77</v>
      </c>
      <c r="C19" s="104">
        <v>1.0016000000000001E-3</v>
      </c>
      <c r="D19" s="106">
        <v>20</v>
      </c>
      <c r="F19" s="91">
        <v>5</v>
      </c>
      <c r="G19" s="93">
        <f t="shared" si="0"/>
        <v>280940.80703365238</v>
      </c>
      <c r="H19" s="93">
        <f t="shared" si="1"/>
        <v>192727.92434189955</v>
      </c>
      <c r="I19" s="20">
        <f t="shared" si="2"/>
        <v>5</v>
      </c>
      <c r="J19" s="111">
        <f t="shared" si="3"/>
        <v>1404.704035168262</v>
      </c>
      <c r="K19" s="111">
        <f t="shared" si="4"/>
        <v>963.63962170949776</v>
      </c>
    </row>
    <row r="20" spans="1:16" x14ac:dyDescent="0.2">
      <c r="A20" s="109" t="s">
        <v>145</v>
      </c>
      <c r="B20" s="13" t="s">
        <v>78</v>
      </c>
      <c r="C20" s="104">
        <f>C19/C18</f>
        <v>1.0033960789813768E-6</v>
      </c>
      <c r="D20" s="106">
        <v>20</v>
      </c>
      <c r="F20" s="91">
        <v>8</v>
      </c>
      <c r="G20" s="93">
        <f t="shared" si="0"/>
        <v>719208.46600615024</v>
      </c>
      <c r="H20" s="93">
        <f t="shared" si="1"/>
        <v>493383.48631526285</v>
      </c>
      <c r="I20" s="20">
        <f t="shared" si="2"/>
        <v>8</v>
      </c>
      <c r="J20" s="111">
        <f t="shared" si="3"/>
        <v>5753.6677280492022</v>
      </c>
      <c r="K20" s="111">
        <f t="shared" si="4"/>
        <v>3947.067890522103</v>
      </c>
    </row>
    <row r="21" spans="1:16" x14ac:dyDescent="0.2">
      <c r="A21" s="11"/>
      <c r="B21" s="36"/>
      <c r="C21" s="11"/>
      <c r="D21" s="42"/>
      <c r="F21" s="91">
        <v>10</v>
      </c>
      <c r="G21" s="93">
        <f t="shared" si="0"/>
        <v>1123763.2281346095</v>
      </c>
      <c r="H21" s="93">
        <f t="shared" si="1"/>
        <v>770911.69736759819</v>
      </c>
      <c r="I21" s="20">
        <f t="shared" si="2"/>
        <v>10</v>
      </c>
      <c r="J21" s="111">
        <f t="shared" si="3"/>
        <v>11237.632281346096</v>
      </c>
      <c r="K21" s="111">
        <f t="shared" si="4"/>
        <v>7709.1169736759821</v>
      </c>
    </row>
    <row r="22" spans="1:16" x14ac:dyDescent="0.2">
      <c r="A22" s="109" t="s">
        <v>143</v>
      </c>
      <c r="B22" s="13" t="s">
        <v>13</v>
      </c>
      <c r="C22" s="14">
        <v>997.05</v>
      </c>
      <c r="D22" s="107">
        <v>25</v>
      </c>
      <c r="F22" s="91">
        <v>15</v>
      </c>
      <c r="G22" s="93">
        <f t="shared" si="0"/>
        <v>2528467.2633028715</v>
      </c>
      <c r="H22" s="93">
        <f t="shared" si="1"/>
        <v>1734551.3190770959</v>
      </c>
      <c r="I22" s="20">
        <f t="shared" si="2"/>
        <v>15</v>
      </c>
      <c r="J22" s="111">
        <f t="shared" si="3"/>
        <v>37927.008949543073</v>
      </c>
      <c r="K22" s="111">
        <f t="shared" si="4"/>
        <v>26018.269786156437</v>
      </c>
    </row>
    <row r="23" spans="1:16" x14ac:dyDescent="0.2">
      <c r="A23" s="109" t="s">
        <v>144</v>
      </c>
      <c r="B23" s="13" t="s">
        <v>77</v>
      </c>
      <c r="C23" s="104">
        <v>8.9004000000000004E-4</v>
      </c>
      <c r="D23" s="107">
        <v>25</v>
      </c>
      <c r="F23" s="91">
        <v>20</v>
      </c>
      <c r="G23" s="93">
        <f t="shared" si="0"/>
        <v>4495052.9125384381</v>
      </c>
      <c r="H23" s="93">
        <f t="shared" si="1"/>
        <v>3083646.7894703927</v>
      </c>
      <c r="I23" s="20">
        <f t="shared" si="2"/>
        <v>20</v>
      </c>
      <c r="J23" s="111">
        <f t="shared" si="3"/>
        <v>89901.058250768765</v>
      </c>
      <c r="K23" s="111">
        <f t="shared" si="4"/>
        <v>61672.935789407857</v>
      </c>
    </row>
    <row r="24" spans="1:16" x14ac:dyDescent="0.2">
      <c r="A24" s="109" t="s">
        <v>145</v>
      </c>
      <c r="B24" s="13" t="s">
        <v>78</v>
      </c>
      <c r="C24" s="104">
        <f>C23/C22</f>
        <v>8.9267338649014606E-7</v>
      </c>
      <c r="D24" s="107">
        <v>25</v>
      </c>
      <c r="E24" s="20"/>
      <c r="F24" s="91">
        <v>22</v>
      </c>
      <c r="G24" s="93">
        <f t="shared" si="0"/>
        <v>5439014.0241715107</v>
      </c>
      <c r="H24" s="93">
        <f t="shared" si="1"/>
        <v>3731212.6152591752</v>
      </c>
      <c r="I24" s="20">
        <f t="shared" si="2"/>
        <v>22</v>
      </c>
      <c r="J24" s="111">
        <f t="shared" si="3"/>
        <v>119658.30853177323</v>
      </c>
      <c r="K24" s="111">
        <f t="shared" si="4"/>
        <v>82086.677535701863</v>
      </c>
    </row>
    <row r="25" spans="1:16" x14ac:dyDescent="0.2">
      <c r="A25" s="11"/>
      <c r="B25" s="36"/>
      <c r="C25" s="11"/>
      <c r="D25" s="42"/>
      <c r="E25" s="20"/>
      <c r="F25" s="91">
        <v>24</v>
      </c>
      <c r="G25" s="93">
        <f t="shared" si="0"/>
        <v>6472876.1940553505</v>
      </c>
      <c r="H25" s="93">
        <f t="shared" si="1"/>
        <v>4440451.3768373653</v>
      </c>
      <c r="I25" s="20">
        <f t="shared" si="2"/>
        <v>24</v>
      </c>
      <c r="J25" s="111">
        <f t="shared" si="3"/>
        <v>155349.02865732842</v>
      </c>
      <c r="K25" s="111">
        <f t="shared" si="4"/>
        <v>106570.83304409677</v>
      </c>
    </row>
    <row r="26" spans="1:16" x14ac:dyDescent="0.2">
      <c r="A26" s="109" t="s">
        <v>143</v>
      </c>
      <c r="B26" s="13" t="s">
        <v>13</v>
      </c>
      <c r="C26" s="14">
        <v>995.65</v>
      </c>
      <c r="D26" s="108">
        <v>30</v>
      </c>
      <c r="F26" s="90">
        <v>25</v>
      </c>
      <c r="G26" s="93">
        <f t="shared" si="0"/>
        <v>7023520.1758413101</v>
      </c>
      <c r="H26" s="93">
        <f t="shared" si="1"/>
        <v>4818198.1085474882</v>
      </c>
      <c r="I26" s="20">
        <f t="shared" si="2"/>
        <v>25</v>
      </c>
      <c r="J26" s="111">
        <f t="shared" si="3"/>
        <v>175588.00439603275</v>
      </c>
      <c r="K26" s="111">
        <f t="shared" si="4"/>
        <v>120454.95271368721</v>
      </c>
    </row>
    <row r="27" spans="1:16" x14ac:dyDescent="0.2">
      <c r="A27" s="109" t="s">
        <v>144</v>
      </c>
      <c r="B27" s="13" t="s">
        <v>77</v>
      </c>
      <c r="C27" s="104">
        <v>7.9721999999999996E-4</v>
      </c>
      <c r="D27" s="108">
        <v>30</v>
      </c>
      <c r="F27" s="90">
        <v>28</v>
      </c>
      <c r="G27" s="93">
        <f t="shared" si="0"/>
        <v>8810303.70857534</v>
      </c>
      <c r="H27" s="93">
        <f t="shared" si="1"/>
        <v>6043947.7073619701</v>
      </c>
      <c r="I27" s="20">
        <f t="shared" si="2"/>
        <v>28</v>
      </c>
      <c r="J27" s="111">
        <f t="shared" si="3"/>
        <v>246688.50384010954</v>
      </c>
      <c r="K27" s="111">
        <f t="shared" si="4"/>
        <v>169230.53580613519</v>
      </c>
    </row>
    <row r="28" spans="1:16" x14ac:dyDescent="0.2">
      <c r="A28" s="109" t="s">
        <v>145</v>
      </c>
      <c r="B28" s="13" t="s">
        <v>78</v>
      </c>
      <c r="C28" s="104">
        <f>C27/C26</f>
        <v>8.0070305830362075E-7</v>
      </c>
      <c r="D28" s="108">
        <v>30</v>
      </c>
      <c r="F28" s="90">
        <v>30</v>
      </c>
      <c r="G28" s="93">
        <f t="shared" si="0"/>
        <v>10113869.053211486</v>
      </c>
      <c r="H28" s="93">
        <f t="shared" si="1"/>
        <v>6938205.2763083838</v>
      </c>
      <c r="I28" s="20">
        <f t="shared" si="2"/>
        <v>30</v>
      </c>
      <c r="J28" s="111">
        <f t="shared" si="3"/>
        <v>303416.07159634458</v>
      </c>
      <c r="K28" s="111">
        <f t="shared" si="4"/>
        <v>208146.1582892515</v>
      </c>
    </row>
    <row r="29" spans="1:16" x14ac:dyDescent="0.2">
      <c r="N29" s="32"/>
      <c r="O29" s="32"/>
      <c r="P29" s="33"/>
    </row>
    <row r="30" spans="1:16" x14ac:dyDescent="0.2">
      <c r="A30" s="10" t="s">
        <v>83</v>
      </c>
      <c r="B30" s="36"/>
      <c r="C30" s="42"/>
      <c r="D30" s="11"/>
    </row>
    <row r="31" spans="1:16" x14ac:dyDescent="0.2">
      <c r="A31" s="17" t="s">
        <v>3</v>
      </c>
      <c r="B31" s="18" t="s">
        <v>4</v>
      </c>
      <c r="C31" s="18" t="s">
        <v>5</v>
      </c>
      <c r="D31" s="18" t="s">
        <v>197</v>
      </c>
      <c r="F31" s="10" t="s">
        <v>162</v>
      </c>
      <c r="G31" s="5"/>
      <c r="H31" s="6"/>
      <c r="I31" s="7"/>
      <c r="J31" s="5"/>
      <c r="K31" s="8"/>
      <c r="L31" s="5"/>
      <c r="M31" s="8"/>
    </row>
    <row r="32" spans="1:16" x14ac:dyDescent="0.2">
      <c r="A32" s="109" t="s">
        <v>143</v>
      </c>
      <c r="B32" s="13" t="s">
        <v>13</v>
      </c>
      <c r="C32" s="14">
        <v>998.21</v>
      </c>
      <c r="D32" s="106">
        <v>20</v>
      </c>
      <c r="F32" s="18" t="s">
        <v>62</v>
      </c>
      <c r="G32" s="18" t="s">
        <v>69</v>
      </c>
      <c r="H32" s="18" t="s">
        <v>79</v>
      </c>
      <c r="I32" s="18" t="s">
        <v>187</v>
      </c>
      <c r="J32" s="18" t="s">
        <v>8</v>
      </c>
      <c r="K32" s="18" t="s">
        <v>80</v>
      </c>
      <c r="L32" s="18" t="s">
        <v>10</v>
      </c>
      <c r="M32" s="18" t="s">
        <v>10</v>
      </c>
    </row>
    <row r="33" spans="1:13" ht="19" x14ac:dyDescent="0.2">
      <c r="A33" s="109" t="s">
        <v>144</v>
      </c>
      <c r="B33" s="13" t="s">
        <v>77</v>
      </c>
      <c r="C33" s="104">
        <v>1.0016000000000001E-3</v>
      </c>
      <c r="D33" s="106">
        <v>20</v>
      </c>
      <c r="F33" s="18" t="s">
        <v>12</v>
      </c>
      <c r="G33" s="18" t="s">
        <v>59</v>
      </c>
      <c r="H33" s="18" t="s">
        <v>59</v>
      </c>
      <c r="I33" s="18" t="s">
        <v>59</v>
      </c>
      <c r="J33" s="18" t="s">
        <v>58</v>
      </c>
      <c r="K33" s="18" t="s">
        <v>81</v>
      </c>
      <c r="L33" s="18" t="s">
        <v>11</v>
      </c>
      <c r="M33" s="18" t="s">
        <v>75</v>
      </c>
    </row>
    <row r="34" spans="1:13" x14ac:dyDescent="0.2">
      <c r="A34" s="109" t="s">
        <v>145</v>
      </c>
      <c r="B34" s="13" t="s">
        <v>78</v>
      </c>
      <c r="C34" s="104">
        <f>C33/C32</f>
        <v>1.0033960789813768E-6</v>
      </c>
      <c r="D34" s="106">
        <v>20</v>
      </c>
      <c r="F34" s="91">
        <f>F7</f>
        <v>0.02</v>
      </c>
      <c r="G34" s="92">
        <f t="shared" ref="G34:G55" si="5">$C$52 * $C$33 * $C$54 *F34</f>
        <v>0</v>
      </c>
      <c r="H34" s="93">
        <f>0.5 * $C$53 * $C$32 * $C$54 *F34 ^2</f>
        <v>3.0836467894703929</v>
      </c>
      <c r="I34" s="93">
        <f>G34+H34</f>
        <v>3.0836467894703929</v>
      </c>
      <c r="J34" s="95">
        <f t="shared" ref="J34:J55" si="6">2*I34/($C$32*F34^2)</f>
        <v>15.445882076268484</v>
      </c>
      <c r="K34" s="96">
        <f t="shared" ref="K34:K55" si="7">F34*$C$40</f>
        <v>0.02</v>
      </c>
      <c r="L34" s="96">
        <f>I34*K34</f>
        <v>6.1672935789407864E-2</v>
      </c>
      <c r="M34" s="96">
        <f>L34/1000</f>
        <v>6.1672935789407865E-5</v>
      </c>
    </row>
    <row r="35" spans="1:13" x14ac:dyDescent="0.2">
      <c r="A35" s="53"/>
      <c r="B35" s="52"/>
      <c r="C35" s="45"/>
      <c r="F35" s="91">
        <f>F8</f>
        <v>0.05</v>
      </c>
      <c r="G35" s="92">
        <f t="shared" si="5"/>
        <v>0</v>
      </c>
      <c r="H35" s="93">
        <f t="shared" ref="H34:H55" si="8">0.5 * $C$53 * $C$32 * $C$54 *F35 ^2</f>
        <v>19.272792434189959</v>
      </c>
      <c r="I35" s="93">
        <f t="shared" ref="I35:I55" si="9">G35+H35</f>
        <v>19.272792434189959</v>
      </c>
      <c r="J35" s="95">
        <f t="shared" si="6"/>
        <v>15.445882076268484</v>
      </c>
      <c r="K35" s="96">
        <f t="shared" si="7"/>
        <v>0.05</v>
      </c>
      <c r="L35" s="96">
        <f t="shared" ref="L35:L55" si="10">I35*K35</f>
        <v>0.96363962170949802</v>
      </c>
      <c r="M35" s="96">
        <f t="shared" ref="M35:M55" si="11">L35/1000</f>
        <v>9.6363962170949798E-4</v>
      </c>
    </row>
    <row r="36" spans="1:13" x14ac:dyDescent="0.2">
      <c r="A36" s="10" t="s">
        <v>206</v>
      </c>
      <c r="B36" s="36"/>
      <c r="C36" s="42"/>
      <c r="F36" s="91">
        <f>F9</f>
        <v>0.1</v>
      </c>
      <c r="G36" s="92">
        <f t="shared" si="5"/>
        <v>0</v>
      </c>
      <c r="H36" s="93">
        <f t="shared" si="8"/>
        <v>77.091169736759838</v>
      </c>
      <c r="I36" s="93">
        <f t="shared" si="9"/>
        <v>77.091169736759838</v>
      </c>
      <c r="J36" s="95">
        <f t="shared" si="6"/>
        <v>15.445882076268484</v>
      </c>
      <c r="K36" s="96">
        <f t="shared" si="7"/>
        <v>0.1</v>
      </c>
      <c r="L36" s="96">
        <f t="shared" si="10"/>
        <v>7.7091169736759841</v>
      </c>
      <c r="M36" s="96">
        <f t="shared" si="11"/>
        <v>7.7091169736759838E-3</v>
      </c>
    </row>
    <row r="37" spans="1:13" x14ac:dyDescent="0.2">
      <c r="A37" s="17" t="s">
        <v>3</v>
      </c>
      <c r="B37" s="18" t="s">
        <v>4</v>
      </c>
      <c r="C37" s="18" t="s">
        <v>5</v>
      </c>
      <c r="F37" s="91">
        <f>F10</f>
        <v>0.2</v>
      </c>
      <c r="G37" s="92">
        <f t="shared" si="5"/>
        <v>0</v>
      </c>
      <c r="H37" s="93">
        <f t="shared" si="8"/>
        <v>308.36467894703935</v>
      </c>
      <c r="I37" s="93">
        <f t="shared" si="9"/>
        <v>308.36467894703935</v>
      </c>
      <c r="J37" s="95">
        <f t="shared" si="6"/>
        <v>15.445882076268484</v>
      </c>
      <c r="K37" s="96">
        <f t="shared" si="7"/>
        <v>0.2</v>
      </c>
      <c r="L37" s="96">
        <f t="shared" si="10"/>
        <v>61.672935789407873</v>
      </c>
      <c r="M37" s="96">
        <f t="shared" si="11"/>
        <v>6.1672935789407871E-2</v>
      </c>
    </row>
    <row r="38" spans="1:13" x14ac:dyDescent="0.2">
      <c r="A38" s="14" t="s">
        <v>210</v>
      </c>
      <c r="B38" s="14" t="s">
        <v>1</v>
      </c>
      <c r="C38" s="14">
        <v>3.0000000000000001E-3</v>
      </c>
      <c r="F38" s="91">
        <f>F11</f>
        <v>0.4</v>
      </c>
      <c r="G38" s="92">
        <f t="shared" si="5"/>
        <v>0</v>
      </c>
      <c r="H38" s="93">
        <f t="shared" si="8"/>
        <v>1233.4587157881574</v>
      </c>
      <c r="I38" s="93">
        <f t="shared" si="9"/>
        <v>1233.4587157881574</v>
      </c>
      <c r="J38" s="95">
        <f t="shared" si="6"/>
        <v>15.445882076268484</v>
      </c>
      <c r="K38" s="96">
        <f t="shared" si="7"/>
        <v>0.4</v>
      </c>
      <c r="L38" s="96">
        <f t="shared" si="10"/>
        <v>493.38348631526299</v>
      </c>
      <c r="M38" s="96">
        <f t="shared" si="11"/>
        <v>0.49338348631526296</v>
      </c>
    </row>
    <row r="39" spans="1:13" x14ac:dyDescent="0.2">
      <c r="A39" s="14" t="s">
        <v>211</v>
      </c>
      <c r="B39" s="14" t="s">
        <v>1</v>
      </c>
      <c r="C39" s="14">
        <v>5.0000000000000001E-3</v>
      </c>
      <c r="F39" s="91">
        <f>F12</f>
        <v>0.5</v>
      </c>
      <c r="G39" s="92">
        <f t="shared" si="5"/>
        <v>0</v>
      </c>
      <c r="H39" s="93">
        <f t="shared" si="8"/>
        <v>1927.2792434189955</v>
      </c>
      <c r="I39" s="93">
        <f t="shared" si="9"/>
        <v>1927.2792434189955</v>
      </c>
      <c r="J39" s="95">
        <f t="shared" si="6"/>
        <v>15.445882076268484</v>
      </c>
      <c r="K39" s="96">
        <f t="shared" si="7"/>
        <v>0.5</v>
      </c>
      <c r="L39" s="96">
        <f t="shared" si="10"/>
        <v>963.63962170949776</v>
      </c>
      <c r="M39" s="96">
        <f t="shared" si="11"/>
        <v>0.9636396217094978</v>
      </c>
    </row>
    <row r="40" spans="1:13" x14ac:dyDescent="0.2">
      <c r="A40" s="14" t="s">
        <v>172</v>
      </c>
      <c r="B40" s="13" t="s">
        <v>2</v>
      </c>
      <c r="C40" s="14">
        <v>1</v>
      </c>
      <c r="F40" s="91">
        <f>F13</f>
        <v>0.8</v>
      </c>
      <c r="G40" s="92">
        <f t="shared" si="5"/>
        <v>0</v>
      </c>
      <c r="H40" s="93">
        <f t="shared" si="8"/>
        <v>4933.8348631526296</v>
      </c>
      <c r="I40" s="93">
        <f t="shared" si="9"/>
        <v>4933.8348631526296</v>
      </c>
      <c r="J40" s="95">
        <f t="shared" si="6"/>
        <v>15.445882076268484</v>
      </c>
      <c r="K40" s="34">
        <f t="shared" si="7"/>
        <v>0.8</v>
      </c>
      <c r="L40" s="34">
        <f t="shared" si="10"/>
        <v>3947.0678905221039</v>
      </c>
      <c r="M40" s="34">
        <f t="shared" si="11"/>
        <v>3.9470678905221037</v>
      </c>
    </row>
    <row r="41" spans="1:13" x14ac:dyDescent="0.2">
      <c r="A41" s="14" t="s">
        <v>198</v>
      </c>
      <c r="B41" s="14" t="s">
        <v>7</v>
      </c>
      <c r="C41" s="19">
        <v>0.70699999999999996</v>
      </c>
      <c r="F41" s="91">
        <f>F14</f>
        <v>1</v>
      </c>
      <c r="G41" s="92">
        <f t="shared" si="5"/>
        <v>0</v>
      </c>
      <c r="H41" s="93">
        <f t="shared" si="8"/>
        <v>7709.1169736759821</v>
      </c>
      <c r="I41" s="93">
        <f t="shared" si="9"/>
        <v>7709.1169736759821</v>
      </c>
      <c r="J41" s="95">
        <f t="shared" si="6"/>
        <v>15.445882076268484</v>
      </c>
      <c r="K41" s="96">
        <f t="shared" si="7"/>
        <v>1</v>
      </c>
      <c r="L41" s="96">
        <f t="shared" si="10"/>
        <v>7709.1169736759821</v>
      </c>
      <c r="M41" s="96">
        <f t="shared" si="11"/>
        <v>7.7091169736759824</v>
      </c>
    </row>
    <row r="42" spans="1:13" x14ac:dyDescent="0.2">
      <c r="A42" s="14" t="s">
        <v>199</v>
      </c>
      <c r="B42" s="14" t="s">
        <v>7</v>
      </c>
      <c r="C42" s="19">
        <v>0.375</v>
      </c>
      <c r="F42" s="91">
        <f>F15</f>
        <v>1.4</v>
      </c>
      <c r="G42" s="92">
        <f t="shared" si="5"/>
        <v>0</v>
      </c>
      <c r="H42" s="93">
        <f t="shared" si="8"/>
        <v>15109.869268404924</v>
      </c>
      <c r="I42" s="93">
        <f t="shared" si="9"/>
        <v>15109.869268404924</v>
      </c>
      <c r="J42" s="95">
        <f t="shared" si="6"/>
        <v>15.445882076268484</v>
      </c>
      <c r="K42" s="96">
        <f t="shared" si="7"/>
        <v>1.4</v>
      </c>
      <c r="L42" s="96">
        <f t="shared" si="10"/>
        <v>21153.816975766891</v>
      </c>
      <c r="M42" s="96">
        <f t="shared" si="11"/>
        <v>21.15381697576689</v>
      </c>
    </row>
    <row r="43" spans="1:13" x14ac:dyDescent="0.2">
      <c r="A43" s="14" t="s">
        <v>201</v>
      </c>
      <c r="B43" s="14" t="s">
        <v>7</v>
      </c>
      <c r="C43" s="19">
        <v>0.7853</v>
      </c>
      <c r="F43" s="91">
        <f>F16</f>
        <v>1.8</v>
      </c>
      <c r="G43" s="92">
        <f t="shared" si="5"/>
        <v>0</v>
      </c>
      <c r="H43" s="93">
        <f t="shared" si="8"/>
        <v>24977.538994710183</v>
      </c>
      <c r="I43" s="93">
        <f t="shared" si="9"/>
        <v>24977.538994710183</v>
      </c>
      <c r="J43" s="95">
        <f t="shared" si="6"/>
        <v>15.445882076268484</v>
      </c>
      <c r="K43" s="96">
        <f t="shared" si="7"/>
        <v>1.8</v>
      </c>
      <c r="L43" s="96">
        <f t="shared" si="10"/>
        <v>44959.570190478327</v>
      </c>
      <c r="M43" s="96">
        <f t="shared" si="11"/>
        <v>44.959570190478324</v>
      </c>
    </row>
    <row r="44" spans="1:13" x14ac:dyDescent="0.2">
      <c r="A44" s="14" t="s">
        <v>202</v>
      </c>
      <c r="B44" s="14" t="s">
        <v>7</v>
      </c>
      <c r="C44" s="19">
        <f>(C43*$C$38^2)/($C$39^2)</f>
        <v>0.28270800000000001</v>
      </c>
      <c r="F44" s="91">
        <f>F17</f>
        <v>2</v>
      </c>
      <c r="G44" s="92">
        <f t="shared" si="5"/>
        <v>0</v>
      </c>
      <c r="H44" s="93">
        <f t="shared" si="8"/>
        <v>30836.467894703928</v>
      </c>
      <c r="I44" s="93">
        <f t="shared" si="9"/>
        <v>30836.467894703928</v>
      </c>
      <c r="J44" s="95">
        <f t="shared" si="6"/>
        <v>15.445882076268484</v>
      </c>
      <c r="K44" s="96">
        <f t="shared" si="7"/>
        <v>2</v>
      </c>
      <c r="L44" s="96">
        <f t="shared" si="10"/>
        <v>61672.935789407857</v>
      </c>
      <c r="M44" s="96">
        <f t="shared" si="11"/>
        <v>61.672935789407859</v>
      </c>
    </row>
    <row r="45" spans="1:13" x14ac:dyDescent="0.2">
      <c r="A45" s="14" t="s">
        <v>200</v>
      </c>
      <c r="B45" s="14" t="s">
        <v>7</v>
      </c>
      <c r="C45" s="4">
        <f xml:space="preserve"> ($C$41 *(1 - C44)^$C$42 + 1 - C44)^2 / C44^2</f>
        <v>22.515567428389009</v>
      </c>
      <c r="F45" s="91">
        <f>F18</f>
        <v>3</v>
      </c>
      <c r="G45" s="92">
        <f t="shared" si="5"/>
        <v>0</v>
      </c>
      <c r="H45" s="93">
        <f t="shared" si="8"/>
        <v>69382.052763083833</v>
      </c>
      <c r="I45" s="93">
        <f t="shared" si="9"/>
        <v>69382.052763083833</v>
      </c>
      <c r="J45" s="95">
        <f t="shared" si="6"/>
        <v>15.445882076268484</v>
      </c>
      <c r="K45" s="96">
        <f t="shared" si="7"/>
        <v>3</v>
      </c>
      <c r="L45" s="96">
        <f t="shared" si="10"/>
        <v>208146.1582892515</v>
      </c>
      <c r="M45" s="96">
        <f t="shared" si="11"/>
        <v>208.1461582892515</v>
      </c>
    </row>
    <row r="46" spans="1:13" x14ac:dyDescent="0.2">
      <c r="A46" s="14" t="s">
        <v>203</v>
      </c>
      <c r="B46" s="14" t="s">
        <v>7</v>
      </c>
      <c r="C46" s="19">
        <v>0.90690000000000004</v>
      </c>
      <c r="F46" s="91">
        <f>F19</f>
        <v>5</v>
      </c>
      <c r="G46" s="92">
        <f t="shared" si="5"/>
        <v>0</v>
      </c>
      <c r="H46" s="93">
        <f t="shared" si="8"/>
        <v>192727.92434189955</v>
      </c>
      <c r="I46" s="93">
        <f t="shared" si="9"/>
        <v>192727.92434189955</v>
      </c>
      <c r="J46" s="95">
        <f t="shared" si="6"/>
        <v>15.445882076268484</v>
      </c>
      <c r="K46" s="96">
        <f t="shared" si="7"/>
        <v>5</v>
      </c>
      <c r="L46" s="96">
        <f t="shared" si="10"/>
        <v>963639.62170949776</v>
      </c>
      <c r="M46" s="96">
        <f t="shared" si="11"/>
        <v>963.63962170949776</v>
      </c>
    </row>
    <row r="47" spans="1:13" x14ac:dyDescent="0.2">
      <c r="A47" s="14" t="s">
        <v>204</v>
      </c>
      <c r="B47" s="14" t="s">
        <v>7</v>
      </c>
      <c r="C47" s="19">
        <f>(C46*$C$38^2)/($C$39^2)</f>
        <v>0.32648400000000005</v>
      </c>
      <c r="F47" s="91">
        <f>F20</f>
        <v>8</v>
      </c>
      <c r="G47" s="92">
        <f t="shared" si="5"/>
        <v>0</v>
      </c>
      <c r="H47" s="93">
        <f t="shared" si="8"/>
        <v>493383.48631526285</v>
      </c>
      <c r="I47" s="93">
        <f t="shared" si="9"/>
        <v>493383.48631526285</v>
      </c>
      <c r="J47" s="95">
        <f t="shared" si="6"/>
        <v>15.445882076268484</v>
      </c>
      <c r="K47" s="96">
        <f t="shared" si="7"/>
        <v>8</v>
      </c>
      <c r="L47" s="96">
        <f t="shared" si="10"/>
        <v>3947067.8905221028</v>
      </c>
      <c r="M47" s="96">
        <f t="shared" si="11"/>
        <v>3947.067890522103</v>
      </c>
    </row>
    <row r="48" spans="1:13" x14ac:dyDescent="0.2">
      <c r="A48" s="14" t="s">
        <v>205</v>
      </c>
      <c r="B48" s="14" t="s">
        <v>7</v>
      </c>
      <c r="C48" s="4">
        <f xml:space="preserve"> ($C$41 *(1 - C47)^$C$42 + 1 - C47)^2 / C47^2</f>
        <v>15.445882076268484</v>
      </c>
      <c r="F48" s="91">
        <f>F21</f>
        <v>10</v>
      </c>
      <c r="G48" s="92">
        <f t="shared" si="5"/>
        <v>0</v>
      </c>
      <c r="H48" s="93">
        <f t="shared" si="8"/>
        <v>770911.69736759819</v>
      </c>
      <c r="I48" s="93">
        <f t="shared" si="9"/>
        <v>770911.69736759819</v>
      </c>
      <c r="J48" s="95">
        <f t="shared" si="6"/>
        <v>15.445882076268484</v>
      </c>
      <c r="K48" s="96">
        <f t="shared" si="7"/>
        <v>10</v>
      </c>
      <c r="L48" s="96">
        <f t="shared" si="10"/>
        <v>7709116.9736759821</v>
      </c>
      <c r="M48" s="96">
        <f t="shared" si="11"/>
        <v>7709.1169736759821</v>
      </c>
    </row>
    <row r="49" spans="1:21" x14ac:dyDescent="0.2">
      <c r="F49" s="91">
        <f>F22</f>
        <v>15</v>
      </c>
      <c r="G49" s="92">
        <f t="shared" si="5"/>
        <v>0</v>
      </c>
      <c r="H49" s="93">
        <f t="shared" si="8"/>
        <v>1734551.3190770959</v>
      </c>
      <c r="I49" s="93">
        <f t="shared" si="9"/>
        <v>1734551.3190770959</v>
      </c>
      <c r="J49" s="95">
        <f t="shared" si="6"/>
        <v>15.445882076268484</v>
      </c>
      <c r="K49" s="96">
        <f t="shared" si="7"/>
        <v>15</v>
      </c>
      <c r="L49" s="96">
        <f t="shared" si="10"/>
        <v>26018269.786156438</v>
      </c>
      <c r="M49" s="96">
        <f t="shared" si="11"/>
        <v>26018.269786156437</v>
      </c>
    </row>
    <row r="50" spans="1:21" x14ac:dyDescent="0.2">
      <c r="A50" s="15" t="s">
        <v>183</v>
      </c>
      <c r="F50" s="91">
        <f>F23</f>
        <v>20</v>
      </c>
      <c r="G50" s="92">
        <f t="shared" si="5"/>
        <v>0</v>
      </c>
      <c r="H50" s="93">
        <f t="shared" si="8"/>
        <v>3083646.7894703927</v>
      </c>
      <c r="I50" s="93">
        <f t="shared" si="9"/>
        <v>3083646.7894703927</v>
      </c>
      <c r="J50" s="95">
        <f t="shared" si="6"/>
        <v>15.445882076268484</v>
      </c>
      <c r="K50" s="96">
        <f t="shared" si="7"/>
        <v>20</v>
      </c>
      <c r="L50" s="96">
        <f t="shared" si="10"/>
        <v>61672935.789407857</v>
      </c>
      <c r="M50" s="96">
        <f t="shared" si="11"/>
        <v>61672.935789407857</v>
      </c>
    </row>
    <row r="51" spans="1:21" x14ac:dyDescent="0.2">
      <c r="A51" s="17" t="s">
        <v>3</v>
      </c>
      <c r="B51" s="18" t="s">
        <v>4</v>
      </c>
      <c r="C51" s="18" t="s">
        <v>5</v>
      </c>
      <c r="F51" s="91">
        <f>F24</f>
        <v>22</v>
      </c>
      <c r="G51" s="92">
        <f t="shared" si="5"/>
        <v>0</v>
      </c>
      <c r="H51" s="93">
        <f t="shared" si="8"/>
        <v>3731212.6152591752</v>
      </c>
      <c r="I51" s="93">
        <f t="shared" si="9"/>
        <v>3731212.6152591752</v>
      </c>
      <c r="J51" s="95">
        <f t="shared" si="6"/>
        <v>15.445882076268484</v>
      </c>
      <c r="K51" s="96">
        <f t="shared" si="7"/>
        <v>22</v>
      </c>
      <c r="L51" s="96">
        <f t="shared" si="10"/>
        <v>82086677.535701856</v>
      </c>
      <c r="M51" s="96">
        <f t="shared" si="11"/>
        <v>82086.677535701863</v>
      </c>
    </row>
    <row r="52" spans="1:21" x14ac:dyDescent="0.2">
      <c r="A52" s="14" t="s">
        <v>115</v>
      </c>
      <c r="B52" s="13" t="s">
        <v>7</v>
      </c>
      <c r="C52" s="14">
        <v>0</v>
      </c>
      <c r="F52" s="91">
        <f>F25</f>
        <v>24</v>
      </c>
      <c r="G52" s="92">
        <f t="shared" si="5"/>
        <v>0</v>
      </c>
      <c r="H52" s="93">
        <f t="shared" si="8"/>
        <v>4440451.3768373653</v>
      </c>
      <c r="I52" s="93">
        <f t="shared" si="9"/>
        <v>4440451.3768373653</v>
      </c>
      <c r="J52" s="95">
        <f t="shared" si="6"/>
        <v>15.445882076268484</v>
      </c>
      <c r="K52" s="96">
        <f t="shared" si="7"/>
        <v>24</v>
      </c>
      <c r="L52" s="96">
        <f t="shared" si="10"/>
        <v>106570833.04409677</v>
      </c>
      <c r="M52" s="96">
        <f t="shared" si="11"/>
        <v>106570.83304409677</v>
      </c>
    </row>
    <row r="53" spans="1:21" x14ac:dyDescent="0.2">
      <c r="A53" s="14" t="s">
        <v>116</v>
      </c>
      <c r="B53" s="13" t="s">
        <v>7</v>
      </c>
      <c r="C53" s="24">
        <f>C48/C54</f>
        <v>1544.5882076268483</v>
      </c>
      <c r="F53" s="91">
        <f>F26</f>
        <v>25</v>
      </c>
      <c r="G53" s="92">
        <f t="shared" si="5"/>
        <v>0</v>
      </c>
      <c r="H53" s="93">
        <f t="shared" si="8"/>
        <v>4818198.1085474892</v>
      </c>
      <c r="I53" s="93">
        <f t="shared" si="9"/>
        <v>4818198.1085474892</v>
      </c>
      <c r="J53" s="95">
        <f t="shared" si="6"/>
        <v>15.445882076268486</v>
      </c>
      <c r="K53" s="32">
        <f t="shared" si="7"/>
        <v>25</v>
      </c>
      <c r="L53" s="32">
        <f t="shared" si="10"/>
        <v>120454952.71368723</v>
      </c>
      <c r="M53" s="33">
        <f t="shared" si="11"/>
        <v>120454.95271368722</v>
      </c>
    </row>
    <row r="54" spans="1:21" x14ac:dyDescent="0.2">
      <c r="A54" s="14" t="s">
        <v>184</v>
      </c>
      <c r="B54" s="13" t="s">
        <v>1</v>
      </c>
      <c r="C54" s="19">
        <v>0.01</v>
      </c>
      <c r="F54" s="91">
        <f>F27</f>
        <v>28</v>
      </c>
      <c r="G54" s="92">
        <f t="shared" si="5"/>
        <v>0</v>
      </c>
      <c r="H54" s="93">
        <f t="shared" si="8"/>
        <v>6043947.7073619701</v>
      </c>
      <c r="I54" s="93">
        <f t="shared" si="9"/>
        <v>6043947.7073619701</v>
      </c>
      <c r="J54" s="95">
        <f t="shared" si="6"/>
        <v>15.445882076268484</v>
      </c>
      <c r="K54" s="32">
        <f t="shared" si="7"/>
        <v>28</v>
      </c>
      <c r="L54" s="32">
        <f t="shared" si="10"/>
        <v>169230535.80613518</v>
      </c>
      <c r="M54" s="33">
        <f t="shared" si="11"/>
        <v>169230.53580613519</v>
      </c>
    </row>
    <row r="55" spans="1:21" x14ac:dyDescent="0.2">
      <c r="F55" s="91">
        <f>F28</f>
        <v>30</v>
      </c>
      <c r="G55" s="92">
        <f t="shared" si="5"/>
        <v>0</v>
      </c>
      <c r="H55" s="93">
        <f t="shared" si="8"/>
        <v>6938205.2763083838</v>
      </c>
      <c r="I55" s="93">
        <f t="shared" si="9"/>
        <v>6938205.2763083838</v>
      </c>
      <c r="J55" s="95">
        <f t="shared" si="6"/>
        <v>15.445882076268484</v>
      </c>
      <c r="K55" s="32">
        <f t="shared" si="7"/>
        <v>30</v>
      </c>
      <c r="L55" s="32">
        <f t="shared" si="10"/>
        <v>208146158.28925151</v>
      </c>
      <c r="M55" s="33">
        <f t="shared" si="11"/>
        <v>208146.1582892515</v>
      </c>
    </row>
    <row r="56" spans="1:21" x14ac:dyDescent="0.2">
      <c r="N56" s="16"/>
      <c r="O56" s="16"/>
      <c r="P56" s="16"/>
    </row>
    <row r="57" spans="1:21" x14ac:dyDescent="0.2">
      <c r="N57" s="18"/>
      <c r="O57" s="18"/>
      <c r="P57" s="18"/>
      <c r="Q57" s="18"/>
      <c r="R57" s="18"/>
      <c r="S57" s="18"/>
      <c r="T57" s="18"/>
      <c r="U57" s="18"/>
    </row>
    <row r="58" spans="1:21" x14ac:dyDescent="0.2">
      <c r="B58" s="13"/>
      <c r="C58" s="19"/>
      <c r="F58" s="10" t="s">
        <v>190</v>
      </c>
      <c r="G58" s="31"/>
      <c r="H58" s="31"/>
      <c r="I58" s="31"/>
      <c r="K58" s="10"/>
      <c r="N58" s="18"/>
      <c r="O58" s="18"/>
      <c r="P58" s="18"/>
      <c r="Q58" s="18"/>
      <c r="R58" s="18"/>
      <c r="S58" s="18"/>
      <c r="T58" s="18"/>
      <c r="U58" s="18"/>
    </row>
    <row r="59" spans="1:21" x14ac:dyDescent="0.2">
      <c r="F59" s="9" t="s">
        <v>9</v>
      </c>
      <c r="G59" s="9" t="s">
        <v>189</v>
      </c>
      <c r="H59" s="9" t="s">
        <v>40</v>
      </c>
      <c r="I59" s="9" t="s">
        <v>84</v>
      </c>
      <c r="K59" s="18"/>
      <c r="L59" s="18"/>
      <c r="M59" s="18"/>
      <c r="N59" s="94"/>
      <c r="O59" s="92"/>
      <c r="P59" s="95"/>
      <c r="Q59" s="92"/>
      <c r="R59" s="95"/>
      <c r="S59" s="96"/>
      <c r="T59" s="96"/>
      <c r="U59" s="96"/>
    </row>
    <row r="60" spans="1:21" x14ac:dyDescent="0.2">
      <c r="F60" s="9" t="s">
        <v>12</v>
      </c>
      <c r="G60" s="9"/>
      <c r="H60" s="9" t="s">
        <v>59</v>
      </c>
      <c r="I60" s="9" t="s">
        <v>58</v>
      </c>
      <c r="K60" s="18"/>
      <c r="L60" s="18"/>
      <c r="M60" s="18"/>
      <c r="N60" s="94"/>
      <c r="O60" s="92"/>
      <c r="P60" s="95"/>
      <c r="Q60" s="92"/>
      <c r="R60" s="95"/>
      <c r="S60" s="96"/>
      <c r="T60" s="96"/>
      <c r="U60" s="96"/>
    </row>
    <row r="61" spans="1:21" x14ac:dyDescent="0.2">
      <c r="F61" s="31">
        <v>0.5</v>
      </c>
      <c r="G61" s="99">
        <v>-6.8599999999999994E-2</v>
      </c>
      <c r="H61" s="31">
        <f>G61*$C$32</f>
        <v>-68.477205999999995</v>
      </c>
      <c r="I61" s="50">
        <f>-H61/(0.5*$C$32*F61^2)</f>
        <v>0.54879999999999995</v>
      </c>
      <c r="K61" s="91"/>
      <c r="L61" s="92"/>
      <c r="M61" s="93"/>
      <c r="N61" s="94"/>
      <c r="O61" s="92"/>
      <c r="P61" s="95"/>
      <c r="Q61" s="92"/>
      <c r="R61" s="95"/>
      <c r="S61" s="96"/>
      <c r="T61" s="96"/>
      <c r="U61" s="96"/>
    </row>
    <row r="62" spans="1:21" x14ac:dyDescent="0.2">
      <c r="F62" s="31">
        <v>1</v>
      </c>
      <c r="G62" s="99">
        <v>-0.26100000000000001</v>
      </c>
      <c r="H62" s="31">
        <f t="shared" ref="H62:H68" si="12">G62*$C$32</f>
        <v>-260.53281000000004</v>
      </c>
      <c r="I62" s="50">
        <f t="shared" ref="I62:I68" si="13">-H62/(0.5*$C$32*F62^2)</f>
        <v>0.52200000000000002</v>
      </c>
      <c r="K62" s="91"/>
      <c r="L62" s="92"/>
      <c r="M62" s="93"/>
      <c r="N62" s="94"/>
      <c r="O62" s="92"/>
      <c r="P62" s="95"/>
      <c r="Q62" s="92"/>
      <c r="R62" s="95"/>
      <c r="S62" s="96"/>
      <c r="T62" s="96"/>
      <c r="U62" s="96"/>
    </row>
    <row r="63" spans="1:21" x14ac:dyDescent="0.2">
      <c r="F63" s="31">
        <v>1.5</v>
      </c>
      <c r="G63" s="99">
        <v>-0.56999999999999995</v>
      </c>
      <c r="H63" s="31">
        <f t="shared" si="12"/>
        <v>-568.97969999999998</v>
      </c>
      <c r="I63" s="50">
        <f t="shared" si="13"/>
        <v>0.50666666666666671</v>
      </c>
      <c r="K63" s="91"/>
      <c r="L63" s="92"/>
      <c r="M63" s="93"/>
      <c r="N63" s="94"/>
      <c r="O63" s="92"/>
      <c r="P63" s="95"/>
      <c r="Q63" s="92"/>
      <c r="R63" s="95"/>
      <c r="S63" s="96"/>
      <c r="T63" s="96"/>
      <c r="U63" s="96"/>
    </row>
    <row r="64" spans="1:21" x14ac:dyDescent="0.2">
      <c r="F64" s="31">
        <v>2</v>
      </c>
      <c r="G64" s="99">
        <v>-0.999</v>
      </c>
      <c r="H64" s="31">
        <f t="shared" si="12"/>
        <v>-997.21179000000006</v>
      </c>
      <c r="I64" s="50">
        <f t="shared" si="13"/>
        <v>0.4995</v>
      </c>
      <c r="K64" s="91"/>
      <c r="L64" s="92"/>
      <c r="M64" s="93"/>
      <c r="N64" s="94"/>
      <c r="O64" s="92"/>
      <c r="P64" s="95"/>
      <c r="Q64" s="92"/>
      <c r="R64" s="95"/>
      <c r="S64" s="96"/>
      <c r="T64" s="96"/>
      <c r="U64" s="96"/>
    </row>
    <row r="65" spans="1:21" x14ac:dyDescent="0.2">
      <c r="F65" s="31">
        <v>2.5</v>
      </c>
      <c r="G65" s="99">
        <v>-1.55</v>
      </c>
      <c r="H65" s="31">
        <f t="shared" si="12"/>
        <v>-1547.2255</v>
      </c>
      <c r="I65" s="50">
        <f t="shared" si="13"/>
        <v>0.496</v>
      </c>
      <c r="K65" s="91"/>
      <c r="L65" s="92"/>
      <c r="M65" s="93"/>
      <c r="N65" s="3"/>
      <c r="O65" s="2"/>
      <c r="P65" s="4"/>
      <c r="Q65" s="2"/>
      <c r="R65" s="4"/>
      <c r="S65" s="34"/>
      <c r="T65" s="34"/>
      <c r="U65" s="34"/>
    </row>
    <row r="66" spans="1:21" x14ac:dyDescent="0.2">
      <c r="F66" s="31">
        <v>3</v>
      </c>
      <c r="G66" s="99">
        <v>-2.2200000000000002</v>
      </c>
      <c r="H66" s="31">
        <f t="shared" si="12"/>
        <v>-2216.0262000000002</v>
      </c>
      <c r="I66" s="50">
        <f t="shared" si="13"/>
        <v>0.4933333333333334</v>
      </c>
      <c r="K66" s="91"/>
      <c r="L66" s="92"/>
      <c r="M66" s="93"/>
      <c r="N66" s="94"/>
      <c r="O66" s="92"/>
      <c r="P66" s="95"/>
      <c r="Q66" s="92"/>
      <c r="R66" s="95"/>
      <c r="S66" s="96"/>
      <c r="T66" s="96"/>
      <c r="U66" s="96"/>
    </row>
    <row r="67" spans="1:21" x14ac:dyDescent="0.2">
      <c r="F67" s="31">
        <v>3.5</v>
      </c>
      <c r="G67" s="99">
        <v>-3.01</v>
      </c>
      <c r="H67" s="31">
        <f t="shared" si="12"/>
        <v>-3004.6120999999998</v>
      </c>
      <c r="I67" s="50">
        <f t="shared" si="13"/>
        <v>0.49142857142857138</v>
      </c>
      <c r="K67" s="91"/>
      <c r="L67" s="2"/>
      <c r="M67" s="1"/>
      <c r="N67" s="94"/>
      <c r="O67" s="92"/>
      <c r="P67" s="95"/>
      <c r="Q67" s="92"/>
      <c r="R67" s="95"/>
      <c r="S67" s="96"/>
      <c r="T67" s="96"/>
      <c r="U67" s="96"/>
    </row>
    <row r="68" spans="1:21" x14ac:dyDescent="0.2">
      <c r="A68" s="15"/>
      <c r="F68" s="31">
        <v>4</v>
      </c>
      <c r="G68" s="99">
        <v>-3.91</v>
      </c>
      <c r="H68" s="31">
        <f t="shared" si="12"/>
        <v>-3903.0011000000004</v>
      </c>
      <c r="I68" s="50">
        <f t="shared" si="13"/>
        <v>0.48875000000000002</v>
      </c>
      <c r="K68" s="79"/>
      <c r="L68" s="92"/>
      <c r="M68" s="93"/>
      <c r="N68" s="94"/>
      <c r="O68" s="92"/>
      <c r="P68" s="95"/>
      <c r="Q68" s="92"/>
      <c r="R68" s="95"/>
      <c r="S68" s="96"/>
      <c r="T68" s="96"/>
      <c r="U68" s="96"/>
    </row>
    <row r="69" spans="1:21" x14ac:dyDescent="0.2">
      <c r="A69" s="17"/>
      <c r="B69" s="18"/>
      <c r="C69" s="18"/>
      <c r="K69" s="91"/>
      <c r="L69" s="92"/>
      <c r="M69" s="93"/>
      <c r="N69" s="94"/>
      <c r="O69" s="92"/>
      <c r="P69" s="95"/>
      <c r="Q69" s="92"/>
      <c r="R69" s="95"/>
      <c r="S69" s="96"/>
      <c r="T69" s="96"/>
      <c r="U69" s="96"/>
    </row>
    <row r="70" spans="1:21" x14ac:dyDescent="0.2">
      <c r="B70" s="13"/>
      <c r="C70" s="19"/>
      <c r="K70" s="91"/>
      <c r="L70" s="92"/>
      <c r="M70" s="93"/>
      <c r="N70" s="94"/>
      <c r="O70" s="92"/>
      <c r="P70" s="95"/>
      <c r="Q70" s="92"/>
      <c r="R70" s="95"/>
      <c r="S70" s="96"/>
      <c r="T70" s="96"/>
      <c r="U70" s="96"/>
    </row>
    <row r="71" spans="1:21" x14ac:dyDescent="0.2">
      <c r="B71" s="13"/>
      <c r="C71" s="19"/>
      <c r="K71" s="91"/>
      <c r="L71" s="92"/>
      <c r="M71" s="93"/>
      <c r="N71" s="94"/>
      <c r="O71" s="92"/>
      <c r="P71" s="95"/>
      <c r="Q71" s="92"/>
      <c r="R71" s="95"/>
      <c r="S71" s="96"/>
      <c r="T71" s="96"/>
      <c r="U71" s="96"/>
    </row>
    <row r="72" spans="1:21" x14ac:dyDescent="0.2">
      <c r="B72" s="13"/>
      <c r="C72" s="19"/>
      <c r="K72" s="91"/>
      <c r="L72" s="92"/>
      <c r="M72" s="93"/>
      <c r="N72" s="94"/>
      <c r="O72" s="92"/>
      <c r="P72" s="95"/>
      <c r="Q72" s="92"/>
      <c r="R72" s="95"/>
      <c r="S72" s="96"/>
      <c r="T72" s="96"/>
      <c r="U72" s="96"/>
    </row>
    <row r="73" spans="1:21" x14ac:dyDescent="0.2">
      <c r="B73" s="13"/>
      <c r="C73" s="24"/>
      <c r="K73" s="91"/>
      <c r="L73" s="92"/>
      <c r="M73" s="93"/>
      <c r="N73" s="94"/>
      <c r="O73" s="92"/>
      <c r="P73" s="95"/>
      <c r="Q73" s="92"/>
      <c r="R73" s="95"/>
      <c r="S73" s="96"/>
      <c r="T73" s="96"/>
      <c r="U73" s="96"/>
    </row>
    <row r="74" spans="1:21" x14ac:dyDescent="0.2">
      <c r="B74" s="13"/>
      <c r="C74" s="19"/>
      <c r="K74" s="91"/>
      <c r="L74" s="92"/>
      <c r="M74" s="93"/>
      <c r="N74" s="94"/>
      <c r="O74" s="92"/>
      <c r="P74" s="95"/>
      <c r="Q74" s="92"/>
      <c r="R74" s="95"/>
      <c r="S74" s="96"/>
      <c r="T74" s="96"/>
      <c r="U74" s="96"/>
    </row>
    <row r="75" spans="1:21" x14ac:dyDescent="0.2">
      <c r="B75" s="13"/>
      <c r="C75" s="19"/>
      <c r="K75" s="91"/>
      <c r="L75" s="92"/>
      <c r="M75" s="93"/>
      <c r="N75" s="94"/>
      <c r="O75" s="92"/>
      <c r="P75" s="95"/>
      <c r="Q75" s="92"/>
      <c r="R75" s="95"/>
      <c r="S75" s="96"/>
      <c r="T75" s="96"/>
      <c r="U75" s="96"/>
    </row>
    <row r="76" spans="1:21" x14ac:dyDescent="0.2">
      <c r="B76" s="13"/>
      <c r="C76" s="19"/>
      <c r="K76" s="91"/>
      <c r="L76" s="92"/>
      <c r="M76" s="93"/>
      <c r="N76" s="94"/>
      <c r="O76" s="92"/>
      <c r="P76" s="95"/>
      <c r="Q76" s="92"/>
      <c r="R76" s="95"/>
      <c r="S76" s="96"/>
      <c r="T76" s="96"/>
      <c r="U76" s="96"/>
    </row>
    <row r="77" spans="1:21" x14ac:dyDescent="0.2">
      <c r="B77" s="13"/>
      <c r="C77" s="24"/>
      <c r="K77" s="91"/>
      <c r="L77" s="92"/>
      <c r="M77" s="93"/>
      <c r="N77" s="94"/>
      <c r="O77" s="92"/>
      <c r="P77" s="95"/>
      <c r="Q77" s="92"/>
      <c r="R77" s="95"/>
      <c r="S77" s="96"/>
      <c r="T77" s="96"/>
      <c r="U77" s="96"/>
    </row>
    <row r="78" spans="1:21" x14ac:dyDescent="0.2">
      <c r="B78" s="13"/>
      <c r="C78" s="19"/>
      <c r="K78" s="90"/>
      <c r="L78" s="5"/>
      <c r="M78" s="6"/>
      <c r="N78" s="7"/>
      <c r="O78" s="5"/>
      <c r="P78" s="8"/>
      <c r="Q78" s="5"/>
      <c r="R78" s="8"/>
      <c r="S78" s="32"/>
      <c r="T78" s="32"/>
      <c r="U78" s="33"/>
    </row>
    <row r="79" spans="1:21" x14ac:dyDescent="0.2">
      <c r="B79" s="13"/>
      <c r="C79" s="19"/>
      <c r="K79" s="90"/>
      <c r="L79" s="5"/>
      <c r="M79" s="6"/>
      <c r="N79" s="7"/>
      <c r="O79" s="5"/>
      <c r="P79" s="8"/>
      <c r="Q79" s="5"/>
      <c r="R79" s="8"/>
      <c r="S79" s="32"/>
      <c r="T79" s="32"/>
      <c r="U79" s="33"/>
    </row>
    <row r="80" spans="1:21" x14ac:dyDescent="0.2">
      <c r="K80" s="90"/>
      <c r="L80" s="5"/>
      <c r="M80" s="6"/>
      <c r="N80" s="7"/>
      <c r="O80" s="5"/>
      <c r="P80" s="8"/>
      <c r="Q80" s="5"/>
      <c r="R80" s="8"/>
      <c r="S80" s="32"/>
      <c r="T80" s="32"/>
      <c r="U80" s="33"/>
    </row>
    <row r="82" spans="1:3" x14ac:dyDescent="0.2">
      <c r="A82" s="15"/>
    </row>
    <row r="83" spans="1:3" x14ac:dyDescent="0.2">
      <c r="A83" s="17"/>
      <c r="B83" s="18"/>
      <c r="C83" s="18"/>
    </row>
    <row r="84" spans="1:3" x14ac:dyDescent="0.2">
      <c r="B84" s="13"/>
    </row>
    <row r="85" spans="1:3" x14ac:dyDescent="0.2">
      <c r="B85" s="13"/>
    </row>
    <row r="86" spans="1:3" x14ac:dyDescent="0.2">
      <c r="B86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12EE-CD9B-8E4E-8B20-A5BC17A63E7A}">
  <dimension ref="A1:AE354"/>
  <sheetViews>
    <sheetView topLeftCell="A46" zoomScale="75" zoomScaleNormal="92" workbookViewId="0">
      <selection activeCell="N83" sqref="N83"/>
    </sheetView>
  </sheetViews>
  <sheetFormatPr baseColWidth="10" defaultRowHeight="16" x14ac:dyDescent="0.2"/>
  <cols>
    <col min="1" max="1" width="31.1640625" style="11" customWidth="1"/>
    <col min="2" max="2" width="11.83203125" style="36" customWidth="1"/>
    <col min="3" max="3" width="11.83203125" style="42" customWidth="1"/>
    <col min="4" max="4" width="12.6640625" style="11" bestFit="1" customWidth="1"/>
    <col min="5" max="5" width="12" style="11" bestFit="1" customWidth="1"/>
    <col min="6" max="22" width="10.83203125" style="11" customWidth="1"/>
    <col min="23" max="27" width="10.83203125" style="11"/>
    <col min="28" max="28" width="11" style="11" bestFit="1" customWidth="1"/>
    <col min="29" max="30" width="13.1640625" style="11" bestFit="1" customWidth="1"/>
    <col min="31" max="31" width="13.5" style="11" bestFit="1" customWidth="1"/>
    <col min="32" max="32" width="11" style="11" bestFit="1" customWidth="1"/>
    <col min="33" max="49" width="10.83203125" style="11"/>
    <col min="50" max="50" width="11" style="11" bestFit="1" customWidth="1"/>
    <col min="51" max="51" width="13.1640625" style="11" bestFit="1" customWidth="1"/>
    <col min="52" max="52" width="12.1640625" style="11" bestFit="1" customWidth="1"/>
    <col min="53" max="53" width="13.5" style="11" bestFit="1" customWidth="1"/>
    <col min="54" max="54" width="11" style="11" bestFit="1" customWidth="1"/>
    <col min="55" max="16384" width="10.83203125" style="11"/>
  </cols>
  <sheetData>
    <row r="1" spans="1:31" ht="26" x14ac:dyDescent="0.3">
      <c r="A1" s="87" t="s">
        <v>99</v>
      </c>
    </row>
    <row r="2" spans="1:31" ht="50" customHeight="1" x14ac:dyDescent="0.2">
      <c r="A2" s="123" t="s">
        <v>163</v>
      </c>
      <c r="B2" s="123"/>
      <c r="C2" s="123"/>
      <c r="D2" s="123"/>
      <c r="E2" s="123"/>
      <c r="F2" s="123"/>
      <c r="G2" s="123"/>
    </row>
    <row r="3" spans="1:31" ht="26" x14ac:dyDescent="0.3">
      <c r="A3" s="12"/>
    </row>
    <row r="4" spans="1:31" x14ac:dyDescent="0.2">
      <c r="B4" s="13"/>
      <c r="C4" s="21"/>
      <c r="D4" s="14"/>
      <c r="H4" s="10"/>
      <c r="J4" s="10"/>
    </row>
    <row r="5" spans="1:31" x14ac:dyDescent="0.2">
      <c r="A5" s="15" t="s">
        <v>76</v>
      </c>
      <c r="B5" s="14"/>
      <c r="C5" s="14"/>
      <c r="D5" s="14"/>
      <c r="F5" s="10" t="s">
        <v>155</v>
      </c>
      <c r="G5" s="80" t="s">
        <v>157</v>
      </c>
      <c r="H5" s="10" t="s">
        <v>156</v>
      </c>
      <c r="M5" s="101" t="s">
        <v>215</v>
      </c>
      <c r="Q5" s="25"/>
      <c r="AB5" s="101" t="s">
        <v>195</v>
      </c>
      <c r="AE5" s="25"/>
    </row>
    <row r="6" spans="1:31" x14ac:dyDescent="0.2">
      <c r="A6" s="17" t="s">
        <v>3</v>
      </c>
      <c r="B6" s="18" t="s">
        <v>4</v>
      </c>
      <c r="C6" s="18" t="s">
        <v>5</v>
      </c>
      <c r="D6" s="18" t="s">
        <v>197</v>
      </c>
      <c r="F6" s="9" t="s">
        <v>9</v>
      </c>
      <c r="G6" s="9" t="s">
        <v>89</v>
      </c>
      <c r="H6" s="9" t="s">
        <v>90</v>
      </c>
      <c r="I6" s="9" t="s">
        <v>91</v>
      </c>
      <c r="J6" s="9" t="s">
        <v>109</v>
      </c>
      <c r="K6" s="9" t="s">
        <v>92</v>
      </c>
      <c r="M6" s="9" t="s">
        <v>84</v>
      </c>
      <c r="N6" s="9" t="s">
        <v>40</v>
      </c>
      <c r="O6" s="9" t="s">
        <v>73</v>
      </c>
      <c r="P6" s="18" t="s">
        <v>10</v>
      </c>
      <c r="AB6" s="9" t="s">
        <v>191</v>
      </c>
      <c r="AC6" s="9" t="s">
        <v>192</v>
      </c>
      <c r="AD6" s="9" t="s">
        <v>193</v>
      </c>
      <c r="AE6" s="18" t="s">
        <v>194</v>
      </c>
    </row>
    <row r="7" spans="1:31" x14ac:dyDescent="0.2">
      <c r="A7" s="110" t="s">
        <v>140</v>
      </c>
      <c r="B7" s="13" t="s">
        <v>13</v>
      </c>
      <c r="C7" s="14">
        <v>1.204</v>
      </c>
      <c r="D7" s="106">
        <v>20</v>
      </c>
      <c r="F7" s="9" t="s">
        <v>12</v>
      </c>
      <c r="G7" s="9" t="s">
        <v>58</v>
      </c>
      <c r="H7" s="9" t="s">
        <v>58</v>
      </c>
      <c r="I7" s="9" t="s">
        <v>58</v>
      </c>
      <c r="J7" s="9" t="s">
        <v>110</v>
      </c>
      <c r="K7" s="9" t="s">
        <v>58</v>
      </c>
      <c r="M7" s="9" t="s">
        <v>58</v>
      </c>
      <c r="N7" s="9" t="s">
        <v>59</v>
      </c>
      <c r="O7" s="9" t="s">
        <v>74</v>
      </c>
      <c r="P7" s="18" t="s">
        <v>75</v>
      </c>
      <c r="AB7" s="9" t="s">
        <v>58</v>
      </c>
      <c r="AC7" s="9" t="s">
        <v>59</v>
      </c>
      <c r="AD7" s="9" t="s">
        <v>74</v>
      </c>
      <c r="AE7" s="18" t="s">
        <v>75</v>
      </c>
    </row>
    <row r="8" spans="1:31" x14ac:dyDescent="0.2">
      <c r="A8" s="110" t="s">
        <v>141</v>
      </c>
      <c r="B8" s="13" t="s">
        <v>77</v>
      </c>
      <c r="C8" s="104">
        <v>1.8130000000000001E-5</v>
      </c>
      <c r="D8" s="106">
        <v>20</v>
      </c>
      <c r="F8" s="46">
        <f t="shared" ref="F8:F29" si="0">F62</f>
        <v>0.05</v>
      </c>
      <c r="G8" s="46">
        <f t="shared" ref="G8:G29" si="1">F8*$C$70/$C$49</f>
        <v>14.982192052547555</v>
      </c>
      <c r="H8" s="30">
        <f t="shared" ref="H8:H29" si="2">$C$75*G8^$C$76*($C$51/$C$63)^$C$78</f>
        <v>1.1161044347905831E-2</v>
      </c>
      <c r="I8" s="30">
        <f t="shared" ref="I8:I29" si="3">$C$77*($C$51/$C$63)^$C$78</f>
        <v>8.3492002106594024E-3</v>
      </c>
      <c r="J8" s="42" t="str">
        <f t="shared" ref="J8:J29" si="4">IF(G8&lt;$C$79, "too low", IF(G8&lt;$C$80, "factor 1", IF(G8&lt;$C$81, "factor 2", "too high")))</f>
        <v>too low</v>
      </c>
      <c r="K8" s="43">
        <f t="shared" ref="K8:K29" si="5">IF(G8&lt;=$C$80,H8,I8)</f>
        <v>1.1161044347905831E-2</v>
      </c>
      <c r="M8" s="43">
        <f t="shared" ref="M8:M29" si="6">K8 * ($C$74 + $C$60 / $C$63) * (1 / $C$66)^2 + ( 1 / $C$66 - 1)^2</f>
        <v>0.95110782720408671</v>
      </c>
      <c r="N8" s="124">
        <f>-M8*0.5*$C$47*F8^2</f>
        <v>-1.1867566802417395</v>
      </c>
      <c r="O8" s="46">
        <f t="shared" ref="O8:O29" si="7">N8/($C$47*$C$52)*$C$53</f>
        <v>-0.12119110948064307</v>
      </c>
      <c r="P8" s="69">
        <f>0.5*$C$47*M8*$C$59*F8^3 / 1000</f>
        <v>5.9337834012086976E-5</v>
      </c>
      <c r="AB8" s="100">
        <f>K8 * ($C$74 + 1 / $C$63) * (1 / $C$66)^2 + ( 1 / $C$66 - 1)^2</f>
        <v>3.8530829687365142</v>
      </c>
      <c r="AC8" s="100">
        <f>AB8*0.5*$C$47*F8^2</f>
        <v>4.8077324377780961</v>
      </c>
      <c r="AD8" s="100">
        <f t="shared" ref="AD8:AD29" si="8">AC8/($C$47*$C$52)*$C$53</f>
        <v>0.49096368103166604</v>
      </c>
      <c r="AE8" s="75">
        <f>0.5*$C$47*AB8*$C$59*F8^3 / 1000</f>
        <v>2.4038662188890481E-4</v>
      </c>
    </row>
    <row r="9" spans="1:31" x14ac:dyDescent="0.2">
      <c r="A9" s="110" t="s">
        <v>142</v>
      </c>
      <c r="B9" s="13" t="s">
        <v>78</v>
      </c>
      <c r="C9" s="104">
        <f>C8/C7</f>
        <v>1.5058139534883723E-5</v>
      </c>
      <c r="D9" s="106">
        <v>20</v>
      </c>
      <c r="F9" s="46">
        <f t="shared" si="0"/>
        <v>0.1</v>
      </c>
      <c r="G9" s="46">
        <f t="shared" si="1"/>
        <v>29.96438410509511</v>
      </c>
      <c r="H9" s="30">
        <f t="shared" si="2"/>
        <v>1.0413622596601552E-2</v>
      </c>
      <c r="I9" s="30">
        <f t="shared" si="3"/>
        <v>8.3492002106594024E-3</v>
      </c>
      <c r="J9" s="42" t="str">
        <f t="shared" si="4"/>
        <v>too low</v>
      </c>
      <c r="K9" s="43">
        <f t="shared" si="5"/>
        <v>1.0413622596601552E-2</v>
      </c>
      <c r="M9" s="43">
        <f t="shared" si="6"/>
        <v>0.91110992671778268</v>
      </c>
      <c r="N9" s="124">
        <f t="shared" ref="N9:N29" si="9">-M9*0.5*$C$47*F9^2</f>
        <v>-4.5473951997447903</v>
      </c>
      <c r="O9" s="46">
        <f t="shared" si="7"/>
        <v>-0.4643781481742012</v>
      </c>
      <c r="P9" s="69">
        <f>0.5*$C$47*M9*$C$59*F9^3 / 1000</f>
        <v>4.5473951997447901E-4</v>
      </c>
      <c r="AB9" s="100">
        <f>K9 * ($C$74 + 1 / $C$63) * (1 / $C$66)^2 + ( 1 / $C$66 - 1)^2</f>
        <v>3.6187484743872331</v>
      </c>
      <c r="AC9" s="100">
        <f>AB9*0.5*$C$47*F9^2</f>
        <v>18.061354573090405</v>
      </c>
      <c r="AD9" s="100">
        <f t="shared" si="8"/>
        <v>1.8444181826642372</v>
      </c>
      <c r="AE9" s="75">
        <f t="shared" ref="AE9:AE29" si="10">0.5*$C$47*AB9*$C$59*F9^3 / 1000</f>
        <v>1.8061354573090404E-3</v>
      </c>
    </row>
    <row r="10" spans="1:31" x14ac:dyDescent="0.2">
      <c r="D10" s="42"/>
      <c r="F10" s="71">
        <f t="shared" si="0"/>
        <v>0.2</v>
      </c>
      <c r="G10" s="71">
        <f t="shared" si="1"/>
        <v>59.928768210190221</v>
      </c>
      <c r="H10" s="78">
        <f t="shared" si="2"/>
        <v>9.7162534440424445E-3</v>
      </c>
      <c r="I10" s="78">
        <f t="shared" si="3"/>
        <v>8.3492002106594024E-3</v>
      </c>
      <c r="J10" s="77" t="str">
        <f t="shared" si="4"/>
        <v>factor 1</v>
      </c>
      <c r="K10" s="76">
        <f t="shared" si="5"/>
        <v>9.7162534440424445E-3</v>
      </c>
      <c r="M10" s="76">
        <f t="shared" si="6"/>
        <v>0.873790565971855</v>
      </c>
      <c r="N10" s="124">
        <f t="shared" si="9"/>
        <v>-17.444529617175313</v>
      </c>
      <c r="O10" s="71">
        <f t="shared" si="7"/>
        <v>-1.7814282690557699</v>
      </c>
      <c r="P10" s="69">
        <f>0.5*$C$47*M10*$C$59*F10^3 / 1000</f>
        <v>3.4889059234350624E-3</v>
      </c>
      <c r="AB10" s="100">
        <f>K10 * ($C$74 + 1 / $C$63) * (1 / $C$66)^2 + ( 1 / $C$66 - 1)^2</f>
        <v>3.4001066601042598</v>
      </c>
      <c r="AC10" s="100">
        <f>AB10*0.5*$C$47*F10^2</f>
        <v>67.880409383653486</v>
      </c>
      <c r="AD10" s="100">
        <f t="shared" si="8"/>
        <v>6.9319197963389607</v>
      </c>
      <c r="AE10" s="75">
        <f t="shared" si="10"/>
        <v>1.3576081876730697E-2</v>
      </c>
    </row>
    <row r="11" spans="1:31" x14ac:dyDescent="0.2">
      <c r="A11" s="110" t="s">
        <v>140</v>
      </c>
      <c r="B11" s="13" t="s">
        <v>13</v>
      </c>
      <c r="C11" s="11">
        <v>1.1839999999999999</v>
      </c>
      <c r="D11" s="107">
        <v>25</v>
      </c>
      <c r="F11" s="46">
        <f t="shared" si="0"/>
        <v>0.4</v>
      </c>
      <c r="G11" s="46">
        <f t="shared" si="1"/>
        <v>119.85753642038044</v>
      </c>
      <c r="H11" s="30">
        <f t="shared" si="2"/>
        <v>9.0655850174247293E-3</v>
      </c>
      <c r="I11" s="30">
        <f t="shared" si="3"/>
        <v>8.3492002106594024E-3</v>
      </c>
      <c r="J11" s="42" t="str">
        <f t="shared" si="4"/>
        <v>factor 1</v>
      </c>
      <c r="K11" s="43">
        <f t="shared" si="5"/>
        <v>9.0655850174247293E-3</v>
      </c>
      <c r="M11" s="43">
        <f t="shared" si="6"/>
        <v>0.83897037117284068</v>
      </c>
      <c r="N11" s="124">
        <f t="shared" si="9"/>
        <v>-66.997489136675313</v>
      </c>
      <c r="O11" s="46">
        <f t="shared" si="7"/>
        <v>-6.8417563398396792</v>
      </c>
      <c r="P11" s="69">
        <f>0.5*$C$47*M11*$C$59*F11^3 / 1000</f>
        <v>2.679899565467013E-2</v>
      </c>
      <c r="AB11" s="100">
        <f>K11 * ($C$74 + 1 / $C$63) * (1 / $C$66)^2 + ( 1 / $C$66 - 1)^2</f>
        <v>3.1961066340487809</v>
      </c>
      <c r="AC11" s="100">
        <f>AB11*0.5*$C$47*F11^2</f>
        <v>255.23084825390674</v>
      </c>
      <c r="AD11" s="100">
        <f t="shared" si="8"/>
        <v>26.064070410183739</v>
      </c>
      <c r="AE11" s="75">
        <f t="shared" si="10"/>
        <v>0.10209233930156271</v>
      </c>
    </row>
    <row r="12" spans="1:31" x14ac:dyDescent="0.2">
      <c r="A12" s="110" t="s">
        <v>141</v>
      </c>
      <c r="B12" s="13" t="s">
        <v>77</v>
      </c>
      <c r="C12" s="105">
        <v>1.8369999999999999E-5</v>
      </c>
      <c r="D12" s="107">
        <v>25</v>
      </c>
      <c r="F12" s="71">
        <f t="shared" si="0"/>
        <v>0.5</v>
      </c>
      <c r="G12" s="71">
        <f t="shared" si="1"/>
        <v>149.82192052547555</v>
      </c>
      <c r="H12" s="78">
        <f t="shared" si="2"/>
        <v>8.8655326545514571E-3</v>
      </c>
      <c r="I12" s="78">
        <f t="shared" si="3"/>
        <v>8.3492002106594024E-3</v>
      </c>
      <c r="J12" s="77" t="str">
        <f t="shared" si="4"/>
        <v>factor 1</v>
      </c>
      <c r="K12" s="76">
        <f t="shared" si="5"/>
        <v>8.8655326545514571E-3</v>
      </c>
      <c r="M12" s="76">
        <f t="shared" si="6"/>
        <v>0.82826466922037278</v>
      </c>
      <c r="N12" s="124">
        <f t="shared" si="9"/>
        <v>-103.34775943280854</v>
      </c>
      <c r="O12" s="71">
        <f t="shared" si="7"/>
        <v>-10.553831157242263</v>
      </c>
      <c r="P12" s="69">
        <f>0.5*$C$47*M12*$C$59*F12^3 / 1000</f>
        <v>5.1673879716404275E-2</v>
      </c>
      <c r="AB12" s="100">
        <f>K12 * ($C$74 + 1 / $C$63) * (1 / $C$66)^2 + ( 1 / $C$66 - 1)^2</f>
        <v>3.1333854606075726</v>
      </c>
      <c r="AC12" s="100">
        <f>AB12*0.5*$C$47*F12^2</f>
        <v>390.97208757913563</v>
      </c>
      <c r="AD12" s="100">
        <f t="shared" si="8"/>
        <v>39.925910558200457</v>
      </c>
      <c r="AE12" s="75">
        <f t="shared" si="10"/>
        <v>0.19548604378956783</v>
      </c>
    </row>
    <row r="13" spans="1:31" x14ac:dyDescent="0.2">
      <c r="A13" s="110" t="s">
        <v>142</v>
      </c>
      <c r="B13" s="13" t="s">
        <v>78</v>
      </c>
      <c r="C13" s="104">
        <f>C12/C11</f>
        <v>1.5515202702702703E-5</v>
      </c>
      <c r="D13" s="107">
        <v>25</v>
      </c>
      <c r="F13" s="46">
        <f t="shared" si="0"/>
        <v>0.8</v>
      </c>
      <c r="G13" s="46">
        <f t="shared" si="1"/>
        <v>239.71507284076088</v>
      </c>
      <c r="H13" s="30">
        <f t="shared" si="2"/>
        <v>8.4584899088390557E-3</v>
      </c>
      <c r="I13" s="30">
        <f t="shared" si="3"/>
        <v>8.3492002106594024E-3</v>
      </c>
      <c r="J13" s="42" t="str">
        <f t="shared" si="4"/>
        <v>factor 1</v>
      </c>
      <c r="K13" s="43">
        <f t="shared" si="5"/>
        <v>8.4584899088390557E-3</v>
      </c>
      <c r="M13" s="43">
        <f t="shared" si="6"/>
        <v>0.80648198065362198</v>
      </c>
      <c r="N13" s="124">
        <f t="shared" si="9"/>
        <v>-257.61228093064074</v>
      </c>
      <c r="O13" s="46">
        <f t="shared" si="7"/>
        <v>-26.307261346499399</v>
      </c>
      <c r="P13" s="69">
        <f>0.5*$C$47*M13*$C$59*F13^3 / 1000</f>
        <v>0.2060898247445126</v>
      </c>
      <c r="AB13" s="100">
        <f>K13 * ($C$74 + 1 / $C$63) * (1 / $C$66)^2 + ( 1 / $C$66 - 1)^2</f>
        <v>3.005767879464651</v>
      </c>
      <c r="AC13" s="100">
        <f>AB13*0.5*$C$47*F13^2</f>
        <v>960.1240175873312</v>
      </c>
      <c r="AD13" s="100">
        <f t="shared" si="8"/>
        <v>98.047474151752141</v>
      </c>
      <c r="AE13" s="75">
        <f t="shared" si="10"/>
        <v>0.76809921406986492</v>
      </c>
    </row>
    <row r="14" spans="1:31" x14ac:dyDescent="0.2">
      <c r="C14" s="14"/>
      <c r="D14" s="42"/>
      <c r="F14" s="70">
        <f t="shared" si="0"/>
        <v>1</v>
      </c>
      <c r="G14" s="70">
        <f t="shared" si="1"/>
        <v>299.6438410509511</v>
      </c>
      <c r="H14" s="82">
        <f t="shared" si="2"/>
        <v>8.2718344542434003E-3</v>
      </c>
      <c r="I14" s="82">
        <f t="shared" si="3"/>
        <v>8.3492002106594024E-3</v>
      </c>
      <c r="J14" s="83" t="str">
        <f t="shared" si="4"/>
        <v>factor 2</v>
      </c>
      <c r="K14" s="72">
        <f t="shared" si="5"/>
        <v>8.3492002106594024E-3</v>
      </c>
      <c r="M14" s="72">
        <f t="shared" si="6"/>
        <v>0.8006333972208548</v>
      </c>
      <c r="N14" s="124">
        <f t="shared" si="9"/>
        <v>-399.60013171991477</v>
      </c>
      <c r="O14" s="70">
        <f t="shared" si="7"/>
        <v>-40.807002916455396</v>
      </c>
      <c r="P14" s="69">
        <f>0.5*$C$47*M14*$C$59*F14^3 / 1000</f>
        <v>0.39960013171991476</v>
      </c>
      <c r="AB14" s="100">
        <f>K14 * ($C$74 + 1 / $C$63) * (1 / $C$66)^2 + ( 1 / $C$66 - 1)^2</f>
        <v>2.9715029599385283</v>
      </c>
      <c r="AC14" s="100">
        <f>AB14*0.5*$C$47*F14^2</f>
        <v>1483.0919848201193</v>
      </c>
      <c r="AD14" s="100">
        <f t="shared" si="8"/>
        <v>151.45275025170886</v>
      </c>
      <c r="AE14" s="75">
        <f t="shared" si="10"/>
        <v>1.4830919848201192</v>
      </c>
    </row>
    <row r="15" spans="1:31" x14ac:dyDescent="0.2">
      <c r="A15" s="110" t="s">
        <v>140</v>
      </c>
      <c r="B15" s="13" t="s">
        <v>13</v>
      </c>
      <c r="C15" s="14">
        <v>1.1639999999999999</v>
      </c>
      <c r="D15" s="108">
        <v>30</v>
      </c>
      <c r="F15" s="46">
        <v>1.2</v>
      </c>
      <c r="G15" s="46">
        <f t="shared" si="1"/>
        <v>359.57260926114128</v>
      </c>
      <c r="H15" s="30">
        <f t="shared" si="2"/>
        <v>8.1223875897673495E-3</v>
      </c>
      <c r="I15" s="30">
        <f t="shared" si="3"/>
        <v>8.3492002106594024E-3</v>
      </c>
      <c r="J15" s="42" t="str">
        <f t="shared" si="4"/>
        <v>factor 2</v>
      </c>
      <c r="K15" s="43">
        <f t="shared" si="5"/>
        <v>8.3492002106594024E-3</v>
      </c>
      <c r="M15" s="43">
        <f t="shared" si="6"/>
        <v>0.8006333972208548</v>
      </c>
      <c r="N15" s="124">
        <f t="shared" si="9"/>
        <v>-575.4241896766772</v>
      </c>
      <c r="O15" s="46">
        <f t="shared" si="7"/>
        <v>-58.762084199695749</v>
      </c>
      <c r="P15" s="69">
        <f>0.5*$C$47*M15*$C$59*F15^3 / 1000</f>
        <v>0.69050902761201272</v>
      </c>
      <c r="AB15" s="100">
        <f>K15 * ($C$74 + 1 / $C$63) * (1 / $C$66)^2 + ( 1 / $C$66 - 1)^2</f>
        <v>2.9715029599385283</v>
      </c>
      <c r="AC15" s="100">
        <f>AB15*0.5*$C$47*F15^2</f>
        <v>2135.6524581409717</v>
      </c>
      <c r="AD15" s="100">
        <f t="shared" si="8"/>
        <v>218.09196036246075</v>
      </c>
      <c r="AE15" s="75">
        <f t="shared" si="10"/>
        <v>2.5627829497691659</v>
      </c>
    </row>
    <row r="16" spans="1:31" x14ac:dyDescent="0.2">
      <c r="A16" s="110" t="s">
        <v>141</v>
      </c>
      <c r="B16" s="13" t="s">
        <v>77</v>
      </c>
      <c r="C16" s="105">
        <v>1.8600000000000001E-5</v>
      </c>
      <c r="D16" s="108">
        <v>30</v>
      </c>
      <c r="F16" s="46">
        <v>1.4</v>
      </c>
      <c r="G16" s="46">
        <f t="shared" si="1"/>
        <v>419.50137747133152</v>
      </c>
      <c r="H16" s="30">
        <f t="shared" si="2"/>
        <v>7.9981405316466529E-3</v>
      </c>
      <c r="I16" s="30">
        <f t="shared" si="3"/>
        <v>8.3492002106594024E-3</v>
      </c>
      <c r="J16" s="42" t="str">
        <f t="shared" si="4"/>
        <v>factor 2</v>
      </c>
      <c r="K16" s="43">
        <f t="shared" si="5"/>
        <v>8.3492002106594024E-3</v>
      </c>
      <c r="M16" s="43">
        <f t="shared" si="6"/>
        <v>0.8006333972208548</v>
      </c>
      <c r="N16" s="124">
        <f t="shared" si="9"/>
        <v>-783.21625817103279</v>
      </c>
      <c r="O16" s="46">
        <f t="shared" si="7"/>
        <v>-79.981725716252541</v>
      </c>
      <c r="P16" s="69">
        <f>0.5*$C$47*M16*$C$59*F16^3 / 1000</f>
        <v>1.0965027614394458</v>
      </c>
      <c r="AB16" s="100">
        <f>K16 * ($C$74 + 1 / $C$63) * (1 / $C$66)^2 + ( 1 / $C$66 - 1)^2</f>
        <v>2.9715029599385283</v>
      </c>
      <c r="AC16" s="100">
        <f>AB16*0.5*$C$47*F16^2</f>
        <v>2906.8602902474336</v>
      </c>
      <c r="AD16" s="100">
        <f t="shared" si="8"/>
        <v>296.84739049334934</v>
      </c>
      <c r="AE16" s="75">
        <f t="shared" si="10"/>
        <v>4.0696044063464063</v>
      </c>
    </row>
    <row r="17" spans="1:31" x14ac:dyDescent="0.2">
      <c r="A17" s="110" t="s">
        <v>142</v>
      </c>
      <c r="B17" s="13" t="s">
        <v>78</v>
      </c>
      <c r="C17" s="104">
        <f>C16/C15</f>
        <v>1.5979381443298972E-5</v>
      </c>
      <c r="D17" s="108">
        <v>30</v>
      </c>
      <c r="F17" s="46">
        <v>1.8</v>
      </c>
      <c r="G17" s="46">
        <f t="shared" si="1"/>
        <v>539.35891389171206</v>
      </c>
      <c r="H17" s="30">
        <f t="shared" si="2"/>
        <v>7.7996404641288517E-3</v>
      </c>
      <c r="I17" s="30">
        <f t="shared" si="3"/>
        <v>8.3492002106594024E-3</v>
      </c>
      <c r="J17" s="42" t="str">
        <f t="shared" si="4"/>
        <v>too high</v>
      </c>
      <c r="K17" s="43">
        <f t="shared" si="5"/>
        <v>8.3492002106594024E-3</v>
      </c>
      <c r="M17" s="43">
        <f t="shared" si="6"/>
        <v>0.8006333972208548</v>
      </c>
      <c r="N17" s="124">
        <f t="shared" si="9"/>
        <v>-1294.7044267725239</v>
      </c>
      <c r="O17" s="46">
        <f t="shared" si="7"/>
        <v>-132.21468944931547</v>
      </c>
      <c r="P17" s="69">
        <f>0.5*$C$47*M17*$C$59*F17^3 / 1000</f>
        <v>2.3304679681905434</v>
      </c>
      <c r="AB17" s="100">
        <f>K17 * ($C$74 + 1 / $C$63) * (1 / $C$66)^2 + ( 1 / $C$66 - 1)^2</f>
        <v>2.9715029599385283</v>
      </c>
      <c r="AC17" s="100">
        <f>AB17*0.5*$C$47*F17^2</f>
        <v>4805.2180308171864</v>
      </c>
      <c r="AD17" s="100">
        <f t="shared" si="8"/>
        <v>490.70691081553673</v>
      </c>
      <c r="AE17" s="75">
        <f t="shared" si="10"/>
        <v>8.649392455470938</v>
      </c>
    </row>
    <row r="18" spans="1:31" x14ac:dyDescent="0.2">
      <c r="C18" s="11"/>
      <c r="D18" s="42"/>
      <c r="F18" s="46">
        <v>2</v>
      </c>
      <c r="G18" s="46">
        <f t="shared" si="1"/>
        <v>599.28768210190219</v>
      </c>
      <c r="H18" s="30">
        <f t="shared" si="2"/>
        <v>7.7178944463399532E-3</v>
      </c>
      <c r="I18" s="30">
        <f t="shared" si="3"/>
        <v>8.3492002106594024E-3</v>
      </c>
      <c r="J18" s="42" t="str">
        <f t="shared" si="4"/>
        <v>too high</v>
      </c>
      <c r="K18" s="43">
        <f t="shared" si="5"/>
        <v>8.3492002106594024E-3</v>
      </c>
      <c r="M18" s="43">
        <f t="shared" si="6"/>
        <v>0.8006333972208548</v>
      </c>
      <c r="N18" s="124">
        <f t="shared" si="9"/>
        <v>-1598.4005268796591</v>
      </c>
      <c r="O18" s="46">
        <f t="shared" si="7"/>
        <v>-163.22801166582158</v>
      </c>
      <c r="P18" s="69">
        <f>0.5*$C$47*M18*$C$59*F18^3 / 1000</f>
        <v>3.1968010537593181</v>
      </c>
      <c r="AB18" s="100">
        <f>K18 * ($C$74 + 1 / $C$63) * (1 / $C$66)^2 + ( 1 / $C$66 - 1)^2</f>
        <v>2.9715029599385283</v>
      </c>
      <c r="AC18" s="100">
        <f>AB18*0.5*$C$47*F18^2</f>
        <v>5932.367939280477</v>
      </c>
      <c r="AD18" s="100">
        <f t="shared" si="8"/>
        <v>605.81100100683545</v>
      </c>
      <c r="AE18" s="75">
        <f t="shared" si="10"/>
        <v>11.864735878560953</v>
      </c>
    </row>
    <row r="19" spans="1:31" x14ac:dyDescent="0.2">
      <c r="A19" s="109" t="s">
        <v>143</v>
      </c>
      <c r="B19" s="13" t="s">
        <v>13</v>
      </c>
      <c r="C19" s="14">
        <v>998.21</v>
      </c>
      <c r="D19" s="106">
        <v>20</v>
      </c>
      <c r="F19" s="46">
        <v>3</v>
      </c>
      <c r="G19" s="46">
        <f t="shared" si="1"/>
        <v>898.9315231528534</v>
      </c>
      <c r="H19" s="30">
        <f t="shared" si="2"/>
        <v>7.4112200576816681E-3</v>
      </c>
      <c r="I19" s="30">
        <f t="shared" si="3"/>
        <v>8.3492002106594024E-3</v>
      </c>
      <c r="J19" s="42" t="str">
        <f t="shared" si="4"/>
        <v>too high</v>
      </c>
      <c r="K19" s="43">
        <f t="shared" si="5"/>
        <v>8.3492002106594024E-3</v>
      </c>
      <c r="M19" s="43">
        <f t="shared" si="6"/>
        <v>0.8006333972208548</v>
      </c>
      <c r="N19" s="124">
        <f t="shared" si="9"/>
        <v>-3596.4011854792329</v>
      </c>
      <c r="O19" s="46">
        <f t="shared" si="7"/>
        <v>-367.26302624809847</v>
      </c>
      <c r="P19" s="69">
        <f>0.5*$C$47*M19*$C$59*F19^3 / 1000</f>
        <v>10.789203556437698</v>
      </c>
      <c r="AB19" s="100">
        <f>K19 * ($C$74 + 1 / $C$63) * (1 / $C$66)^2 + ( 1 / $C$66 - 1)^2</f>
        <v>2.9715029599385283</v>
      </c>
      <c r="AC19" s="100">
        <f>AB19*0.5*$C$47*F19^2</f>
        <v>13347.827863381073</v>
      </c>
      <c r="AD19" s="100">
        <f t="shared" si="8"/>
        <v>1363.0747522653799</v>
      </c>
      <c r="AE19" s="75">
        <f t="shared" si="10"/>
        <v>40.043483590143225</v>
      </c>
    </row>
    <row r="20" spans="1:31" x14ac:dyDescent="0.2">
      <c r="A20" s="109" t="s">
        <v>144</v>
      </c>
      <c r="B20" s="13" t="s">
        <v>77</v>
      </c>
      <c r="C20" s="104">
        <v>1.0016000000000001E-3</v>
      </c>
      <c r="D20" s="106">
        <v>20</v>
      </c>
      <c r="F20" s="46">
        <v>5</v>
      </c>
      <c r="G20" s="46">
        <f t="shared" si="1"/>
        <v>1498.2192052547555</v>
      </c>
      <c r="H20" s="30">
        <f t="shared" si="2"/>
        <v>7.0421429033803327E-3</v>
      </c>
      <c r="I20" s="30">
        <f t="shared" si="3"/>
        <v>8.3492002106594024E-3</v>
      </c>
      <c r="J20" s="42" t="str">
        <f t="shared" si="4"/>
        <v>too high</v>
      </c>
      <c r="K20" s="43">
        <f t="shared" si="5"/>
        <v>8.3492002106594024E-3</v>
      </c>
      <c r="M20" s="88">
        <f t="shared" si="6"/>
        <v>0.8006333972208548</v>
      </c>
      <c r="N20" s="124">
        <f t="shared" si="9"/>
        <v>-9990.0032929978697</v>
      </c>
      <c r="O20" s="46">
        <f t="shared" si="7"/>
        <v>-1020.1750729113847</v>
      </c>
      <c r="P20" s="69">
        <f>0.5*$C$47*M20*$C$59*F20^3 / 1000</f>
        <v>49.950016464989346</v>
      </c>
      <c r="AB20" s="100">
        <f>K20 * ($C$74 + 1 / $C$63) * (1 / $C$66)^2 + ( 1 / $C$66 - 1)^2</f>
        <v>2.9715029599385283</v>
      </c>
      <c r="AC20" s="100">
        <f>AB20*0.5*$C$47*F20^2</f>
        <v>37077.299620502978</v>
      </c>
      <c r="AD20" s="100">
        <f t="shared" si="8"/>
        <v>3786.3187562927214</v>
      </c>
      <c r="AE20" s="75">
        <f t="shared" si="10"/>
        <v>185.38649810251491</v>
      </c>
    </row>
    <row r="21" spans="1:31" x14ac:dyDescent="0.2">
      <c r="A21" s="109" t="s">
        <v>145</v>
      </c>
      <c r="B21" s="13" t="s">
        <v>78</v>
      </c>
      <c r="C21" s="104">
        <f>C20/C19</f>
        <v>1.0033960789813768E-6</v>
      </c>
      <c r="D21" s="106">
        <v>20</v>
      </c>
      <c r="F21" s="46">
        <v>8</v>
      </c>
      <c r="G21" s="46">
        <f t="shared" si="1"/>
        <v>2397.1507284076088</v>
      </c>
      <c r="H21" s="30">
        <f t="shared" si="2"/>
        <v>6.7188173577212755E-3</v>
      </c>
      <c r="I21" s="30">
        <f t="shared" si="3"/>
        <v>8.3492002106594024E-3</v>
      </c>
      <c r="J21" s="42" t="str">
        <f t="shared" si="4"/>
        <v>too high</v>
      </c>
      <c r="K21" s="43">
        <f t="shared" si="5"/>
        <v>8.3492002106594024E-3</v>
      </c>
      <c r="M21" s="43">
        <f t="shared" si="6"/>
        <v>0.8006333972208548</v>
      </c>
      <c r="N21" s="124">
        <f t="shared" si="9"/>
        <v>-25574.408430074545</v>
      </c>
      <c r="O21" s="46">
        <f t="shared" si="7"/>
        <v>-2611.6481866531453</v>
      </c>
      <c r="P21" s="69">
        <f>0.5*$C$47*M21*$C$59*F21^3 / 1000</f>
        <v>204.59526744059636</v>
      </c>
      <c r="AB21" s="100">
        <f>K21 * ($C$74 + 1 / $C$63) * (1 / $C$66)^2 + ( 1 / $C$66 - 1)^2</f>
        <v>2.9715029599385283</v>
      </c>
      <c r="AC21" s="100">
        <f>AB21*0.5*$C$47*F21^2</f>
        <v>94917.887028487632</v>
      </c>
      <c r="AD21" s="100">
        <f t="shared" si="8"/>
        <v>9692.9760161093673</v>
      </c>
      <c r="AE21" s="75">
        <f t="shared" si="10"/>
        <v>759.34309622790101</v>
      </c>
    </row>
    <row r="22" spans="1:31" x14ac:dyDescent="0.2">
      <c r="C22" s="11"/>
      <c r="D22" s="42"/>
      <c r="F22" s="46">
        <v>10</v>
      </c>
      <c r="G22" s="46">
        <f t="shared" si="1"/>
        <v>2996.438410509511</v>
      </c>
      <c r="H22" s="30">
        <f t="shared" si="2"/>
        <v>6.570551659970651E-3</v>
      </c>
      <c r="I22" s="30">
        <f t="shared" si="3"/>
        <v>8.3492002106594024E-3</v>
      </c>
      <c r="J22" s="42" t="str">
        <f t="shared" si="4"/>
        <v>too high</v>
      </c>
      <c r="K22" s="43">
        <f t="shared" si="5"/>
        <v>8.3492002106594024E-3</v>
      </c>
      <c r="M22" s="43">
        <f t="shared" si="6"/>
        <v>0.8006333972208548</v>
      </c>
      <c r="N22" s="124">
        <f t="shared" si="9"/>
        <v>-39960.013171991479</v>
      </c>
      <c r="O22" s="46">
        <f t="shared" si="7"/>
        <v>-4080.700291645539</v>
      </c>
      <c r="P22" s="69">
        <f>0.5*$C$47*M22*$C$59*F22^3 / 1000</f>
        <v>399.60013171991477</v>
      </c>
      <c r="AB22" s="100">
        <f>K22 * ($C$74 + 1 / $C$63) * (1 / $C$66)^2 + ( 1 / $C$66 - 1)^2</f>
        <v>2.9715029599385283</v>
      </c>
      <c r="AC22" s="100">
        <f>AB22*0.5*$C$47*F22^2</f>
        <v>148309.19848201191</v>
      </c>
      <c r="AD22" s="100">
        <f t="shared" si="8"/>
        <v>15145.275025170886</v>
      </c>
      <c r="AE22" s="75">
        <f t="shared" si="10"/>
        <v>1483.0919848201193</v>
      </c>
    </row>
    <row r="23" spans="1:31" x14ac:dyDescent="0.2">
      <c r="A23" s="109" t="s">
        <v>143</v>
      </c>
      <c r="B23" s="13" t="s">
        <v>13</v>
      </c>
      <c r="C23" s="14">
        <v>997.05</v>
      </c>
      <c r="D23" s="107">
        <v>25</v>
      </c>
      <c r="F23" s="46">
        <v>15</v>
      </c>
      <c r="G23" s="46">
        <f t="shared" si="1"/>
        <v>4494.6576157642667</v>
      </c>
      <c r="H23" s="30">
        <f t="shared" si="2"/>
        <v>6.3094675096911955E-3</v>
      </c>
      <c r="I23" s="30">
        <f t="shared" si="3"/>
        <v>8.3492002106594024E-3</v>
      </c>
      <c r="J23" s="42" t="str">
        <f t="shared" si="4"/>
        <v>too high</v>
      </c>
      <c r="K23" s="43">
        <f t="shared" si="5"/>
        <v>8.3492002106594024E-3</v>
      </c>
      <c r="M23" s="43">
        <f t="shared" si="6"/>
        <v>0.8006333972208548</v>
      </c>
      <c r="N23" s="124">
        <f t="shared" si="9"/>
        <v>-89910.02963698082</v>
      </c>
      <c r="O23" s="46">
        <f t="shared" si="7"/>
        <v>-9181.5756562024617</v>
      </c>
      <c r="P23" s="69">
        <f>0.5*$C$47*M23*$C$59*F23^3 / 1000</f>
        <v>1348.6504445547123</v>
      </c>
      <c r="AB23" s="100">
        <f>K23 * ($C$74 + 1 / $C$63) * (1 / $C$66)^2 + ( 1 / $C$66 - 1)^2</f>
        <v>2.9715029599385283</v>
      </c>
      <c r="AC23" s="100">
        <f>AB23*0.5*$C$47*F23^2</f>
        <v>333695.69658452686</v>
      </c>
      <c r="AD23" s="100">
        <f t="shared" si="8"/>
        <v>34076.868806634498</v>
      </c>
      <c r="AE23" s="75">
        <f t="shared" si="10"/>
        <v>5005.435448767902</v>
      </c>
    </row>
    <row r="24" spans="1:31" x14ac:dyDescent="0.2">
      <c r="A24" s="109" t="s">
        <v>144</v>
      </c>
      <c r="B24" s="13" t="s">
        <v>77</v>
      </c>
      <c r="C24" s="104">
        <v>8.9004000000000004E-4</v>
      </c>
      <c r="D24" s="107">
        <v>25</v>
      </c>
      <c r="F24" s="46">
        <f t="shared" si="0"/>
        <v>20</v>
      </c>
      <c r="G24" s="46">
        <f t="shared" si="1"/>
        <v>5992.8768210190219</v>
      </c>
      <c r="H24" s="30">
        <f t="shared" si="2"/>
        <v>6.130541471349552E-3</v>
      </c>
      <c r="I24" s="30">
        <f t="shared" si="3"/>
        <v>8.3492002106594024E-3</v>
      </c>
      <c r="J24" s="42" t="str">
        <f t="shared" si="4"/>
        <v>too high</v>
      </c>
      <c r="K24" s="43">
        <f t="shared" si="5"/>
        <v>8.3492002106594024E-3</v>
      </c>
      <c r="M24" s="43">
        <f t="shared" si="6"/>
        <v>0.8006333972208548</v>
      </c>
      <c r="N24" s="124">
        <f t="shared" si="9"/>
        <v>-159840.05268796592</v>
      </c>
      <c r="O24" s="46">
        <f t="shared" si="7"/>
        <v>-16322.801166582156</v>
      </c>
      <c r="P24" s="69">
        <f>0.5*$C$47*M24*$C$59*F24^3 / 1000</f>
        <v>3196.8010537593182</v>
      </c>
      <c r="AB24" s="100">
        <f>K24 * ($C$74 + 1 / $C$63) * (1 / $C$66)^2 + ( 1 / $C$66 - 1)^2</f>
        <v>2.9715029599385283</v>
      </c>
      <c r="AC24" s="100">
        <f>AB24*0.5*$C$47*F24^2</f>
        <v>593236.79392804764</v>
      </c>
      <c r="AD24" s="100">
        <f t="shared" si="8"/>
        <v>60581.100100683543</v>
      </c>
      <c r="AE24" s="75">
        <f t="shared" si="10"/>
        <v>11864.735878560954</v>
      </c>
    </row>
    <row r="25" spans="1:31" x14ac:dyDescent="0.2">
      <c r="A25" s="109" t="s">
        <v>145</v>
      </c>
      <c r="B25" s="13" t="s">
        <v>78</v>
      </c>
      <c r="C25" s="104">
        <f>C24/C23</f>
        <v>8.9267338649014606E-7</v>
      </c>
      <c r="D25" s="107">
        <v>25</v>
      </c>
      <c r="F25" s="46">
        <f t="shared" si="0"/>
        <v>22</v>
      </c>
      <c r="G25" s="46">
        <f t="shared" si="1"/>
        <v>6592.1645031209237</v>
      </c>
      <c r="H25" s="30">
        <f t="shared" si="2"/>
        <v>6.0723887379471632E-3</v>
      </c>
      <c r="I25" s="30">
        <f t="shared" si="3"/>
        <v>8.3492002106594024E-3</v>
      </c>
      <c r="J25" s="42" t="str">
        <f t="shared" si="4"/>
        <v>too high</v>
      </c>
      <c r="K25" s="43">
        <f t="shared" si="5"/>
        <v>8.3492002106594024E-3</v>
      </c>
      <c r="M25" s="43">
        <f t="shared" si="6"/>
        <v>0.8006333972208548</v>
      </c>
      <c r="N25" s="124">
        <f t="shared" si="9"/>
        <v>-193406.46375243875</v>
      </c>
      <c r="O25" s="46">
        <f t="shared" si="7"/>
        <v>-19750.589411564408</v>
      </c>
      <c r="P25" s="69">
        <f>0.5*$C$47*M25*$C$59*F25^3 / 1000</f>
        <v>4254.9422025536524</v>
      </c>
      <c r="AB25" s="100">
        <f>K25 * ($C$74 + 1 / $C$63) * (1 / $C$66)^2 + ( 1 / $C$66 - 1)^2</f>
        <v>2.9715029599385283</v>
      </c>
      <c r="AC25" s="100">
        <f>AB25*0.5*$C$47*F25^2</f>
        <v>717816.5206529377</v>
      </c>
      <c r="AD25" s="100">
        <f t="shared" si="8"/>
        <v>73303.131121827086</v>
      </c>
      <c r="AE25" s="75">
        <f t="shared" si="10"/>
        <v>15791.96345436463</v>
      </c>
    </row>
    <row r="26" spans="1:31" x14ac:dyDescent="0.2">
      <c r="C26" s="11"/>
      <c r="D26" s="42"/>
      <c r="F26" s="46">
        <f t="shared" si="0"/>
        <v>24</v>
      </c>
      <c r="G26" s="46">
        <f t="shared" si="1"/>
        <v>7191.4521852228272</v>
      </c>
      <c r="H26" s="30">
        <f t="shared" si="2"/>
        <v>6.0197812517753342E-3</v>
      </c>
      <c r="I26" s="30">
        <f t="shared" si="3"/>
        <v>8.3492002106594024E-3</v>
      </c>
      <c r="J26" s="42" t="str">
        <f t="shared" si="4"/>
        <v>too high</v>
      </c>
      <c r="K26" s="43">
        <f t="shared" si="5"/>
        <v>8.3492002106594024E-3</v>
      </c>
      <c r="M26" s="43">
        <f t="shared" si="6"/>
        <v>0.8006333972208548</v>
      </c>
      <c r="N26" s="124">
        <f t="shared" si="9"/>
        <v>-230169.67587067091</v>
      </c>
      <c r="O26" s="46">
        <f t="shared" si="7"/>
        <v>-23504.833679878302</v>
      </c>
      <c r="P26" s="69">
        <f>0.5*$C$47*M26*$C$59*F26^3 / 1000</f>
        <v>5524.0722208961015</v>
      </c>
      <c r="AB26" s="100">
        <f>K26 * ($C$74 + 1 / $C$63) * (1 / $C$66)^2 + ( 1 / $C$66 - 1)^2</f>
        <v>2.9715029599385283</v>
      </c>
      <c r="AC26" s="100">
        <f>AB26*0.5*$C$47*F26^2</f>
        <v>854260.98325638869</v>
      </c>
      <c r="AD26" s="100">
        <f t="shared" si="8"/>
        <v>87236.784144984311</v>
      </c>
      <c r="AE26" s="75">
        <f t="shared" si="10"/>
        <v>20502.263598153331</v>
      </c>
    </row>
    <row r="27" spans="1:31" x14ac:dyDescent="0.2">
      <c r="A27" s="109" t="s">
        <v>143</v>
      </c>
      <c r="B27" s="13" t="s">
        <v>13</v>
      </c>
      <c r="C27" s="14">
        <v>995.65</v>
      </c>
      <c r="D27" s="108">
        <v>30</v>
      </c>
      <c r="F27" s="46">
        <f t="shared" si="0"/>
        <v>25</v>
      </c>
      <c r="G27" s="46">
        <f t="shared" si="1"/>
        <v>7491.0960262737781</v>
      </c>
      <c r="H27" s="30">
        <f t="shared" si="2"/>
        <v>5.9952573937441063E-3</v>
      </c>
      <c r="I27" s="30">
        <f t="shared" si="3"/>
        <v>8.3492002106594024E-3</v>
      </c>
      <c r="J27" s="42" t="str">
        <f t="shared" si="4"/>
        <v>too high</v>
      </c>
      <c r="K27" s="43">
        <f t="shared" si="5"/>
        <v>8.3492002106594024E-3</v>
      </c>
      <c r="M27" s="43">
        <f t="shared" si="6"/>
        <v>0.8006333972208548</v>
      </c>
      <c r="N27" s="124">
        <f t="shared" si="9"/>
        <v>-249750.08232494674</v>
      </c>
      <c r="O27" s="46">
        <f t="shared" si="7"/>
        <v>-25504.376822784619</v>
      </c>
      <c r="P27" s="69">
        <f>0.5*$C$47*M27*$C$59*F27^3 / 1000</f>
        <v>6243.7520581236686</v>
      </c>
      <c r="AB27" s="100">
        <f>K27 * ($C$74 + 1 / $C$63) * (1 / $C$66)^2 + ( 1 / $C$66 - 1)^2</f>
        <v>2.9715029599385283</v>
      </c>
      <c r="AC27" s="100">
        <f>AB27*0.5*$C$47*F27^2</f>
        <v>926932.49051257456</v>
      </c>
      <c r="AD27" s="100">
        <f t="shared" si="8"/>
        <v>94657.968907318049</v>
      </c>
      <c r="AE27" s="75">
        <f t="shared" si="10"/>
        <v>23173.312262814361</v>
      </c>
    </row>
    <row r="28" spans="1:31" x14ac:dyDescent="0.2">
      <c r="A28" s="109" t="s">
        <v>144</v>
      </c>
      <c r="B28" s="13" t="s">
        <v>77</v>
      </c>
      <c r="C28" s="104">
        <v>7.9721999999999996E-4</v>
      </c>
      <c r="D28" s="108">
        <v>30</v>
      </c>
      <c r="F28" s="46">
        <f t="shared" si="0"/>
        <v>28</v>
      </c>
      <c r="G28" s="46">
        <f t="shared" si="1"/>
        <v>8390.0275494266316</v>
      </c>
      <c r="H28" s="30">
        <f t="shared" si="2"/>
        <v>5.9276974768018922E-3</v>
      </c>
      <c r="I28" s="30">
        <f t="shared" si="3"/>
        <v>8.3492002106594024E-3</v>
      </c>
      <c r="J28" s="42" t="str">
        <f t="shared" si="4"/>
        <v>too high</v>
      </c>
      <c r="K28" s="43">
        <f t="shared" si="5"/>
        <v>8.3492002106594024E-3</v>
      </c>
      <c r="M28" s="43">
        <f t="shared" si="6"/>
        <v>0.8006333972208548</v>
      </c>
      <c r="N28" s="124">
        <f t="shared" si="9"/>
        <v>-313286.50326841319</v>
      </c>
      <c r="O28" s="46">
        <f t="shared" si="7"/>
        <v>-31992.690286501027</v>
      </c>
      <c r="P28" s="69">
        <f>0.5*$C$47*M28*$C$59*F28^3 / 1000</f>
        <v>8772.0220915155696</v>
      </c>
      <c r="AB28" s="100">
        <f>K28 * ($C$74 + 1 / $C$63) * (1 / $C$66)^2 + ( 1 / $C$66 - 1)^2</f>
        <v>2.9715029599385283</v>
      </c>
      <c r="AC28" s="100">
        <f>AB28*0.5*$C$47*F28^2</f>
        <v>1162744.1160989734</v>
      </c>
      <c r="AD28" s="100">
        <f t="shared" si="8"/>
        <v>118738.95619733975</v>
      </c>
      <c r="AE28" s="75">
        <f t="shared" si="10"/>
        <v>32556.835250771259</v>
      </c>
    </row>
    <row r="29" spans="1:31" x14ac:dyDescent="0.2">
      <c r="A29" s="109" t="s">
        <v>145</v>
      </c>
      <c r="B29" s="13" t="s">
        <v>78</v>
      </c>
      <c r="C29" s="104">
        <f>C28/C27</f>
        <v>8.0070305830362075E-7</v>
      </c>
      <c r="D29" s="108">
        <v>30</v>
      </c>
      <c r="F29" s="46">
        <f t="shared" si="0"/>
        <v>30</v>
      </c>
      <c r="G29" s="46">
        <f t="shared" si="1"/>
        <v>8989.3152315285333</v>
      </c>
      <c r="H29" s="30">
        <f t="shared" si="2"/>
        <v>5.8869413455714661E-3</v>
      </c>
      <c r="I29" s="30">
        <f t="shared" si="3"/>
        <v>8.3492002106594024E-3</v>
      </c>
      <c r="J29" s="42" t="str">
        <f t="shared" si="4"/>
        <v>too high</v>
      </c>
      <c r="K29" s="43">
        <f t="shared" si="5"/>
        <v>8.3492002106594024E-3</v>
      </c>
      <c r="M29" s="43">
        <f t="shared" si="6"/>
        <v>0.8006333972208548</v>
      </c>
      <c r="N29" s="124">
        <f t="shared" si="9"/>
        <v>-359640.11854792328</v>
      </c>
      <c r="O29" s="46">
        <f t="shared" si="7"/>
        <v>-36726.302624809847</v>
      </c>
      <c r="P29" s="69">
        <f>0.5*$C$47*M29*$C$59*F29^3 / 1000</f>
        <v>10789.203556437698</v>
      </c>
      <c r="AB29" s="100">
        <f>K29 * ($C$74 + 1 / $C$63) * (1 / $C$66)^2 + ( 1 / $C$66 - 1)^2</f>
        <v>2.9715029599385283</v>
      </c>
      <c r="AC29" s="100">
        <f>AB29*0.5*$C$47*F29^2</f>
        <v>1334782.7863381074</v>
      </c>
      <c r="AD29" s="100">
        <f t="shared" si="8"/>
        <v>136307.47522653799</v>
      </c>
      <c r="AE29" s="75">
        <f t="shared" si="10"/>
        <v>40043.483590143216</v>
      </c>
    </row>
    <row r="30" spans="1:31" x14ac:dyDescent="0.2">
      <c r="F30" s="31"/>
      <c r="G30" s="31"/>
    </row>
    <row r="31" spans="1:31" x14ac:dyDescent="0.2">
      <c r="F31" s="10"/>
    </row>
    <row r="32" spans="1:31" x14ac:dyDescent="0.2">
      <c r="A32" s="15" t="s">
        <v>46</v>
      </c>
      <c r="B32" s="16"/>
      <c r="F32" s="10" t="s">
        <v>158</v>
      </c>
      <c r="G32" s="10" t="s">
        <v>159</v>
      </c>
      <c r="H32" s="10" t="s">
        <v>160</v>
      </c>
      <c r="M32" s="101" t="s">
        <v>215</v>
      </c>
      <c r="AB32" s="101" t="s">
        <v>195</v>
      </c>
    </row>
    <row r="33" spans="1:31" x14ac:dyDescent="0.2">
      <c r="A33" s="17" t="s">
        <v>47</v>
      </c>
      <c r="B33" s="18" t="s">
        <v>4</v>
      </c>
      <c r="C33" s="18" t="s">
        <v>5</v>
      </c>
      <c r="F33" s="9" t="s">
        <v>9</v>
      </c>
      <c r="H33" s="9" t="s">
        <v>69</v>
      </c>
      <c r="I33" s="9" t="s">
        <v>79</v>
      </c>
      <c r="M33" s="9" t="s">
        <v>84</v>
      </c>
      <c r="N33" s="9" t="s">
        <v>40</v>
      </c>
      <c r="O33" s="9" t="s">
        <v>73</v>
      </c>
      <c r="P33" s="18" t="s">
        <v>10</v>
      </c>
      <c r="AB33" s="9" t="s">
        <v>191</v>
      </c>
      <c r="AC33" s="9" t="s">
        <v>192</v>
      </c>
      <c r="AD33" s="9" t="s">
        <v>193</v>
      </c>
      <c r="AE33" s="18" t="s">
        <v>194</v>
      </c>
    </row>
    <row r="34" spans="1:31" x14ac:dyDescent="0.2">
      <c r="A34" s="14" t="s">
        <v>48</v>
      </c>
      <c r="B34" s="52" t="s">
        <v>41</v>
      </c>
      <c r="C34" s="22">
        <v>0.25</v>
      </c>
      <c r="F34" s="9" t="s">
        <v>12</v>
      </c>
      <c r="H34" s="9" t="s">
        <v>59</v>
      </c>
      <c r="I34" s="9" t="s">
        <v>59</v>
      </c>
      <c r="M34" s="9" t="s">
        <v>58</v>
      </c>
      <c r="N34" s="9" t="s">
        <v>59</v>
      </c>
      <c r="O34" s="9" t="s">
        <v>74</v>
      </c>
      <c r="P34" s="18" t="s">
        <v>75</v>
      </c>
      <c r="AB34" s="9" t="s">
        <v>58</v>
      </c>
      <c r="AC34" s="9" t="s">
        <v>59</v>
      </c>
      <c r="AD34" s="9" t="s">
        <v>74</v>
      </c>
      <c r="AE34" s="18" t="s">
        <v>75</v>
      </c>
    </row>
    <row r="35" spans="1:31" x14ac:dyDescent="0.2">
      <c r="A35" s="14" t="s">
        <v>49</v>
      </c>
      <c r="B35" s="52" t="s">
        <v>41</v>
      </c>
      <c r="C35" s="22">
        <v>2.5000000000000001E-2</v>
      </c>
      <c r="F35" s="46">
        <v>0.05</v>
      </c>
      <c r="G35" s="42"/>
      <c r="H35" s="65">
        <f t="shared" ref="H35:H56" si="11">-$C$99*F35*$C$48</f>
        <v>-61.311505070085445</v>
      </c>
      <c r="I35" s="64">
        <f t="shared" ref="I35:I56" si="12">-$C$100*$C$47*F35^2</f>
        <v>-794.63430349727696</v>
      </c>
      <c r="J35" s="42"/>
      <c r="M35" s="64">
        <f t="shared" ref="M35:M56" si="13">-N35/(0.5*$C$47*F35^2)</f>
        <v>102.89768388223264</v>
      </c>
      <c r="N35" s="65">
        <f t="shared" ref="N35:N56" si="14">(H35+I35)*$C$60</f>
        <v>-128.39187128510434</v>
      </c>
      <c r="O35" s="65">
        <f t="shared" ref="O35:O56" si="15">N35/($C$47*9.81)*$C$53</f>
        <v>-13.111325673067363</v>
      </c>
      <c r="P35" s="75">
        <f>0.5*$C$47*M35*$C$59*F35^3 / 1000</f>
        <v>6.4195935642552176E-3</v>
      </c>
      <c r="AB35" s="100">
        <f>-AC35/(0.5*$C$47*F35^2)</f>
        <v>685.98455921488437</v>
      </c>
      <c r="AC35" s="100">
        <f>(H35+I35)*1</f>
        <v>-855.94580856736241</v>
      </c>
      <c r="AD35" s="100">
        <f t="shared" ref="AD35:AD56" si="16">AC35/($C$47*9.81)*$C$53</f>
        <v>-87.408837820449094</v>
      </c>
      <c r="AE35" s="75">
        <f>0.5*$C$47*AB35*$C$59*F35^3 / 1000</f>
        <v>4.279729042836812E-2</v>
      </c>
    </row>
    <row r="36" spans="1:31" x14ac:dyDescent="0.2">
      <c r="A36" s="14" t="s">
        <v>50</v>
      </c>
      <c r="B36" s="52" t="s">
        <v>41</v>
      </c>
      <c r="C36" s="22">
        <v>2.5000000000000001E-3</v>
      </c>
      <c r="F36" s="46">
        <v>0.1</v>
      </c>
      <c r="G36" s="42"/>
      <c r="H36" s="65">
        <f t="shared" si="11"/>
        <v>-122.62301014017089</v>
      </c>
      <c r="I36" s="64">
        <f t="shared" si="12"/>
        <v>-3178.5372139891078</v>
      </c>
      <c r="J36" s="42"/>
      <c r="M36" s="64">
        <f t="shared" si="13"/>
        <v>99.212396914355026</v>
      </c>
      <c r="N36" s="65">
        <f t="shared" si="14"/>
        <v>-495.17403361939176</v>
      </c>
      <c r="O36" s="65">
        <f t="shared" si="15"/>
        <v>-50.56697090436036</v>
      </c>
      <c r="P36" s="75">
        <f>0.5*$C$47*M36*$C$59*F36^3 / 1000</f>
        <v>4.9517403361939182E-2</v>
      </c>
      <c r="AB36" s="100">
        <f>-AC36/(0.5*$C$47*F36^2)</f>
        <v>661.41597942903354</v>
      </c>
      <c r="AC36" s="100">
        <f>(H36+I36)*1</f>
        <v>-3301.1602241292785</v>
      </c>
      <c r="AD36" s="100">
        <f t="shared" si="16"/>
        <v>-337.11313936240242</v>
      </c>
      <c r="AE36" s="75">
        <f t="shared" ref="AE36:AE56" si="17">0.5*$C$47*AB36*$C$59*F36^3 / 1000</f>
        <v>0.33011602241292792</v>
      </c>
    </row>
    <row r="37" spans="1:31" x14ac:dyDescent="0.2">
      <c r="A37" s="14" t="s">
        <v>51</v>
      </c>
      <c r="B37" s="52" t="s">
        <v>41</v>
      </c>
      <c r="C37" s="22">
        <v>2.5000000000000001E-3</v>
      </c>
      <c r="F37" s="71">
        <v>0.2</v>
      </c>
      <c r="G37" s="77"/>
      <c r="H37" s="74">
        <f t="shared" si="11"/>
        <v>-245.24602028034178</v>
      </c>
      <c r="I37" s="74">
        <f t="shared" si="12"/>
        <v>-12714.148855956431</v>
      </c>
      <c r="J37" s="77"/>
      <c r="M37" s="74">
        <f t="shared" si="13"/>
        <v>97.36975343041621</v>
      </c>
      <c r="N37" s="74">
        <f t="shared" si="14"/>
        <v>-1943.9092314355157</v>
      </c>
      <c r="O37" s="74">
        <f t="shared" si="15"/>
        <v>-198.51122004162329</v>
      </c>
      <c r="P37" s="75">
        <f>0.5*$C$47*M37*$C$59*F37^3 / 1000</f>
        <v>0.38878184628710316</v>
      </c>
      <c r="AB37" s="100">
        <f>-AC37/(0.5*$C$47*F37^2)</f>
        <v>649.13168953610807</v>
      </c>
      <c r="AC37" s="100">
        <f>(H37+I37)*1</f>
        <v>-12959.394876236773</v>
      </c>
      <c r="AD37" s="100">
        <f t="shared" si="16"/>
        <v>-1323.4081336108218</v>
      </c>
      <c r="AE37" s="75">
        <f t="shared" si="17"/>
        <v>2.5918789752473543</v>
      </c>
    </row>
    <row r="38" spans="1:31" x14ac:dyDescent="0.2">
      <c r="A38" s="14" t="s">
        <v>52</v>
      </c>
      <c r="B38" s="52" t="s">
        <v>41</v>
      </c>
      <c r="C38" s="22">
        <v>0.15</v>
      </c>
      <c r="F38" s="46">
        <v>0.4</v>
      </c>
      <c r="G38" s="42"/>
      <c r="H38" s="65">
        <f t="shared" si="11"/>
        <v>-490.49204056068356</v>
      </c>
      <c r="I38" s="64">
        <f t="shared" si="12"/>
        <v>-50856.595423825725</v>
      </c>
      <c r="J38" s="42"/>
      <c r="M38" s="73">
        <f t="shared" si="13"/>
        <v>96.448431688446803</v>
      </c>
      <c r="N38" s="65">
        <f t="shared" si="14"/>
        <v>-7702.0631196579607</v>
      </c>
      <c r="O38" s="65">
        <f t="shared" si="15"/>
        <v>-786.53155301485674</v>
      </c>
      <c r="P38" s="75">
        <f>0.5*$C$47*M38*$C$59*F38^3 / 1000</f>
        <v>3.0808252478631846</v>
      </c>
      <c r="AB38" s="100">
        <f>-AC38/(0.5*$C$47*F38^2)</f>
        <v>642.98954458964545</v>
      </c>
      <c r="AC38" s="100">
        <f>(H38+I38)*1</f>
        <v>-51347.087464386408</v>
      </c>
      <c r="AD38" s="100">
        <f t="shared" si="16"/>
        <v>-5243.5436867657127</v>
      </c>
      <c r="AE38" s="75">
        <f t="shared" si="17"/>
        <v>20.538834985754566</v>
      </c>
    </row>
    <row r="39" spans="1:31" x14ac:dyDescent="0.2">
      <c r="A39" s="14" t="s">
        <v>53</v>
      </c>
      <c r="B39" s="52" t="s">
        <v>41</v>
      </c>
      <c r="C39" s="22">
        <v>3</v>
      </c>
      <c r="F39" s="71">
        <v>0.5</v>
      </c>
      <c r="G39" s="77"/>
      <c r="H39" s="74">
        <f t="shared" si="11"/>
        <v>-613.11505070085434</v>
      </c>
      <c r="I39" s="74">
        <f t="shared" si="12"/>
        <v>-79463.430349727685</v>
      </c>
      <c r="J39" s="77"/>
      <c r="M39" s="74">
        <f t="shared" si="13"/>
        <v>96.264167340052936</v>
      </c>
      <c r="N39" s="74">
        <f t="shared" si="14"/>
        <v>-12011.481810064281</v>
      </c>
      <c r="O39" s="74">
        <f t="shared" si="15"/>
        <v>-1226.6076368508272</v>
      </c>
      <c r="P39" s="75">
        <f>0.5*$C$47*M39*$C$59*F39^3 / 1000</f>
        <v>6.0057409050321402</v>
      </c>
      <c r="AB39" s="100">
        <f>-AC39/(0.5*$C$47*F39^2)</f>
        <v>641.76111560035292</v>
      </c>
      <c r="AC39" s="100">
        <f>(H39+I39)*1</f>
        <v>-80076.545400428542</v>
      </c>
      <c r="AD39" s="100">
        <f t="shared" si="16"/>
        <v>-8177.3842456721832</v>
      </c>
      <c r="AE39" s="75">
        <f t="shared" si="17"/>
        <v>40.038272700214272</v>
      </c>
    </row>
    <row r="40" spans="1:31" x14ac:dyDescent="0.2">
      <c r="A40" s="14" t="s">
        <v>54</v>
      </c>
      <c r="B40" s="52" t="s">
        <v>41</v>
      </c>
      <c r="C40" s="22">
        <v>0.1</v>
      </c>
      <c r="F40" s="46">
        <v>0.8</v>
      </c>
      <c r="G40" s="42"/>
      <c r="H40" s="65">
        <f t="shared" si="11"/>
        <v>-980.98408112136713</v>
      </c>
      <c r="I40" s="64">
        <f t="shared" si="12"/>
        <v>-203426.3816953029</v>
      </c>
      <c r="J40" s="42"/>
      <c r="M40" s="73">
        <f t="shared" si="13"/>
        <v>95.987770817462106</v>
      </c>
      <c r="N40" s="65">
        <f t="shared" si="14"/>
        <v>-30661.10486646364</v>
      </c>
      <c r="O40" s="65">
        <f t="shared" si="15"/>
        <v>-3131.0995577561544</v>
      </c>
      <c r="P40" s="75">
        <f>0.5*$C$47*M40*$C$59*F40^3 / 1000</f>
        <v>24.528883893170914</v>
      </c>
      <c r="AB40" s="100">
        <f>-AC40/(0.5*$C$47*F40^2)</f>
        <v>639.91847211641402</v>
      </c>
      <c r="AC40" s="100">
        <f>(H40+I40)*1</f>
        <v>-204407.36577642427</v>
      </c>
      <c r="AD40" s="100">
        <f t="shared" si="16"/>
        <v>-20873.997051707698</v>
      </c>
      <c r="AE40" s="75">
        <f t="shared" si="17"/>
        <v>163.52589262113941</v>
      </c>
    </row>
    <row r="41" spans="1:31" x14ac:dyDescent="0.2">
      <c r="A41" s="14" t="s">
        <v>55</v>
      </c>
      <c r="B41" s="52" t="s">
        <v>41</v>
      </c>
      <c r="C41" s="22">
        <v>0.5</v>
      </c>
      <c r="F41" s="70">
        <v>1</v>
      </c>
      <c r="G41" s="83"/>
      <c r="H41" s="73">
        <f t="shared" si="11"/>
        <v>-1226.2301014017087</v>
      </c>
      <c r="I41" s="73">
        <f t="shared" si="12"/>
        <v>-317853.72139891074</v>
      </c>
      <c r="J41" s="83"/>
      <c r="M41" s="73">
        <f t="shared" si="13"/>
        <v>95.895638643265158</v>
      </c>
      <c r="N41" s="73">
        <f t="shared" si="14"/>
        <v>-47861.992725046861</v>
      </c>
      <c r="O41" s="73">
        <f t="shared" si="15"/>
        <v>-4887.6472295242174</v>
      </c>
      <c r="P41" s="75">
        <f>0.5*$C$47*M41*$C$59*F41^3 / 1000</f>
        <v>47.861992725046861</v>
      </c>
      <c r="AB41" s="100">
        <f>-AC41/(0.5*$C$47*F41^2)</f>
        <v>639.30425762176776</v>
      </c>
      <c r="AC41" s="100">
        <f>(H41+I41)*1</f>
        <v>-319079.95150031243</v>
      </c>
      <c r="AD41" s="100">
        <f t="shared" si="16"/>
        <v>-32584.31486349479</v>
      </c>
      <c r="AE41" s="75">
        <f t="shared" si="17"/>
        <v>319.0799515003124</v>
      </c>
    </row>
    <row r="42" spans="1:31" x14ac:dyDescent="0.2">
      <c r="A42" s="14" t="s">
        <v>56</v>
      </c>
      <c r="B42" s="52" t="s">
        <v>41</v>
      </c>
      <c r="C42" s="22">
        <v>2.5000000000000001E-2</v>
      </c>
      <c r="F42" s="46">
        <v>2</v>
      </c>
      <c r="G42" s="42"/>
      <c r="H42" s="65">
        <f t="shared" si="11"/>
        <v>-2452.4602028034174</v>
      </c>
      <c r="I42" s="64">
        <f t="shared" si="12"/>
        <v>-1271414.885595643</v>
      </c>
      <c r="J42" s="42"/>
      <c r="M42" s="73">
        <f t="shared" si="13"/>
        <v>95.711374294871291</v>
      </c>
      <c r="N42" s="65">
        <f t="shared" si="14"/>
        <v>-191080.10186976695</v>
      </c>
      <c r="O42" s="65">
        <f t="shared" si="15"/>
        <v>-19513.022282338694</v>
      </c>
      <c r="P42" s="75">
        <f>0.5*$C$47*M42*$C$59*F42^3 / 1000</f>
        <v>382.16020373953393</v>
      </c>
      <c r="AB42" s="100">
        <f>-AC42/(0.5*$C$47*F42^2)</f>
        <v>638.07582863247524</v>
      </c>
      <c r="AC42" s="100">
        <f>(H42+I42)*1</f>
        <v>-1273867.3457984463</v>
      </c>
      <c r="AD42" s="100">
        <f t="shared" si="16"/>
        <v>-130086.81521559125</v>
      </c>
      <c r="AE42" s="75">
        <f t="shared" si="17"/>
        <v>2547.7346915968928</v>
      </c>
    </row>
    <row r="43" spans="1:31" x14ac:dyDescent="0.2">
      <c r="A43" s="14" t="s">
        <v>57</v>
      </c>
      <c r="B43" s="52" t="s">
        <v>41</v>
      </c>
      <c r="C43" s="22">
        <v>1</v>
      </c>
      <c r="F43" s="46">
        <v>4</v>
      </c>
      <c r="G43" s="42"/>
      <c r="H43" s="65">
        <f t="shared" si="11"/>
        <v>-4904.9204056068347</v>
      </c>
      <c r="I43" s="64">
        <f t="shared" si="12"/>
        <v>-5085659.5423825718</v>
      </c>
      <c r="J43" s="42"/>
      <c r="M43" s="73">
        <f t="shared" si="13"/>
        <v>95.619242120674357</v>
      </c>
      <c r="N43" s="65">
        <f t="shared" si="14"/>
        <v>-763584.66941822681</v>
      </c>
      <c r="O43" s="65">
        <f t="shared" si="15"/>
        <v>-77976.955857838402</v>
      </c>
      <c r="P43" s="75">
        <f>0.5*$C$47*M43*$C$59*F43^3 / 1000</f>
        <v>3054.3386776729071</v>
      </c>
      <c r="AB43" s="100">
        <f>-AC43/(0.5*$C$47*F43^2)</f>
        <v>637.46161413782897</v>
      </c>
      <c r="AC43" s="100">
        <f>(H43+I43)*1</f>
        <v>-5090564.4627881786</v>
      </c>
      <c r="AD43" s="100">
        <f t="shared" si="16"/>
        <v>-519846.37238558935</v>
      </c>
      <c r="AE43" s="75">
        <f t="shared" si="17"/>
        <v>20362.257851152714</v>
      </c>
    </row>
    <row r="44" spans="1:31" x14ac:dyDescent="0.2">
      <c r="F44" s="46">
        <v>5</v>
      </c>
      <c r="G44" s="42"/>
      <c r="H44" s="65">
        <f t="shared" si="11"/>
        <v>-6131.1505070085432</v>
      </c>
      <c r="I44" s="64">
        <f t="shared" si="12"/>
        <v>-7946343.0349727683</v>
      </c>
      <c r="J44" s="42"/>
      <c r="M44" s="73">
        <f t="shared" si="13"/>
        <v>95.600815685834974</v>
      </c>
      <c r="N44" s="65">
        <f t="shared" si="14"/>
        <v>-1192871.1278219665</v>
      </c>
      <c r="O44" s="65">
        <f t="shared" si="15"/>
        <v>-121815.51438052364</v>
      </c>
      <c r="P44" s="75">
        <f>0.5*$C$47*M44*$C$59*F44^3 / 1000</f>
        <v>5964.3556391098336</v>
      </c>
      <c r="AB44" s="100">
        <f>-AC44/(0.5*$C$47*F44^2)</f>
        <v>637.33877123889977</v>
      </c>
      <c r="AC44" s="100">
        <f>(H44+I44)*1</f>
        <v>-7952474.1854797769</v>
      </c>
      <c r="AD44" s="100">
        <f t="shared" si="16"/>
        <v>-812103.42920349096</v>
      </c>
      <c r="AE44" s="75">
        <f t="shared" si="17"/>
        <v>39762.370927398886</v>
      </c>
    </row>
    <row r="45" spans="1:31" x14ac:dyDescent="0.2">
      <c r="A45" s="10" t="s">
        <v>83</v>
      </c>
      <c r="F45" s="46">
        <v>8</v>
      </c>
      <c r="G45" s="42"/>
      <c r="H45" s="65">
        <f t="shared" si="11"/>
        <v>-9809.8408112136694</v>
      </c>
      <c r="I45" s="64">
        <f t="shared" si="12"/>
        <v>-20342638.169530287</v>
      </c>
      <c r="J45" s="42"/>
      <c r="M45" s="73">
        <f t="shared" si="13"/>
        <v>95.573176033575891</v>
      </c>
      <c r="N45" s="65">
        <f t="shared" si="14"/>
        <v>-3052867.2015512255</v>
      </c>
      <c r="O45" s="65">
        <f t="shared" si="15"/>
        <v>-311757.55688832089</v>
      </c>
      <c r="P45" s="75">
        <f>0.5*$C$47*M45*$C$59*F45^3 / 1000</f>
        <v>24422.937612409805</v>
      </c>
      <c r="AB45" s="100">
        <f>-AC45/(0.5*$C$47*F45^2)</f>
        <v>637.1545068905059</v>
      </c>
      <c r="AC45" s="100">
        <f>(H45+I45)*1</f>
        <v>-20352448.010341503</v>
      </c>
      <c r="AD45" s="100">
        <f t="shared" si="16"/>
        <v>-2078383.7125888062</v>
      </c>
      <c r="AE45" s="75">
        <f t="shared" si="17"/>
        <v>162819.58408273204</v>
      </c>
    </row>
    <row r="46" spans="1:31" x14ac:dyDescent="0.2">
      <c r="A46" s="17" t="s">
        <v>3</v>
      </c>
      <c r="B46" s="18" t="s">
        <v>4</v>
      </c>
      <c r="C46" s="18" t="s">
        <v>5</v>
      </c>
      <c r="D46" s="18" t="s">
        <v>197</v>
      </c>
      <c r="F46" s="46">
        <v>10</v>
      </c>
      <c r="G46" s="42"/>
      <c r="H46" s="65">
        <f t="shared" si="11"/>
        <v>-12262.301014017086</v>
      </c>
      <c r="I46" s="64">
        <f t="shared" si="12"/>
        <v>-31785372.139891073</v>
      </c>
      <c r="J46" s="42"/>
      <c r="M46" s="64">
        <f t="shared" si="13"/>
        <v>95.563962816156192</v>
      </c>
      <c r="N46" s="65">
        <f t="shared" si="14"/>
        <v>-4769645.1661357637</v>
      </c>
      <c r="O46" s="65">
        <f t="shared" si="15"/>
        <v>-487074.22434330371</v>
      </c>
      <c r="P46" s="75">
        <f>0.5*$C$47*M46*$C$59*F46^3 / 1000</f>
        <v>47696.451661357634</v>
      </c>
      <c r="AB46" s="100">
        <f>-AC46/(0.5*$C$47*F46^2)</f>
        <v>637.09308544104124</v>
      </c>
      <c r="AC46" s="100">
        <f>(H46+I46)*1</f>
        <v>-31797634.44090509</v>
      </c>
      <c r="AD46" s="100">
        <f t="shared" si="16"/>
        <v>-3247161.4956220244</v>
      </c>
      <c r="AE46" s="75">
        <f t="shared" si="17"/>
        <v>317976.34440905089</v>
      </c>
    </row>
    <row r="47" spans="1:31" x14ac:dyDescent="0.2">
      <c r="A47" s="109" t="s">
        <v>143</v>
      </c>
      <c r="B47" s="13" t="s">
        <v>13</v>
      </c>
      <c r="C47" s="14">
        <v>998.21</v>
      </c>
      <c r="D47" s="106">
        <v>20</v>
      </c>
      <c r="F47" s="46">
        <v>12</v>
      </c>
      <c r="G47" s="42"/>
      <c r="H47" s="65">
        <f t="shared" si="11"/>
        <v>-14714.761216820505</v>
      </c>
      <c r="I47" s="64">
        <f t="shared" si="12"/>
        <v>-45770935.881443143</v>
      </c>
      <c r="J47" s="42"/>
      <c r="M47" s="64">
        <f t="shared" si="13"/>
        <v>95.557820671209726</v>
      </c>
      <c r="N47" s="65">
        <f t="shared" si="14"/>
        <v>-6867847.5963989943</v>
      </c>
      <c r="O47" s="65">
        <f t="shared" si="15"/>
        <v>-701341.80309144733</v>
      </c>
      <c r="P47" s="75">
        <f>0.5*$C$47*M47*$C$59*F47^3 / 1000</f>
        <v>82414.171156787954</v>
      </c>
      <c r="AB47" s="100">
        <f>-AC47/(0.5*$C$47*F47^2)</f>
        <v>637.0521378080648</v>
      </c>
      <c r="AC47" s="100">
        <f>(H47+I47)*1</f>
        <v>-45785650.642659962</v>
      </c>
      <c r="AD47" s="100">
        <f t="shared" si="16"/>
        <v>-4675612.0206096489</v>
      </c>
      <c r="AE47" s="75">
        <f t="shared" si="17"/>
        <v>549427.80771191954</v>
      </c>
    </row>
    <row r="48" spans="1:31" x14ac:dyDescent="0.2">
      <c r="A48" s="109" t="s">
        <v>144</v>
      </c>
      <c r="B48" s="13" t="s">
        <v>77</v>
      </c>
      <c r="C48" s="104">
        <v>1.0016000000000001E-3</v>
      </c>
      <c r="D48" s="106">
        <v>20</v>
      </c>
      <c r="F48" s="46">
        <v>14</v>
      </c>
      <c r="G48" s="42"/>
      <c r="H48" s="65">
        <f t="shared" si="11"/>
        <v>-17167.221419623922</v>
      </c>
      <c r="I48" s="64">
        <f t="shared" si="12"/>
        <v>-62299329.394186504</v>
      </c>
      <c r="J48" s="42"/>
      <c r="M48" s="64">
        <f t="shared" si="13"/>
        <v>95.553433424819389</v>
      </c>
      <c r="N48" s="65">
        <f t="shared" si="14"/>
        <v>-9347474.4923409186</v>
      </c>
      <c r="O48" s="65">
        <f t="shared" si="15"/>
        <v>-954560.29313275218</v>
      </c>
      <c r="P48" s="75">
        <f>0.5*$C$47*M48*$C$59*F48^3 / 1000</f>
        <v>130864.64289277287</v>
      </c>
      <c r="AB48" s="100">
        <f>-AC48/(0.5*$C$47*F48^2)</f>
        <v>637.02288949879596</v>
      </c>
      <c r="AC48" s="100">
        <f>(H48+I48)*1</f>
        <v>-62316496.615606129</v>
      </c>
      <c r="AD48" s="100">
        <f t="shared" si="16"/>
        <v>-6363735.2875516815</v>
      </c>
      <c r="AE48" s="75">
        <f t="shared" si="17"/>
        <v>872430.95261848567</v>
      </c>
    </row>
    <row r="49" spans="1:31" x14ac:dyDescent="0.2">
      <c r="A49" s="109" t="s">
        <v>145</v>
      </c>
      <c r="B49" s="13" t="s">
        <v>78</v>
      </c>
      <c r="C49" s="104">
        <f>C48/C47</f>
        <v>1.0033960789813768E-6</v>
      </c>
      <c r="D49" s="106">
        <v>20</v>
      </c>
      <c r="F49" s="46">
        <v>15</v>
      </c>
      <c r="G49" s="42"/>
      <c r="H49" s="65">
        <f t="shared" si="11"/>
        <v>-18393.451521025629</v>
      </c>
      <c r="I49" s="64">
        <f t="shared" si="12"/>
        <v>-71517087.314754918</v>
      </c>
      <c r="J49" s="42"/>
      <c r="M49" s="73">
        <f t="shared" si="13"/>
        <v>95.55167852626326</v>
      </c>
      <c r="N49" s="65">
        <f t="shared" si="14"/>
        <v>-10730322.11494139</v>
      </c>
      <c r="O49" s="65">
        <f t="shared" si="15"/>
        <v>-1095776.1298883399</v>
      </c>
      <c r="P49" s="75">
        <f>0.5*$C$47*M49*$C$59*F49^3 / 1000</f>
        <v>160954.83172412086</v>
      </c>
      <c r="AB49" s="100">
        <f>-AC49/(0.5*$C$47*F49^2)</f>
        <v>637.01119017508847</v>
      </c>
      <c r="AC49" s="100">
        <f>(H49+I49)*1</f>
        <v>-71535480.766275942</v>
      </c>
      <c r="AD49" s="100">
        <f t="shared" si="16"/>
        <v>-7305174.1992555996</v>
      </c>
      <c r="AE49" s="75">
        <f t="shared" si="17"/>
        <v>1073032.2114941392</v>
      </c>
    </row>
    <row r="50" spans="1:31" x14ac:dyDescent="0.2">
      <c r="A50" s="53" t="s">
        <v>67</v>
      </c>
      <c r="B50" s="52" t="s">
        <v>41</v>
      </c>
      <c r="C50" s="45">
        <f>C37</f>
        <v>2.5000000000000001E-3</v>
      </c>
      <c r="F50" s="46">
        <v>18</v>
      </c>
      <c r="G50" s="42"/>
      <c r="H50" s="65">
        <f t="shared" si="11"/>
        <v>-22072.141825230756</v>
      </c>
      <c r="I50" s="64">
        <f t="shared" si="12"/>
        <v>-102984605.73324709</v>
      </c>
      <c r="J50" s="42"/>
      <c r="M50" s="73">
        <f t="shared" si="13"/>
        <v>95.547583762965616</v>
      </c>
      <c r="N50" s="65">
        <f t="shared" si="14"/>
        <v>-15451001.681260847</v>
      </c>
      <c r="O50" s="65">
        <f t="shared" si="15"/>
        <v>-1577850.0070948449</v>
      </c>
      <c r="P50" s="75">
        <f>0.5*$C$47*M50*$C$59*F50^3 / 1000</f>
        <v>278118.03026269528</v>
      </c>
      <c r="AB50" s="100">
        <f>-AC50/(0.5*$C$47*F50^2)</f>
        <v>636.9838917531041</v>
      </c>
      <c r="AC50" s="100">
        <f>(H50+I50)*1</f>
        <v>-103006677.87507232</v>
      </c>
      <c r="AD50" s="100">
        <f t="shared" si="16"/>
        <v>-10519000.047298966</v>
      </c>
      <c r="AE50" s="75">
        <f t="shared" si="17"/>
        <v>1854120.2017513015</v>
      </c>
    </row>
    <row r="51" spans="1:31" x14ac:dyDescent="0.2">
      <c r="A51" s="53" t="s">
        <v>67</v>
      </c>
      <c r="B51" s="52" t="s">
        <v>1</v>
      </c>
      <c r="C51" s="42">
        <f>C50/C53</f>
        <v>2.5000000000000002E-6</v>
      </c>
      <c r="F51" s="46">
        <v>20</v>
      </c>
      <c r="G51" s="42"/>
      <c r="H51" s="65">
        <f t="shared" si="11"/>
        <v>-24524.602028034173</v>
      </c>
      <c r="I51" s="64">
        <f t="shared" si="12"/>
        <v>-127141488.55956429</v>
      </c>
      <c r="J51" s="42"/>
      <c r="M51" s="73">
        <f t="shared" si="13"/>
        <v>95.545536381316793</v>
      </c>
      <c r="N51" s="65">
        <f t="shared" si="14"/>
        <v>-19074901.974238846</v>
      </c>
      <c r="O51" s="65">
        <f t="shared" si="15"/>
        <v>-1947921.2310156324</v>
      </c>
      <c r="P51" s="75">
        <f>0.5*$C$47*M51*$C$59*F51^3 / 1000</f>
        <v>381498.03948477696</v>
      </c>
      <c r="AB51" s="100">
        <f>-AC51/(0.5*$C$47*F51^2)</f>
        <v>636.97024254211203</v>
      </c>
      <c r="AC51" s="100">
        <f>(H51+I51)*1</f>
        <v>-127166013.16159232</v>
      </c>
      <c r="AD51" s="100">
        <f t="shared" si="16"/>
        <v>-12986141.540104218</v>
      </c>
      <c r="AE51" s="75">
        <f t="shared" si="17"/>
        <v>2543320.2632318465</v>
      </c>
    </row>
    <row r="52" spans="1:31" x14ac:dyDescent="0.2">
      <c r="A52" s="54" t="s">
        <v>94</v>
      </c>
      <c r="B52" s="55" t="s">
        <v>95</v>
      </c>
      <c r="C52" s="42">
        <v>9.81</v>
      </c>
      <c r="F52" s="46">
        <v>22</v>
      </c>
      <c r="G52" s="42"/>
      <c r="H52" s="65">
        <f t="shared" si="11"/>
        <v>-26977.06223083759</v>
      </c>
      <c r="I52" s="64">
        <f t="shared" si="12"/>
        <v>-153841201.15707281</v>
      </c>
      <c r="J52" s="42"/>
      <c r="M52" s="73">
        <f t="shared" si="13"/>
        <v>95.543861250876859</v>
      </c>
      <c r="N52" s="65">
        <f t="shared" si="14"/>
        <v>-23080226.732895546</v>
      </c>
      <c r="O52" s="65">
        <f t="shared" si="15"/>
        <v>-2356943.3662295821</v>
      </c>
      <c r="P52" s="75">
        <f>0.5*$C$47*M52*$C$59*F52^3 / 1000</f>
        <v>507764.988123702</v>
      </c>
      <c r="AB52" s="100">
        <f>-AC52/(0.5*$C$47*F52^2)</f>
        <v>636.95907500584576</v>
      </c>
      <c r="AC52" s="100">
        <f>(H52+I52)*1</f>
        <v>-153868178.21930364</v>
      </c>
      <c r="AD52" s="100">
        <f t="shared" si="16"/>
        <v>-15712955.774863878</v>
      </c>
      <c r="AE52" s="75">
        <f t="shared" si="17"/>
        <v>3385099.9208246805</v>
      </c>
    </row>
    <row r="53" spans="1:31" x14ac:dyDescent="0.2">
      <c r="A53" s="54" t="s">
        <v>96</v>
      </c>
      <c r="B53" s="55" t="s">
        <v>7</v>
      </c>
      <c r="C53" s="42">
        <v>1000</v>
      </c>
      <c r="F53" s="46">
        <v>24</v>
      </c>
      <c r="G53" s="42"/>
      <c r="H53" s="65">
        <f t="shared" si="11"/>
        <v>-29429.52243364101</v>
      </c>
      <c r="I53" s="64">
        <f t="shared" si="12"/>
        <v>-183083743.52577257</v>
      </c>
      <c r="J53" s="42"/>
      <c r="M53" s="73">
        <f t="shared" si="13"/>
        <v>95.54246530884356</v>
      </c>
      <c r="N53" s="65">
        <f t="shared" si="14"/>
        <v>-27466975.957230929</v>
      </c>
      <c r="O53" s="65">
        <f t="shared" si="15"/>
        <v>-2804916.4127366911</v>
      </c>
      <c r="P53" s="75">
        <f>0.5*$C$47*M53*$C$59*F53^3 / 1000</f>
        <v>659207.42297354236</v>
      </c>
      <c r="AB53" s="100">
        <f>-AC53/(0.5*$C$47*F53^2)</f>
        <v>636.94976872562381</v>
      </c>
      <c r="AC53" s="100">
        <f>(H53+I53)*1</f>
        <v>-183113173.04820621</v>
      </c>
      <c r="AD53" s="100">
        <f t="shared" si="16"/>
        <v>-18699442.751577944</v>
      </c>
      <c r="AE53" s="75">
        <f t="shared" si="17"/>
        <v>4394716.1531569501</v>
      </c>
    </row>
    <row r="54" spans="1:31" x14ac:dyDescent="0.2">
      <c r="F54" s="46">
        <v>25</v>
      </c>
      <c r="G54" s="42"/>
      <c r="H54" s="65">
        <f t="shared" si="11"/>
        <v>-30655.752535042717</v>
      </c>
      <c r="I54" s="64">
        <f t="shared" si="12"/>
        <v>-198658575.87431923</v>
      </c>
      <c r="J54" s="42"/>
      <c r="M54" s="73">
        <f t="shared" si="13"/>
        <v>95.541851094348928</v>
      </c>
      <c r="N54" s="65">
        <f t="shared" si="14"/>
        <v>-29803384.74402814</v>
      </c>
      <c r="O54" s="65">
        <f t="shared" si="15"/>
        <v>-3043509.527725182</v>
      </c>
      <c r="P54" s="75">
        <f>0.5*$C$47*M54*$C$59*F54^3 / 1000</f>
        <v>745084.61860070343</v>
      </c>
      <c r="AB54" s="100">
        <f>-AC54/(0.5*$C$47*F54^2)</f>
        <v>636.94567396232628</v>
      </c>
      <c r="AC54" s="100">
        <f>(H54+I54)*1</f>
        <v>-198689231.62685427</v>
      </c>
      <c r="AD54" s="100">
        <f t="shared" si="16"/>
        <v>-20290063.518167879</v>
      </c>
      <c r="AE54" s="75">
        <f t="shared" si="17"/>
        <v>4967230.7906713579</v>
      </c>
    </row>
    <row r="55" spans="1:31" x14ac:dyDescent="0.2">
      <c r="A55" s="10" t="s">
        <v>127</v>
      </c>
      <c r="F55" s="46">
        <v>28</v>
      </c>
      <c r="G55" s="42"/>
      <c r="H55" s="65">
        <f t="shared" si="11"/>
        <v>-34334.442839247844</v>
      </c>
      <c r="I55" s="64">
        <f t="shared" si="12"/>
        <v>-249197317.57674602</v>
      </c>
      <c r="J55" s="42"/>
      <c r="M55" s="73">
        <f t="shared" si="13"/>
        <v>95.540271685648392</v>
      </c>
      <c r="N55" s="65">
        <f t="shared" si="14"/>
        <v>-37384747.802937783</v>
      </c>
      <c r="O55" s="65">
        <f t="shared" si="15"/>
        <v>-3817715.2396303937</v>
      </c>
      <c r="P55" s="75">
        <f>0.5*$C$47*M55*$C$59*F55^3 / 1000</f>
        <v>1046772.938482258</v>
      </c>
      <c r="AB55" s="100">
        <f>-AC55/(0.5*$C$47*F55^2)</f>
        <v>636.93514457098934</v>
      </c>
      <c r="AC55" s="100">
        <f>(H55+I55)*1</f>
        <v>-249231652.01958525</v>
      </c>
      <c r="AD55" s="100">
        <f t="shared" si="16"/>
        <v>-25451434.930869296</v>
      </c>
      <c r="AE55" s="75">
        <f t="shared" si="17"/>
        <v>6978486.2565483879</v>
      </c>
    </row>
    <row r="56" spans="1:31" x14ac:dyDescent="0.2">
      <c r="A56" s="17" t="s">
        <v>65</v>
      </c>
      <c r="B56" s="16" t="s">
        <v>4</v>
      </c>
      <c r="C56" s="18" t="s">
        <v>5</v>
      </c>
      <c r="F56" s="46">
        <v>30</v>
      </c>
      <c r="G56" s="42"/>
      <c r="H56" s="65">
        <f t="shared" si="11"/>
        <v>-36786.903042051257</v>
      </c>
      <c r="I56" s="64">
        <f t="shared" si="12"/>
        <v>-286068349.25901967</v>
      </c>
      <c r="J56" s="42"/>
      <c r="M56" s="64">
        <f t="shared" si="13"/>
        <v>95.539394236370356</v>
      </c>
      <c r="N56" s="65">
        <f t="shared" si="14"/>
        <v>-42915770.424309261</v>
      </c>
      <c r="O56" s="65">
        <f t="shared" si="15"/>
        <v>-4382541.0200169878</v>
      </c>
      <c r="P56" s="75">
        <f>0.5*$C$47*M56*$C$59*F56^3 / 1000</f>
        <v>1287473.1127292779</v>
      </c>
      <c r="AB56" s="100">
        <f>-AC56/(0.5*$C$47*F56^2)</f>
        <v>636.92929490913571</v>
      </c>
      <c r="AC56" s="100">
        <f>(H56+I56)*1</f>
        <v>-286105136.16206175</v>
      </c>
      <c r="AD56" s="100">
        <f t="shared" si="16"/>
        <v>-29216940.133446589</v>
      </c>
      <c r="AE56" s="75">
        <f t="shared" si="17"/>
        <v>8583154.0848618541</v>
      </c>
    </row>
    <row r="57" spans="1:31" x14ac:dyDescent="0.2">
      <c r="A57" s="54" t="s">
        <v>128</v>
      </c>
      <c r="B57" s="36" t="s">
        <v>1</v>
      </c>
      <c r="C57" s="85">
        <v>1</v>
      </c>
    </row>
    <row r="58" spans="1:31" x14ac:dyDescent="0.2">
      <c r="A58" s="54" t="s">
        <v>129</v>
      </c>
      <c r="B58" s="36" t="s">
        <v>1</v>
      </c>
      <c r="C58" s="85">
        <v>1</v>
      </c>
    </row>
    <row r="59" spans="1:31" x14ac:dyDescent="0.2">
      <c r="A59" s="54" t="s">
        <v>130</v>
      </c>
      <c r="B59" s="36" t="s">
        <v>2</v>
      </c>
      <c r="C59" s="86">
        <f>C57*C58</f>
        <v>1</v>
      </c>
      <c r="F59" s="10" t="s">
        <v>164</v>
      </c>
      <c r="H59" s="10"/>
      <c r="M59" s="101" t="s">
        <v>215</v>
      </c>
      <c r="AB59" s="101" t="s">
        <v>195</v>
      </c>
    </row>
    <row r="60" spans="1:31" x14ac:dyDescent="0.2">
      <c r="A60" s="54" t="s">
        <v>93</v>
      </c>
      <c r="B60" s="36" t="s">
        <v>1</v>
      </c>
      <c r="C60" s="11">
        <v>0.15</v>
      </c>
      <c r="F60" s="9" t="s">
        <v>9</v>
      </c>
      <c r="H60" s="9" t="s">
        <v>69</v>
      </c>
      <c r="I60" s="9" t="s">
        <v>79</v>
      </c>
      <c r="M60" s="9" t="s">
        <v>84</v>
      </c>
      <c r="N60" s="9" t="s">
        <v>40</v>
      </c>
      <c r="O60" s="9" t="s">
        <v>73</v>
      </c>
      <c r="P60" s="18" t="s">
        <v>10</v>
      </c>
      <c r="AB60" s="9" t="s">
        <v>191</v>
      </c>
      <c r="AC60" s="9" t="s">
        <v>192</v>
      </c>
      <c r="AD60" s="9" t="s">
        <v>193</v>
      </c>
      <c r="AE60" s="18" t="s">
        <v>194</v>
      </c>
    </row>
    <row r="61" spans="1:31" x14ac:dyDescent="0.2">
      <c r="A61" s="54" t="s">
        <v>138</v>
      </c>
      <c r="B61" s="36" t="s">
        <v>1</v>
      </c>
      <c r="C61" s="27">
        <v>0.01</v>
      </c>
      <c r="F61" s="9" t="s">
        <v>12</v>
      </c>
      <c r="H61" s="9" t="s">
        <v>59</v>
      </c>
      <c r="I61" s="9" t="s">
        <v>59</v>
      </c>
      <c r="M61" s="9" t="s">
        <v>58</v>
      </c>
      <c r="N61" s="9" t="s">
        <v>59</v>
      </c>
      <c r="O61" s="9" t="s">
        <v>74</v>
      </c>
      <c r="P61" s="18" t="s">
        <v>75</v>
      </c>
      <c r="AB61" s="9" t="s">
        <v>58</v>
      </c>
      <c r="AC61" s="9" t="s">
        <v>59</v>
      </c>
      <c r="AD61" s="9" t="s">
        <v>74</v>
      </c>
      <c r="AE61" s="18" t="s">
        <v>75</v>
      </c>
    </row>
    <row r="62" spans="1:31" x14ac:dyDescent="0.2">
      <c r="A62" s="54" t="s">
        <v>71</v>
      </c>
      <c r="B62" s="36" t="s">
        <v>1</v>
      </c>
      <c r="C62" s="11">
        <v>1.6850000000000001E-3</v>
      </c>
      <c r="E62" s="46"/>
      <c r="F62" s="46">
        <v>0.05</v>
      </c>
      <c r="H62" s="65">
        <f>-$C$48 * $C$119 * F62</f>
        <v>-2.0032000000000001</v>
      </c>
      <c r="I62" s="102">
        <f t="shared" ref="I62:I83" si="18" xml:space="preserve"> -0.5 * $C$47 * $C$120 * F62^2</f>
        <v>-6.6131412500000009</v>
      </c>
      <c r="J62" s="42"/>
      <c r="M62" s="50">
        <f t="shared" ref="M62:M83" si="19">-N62/(0.5*$C$47*F62^2)</f>
        <v>1.0358150589555304</v>
      </c>
      <c r="N62" s="65">
        <f t="shared" ref="N62:N83" si="20">(H62+I62)*$C$60</f>
        <v>-1.2924511875000002</v>
      </c>
      <c r="O62" s="65">
        <f t="shared" ref="O62:O83" si="21">N62/($C$47*9.81)*1000</f>
        <v>-0.13198458957129591</v>
      </c>
      <c r="P62" s="69">
        <f>0.5*$C$47*M62*$C$59*F62^3 / 1000</f>
        <v>6.4622559375000034E-5</v>
      </c>
      <c r="AB62" s="100">
        <f>-AC62/(0.5*$C$47*F62^2)</f>
        <v>6.9054337263702017</v>
      </c>
      <c r="AC62" s="100">
        <f>(H62+I62)*1</f>
        <v>-8.6163412500000014</v>
      </c>
      <c r="AD62" s="100">
        <f t="shared" ref="AD62:AD83" si="22">AC62/($C$47*9.81)*$C$53</f>
        <v>-0.87989726380863942</v>
      </c>
      <c r="AE62" s="75">
        <f>0.5*$C$47*AB62*$C$59*F62^3 / 1000</f>
        <v>4.3081706250000008E-4</v>
      </c>
    </row>
    <row r="63" spans="1:31" x14ac:dyDescent="0.2">
      <c r="A63" s="67" t="s">
        <v>148</v>
      </c>
      <c r="B63" s="36" t="s">
        <v>1</v>
      </c>
      <c r="C63" s="89">
        <f>C61-C62</f>
        <v>8.3149999999999995E-3</v>
      </c>
      <c r="E63" s="46"/>
      <c r="F63" s="46">
        <v>0.1</v>
      </c>
      <c r="H63" s="65">
        <f t="shared" ref="H63:H83" si="23">-$C$48 * $C$119 * F63</f>
        <v>-4.0064000000000002</v>
      </c>
      <c r="I63" s="102">
        <f t="shared" si="18"/>
        <v>-26.452565000000003</v>
      </c>
      <c r="J63" s="42"/>
      <c r="M63" s="70">
        <f t="shared" si="19"/>
        <v>0.91540752947776505</v>
      </c>
      <c r="N63" s="65">
        <f t="shared" si="20"/>
        <v>-4.5688447500000002</v>
      </c>
      <c r="O63" s="73">
        <f t="shared" si="21"/>
        <v>-0.46656856752179671</v>
      </c>
      <c r="P63" s="69">
        <f>0.5*$C$47*M63*$C$59*F63^3 / 1000</f>
        <v>4.5688447500000007E-4</v>
      </c>
      <c r="AB63" s="100">
        <f>-AC63/(0.5*$C$47*F63^2)</f>
        <v>6.1027168631851003</v>
      </c>
      <c r="AC63" s="100">
        <f>(H63+I63)*1</f>
        <v>-30.458965000000003</v>
      </c>
      <c r="AD63" s="100">
        <f t="shared" si="22"/>
        <v>-3.1104571168119781</v>
      </c>
      <c r="AE63" s="75">
        <f t="shared" ref="AE63:AE83" si="24">0.5*$C$47*AB63*$C$59*F63^3 / 1000</f>
        <v>3.0458964999999999E-3</v>
      </c>
    </row>
    <row r="64" spans="1:31" x14ac:dyDescent="0.2">
      <c r="A64" s="54" t="s">
        <v>66</v>
      </c>
      <c r="B64" s="36" t="s">
        <v>1</v>
      </c>
      <c r="C64" s="45">
        <f>C61</f>
        <v>0.01</v>
      </c>
      <c r="E64" s="71"/>
      <c r="F64" s="71">
        <v>0.2</v>
      </c>
      <c r="G64" s="81"/>
      <c r="H64" s="65">
        <f t="shared" si="23"/>
        <v>-8.0128000000000004</v>
      </c>
      <c r="I64" s="102">
        <f t="shared" si="18"/>
        <v>-105.81026000000001</v>
      </c>
      <c r="J64" s="77"/>
      <c r="K64" s="81"/>
      <c r="M64" s="71">
        <f t="shared" si="19"/>
        <v>0.85520376473888238</v>
      </c>
      <c r="N64" s="74">
        <f t="shared" si="20"/>
        <v>-17.073459</v>
      </c>
      <c r="O64" s="74">
        <f t="shared" si="21"/>
        <v>-1.7435346885604128</v>
      </c>
      <c r="P64" s="69">
        <f>0.5*$C$47*M64*$C$59*F64^3 / 1000</f>
        <v>3.4146917999999999E-3</v>
      </c>
      <c r="AB64" s="100">
        <f>-AC64/(0.5*$C$47*F64^2)</f>
        <v>5.7013584315925501</v>
      </c>
      <c r="AC64" s="100">
        <f>(H64+I64)*1</f>
        <v>-113.82306000000001</v>
      </c>
      <c r="AD64" s="100">
        <f t="shared" si="22"/>
        <v>-11.623564590402752</v>
      </c>
      <c r="AE64" s="75">
        <f t="shared" si="24"/>
        <v>2.2764612000000004E-2</v>
      </c>
    </row>
    <row r="65" spans="1:31" x14ac:dyDescent="0.2">
      <c r="A65" s="54" t="s">
        <v>131</v>
      </c>
      <c r="B65" s="52" t="s">
        <v>82</v>
      </c>
      <c r="C65" s="30">
        <v>90.69</v>
      </c>
      <c r="E65" s="70"/>
      <c r="F65" s="70">
        <v>0.4</v>
      </c>
      <c r="H65" s="65">
        <f t="shared" si="23"/>
        <v>-16.025600000000001</v>
      </c>
      <c r="I65" s="102">
        <f t="shared" si="18"/>
        <v>-423.24104000000005</v>
      </c>
      <c r="J65" s="42"/>
      <c r="M65" s="70">
        <f t="shared" si="19"/>
        <v>0.82510188236944126</v>
      </c>
      <c r="N65" s="65">
        <f t="shared" si="20"/>
        <v>-65.889996000000011</v>
      </c>
      <c r="O65" s="73">
        <f t="shared" si="21"/>
        <v>-6.7286595911881042</v>
      </c>
      <c r="P65" s="69">
        <f>0.5*$C$47*M65*$C$59*F65^3 / 1000</f>
        <v>2.6355998400000007E-2</v>
      </c>
      <c r="AB65" s="100">
        <f>-AC65/(0.5*$C$47*F65^2)</f>
        <v>5.5006792157962749</v>
      </c>
      <c r="AC65" s="100">
        <f>(H65+I65)*1</f>
        <v>-439.26664000000005</v>
      </c>
      <c r="AD65" s="100">
        <f t="shared" si="22"/>
        <v>-44.857730607920693</v>
      </c>
      <c r="AE65" s="75">
        <f t="shared" si="24"/>
        <v>0.17570665600000004</v>
      </c>
    </row>
    <row r="66" spans="1:31" x14ac:dyDescent="0.2">
      <c r="A66" s="54" t="s">
        <v>132</v>
      </c>
      <c r="B66" s="36" t="s">
        <v>7</v>
      </c>
      <c r="C66" s="68">
        <f>C65*C63^2/C64^2/100</f>
        <v>0.62702363152499974</v>
      </c>
      <c r="D66" s="54" t="s">
        <v>153</v>
      </c>
      <c r="E66" s="71"/>
      <c r="F66" s="71">
        <v>0.5</v>
      </c>
      <c r="G66" s="81"/>
      <c r="H66" s="65">
        <f t="shared" si="23"/>
        <v>-20.032</v>
      </c>
      <c r="I66" s="102">
        <f t="shared" si="18"/>
        <v>-661.31412499999999</v>
      </c>
      <c r="J66" s="77"/>
      <c r="K66" s="81"/>
      <c r="M66" s="71">
        <f t="shared" si="19"/>
        <v>0.81908150589555306</v>
      </c>
      <c r="N66" s="74">
        <f t="shared" si="20"/>
        <v>-102.20191875</v>
      </c>
      <c r="O66" s="74">
        <f t="shared" si="21"/>
        <v>-10.436818372777177</v>
      </c>
      <c r="P66" s="69">
        <f>0.5*$C$47*M66*$C$59*F66^3 / 1000</f>
        <v>5.1100959375000005E-2</v>
      </c>
      <c r="AB66" s="100">
        <f>-AC66/(0.5*$C$47*F66^2)</f>
        <v>5.4605433726370203</v>
      </c>
      <c r="AC66" s="100">
        <f>(H66+I66)*1</f>
        <v>-681.34612500000003</v>
      </c>
      <c r="AD66" s="100">
        <f t="shared" si="22"/>
        <v>-69.578789151847857</v>
      </c>
      <c r="AE66" s="75">
        <f t="shared" si="24"/>
        <v>0.34067306250000001</v>
      </c>
    </row>
    <row r="67" spans="1:31" x14ac:dyDescent="0.2">
      <c r="A67" s="54" t="s">
        <v>133</v>
      </c>
      <c r="B67" s="36" t="s">
        <v>7</v>
      </c>
      <c r="C67" s="68">
        <f>1-C66</f>
        <v>0.37297636847500026</v>
      </c>
      <c r="E67" s="70"/>
      <c r="F67" s="70">
        <v>0.8</v>
      </c>
      <c r="H67" s="65">
        <f t="shared" si="23"/>
        <v>-32.051200000000001</v>
      </c>
      <c r="I67" s="102">
        <f t="shared" si="18"/>
        <v>-1692.9641600000002</v>
      </c>
      <c r="J67" s="42"/>
      <c r="M67" s="70">
        <f t="shared" si="19"/>
        <v>0.81005094118472054</v>
      </c>
      <c r="N67" s="65">
        <f t="shared" si="20"/>
        <v>-258.75230400000004</v>
      </c>
      <c r="O67" s="73">
        <f t="shared" si="21"/>
        <v>-26.423680038645323</v>
      </c>
      <c r="P67" s="69">
        <f>0.5*$C$47*M67*$C$59*F67^3 / 1000</f>
        <v>0.20700184320000004</v>
      </c>
      <c r="AB67" s="100">
        <f>-AC67/(0.5*$C$47*F67^2)</f>
        <v>5.4003396078981369</v>
      </c>
      <c r="AC67" s="100">
        <f>(H67+I67)*1</f>
        <v>-1725.0153600000003</v>
      </c>
      <c r="AD67" s="100">
        <f t="shared" si="22"/>
        <v>-176.15786692430217</v>
      </c>
      <c r="AE67" s="75">
        <f t="shared" si="24"/>
        <v>1.3800122880000003</v>
      </c>
    </row>
    <row r="68" spans="1:31" x14ac:dyDescent="0.2">
      <c r="A68" s="54" t="s">
        <v>134</v>
      </c>
      <c r="B68" s="36" t="s">
        <v>7</v>
      </c>
      <c r="C68" s="63">
        <f>C63/C61</f>
        <v>0.83149999999999991</v>
      </c>
      <c r="E68" s="70"/>
      <c r="F68" s="70">
        <v>1</v>
      </c>
      <c r="G68" s="84"/>
      <c r="H68" s="65">
        <f t="shared" si="23"/>
        <v>-40.064</v>
      </c>
      <c r="I68" s="102">
        <f t="shared" si="18"/>
        <v>-2645.2565</v>
      </c>
      <c r="J68" s="83"/>
      <c r="K68" s="84"/>
      <c r="M68" s="70">
        <f t="shared" si="19"/>
        <v>0.80704075294777644</v>
      </c>
      <c r="N68" s="73">
        <f t="shared" si="20"/>
        <v>-402.79807499999998</v>
      </c>
      <c r="O68" s="73">
        <f t="shared" si="21"/>
        <v>-41.133575583474837</v>
      </c>
      <c r="P68" s="69">
        <f>0.5*$C$47*M68*$C$59*F68^3 / 1000</f>
        <v>0.40279807499999998</v>
      </c>
      <c r="AB68" s="100">
        <f>-AC68/(0.5*$C$47*F68^2)</f>
        <v>5.3802716863185092</v>
      </c>
      <c r="AC68" s="100">
        <f>(H68+I68)*1</f>
        <v>-2685.3204999999998</v>
      </c>
      <c r="AD68" s="100">
        <f t="shared" si="22"/>
        <v>-274.22383722316556</v>
      </c>
      <c r="AE68" s="75">
        <f t="shared" si="24"/>
        <v>2.6853205</v>
      </c>
    </row>
    <row r="69" spans="1:31" x14ac:dyDescent="0.2">
      <c r="A69" s="54" t="s">
        <v>135</v>
      </c>
      <c r="B69" s="36" t="s">
        <v>7</v>
      </c>
      <c r="C69" s="63">
        <f>1-C68</f>
        <v>0.16850000000000009</v>
      </c>
      <c r="E69" s="70"/>
      <c r="F69" s="70">
        <v>2</v>
      </c>
      <c r="H69" s="65">
        <f t="shared" si="23"/>
        <v>-80.128</v>
      </c>
      <c r="I69" s="102">
        <f t="shared" si="18"/>
        <v>-10581.026</v>
      </c>
      <c r="J69" s="42"/>
      <c r="M69" s="70">
        <f t="shared" si="19"/>
        <v>0.80102037647388824</v>
      </c>
      <c r="N69" s="65">
        <f t="shared" si="20"/>
        <v>-1599.1731</v>
      </c>
      <c r="O69" s="73">
        <f t="shared" si="21"/>
        <v>-163.30690651863162</v>
      </c>
      <c r="P69" s="69">
        <f>0.5*$C$47*M69*$C$59*F69^3 / 1000</f>
        <v>3.1983462</v>
      </c>
      <c r="AB69" s="100">
        <f>-AC69/(0.5*$C$47*F69^2)</f>
        <v>5.3401358431592554</v>
      </c>
      <c r="AC69" s="100">
        <f>(H69+I69)*1</f>
        <v>-10661.154</v>
      </c>
      <c r="AD69" s="100">
        <f t="shared" si="22"/>
        <v>-1088.7127101242108</v>
      </c>
      <c r="AE69" s="75">
        <f t="shared" si="24"/>
        <v>21.322308</v>
      </c>
    </row>
    <row r="70" spans="1:31" x14ac:dyDescent="0.2">
      <c r="A70" s="54" t="s">
        <v>68</v>
      </c>
      <c r="B70" s="52" t="s">
        <v>7</v>
      </c>
      <c r="C70" s="58">
        <f>C51/C63</f>
        <v>3.0066145520144324E-4</v>
      </c>
      <c r="E70" s="70"/>
      <c r="F70" s="70">
        <v>4</v>
      </c>
      <c r="H70" s="65">
        <f t="shared" si="23"/>
        <v>-160.256</v>
      </c>
      <c r="I70" s="102">
        <f t="shared" si="18"/>
        <v>-42324.103999999999</v>
      </c>
      <c r="J70" s="42"/>
      <c r="M70" s="70">
        <f t="shared" si="19"/>
        <v>0.79801018823694403</v>
      </c>
      <c r="N70" s="65">
        <f t="shared" si="20"/>
        <v>-6372.6539999999995</v>
      </c>
      <c r="O70" s="73">
        <f t="shared" si="21"/>
        <v>-650.77283444399109</v>
      </c>
      <c r="P70" s="69">
        <f>0.5*$C$47*M70*$C$59*F70^3 / 1000</f>
        <v>25.490615999999999</v>
      </c>
      <c r="AB70" s="100">
        <f>-AC70/(0.5*$C$47*F70^2)</f>
        <v>5.3200679215796276</v>
      </c>
      <c r="AC70" s="100">
        <f>(H70+I70)*1</f>
        <v>-42484.36</v>
      </c>
      <c r="AD70" s="100">
        <f t="shared" si="22"/>
        <v>-4338.4855629599406</v>
      </c>
      <c r="AE70" s="75">
        <f t="shared" si="24"/>
        <v>169.93744000000001</v>
      </c>
    </row>
    <row r="71" spans="1:31" x14ac:dyDescent="0.2">
      <c r="E71" s="70"/>
      <c r="F71" s="70">
        <v>5</v>
      </c>
      <c r="H71" s="65">
        <f t="shared" si="23"/>
        <v>-200.32</v>
      </c>
      <c r="I71" s="102">
        <f t="shared" si="18"/>
        <v>-66131.412500000006</v>
      </c>
      <c r="J71" s="42"/>
      <c r="M71" s="50">
        <f t="shared" si="19"/>
        <v>0.79740815058955539</v>
      </c>
      <c r="N71" s="65">
        <f t="shared" si="20"/>
        <v>-9949.7598750000016</v>
      </c>
      <c r="O71" s="65">
        <f t="shared" si="21"/>
        <v>-1016.0654314341937</v>
      </c>
      <c r="P71" s="69">
        <f>0.5*$C$47*M71*$C$59*F71^3 / 1000</f>
        <v>49.748799375000004</v>
      </c>
      <c r="AB71" s="100">
        <f>-AC71/(0.5*$C$47*F71^2)</f>
        <v>5.3160543372637035</v>
      </c>
      <c r="AC71" s="100">
        <f>(H71+I71)*1</f>
        <v>-66331.732500000013</v>
      </c>
      <c r="AD71" s="100">
        <f t="shared" si="22"/>
        <v>-6773.7695428946263</v>
      </c>
      <c r="AE71" s="75">
        <f t="shared" si="24"/>
        <v>331.6586625000001</v>
      </c>
    </row>
    <row r="72" spans="1:31" x14ac:dyDescent="0.2">
      <c r="A72" s="10" t="s">
        <v>100</v>
      </c>
      <c r="E72" s="70"/>
      <c r="F72" s="70">
        <v>8</v>
      </c>
      <c r="H72" s="65">
        <f t="shared" si="23"/>
        <v>-320.512</v>
      </c>
      <c r="I72" s="102">
        <f t="shared" si="18"/>
        <v>-169296.416</v>
      </c>
      <c r="J72" s="42"/>
      <c r="M72" s="50">
        <f t="shared" si="19"/>
        <v>0.79650509411847192</v>
      </c>
      <c r="N72" s="65">
        <f t="shared" si="20"/>
        <v>-25442.539199999996</v>
      </c>
      <c r="O72" s="65">
        <f t="shared" si="21"/>
        <v>-2598.1817545148924</v>
      </c>
      <c r="P72" s="69">
        <f>0.5*$C$47*M72*$C$59*F72^3 / 1000</f>
        <v>203.54031359999996</v>
      </c>
      <c r="AB72" s="100">
        <f>-AC72/(0.5*$C$47*F72^2)</f>
        <v>5.3100339607898128</v>
      </c>
      <c r="AC72" s="100">
        <f>(H72+I72)*1</f>
        <v>-169616.92799999999</v>
      </c>
      <c r="AD72" s="100">
        <f t="shared" si="22"/>
        <v>-17321.211696765953</v>
      </c>
      <c r="AE72" s="75">
        <f t="shared" si="24"/>
        <v>1356.9354239999998</v>
      </c>
    </row>
    <row r="73" spans="1:31" x14ac:dyDescent="0.2">
      <c r="A73" s="17" t="s">
        <v>3</v>
      </c>
      <c r="B73" s="18" t="s">
        <v>4</v>
      </c>
      <c r="C73" s="18" t="s">
        <v>5</v>
      </c>
      <c r="E73" s="70"/>
      <c r="F73" s="70">
        <v>10</v>
      </c>
      <c r="H73" s="65">
        <f t="shared" si="23"/>
        <v>-400.64</v>
      </c>
      <c r="I73" s="102">
        <f t="shared" si="18"/>
        <v>-264525.65000000002</v>
      </c>
      <c r="J73" s="42"/>
      <c r="M73" s="50">
        <f t="shared" si="19"/>
        <v>0.79620407529477766</v>
      </c>
      <c r="N73" s="65">
        <f t="shared" si="20"/>
        <v>-39738.943500000001</v>
      </c>
      <c r="O73" s="65">
        <f t="shared" si="21"/>
        <v>-4058.1247466604359</v>
      </c>
      <c r="P73" s="69">
        <f>0.5*$C$47*M73*$C$59*F73^3 / 1000</f>
        <v>397.38943499999999</v>
      </c>
      <c r="AB73" s="100">
        <f>-AC73/(0.5*$C$47*F73^2)</f>
        <v>5.3080271686318516</v>
      </c>
      <c r="AC73" s="100">
        <f>(H73+I73)*1</f>
        <v>-264926.29000000004</v>
      </c>
      <c r="AD73" s="100">
        <f t="shared" si="22"/>
        <v>-27054.164977736244</v>
      </c>
      <c r="AE73" s="75">
        <f t="shared" si="24"/>
        <v>2649.2629000000006</v>
      </c>
    </row>
    <row r="74" spans="1:31" x14ac:dyDescent="0.2">
      <c r="A74" s="54" t="s">
        <v>154</v>
      </c>
      <c r="B74" s="52" t="s">
        <v>82</v>
      </c>
      <c r="C74" s="42">
        <v>3</v>
      </c>
      <c r="E74" s="70"/>
      <c r="F74" s="70">
        <v>12</v>
      </c>
      <c r="H74" s="65">
        <f t="shared" si="23"/>
        <v>-480.76800000000003</v>
      </c>
      <c r="I74" s="102">
        <f t="shared" si="18"/>
        <v>-380916.93599999999</v>
      </c>
      <c r="J74" s="42"/>
      <c r="M74" s="50">
        <f t="shared" si="19"/>
        <v>0.7960033960789813</v>
      </c>
      <c r="N74" s="65">
        <f t="shared" si="20"/>
        <v>-57209.655599999991</v>
      </c>
      <c r="O74" s="65">
        <f t="shared" si="21"/>
        <v>-5842.2267602127058</v>
      </c>
      <c r="P74" s="69">
        <f>0.5*$C$47*M74*$C$59*F74^3 / 1000</f>
        <v>686.5158672</v>
      </c>
      <c r="AB74" s="100">
        <f>-AC74/(0.5*$C$47*F74^2)</f>
        <v>5.3066893071932091</v>
      </c>
      <c r="AC74" s="100">
        <f>(H74+I74)*1</f>
        <v>-381397.70399999997</v>
      </c>
      <c r="AD74" s="100">
        <f t="shared" si="22"/>
        <v>-38948.178401418038</v>
      </c>
      <c r="AE74" s="75">
        <f t="shared" si="24"/>
        <v>4576.7724479999997</v>
      </c>
    </row>
    <row r="75" spans="1:31" x14ac:dyDescent="0.2">
      <c r="A75" s="54" t="s">
        <v>106</v>
      </c>
      <c r="B75" s="52" t="s">
        <v>82</v>
      </c>
      <c r="C75" s="59">
        <v>0.375</v>
      </c>
      <c r="E75" s="70"/>
      <c r="F75" s="70">
        <v>14</v>
      </c>
      <c r="H75" s="65">
        <f t="shared" si="23"/>
        <v>-560.89599999999996</v>
      </c>
      <c r="I75" s="102">
        <f t="shared" si="18"/>
        <v>-518470.27399999998</v>
      </c>
      <c r="J75" s="42"/>
      <c r="M75" s="50">
        <f t="shared" si="19"/>
        <v>0.79586005378198399</v>
      </c>
      <c r="N75" s="65">
        <f t="shared" si="20"/>
        <v>-77854.675499999998</v>
      </c>
      <c r="O75" s="65">
        <f t="shared" si="21"/>
        <v>-7950.4877951717044</v>
      </c>
      <c r="P75" s="69">
        <f>0.5*$C$47*M75*$C$59*F75^3 / 1000</f>
        <v>1089.965457</v>
      </c>
      <c r="AB75" s="100">
        <f>-AC75/(0.5*$C$47*F75^2)</f>
        <v>5.305733691879893</v>
      </c>
      <c r="AC75" s="100">
        <f>(H75+I75)*1</f>
        <v>-519031.17</v>
      </c>
      <c r="AD75" s="100">
        <f t="shared" si="22"/>
        <v>-53003.251967811368</v>
      </c>
      <c r="AE75" s="75">
        <f t="shared" si="24"/>
        <v>7266.4363800000001</v>
      </c>
    </row>
    <row r="76" spans="1:31" x14ac:dyDescent="0.2">
      <c r="A76" s="54" t="s">
        <v>107</v>
      </c>
      <c r="B76" s="52" t="s">
        <v>82</v>
      </c>
      <c r="C76" s="42">
        <v>-0.1</v>
      </c>
      <c r="E76" s="70"/>
      <c r="F76" s="70">
        <v>15</v>
      </c>
      <c r="H76" s="65">
        <f t="shared" si="23"/>
        <v>-600.96</v>
      </c>
      <c r="I76" s="102">
        <f t="shared" si="18"/>
        <v>-595182.71250000002</v>
      </c>
      <c r="J76" s="42"/>
      <c r="M76" s="50">
        <f t="shared" si="19"/>
        <v>0.79580271686318516</v>
      </c>
      <c r="N76" s="65">
        <f t="shared" si="20"/>
        <v>-89367.550875000001</v>
      </c>
      <c r="O76" s="65">
        <f t="shared" si="21"/>
        <v>-9126.1779456787262</v>
      </c>
      <c r="P76" s="69">
        <f>0.5*$C$47*M76*$C$59*F76^3 / 1000</f>
        <v>1340.5132631250001</v>
      </c>
      <c r="AB76" s="100">
        <f>-AC76/(0.5*$C$47*F76^2)</f>
        <v>5.3053514457545674</v>
      </c>
      <c r="AC76" s="100">
        <f>(H76+I76)*1</f>
        <v>-595783.67249999999</v>
      </c>
      <c r="AD76" s="100">
        <f t="shared" si="22"/>
        <v>-60841.186304524846</v>
      </c>
      <c r="AE76" s="75">
        <f t="shared" si="24"/>
        <v>8936.7550874999997</v>
      </c>
    </row>
    <row r="77" spans="1:31" x14ac:dyDescent="0.2">
      <c r="A77" s="54" t="s">
        <v>105</v>
      </c>
      <c r="B77" s="52" t="s">
        <v>82</v>
      </c>
      <c r="C77" s="59">
        <v>0.214</v>
      </c>
      <c r="E77" s="70"/>
      <c r="F77" s="70">
        <v>18</v>
      </c>
      <c r="H77" s="65">
        <f t="shared" si="23"/>
        <v>-721.15200000000004</v>
      </c>
      <c r="I77" s="102">
        <f t="shared" si="18"/>
        <v>-857063.10600000003</v>
      </c>
      <c r="J77" s="42"/>
      <c r="M77" s="50">
        <f t="shared" si="19"/>
        <v>0.79566893071932077</v>
      </c>
      <c r="N77" s="65">
        <f t="shared" si="20"/>
        <v>-128667.6387</v>
      </c>
      <c r="O77" s="65">
        <f t="shared" si="21"/>
        <v>-13139.486929309884</v>
      </c>
      <c r="P77" s="69">
        <f>0.5*$C$47*M77*$C$59*F77^3 / 1000</f>
        <v>2316.0174965999995</v>
      </c>
      <c r="AB77" s="100">
        <f>-AC77/(0.5*$C$47*F77^2)</f>
        <v>5.304459538128806</v>
      </c>
      <c r="AC77" s="100">
        <f>(H77+I77)*1</f>
        <v>-857784.25800000003</v>
      </c>
      <c r="AD77" s="100">
        <f t="shared" si="22"/>
        <v>-87596.57952873256</v>
      </c>
      <c r="AE77" s="75">
        <f t="shared" si="24"/>
        <v>15440.116644</v>
      </c>
    </row>
    <row r="78" spans="1:31" x14ac:dyDescent="0.2">
      <c r="A78" s="54" t="s">
        <v>108</v>
      </c>
      <c r="B78" s="52" t="s">
        <v>82</v>
      </c>
      <c r="C78" s="42">
        <v>0.4</v>
      </c>
      <c r="E78" s="70"/>
      <c r="F78" s="70">
        <v>20</v>
      </c>
      <c r="H78" s="65">
        <f t="shared" si="23"/>
        <v>-801.28</v>
      </c>
      <c r="I78" s="102">
        <f t="shared" si="18"/>
        <v>-1058102.6000000001</v>
      </c>
      <c r="J78" s="42"/>
      <c r="M78" s="50">
        <f t="shared" si="19"/>
        <v>0.7956020376473889</v>
      </c>
      <c r="N78" s="65">
        <f t="shared" si="20"/>
        <v>-158835.58200000002</v>
      </c>
      <c r="O78" s="65">
        <f t="shared" si="21"/>
        <v>-16220.225028489069</v>
      </c>
      <c r="P78" s="69">
        <f>0.5*$C$47*M78*$C$59*F78^3 / 1000</f>
        <v>3176.7116400000004</v>
      </c>
      <c r="AB78" s="100">
        <f>-AC78/(0.5*$C$47*F78^2)</f>
        <v>5.3040135843159257</v>
      </c>
      <c r="AC78" s="100">
        <f>(H78+I78)*1</f>
        <v>-1058903.8800000001</v>
      </c>
      <c r="AD78" s="100">
        <f t="shared" si="22"/>
        <v>-108134.83352326046</v>
      </c>
      <c r="AE78" s="75">
        <f t="shared" si="24"/>
        <v>21178.077600000001</v>
      </c>
    </row>
    <row r="79" spans="1:31" x14ac:dyDescent="0.2">
      <c r="A79" s="54" t="s">
        <v>112</v>
      </c>
      <c r="B79" s="55" t="s">
        <v>7</v>
      </c>
      <c r="C79" s="42">
        <v>35</v>
      </c>
      <c r="E79" s="70"/>
      <c r="F79" s="70">
        <v>22</v>
      </c>
      <c r="H79" s="65">
        <f t="shared" si="23"/>
        <v>-881.40800000000002</v>
      </c>
      <c r="I79" s="102">
        <f t="shared" si="18"/>
        <v>-1280304.1459999999</v>
      </c>
      <c r="J79" s="42"/>
      <c r="M79" s="50">
        <f t="shared" si="19"/>
        <v>0.79554730695217157</v>
      </c>
      <c r="N79" s="65">
        <f t="shared" si="20"/>
        <v>-192177.83309999999</v>
      </c>
      <c r="O79" s="65">
        <f t="shared" si="21"/>
        <v>-19625.122149074974</v>
      </c>
      <c r="P79" s="69">
        <f>0.5*$C$47*M79*$C$59*F79^3 / 1000</f>
        <v>4227.9123282</v>
      </c>
      <c r="AB79" s="100">
        <f>-AC79/(0.5*$C$47*F79^2)</f>
        <v>5.3036487130144776</v>
      </c>
      <c r="AC79" s="100">
        <f>(H79+I79)*1</f>
        <v>-1281185.554</v>
      </c>
      <c r="AD79" s="100">
        <f t="shared" si="22"/>
        <v>-130834.14766049983</v>
      </c>
      <c r="AE79" s="75">
        <f t="shared" si="24"/>
        <v>28186.082187999997</v>
      </c>
    </row>
    <row r="80" spans="1:31" x14ac:dyDescent="0.2">
      <c r="A80" s="54" t="s">
        <v>111</v>
      </c>
      <c r="B80" s="55" t="s">
        <v>7</v>
      </c>
      <c r="C80" s="42">
        <v>275</v>
      </c>
      <c r="E80" s="70"/>
      <c r="F80" s="70">
        <v>24</v>
      </c>
      <c r="H80" s="65">
        <f t="shared" si="23"/>
        <v>-961.53600000000006</v>
      </c>
      <c r="I80" s="102">
        <f t="shared" si="18"/>
        <v>-1523667.7439999999</v>
      </c>
      <c r="J80" s="42"/>
      <c r="M80" s="50">
        <f t="shared" si="19"/>
        <v>0.79550169803949067</v>
      </c>
      <c r="N80" s="65">
        <f t="shared" si="20"/>
        <v>-228694.39199999999</v>
      </c>
      <c r="O80" s="65">
        <f t="shared" si="21"/>
        <v>-23354.178291067612</v>
      </c>
      <c r="P80" s="69">
        <f>0.5*$C$47*M80*$C$59*F80^3 / 1000</f>
        <v>5488.6654079999998</v>
      </c>
      <c r="AB80" s="100">
        <f>-AC80/(0.5*$C$47*F80^2)</f>
        <v>5.3033446535966053</v>
      </c>
      <c r="AC80" s="100">
        <f>(H80+I80)*1</f>
        <v>-1524629.28</v>
      </c>
      <c r="AD80" s="100">
        <f t="shared" si="22"/>
        <v>-155694.52194045077</v>
      </c>
      <c r="AE80" s="75">
        <f t="shared" si="24"/>
        <v>36591.10272000001</v>
      </c>
    </row>
    <row r="81" spans="1:31" x14ac:dyDescent="0.2">
      <c r="A81" s="54" t="s">
        <v>113</v>
      </c>
      <c r="B81" s="55" t="s">
        <v>7</v>
      </c>
      <c r="C81" s="42">
        <v>500</v>
      </c>
      <c r="E81" s="70"/>
      <c r="F81" s="70">
        <v>25</v>
      </c>
      <c r="H81" s="65">
        <f t="shared" si="23"/>
        <v>-1001.6</v>
      </c>
      <c r="I81" s="102">
        <f t="shared" si="18"/>
        <v>-1653285.3125</v>
      </c>
      <c r="J81" s="42"/>
      <c r="M81" s="50">
        <f t="shared" si="19"/>
        <v>0.79548163011791106</v>
      </c>
      <c r="N81" s="65">
        <f t="shared" si="20"/>
        <v>-248143.03687499999</v>
      </c>
      <c r="O81" s="65">
        <f t="shared" si="21"/>
        <v>-25340.265995091453</v>
      </c>
      <c r="P81" s="69">
        <f>0.5*$C$47*M81*$C$59*F81^3 / 1000</f>
        <v>6203.5759218749999</v>
      </c>
      <c r="AB81" s="100">
        <f>-AC81/(0.5*$C$47*F81^2)</f>
        <v>5.3032108674527407</v>
      </c>
      <c r="AC81" s="100">
        <f>(H81+I81)*1</f>
        <v>-1654286.9125000001</v>
      </c>
      <c r="AD81" s="100">
        <f t="shared" si="22"/>
        <v>-168935.10663394304</v>
      </c>
      <c r="AE81" s="75">
        <f t="shared" si="24"/>
        <v>41357.172812500001</v>
      </c>
    </row>
    <row r="82" spans="1:31" x14ac:dyDescent="0.2">
      <c r="E82" s="70"/>
      <c r="F82" s="70">
        <v>28</v>
      </c>
      <c r="H82" s="65">
        <f t="shared" si="23"/>
        <v>-1121.7919999999999</v>
      </c>
      <c r="I82" s="102">
        <f t="shared" si="18"/>
        <v>-2073881.0959999999</v>
      </c>
      <c r="J82" s="42"/>
      <c r="M82" s="50">
        <f t="shared" si="19"/>
        <v>0.79543002689099196</v>
      </c>
      <c r="N82" s="65">
        <f t="shared" si="20"/>
        <v>-311250.43319999997</v>
      </c>
      <c r="O82" s="65">
        <f t="shared" si="21"/>
        <v>-31784.767639273068</v>
      </c>
      <c r="P82" s="69">
        <f>0.5*$C$47*M82*$C$59*F82^3 / 1000</f>
        <v>8715.0121295999998</v>
      </c>
      <c r="AB82" s="100">
        <f>-AC82/(0.5*$C$47*F82^2)</f>
        <v>5.3028668459399464</v>
      </c>
      <c r="AC82" s="100">
        <f>(H82+I82)*1</f>
        <v>-2075002.8879999998</v>
      </c>
      <c r="AD82" s="100">
        <f t="shared" si="22"/>
        <v>-211898.45092848712</v>
      </c>
      <c r="AE82" s="75">
        <f t="shared" si="24"/>
        <v>58100.080863999996</v>
      </c>
    </row>
    <row r="83" spans="1:31" x14ac:dyDescent="0.2">
      <c r="A83" s="10" t="s">
        <v>87</v>
      </c>
      <c r="E83" s="70"/>
      <c r="F83" s="70">
        <v>30</v>
      </c>
      <c r="H83" s="65">
        <f t="shared" si="23"/>
        <v>-1201.92</v>
      </c>
      <c r="I83" s="102">
        <f t="shared" si="18"/>
        <v>-2380730.85</v>
      </c>
      <c r="J83" s="42"/>
      <c r="M83" s="50">
        <f t="shared" si="19"/>
        <v>0.79540135843159254</v>
      </c>
      <c r="N83" s="65">
        <f t="shared" si="20"/>
        <v>-357289.9155</v>
      </c>
      <c r="O83" s="65">
        <f t="shared" si="21"/>
        <v>-36486.300845485894</v>
      </c>
      <c r="P83" s="69">
        <f>0.5*$C$47*M83*$C$59*F83^3 / 1000</f>
        <v>10718.697464999999</v>
      </c>
      <c r="AB83" s="100">
        <f>-AC83/(0.5*$C$47*F83^2)</f>
        <v>5.3026757228772841</v>
      </c>
      <c r="AC83" s="100">
        <f>(H83+I83)*1</f>
        <v>-2381932.77</v>
      </c>
      <c r="AD83" s="100">
        <f t="shared" si="22"/>
        <v>-243242.0056365726</v>
      </c>
      <c r="AE83" s="75">
        <f t="shared" si="24"/>
        <v>71457.983100000012</v>
      </c>
    </row>
    <row r="84" spans="1:31" x14ac:dyDescent="0.2">
      <c r="A84" s="17" t="s">
        <v>3</v>
      </c>
      <c r="B84" s="18" t="s">
        <v>4</v>
      </c>
      <c r="C84" s="18" t="s">
        <v>5</v>
      </c>
    </row>
    <row r="85" spans="1:31" x14ac:dyDescent="0.2">
      <c r="A85" s="54" t="s">
        <v>137</v>
      </c>
      <c r="B85" s="55" t="s">
        <v>7</v>
      </c>
      <c r="C85" s="42">
        <v>4</v>
      </c>
    </row>
    <row r="86" spans="1:31" x14ac:dyDescent="0.2">
      <c r="A86" s="54" t="s">
        <v>103</v>
      </c>
      <c r="B86" s="55" t="s">
        <v>7</v>
      </c>
      <c r="C86" s="42">
        <v>6</v>
      </c>
      <c r="E86" s="28"/>
      <c r="F86" s="10" t="s">
        <v>165</v>
      </c>
      <c r="H86" s="10"/>
      <c r="M86" s="101" t="s">
        <v>215</v>
      </c>
      <c r="AB86" s="101" t="s">
        <v>195</v>
      </c>
    </row>
    <row r="87" spans="1:31" x14ac:dyDescent="0.2">
      <c r="A87" s="54" t="s">
        <v>104</v>
      </c>
      <c r="B87" s="55" t="s">
        <v>7</v>
      </c>
      <c r="C87" s="42">
        <v>1.5</v>
      </c>
      <c r="E87" s="28"/>
      <c r="F87" s="9" t="s">
        <v>9</v>
      </c>
      <c r="H87" s="9" t="s">
        <v>69</v>
      </c>
      <c r="I87" s="9" t="s">
        <v>79</v>
      </c>
      <c r="M87" s="9" t="s">
        <v>84</v>
      </c>
      <c r="N87" s="9" t="s">
        <v>40</v>
      </c>
      <c r="O87" s="9" t="s">
        <v>73</v>
      </c>
      <c r="P87" s="18" t="s">
        <v>10</v>
      </c>
      <c r="AB87" s="9" t="s">
        <v>191</v>
      </c>
      <c r="AC87" s="9" t="s">
        <v>192</v>
      </c>
      <c r="AD87" s="9" t="s">
        <v>193</v>
      </c>
      <c r="AE87" s="18" t="s">
        <v>194</v>
      </c>
    </row>
    <row r="88" spans="1:31" x14ac:dyDescent="0.2">
      <c r="A88" s="54" t="s">
        <v>101</v>
      </c>
      <c r="B88" s="55" t="s">
        <v>7</v>
      </c>
      <c r="C88" s="42">
        <v>150</v>
      </c>
      <c r="F88" s="9" t="s">
        <v>12</v>
      </c>
      <c r="H88" s="9" t="s">
        <v>59</v>
      </c>
      <c r="I88" s="9" t="s">
        <v>59</v>
      </c>
      <c r="M88" s="9" t="s">
        <v>58</v>
      </c>
      <c r="N88" s="9" t="s">
        <v>59</v>
      </c>
      <c r="O88" s="9" t="s">
        <v>74</v>
      </c>
      <c r="P88" s="18" t="s">
        <v>75</v>
      </c>
      <c r="AB88" s="9" t="s">
        <v>58</v>
      </c>
      <c r="AC88" s="9" t="s">
        <v>59</v>
      </c>
      <c r="AD88" s="9" t="s">
        <v>74</v>
      </c>
      <c r="AE88" s="18" t="s">
        <v>75</v>
      </c>
    </row>
    <row r="89" spans="1:31" x14ac:dyDescent="0.2">
      <c r="A89" s="54" t="s">
        <v>102</v>
      </c>
      <c r="B89" s="55" t="s">
        <v>7</v>
      </c>
      <c r="C89" s="42">
        <v>1.75</v>
      </c>
      <c r="F89" s="46">
        <v>0.05</v>
      </c>
      <c r="H89" s="65">
        <f>-$C$48 * $C$125 * F89</f>
        <v>-2.0032000000000001</v>
      </c>
      <c r="I89" s="102">
        <f xml:space="preserve"> -0.5 * $C$47 * $C$126 * F89^2</f>
        <v>-6.8626937500000018</v>
      </c>
      <c r="J89" s="42"/>
      <c r="M89" s="50">
        <f t="shared" ref="M89:M110" si="25">-N89/(0.5*$C$47*F89^2)</f>
        <v>1.0658150589555302</v>
      </c>
      <c r="N89" s="65">
        <f t="shared" ref="N89:N110" si="26">(H89+I89)*$C$60</f>
        <v>-1.3298840625000001</v>
      </c>
      <c r="O89" s="65">
        <f t="shared" ref="O89:O110" si="27">N89/($C$47*9.81)*1000</f>
        <v>-0.13580721954071487</v>
      </c>
      <c r="P89" s="69">
        <f>0.5*$C$47*M89*$C$59*F89^3 / 1000</f>
        <v>6.6494203124999992E-5</v>
      </c>
      <c r="AB89" s="100">
        <f>-AC89/(0.5*$C$47*F89^2)</f>
        <v>7.1054337263702019</v>
      </c>
      <c r="AC89" s="100">
        <f>(H89+I89)*1</f>
        <v>-8.8658937500000015</v>
      </c>
      <c r="AD89" s="100">
        <f t="shared" ref="AD89:AD110" si="28">AC89/($C$47*9.81)*$C$53</f>
        <v>-0.9053814636047659</v>
      </c>
      <c r="AE89" s="75">
        <f>0.5*$C$47*AB89*$C$59*F89^3 / 1000</f>
        <v>4.4329468750000007E-4</v>
      </c>
    </row>
    <row r="90" spans="1:31" x14ac:dyDescent="0.2">
      <c r="E90" s="54"/>
      <c r="F90" s="46">
        <v>0.1</v>
      </c>
      <c r="H90" s="65">
        <f t="shared" ref="H90:H110" si="29">-$C$48 * $C$125 * F90</f>
        <v>-4.0064000000000002</v>
      </c>
      <c r="I90" s="102">
        <f t="shared" ref="I90:I110" si="30" xml:space="preserve"> -0.5 * $C$47 * $C$126 * F90^2</f>
        <v>-27.450775000000007</v>
      </c>
      <c r="J90" s="42"/>
      <c r="M90" s="70">
        <f t="shared" si="25"/>
        <v>0.94540752947776507</v>
      </c>
      <c r="N90" s="65">
        <f t="shared" si="26"/>
        <v>-4.7185762500000008</v>
      </c>
      <c r="O90" s="73">
        <f t="shared" si="27"/>
        <v>-0.48185908739947259</v>
      </c>
      <c r="P90" s="69">
        <f>0.5*$C$47*M90*$C$59*F90^3 / 1000</f>
        <v>4.7185762500000006E-4</v>
      </c>
      <c r="AB90" s="100">
        <f>-AC90/(0.5*$C$47*F90^2)</f>
        <v>6.3027168631851014</v>
      </c>
      <c r="AC90" s="100">
        <f>(H90+I90)*1</f>
        <v>-31.457175000000007</v>
      </c>
      <c r="AD90" s="100">
        <f t="shared" si="28"/>
        <v>-3.2123939159964841</v>
      </c>
      <c r="AE90" s="75">
        <f t="shared" ref="AE90:AE110" si="31">0.5*$C$47*AB90*$C$59*F90^3 / 1000</f>
        <v>3.1457175000000007E-3</v>
      </c>
    </row>
    <row r="91" spans="1:31" x14ac:dyDescent="0.2">
      <c r="A91" s="10" t="s">
        <v>126</v>
      </c>
      <c r="E91" s="54"/>
      <c r="F91" s="46">
        <v>0.2</v>
      </c>
      <c r="G91" s="81"/>
      <c r="H91" s="65">
        <f t="shared" si="29"/>
        <v>-8.0128000000000004</v>
      </c>
      <c r="I91" s="102">
        <f t="shared" si="30"/>
        <v>-109.80310000000003</v>
      </c>
      <c r="J91" s="77"/>
      <c r="K91" s="81"/>
      <c r="M91" s="71">
        <f t="shared" si="25"/>
        <v>0.88520376473888251</v>
      </c>
      <c r="N91" s="74">
        <f t="shared" si="26"/>
        <v>-17.672385000000002</v>
      </c>
      <c r="O91" s="74">
        <f t="shared" si="27"/>
        <v>-1.8046967680711163</v>
      </c>
      <c r="P91" s="69">
        <f>0.5*$C$47*M91*$C$59*F91^3 / 1000</f>
        <v>3.5344770000000007E-3</v>
      </c>
      <c r="AB91" s="100">
        <f>-AC91/(0.5*$C$47*F91^2)</f>
        <v>5.9013584315925502</v>
      </c>
      <c r="AC91" s="100">
        <f>(H91+I91)*1</f>
        <v>-117.81590000000003</v>
      </c>
      <c r="AD91" s="100">
        <f t="shared" si="28"/>
        <v>-12.031311787140778</v>
      </c>
      <c r="AE91" s="75">
        <f t="shared" si="31"/>
        <v>2.3563180000000006E-2</v>
      </c>
    </row>
    <row r="92" spans="1:31" x14ac:dyDescent="0.2">
      <c r="A92" s="17" t="s">
        <v>3</v>
      </c>
      <c r="B92" s="18" t="s">
        <v>4</v>
      </c>
      <c r="C92" s="18" t="s">
        <v>5</v>
      </c>
      <c r="F92" s="46">
        <v>0.4</v>
      </c>
      <c r="H92" s="65">
        <f t="shared" si="29"/>
        <v>-16.025600000000001</v>
      </c>
      <c r="I92" s="102">
        <f t="shared" si="30"/>
        <v>-439.21240000000012</v>
      </c>
      <c r="J92" s="42"/>
      <c r="M92" s="70">
        <f t="shared" si="25"/>
        <v>0.85510188236944129</v>
      </c>
      <c r="N92" s="65">
        <f t="shared" si="26"/>
        <v>-68.28570000000002</v>
      </c>
      <c r="O92" s="73">
        <f t="shared" si="27"/>
        <v>-6.9733079092309183</v>
      </c>
      <c r="P92" s="69">
        <f>0.5*$C$47*M92*$C$59*F92^3 / 1000</f>
        <v>2.7314280000000007E-2</v>
      </c>
      <c r="AB92" s="100">
        <f>-AC92/(0.5*$C$47*F92^2)</f>
        <v>5.7006792157962751</v>
      </c>
      <c r="AC92" s="100">
        <f>(H92+I92)*1</f>
        <v>-455.23800000000011</v>
      </c>
      <c r="AD92" s="100">
        <f t="shared" si="28"/>
        <v>-46.488719394872795</v>
      </c>
      <c r="AE92" s="75">
        <f t="shared" si="31"/>
        <v>0.18209520000000007</v>
      </c>
    </row>
    <row r="93" spans="1:31" x14ac:dyDescent="0.2">
      <c r="A93" s="54" t="s">
        <v>118</v>
      </c>
      <c r="B93" s="41" t="s">
        <v>1</v>
      </c>
      <c r="C93" s="47">
        <f>PI()*C63</f>
        <v>2.6122342914599129E-2</v>
      </c>
      <c r="F93" s="46">
        <v>0.5</v>
      </c>
      <c r="G93" s="81"/>
      <c r="H93" s="65">
        <f t="shared" si="29"/>
        <v>-20.032</v>
      </c>
      <c r="I93" s="102">
        <f t="shared" si="30"/>
        <v>-686.26937500000008</v>
      </c>
      <c r="J93" s="77"/>
      <c r="K93" s="81"/>
      <c r="M93" s="71">
        <f t="shared" si="25"/>
        <v>0.84908150589555309</v>
      </c>
      <c r="N93" s="74">
        <f t="shared" si="26"/>
        <v>-105.94520625000001</v>
      </c>
      <c r="O93" s="74">
        <f t="shared" si="27"/>
        <v>-10.819081369719074</v>
      </c>
      <c r="P93" s="69">
        <f>0.5*$C$47*M93*$C$59*F93^3 / 1000</f>
        <v>5.2972603125000003E-2</v>
      </c>
      <c r="AB93" s="100">
        <f>-AC93/(0.5*$C$47*F93^2)</f>
        <v>5.6605433726370213</v>
      </c>
      <c r="AC93" s="100">
        <f>(H93+I93)*1</f>
        <v>-706.30137500000012</v>
      </c>
      <c r="AD93" s="100">
        <f t="shared" si="28"/>
        <v>-72.127209131460503</v>
      </c>
      <c r="AE93" s="75">
        <f t="shared" si="31"/>
        <v>0.35315068750000006</v>
      </c>
    </row>
    <row r="94" spans="1:31" x14ac:dyDescent="0.2">
      <c r="A94" s="54" t="s">
        <v>119</v>
      </c>
      <c r="B94" s="52" t="s">
        <v>2</v>
      </c>
      <c r="C94" s="47">
        <f>C93*C60</f>
        <v>3.918351437189869E-3</v>
      </c>
      <c r="E94" s="54"/>
      <c r="F94" s="46">
        <v>0.8</v>
      </c>
      <c r="H94" s="65">
        <f t="shared" si="29"/>
        <v>-32.051200000000001</v>
      </c>
      <c r="I94" s="102">
        <f t="shared" si="30"/>
        <v>-1756.8496000000005</v>
      </c>
      <c r="J94" s="42"/>
      <c r="M94" s="70">
        <f t="shared" si="25"/>
        <v>0.84005094118472068</v>
      </c>
      <c r="N94" s="65">
        <f t="shared" si="26"/>
        <v>-268.33512000000007</v>
      </c>
      <c r="O94" s="73">
        <f t="shared" si="27"/>
        <v>-27.402273310816579</v>
      </c>
      <c r="P94" s="69">
        <f>0.5*$C$47*M94*$C$59*F94^3 / 1000</f>
        <v>0.21466809600000009</v>
      </c>
      <c r="AB94" s="100">
        <f>-AC94/(0.5*$C$47*F94^2)</f>
        <v>5.600339607898138</v>
      </c>
      <c r="AC94" s="100">
        <f>(H94+I94)*1</f>
        <v>-1788.9008000000006</v>
      </c>
      <c r="AD94" s="100">
        <f t="shared" si="28"/>
        <v>-182.68182207211052</v>
      </c>
      <c r="AE94" s="75">
        <f t="shared" si="31"/>
        <v>1.4311206400000005</v>
      </c>
    </row>
    <row r="95" spans="1:31" x14ac:dyDescent="0.2">
      <c r="A95" s="54" t="s">
        <v>121</v>
      </c>
      <c r="B95" s="52" t="s">
        <v>2</v>
      </c>
      <c r="C95" s="62">
        <f>(C63/2)^2*PI()</f>
        <v>5.4301820333722928E-5</v>
      </c>
      <c r="D95" s="10"/>
      <c r="F95" s="46">
        <v>1</v>
      </c>
      <c r="G95" s="84"/>
      <c r="H95" s="65">
        <f t="shared" si="29"/>
        <v>-40.064</v>
      </c>
      <c r="I95" s="102">
        <f t="shared" si="30"/>
        <v>-2745.0775000000003</v>
      </c>
      <c r="J95" s="83"/>
      <c r="K95" s="84"/>
      <c r="M95" s="70">
        <f t="shared" si="25"/>
        <v>0.83704075294777647</v>
      </c>
      <c r="N95" s="73">
        <f t="shared" si="26"/>
        <v>-417.77122500000002</v>
      </c>
      <c r="O95" s="73">
        <f t="shared" si="27"/>
        <v>-42.662627571242432</v>
      </c>
      <c r="P95" s="69">
        <f>0.5*$C$47*M95*$C$59*F95^3 / 1000</f>
        <v>0.41777122500000002</v>
      </c>
      <c r="AB95" s="100">
        <f>-AC95/(0.5*$C$47*F95^2)</f>
        <v>5.5802716863185102</v>
      </c>
      <c r="AC95" s="100">
        <f>(H95+I95)*1</f>
        <v>-2785.1415000000002</v>
      </c>
      <c r="AD95" s="100">
        <f t="shared" si="28"/>
        <v>-284.41751714161614</v>
      </c>
      <c r="AE95" s="75">
        <f t="shared" si="31"/>
        <v>2.7851415000000004</v>
      </c>
    </row>
    <row r="96" spans="1:31" x14ac:dyDescent="0.2">
      <c r="A96" s="54" t="s">
        <v>120</v>
      </c>
      <c r="B96" s="52" t="s">
        <v>85</v>
      </c>
      <c r="C96" s="47">
        <f>C60*C95</f>
        <v>8.1452730500584385E-6</v>
      </c>
      <c r="F96" s="46">
        <v>2</v>
      </c>
      <c r="H96" s="65">
        <f t="shared" si="29"/>
        <v>-80.128</v>
      </c>
      <c r="I96" s="102">
        <f t="shared" si="30"/>
        <v>-10980.310000000001</v>
      </c>
      <c r="J96" s="42"/>
      <c r="M96" s="70">
        <f t="shared" si="25"/>
        <v>0.83102037647388838</v>
      </c>
      <c r="N96" s="65">
        <f t="shared" si="26"/>
        <v>-1659.0657000000003</v>
      </c>
      <c r="O96" s="73">
        <f t="shared" si="27"/>
        <v>-169.42311446970197</v>
      </c>
      <c r="P96" s="69">
        <f>0.5*$C$47*M96*$C$59*F96^3 / 1000</f>
        <v>3.3181314000000008</v>
      </c>
      <c r="AB96" s="100">
        <f>-AC96/(0.5*$C$47*F96^2)</f>
        <v>5.5401358431592556</v>
      </c>
      <c r="AC96" s="100">
        <f>(H96+I96)*1</f>
        <v>-11060.438000000002</v>
      </c>
      <c r="AD96" s="100">
        <f t="shared" si="28"/>
        <v>-1129.4874297980134</v>
      </c>
      <c r="AE96" s="75">
        <f t="shared" si="31"/>
        <v>22.120876000000003</v>
      </c>
    </row>
    <row r="97" spans="1:31" x14ac:dyDescent="0.2">
      <c r="A97" s="54" t="s">
        <v>139</v>
      </c>
      <c r="B97" s="55" t="s">
        <v>1</v>
      </c>
      <c r="C97" s="47">
        <f>$C$85 * C95 / C93</f>
        <v>8.3149999999999977E-3</v>
      </c>
      <c r="F97" s="46">
        <v>4</v>
      </c>
      <c r="H97" s="65">
        <f t="shared" si="29"/>
        <v>-160.256</v>
      </c>
      <c r="I97" s="102">
        <f t="shared" si="30"/>
        <v>-43921.240000000005</v>
      </c>
      <c r="J97" s="42"/>
      <c r="M97" s="70">
        <f t="shared" si="25"/>
        <v>0.82801018823694417</v>
      </c>
      <c r="N97" s="65">
        <f t="shared" si="26"/>
        <v>-6612.224400000001</v>
      </c>
      <c r="O97" s="73">
        <f t="shared" si="27"/>
        <v>-675.23766624827238</v>
      </c>
      <c r="P97" s="69">
        <f>0.5*$C$47*M97*$C$59*F97^3 / 1000</f>
        <v>26.448897600000002</v>
      </c>
      <c r="AB97" s="100">
        <f>-AC97/(0.5*$C$47*F97^2)</f>
        <v>5.5200679215796278</v>
      </c>
      <c r="AC97" s="100">
        <f>(H97+I97)*1</f>
        <v>-44081.496000000006</v>
      </c>
      <c r="AD97" s="100">
        <f t="shared" si="28"/>
        <v>-4501.5844416551499</v>
      </c>
      <c r="AE97" s="75">
        <f t="shared" si="31"/>
        <v>176.32598400000003</v>
      </c>
    </row>
    <row r="98" spans="1:31" x14ac:dyDescent="0.2">
      <c r="A98" s="66" t="s">
        <v>146</v>
      </c>
      <c r="B98" s="41" t="s">
        <v>7</v>
      </c>
      <c r="C98" s="57">
        <f>$C$87 * ((1-$C$66)/$C$66) * C97</f>
        <v>7.4190947867312776E-3</v>
      </c>
      <c r="F98" s="46">
        <v>5</v>
      </c>
      <c r="H98" s="65">
        <f t="shared" si="29"/>
        <v>-200.32</v>
      </c>
      <c r="I98" s="102">
        <f t="shared" si="30"/>
        <v>-68626.937500000015</v>
      </c>
      <c r="J98" s="42"/>
      <c r="M98" s="50">
        <f t="shared" si="25"/>
        <v>0.82740815058955552</v>
      </c>
      <c r="N98" s="65">
        <f t="shared" si="26"/>
        <v>-10324.088625000002</v>
      </c>
      <c r="O98" s="65">
        <f t="shared" si="27"/>
        <v>-1054.2917311283834</v>
      </c>
      <c r="P98" s="69">
        <f>0.5*$C$47*M98*$C$59*F98^3 / 1000</f>
        <v>51.620443125000016</v>
      </c>
      <c r="AB98" s="100">
        <f>-AC98/(0.5*$C$47*F98^2)</f>
        <v>5.5160543372637036</v>
      </c>
      <c r="AC98" s="100">
        <f>(H98+I98)*1</f>
        <v>-68827.257500000022</v>
      </c>
      <c r="AD98" s="100">
        <f t="shared" si="28"/>
        <v>-7028.6115408558908</v>
      </c>
      <c r="AE98" s="75">
        <f t="shared" si="31"/>
        <v>344.13628750000009</v>
      </c>
    </row>
    <row r="99" spans="1:31" x14ac:dyDescent="0.2">
      <c r="A99" s="56" t="s">
        <v>151</v>
      </c>
      <c r="B99" s="52" t="s">
        <v>7</v>
      </c>
      <c r="C99" s="44">
        <f>($C$88 / C97^2) * (($C$67)^2 / $C$66^3)</f>
        <v>1224271.2673739104</v>
      </c>
      <c r="F99" s="46">
        <v>8</v>
      </c>
      <c r="H99" s="65">
        <f t="shared" si="29"/>
        <v>-320.512</v>
      </c>
      <c r="I99" s="102">
        <f t="shared" si="30"/>
        <v>-175684.96000000002</v>
      </c>
      <c r="J99" s="42"/>
      <c r="M99" s="50">
        <f t="shared" si="25"/>
        <v>0.82650509411847206</v>
      </c>
      <c r="N99" s="65">
        <f t="shared" si="26"/>
        <v>-26400.820800000001</v>
      </c>
      <c r="O99" s="65">
        <f t="shared" si="27"/>
        <v>-2696.0410817320185</v>
      </c>
      <c r="P99" s="69">
        <f>0.5*$C$47*M99*$C$59*F99^3 / 1000</f>
        <v>211.20656640000001</v>
      </c>
      <c r="AB99" s="100">
        <f>-AC99/(0.5*$C$47*F99^2)</f>
        <v>5.5100339607898139</v>
      </c>
      <c r="AC99" s="100">
        <f>(H99+I99)*1</f>
        <v>-176005.47200000001</v>
      </c>
      <c r="AD99" s="100">
        <f t="shared" si="28"/>
        <v>-17973.60721154679</v>
      </c>
      <c r="AE99" s="75">
        <f t="shared" si="31"/>
        <v>1408.043776</v>
      </c>
    </row>
    <row r="100" spans="1:31" x14ac:dyDescent="0.2">
      <c r="A100" s="56" t="s">
        <v>152</v>
      </c>
      <c r="B100" s="52" t="s">
        <v>7</v>
      </c>
      <c r="C100" s="61">
        <f>($C$89 / C97) * (($C$67) / $C$66^3)</f>
        <v>318.42369982159136</v>
      </c>
      <c r="F100" s="46">
        <v>10</v>
      </c>
      <c r="H100" s="65">
        <f t="shared" si="29"/>
        <v>-400.64</v>
      </c>
      <c r="I100" s="102">
        <f t="shared" si="30"/>
        <v>-274507.75000000006</v>
      </c>
      <c r="J100" s="42"/>
      <c r="M100" s="50">
        <f t="shared" si="25"/>
        <v>0.82620407529477791</v>
      </c>
      <c r="N100" s="65">
        <f t="shared" si="26"/>
        <v>-41236.258500000011</v>
      </c>
      <c r="O100" s="65">
        <f t="shared" si="27"/>
        <v>-4211.0299454371952</v>
      </c>
      <c r="P100" s="69">
        <f>0.5*$C$47*M100*$C$59*F100^3 / 1000</f>
        <v>412.36258500000014</v>
      </c>
      <c r="AB100" s="100">
        <f>-AC100/(0.5*$C$47*F100^2)</f>
        <v>5.5080271686318527</v>
      </c>
      <c r="AC100" s="100">
        <f>(H100+I100)*1</f>
        <v>-274908.39000000007</v>
      </c>
      <c r="AD100" s="100">
        <f t="shared" si="28"/>
        <v>-28073.532969581302</v>
      </c>
      <c r="AE100" s="75">
        <f t="shared" si="31"/>
        <v>2749.083900000001</v>
      </c>
    </row>
    <row r="101" spans="1:31" x14ac:dyDescent="0.2">
      <c r="A101" s="56" t="s">
        <v>150</v>
      </c>
      <c r="B101" s="41" t="s">
        <v>7</v>
      </c>
      <c r="C101" s="60">
        <f>C99*$C$48</f>
        <v>1226.2301014017087</v>
      </c>
      <c r="F101" s="46">
        <v>12</v>
      </c>
      <c r="H101" s="65">
        <f t="shared" si="29"/>
        <v>-480.76800000000003</v>
      </c>
      <c r="I101" s="102">
        <f t="shared" si="30"/>
        <v>-395291.16000000003</v>
      </c>
      <c r="J101" s="42"/>
      <c r="M101" s="50">
        <f t="shared" si="25"/>
        <v>0.82600339607898143</v>
      </c>
      <c r="N101" s="65">
        <f t="shared" si="26"/>
        <v>-59365.789199999999</v>
      </c>
      <c r="O101" s="65">
        <f t="shared" si="27"/>
        <v>-6062.410246451238</v>
      </c>
      <c r="P101" s="69">
        <f>0.5*$C$47*M101*$C$59*F101^3 / 1000</f>
        <v>712.38947040000016</v>
      </c>
      <c r="AB101" s="100">
        <f>-AC101/(0.5*$C$47*F101^2)</f>
        <v>5.5066893071932101</v>
      </c>
      <c r="AC101" s="100">
        <f>(H101+I101)*1</f>
        <v>-395771.92800000001</v>
      </c>
      <c r="AD101" s="100">
        <f t="shared" si="28"/>
        <v>-40416.068309674927</v>
      </c>
      <c r="AE101" s="75">
        <f t="shared" si="31"/>
        <v>4749.2631360000005</v>
      </c>
    </row>
    <row r="102" spans="1:31" x14ac:dyDescent="0.2">
      <c r="A102" s="56" t="s">
        <v>149</v>
      </c>
      <c r="B102" s="41" t="s">
        <v>7</v>
      </c>
      <c r="C102" s="61">
        <f>C100*$C$47</f>
        <v>317853.72139891074</v>
      </c>
      <c r="F102" s="46">
        <v>14</v>
      </c>
      <c r="H102" s="65">
        <f t="shared" si="29"/>
        <v>-560.89599999999996</v>
      </c>
      <c r="I102" s="102">
        <f t="shared" si="30"/>
        <v>-538035.19000000006</v>
      </c>
      <c r="J102" s="42"/>
      <c r="M102" s="50">
        <f t="shared" si="25"/>
        <v>0.82586005378198402</v>
      </c>
      <c r="N102" s="65">
        <f t="shared" si="26"/>
        <v>-80789.412899999996</v>
      </c>
      <c r="O102" s="65">
        <f t="shared" si="27"/>
        <v>-8250.1819847741517</v>
      </c>
      <c r="P102" s="69">
        <f>0.5*$C$47*M102*$C$59*F102^3 / 1000</f>
        <v>1131.0517806</v>
      </c>
      <c r="AB102" s="100">
        <f>-AC102/(0.5*$C$47*F102^2)</f>
        <v>5.5057336918798931</v>
      </c>
      <c r="AC102" s="100">
        <f>(H102+I102)*1</f>
        <v>-538596.08600000001</v>
      </c>
      <c r="AD102" s="100">
        <f t="shared" si="28"/>
        <v>-55001.213231827678</v>
      </c>
      <c r="AE102" s="75">
        <f t="shared" si="31"/>
        <v>7540.3452040000002</v>
      </c>
    </row>
    <row r="103" spans="1:31" x14ac:dyDescent="0.2">
      <c r="F103" s="46">
        <v>15</v>
      </c>
      <c r="H103" s="65">
        <f t="shared" si="29"/>
        <v>-600.96</v>
      </c>
      <c r="I103" s="102">
        <f t="shared" si="30"/>
        <v>-617642.43750000012</v>
      </c>
      <c r="J103" s="42"/>
      <c r="M103" s="50">
        <f t="shared" si="25"/>
        <v>0.82580271686318518</v>
      </c>
      <c r="N103" s="65">
        <f t="shared" si="26"/>
        <v>-92736.509625000006</v>
      </c>
      <c r="O103" s="65">
        <f t="shared" si="27"/>
        <v>-9470.214642926434</v>
      </c>
      <c r="P103" s="69">
        <f>0.5*$C$47*M103*$C$59*F103^3 / 1000</f>
        <v>1391.0476443750001</v>
      </c>
      <c r="AB103" s="100">
        <f>-AC103/(0.5*$C$47*F103^2)</f>
        <v>5.5053514457545685</v>
      </c>
      <c r="AC103" s="100">
        <f>(H103+I103)*1</f>
        <v>-618243.39750000008</v>
      </c>
      <c r="AD103" s="100">
        <f t="shared" si="28"/>
        <v>-63134.764286176229</v>
      </c>
      <c r="AE103" s="75">
        <f t="shared" si="31"/>
        <v>9273.6509625000017</v>
      </c>
    </row>
    <row r="104" spans="1:31" x14ac:dyDescent="0.2">
      <c r="A104" s="10" t="s">
        <v>136</v>
      </c>
      <c r="F104" s="46">
        <v>18</v>
      </c>
      <c r="H104" s="65">
        <f t="shared" si="29"/>
        <v>-721.15200000000004</v>
      </c>
      <c r="I104" s="102">
        <f t="shared" si="30"/>
        <v>-889405.1100000001</v>
      </c>
      <c r="J104" s="42"/>
      <c r="M104" s="50">
        <f t="shared" si="25"/>
        <v>0.82566893071932079</v>
      </c>
      <c r="N104" s="65">
        <f t="shared" si="26"/>
        <v>-133518.9393</v>
      </c>
      <c r="O104" s="65">
        <f t="shared" si="27"/>
        <v>-13634.899773346582</v>
      </c>
      <c r="P104" s="69">
        <f>0.5*$C$47*M104*$C$59*F104^3 / 1000</f>
        <v>2403.3409074000001</v>
      </c>
      <c r="AB104" s="100">
        <f>-AC104/(0.5*$C$47*F104^2)</f>
        <v>5.5044595381288062</v>
      </c>
      <c r="AC104" s="100">
        <f>(H104+I104)*1</f>
        <v>-890126.2620000001</v>
      </c>
      <c r="AD104" s="100">
        <f t="shared" si="28"/>
        <v>-90899.33182231056</v>
      </c>
      <c r="AE104" s="75">
        <f t="shared" si="31"/>
        <v>16022.272716000001</v>
      </c>
    </row>
    <row r="105" spans="1:31" x14ac:dyDescent="0.2">
      <c r="A105" s="17" t="s">
        <v>3</v>
      </c>
      <c r="B105" s="18" t="s">
        <v>4</v>
      </c>
      <c r="C105" s="18" t="s">
        <v>5</v>
      </c>
      <c r="F105" s="46">
        <v>20</v>
      </c>
      <c r="H105" s="65">
        <f t="shared" si="29"/>
        <v>-801.28</v>
      </c>
      <c r="I105" s="102">
        <f t="shared" si="30"/>
        <v>-1098031.0000000002</v>
      </c>
      <c r="J105" s="42"/>
      <c r="M105" s="50">
        <f t="shared" si="25"/>
        <v>0.82560203764738904</v>
      </c>
      <c r="N105" s="65">
        <f t="shared" si="26"/>
        <v>-164824.84200000003</v>
      </c>
      <c r="O105" s="65">
        <f t="shared" si="27"/>
        <v>-16831.845823596104</v>
      </c>
      <c r="P105" s="69">
        <f>0.5*$C$47*M105*$C$59*F105^3 / 1000</f>
        <v>3296.4968400000012</v>
      </c>
      <c r="AB105" s="100">
        <f>-AC105/(0.5*$C$47*F105^2)</f>
        <v>5.5040135843159268</v>
      </c>
      <c r="AC105" s="100">
        <f>(H105+I105)*1</f>
        <v>-1098832.2800000003</v>
      </c>
      <c r="AD105" s="100">
        <f t="shared" si="28"/>
        <v>-112212.30549064069</v>
      </c>
      <c r="AE105" s="75">
        <f t="shared" si="31"/>
        <v>21976.645600000011</v>
      </c>
    </row>
    <row r="106" spans="1:31" x14ac:dyDescent="0.2">
      <c r="A106" s="54" t="s">
        <v>122</v>
      </c>
      <c r="B106" s="55" t="s">
        <v>1</v>
      </c>
      <c r="C106" s="47">
        <f>C61 / SQRT(3) * 6</f>
        <v>3.4641016151377546E-2</v>
      </c>
      <c r="F106" s="46">
        <v>22</v>
      </c>
      <c r="H106" s="65">
        <f t="shared" si="29"/>
        <v>-881.40800000000002</v>
      </c>
      <c r="I106" s="102">
        <f t="shared" si="30"/>
        <v>-1328617.5100000002</v>
      </c>
      <c r="J106" s="42"/>
      <c r="M106" s="50">
        <f t="shared" si="25"/>
        <v>0.82554730695217182</v>
      </c>
      <c r="N106" s="65">
        <f t="shared" si="26"/>
        <v>-199424.83770000003</v>
      </c>
      <c r="O106" s="65">
        <f t="shared" si="27"/>
        <v>-20365.183311154487</v>
      </c>
      <c r="P106" s="69">
        <f>0.5*$C$47*M106*$C$59*F106^3 / 1000</f>
        <v>4387.3464294000005</v>
      </c>
      <c r="AB106" s="100">
        <f>-AC106/(0.5*$C$47*F106^2)</f>
        <v>5.5036487130144787</v>
      </c>
      <c r="AC106" s="100">
        <f>(H106+I106)*1</f>
        <v>-1329498.9180000003</v>
      </c>
      <c r="AD106" s="100">
        <f t="shared" si="28"/>
        <v>-135767.88874102992</v>
      </c>
      <c r="AE106" s="75">
        <f t="shared" si="31"/>
        <v>29248.976196000007</v>
      </c>
    </row>
    <row r="107" spans="1:31" x14ac:dyDescent="0.2">
      <c r="A107" s="54" t="s">
        <v>123</v>
      </c>
      <c r="B107" s="41" t="s">
        <v>2</v>
      </c>
      <c r="C107" s="47">
        <f>C60*C106</f>
        <v>5.1961524227066317E-3</v>
      </c>
      <c r="F107" s="46">
        <v>24</v>
      </c>
      <c r="H107" s="65">
        <f t="shared" si="29"/>
        <v>-961.53600000000006</v>
      </c>
      <c r="I107" s="102">
        <f t="shared" si="30"/>
        <v>-1581164.6400000001</v>
      </c>
      <c r="J107" s="42"/>
      <c r="M107" s="50">
        <f t="shared" si="25"/>
        <v>0.82550169803949081</v>
      </c>
      <c r="N107" s="65">
        <f t="shared" si="26"/>
        <v>-237318.92640000003</v>
      </c>
      <c r="O107" s="65">
        <f t="shared" si="27"/>
        <v>-24234.912236021741</v>
      </c>
      <c r="P107" s="69">
        <f>0.5*$C$47*M107*$C$59*F107^3 / 1000</f>
        <v>5695.6542336000011</v>
      </c>
      <c r="AB107" s="100">
        <f>-AC107/(0.5*$C$47*F107^2)</f>
        <v>5.5033446535966055</v>
      </c>
      <c r="AC107" s="100">
        <f>(H107+I107)*1</f>
        <v>-1582126.1760000002</v>
      </c>
      <c r="AD107" s="100">
        <f t="shared" si="28"/>
        <v>-161566.0815734783</v>
      </c>
      <c r="AE107" s="75">
        <f t="shared" si="31"/>
        <v>37971.028224000009</v>
      </c>
    </row>
    <row r="108" spans="1:31" x14ac:dyDescent="0.2">
      <c r="A108" s="54" t="s">
        <v>124</v>
      </c>
      <c r="B108" s="52" t="s">
        <v>2</v>
      </c>
      <c r="C108" s="47">
        <f>2*SQRT(3)*(C61/2)^2</f>
        <v>8.6602540378443864E-5</v>
      </c>
      <c r="F108" s="46">
        <v>25</v>
      </c>
      <c r="H108" s="65">
        <f t="shared" si="29"/>
        <v>-1001.6</v>
      </c>
      <c r="I108" s="102">
        <f t="shared" si="30"/>
        <v>-1715673.4375000002</v>
      </c>
      <c r="J108" s="42"/>
      <c r="M108" s="50">
        <f t="shared" si="25"/>
        <v>0.8254816301179112</v>
      </c>
      <c r="N108" s="65">
        <f t="shared" si="26"/>
        <v>-257501.25562500005</v>
      </c>
      <c r="O108" s="65">
        <f t="shared" si="27"/>
        <v>-26295.923487446198</v>
      </c>
      <c r="P108" s="69">
        <f>0.5*$C$47*M108*$C$59*F108^3 / 1000</f>
        <v>6437.5313906250021</v>
      </c>
      <c r="AB108" s="100">
        <f>-AC108/(0.5*$C$47*F108^2)</f>
        <v>5.5032108674527418</v>
      </c>
      <c r="AC108" s="100">
        <f>(H108+I108)*1</f>
        <v>-1716675.0375000003</v>
      </c>
      <c r="AD108" s="100">
        <f t="shared" si="28"/>
        <v>-175306.15658297465</v>
      </c>
      <c r="AE108" s="75">
        <f t="shared" si="31"/>
        <v>42916.875937500008</v>
      </c>
    </row>
    <row r="109" spans="1:31" x14ac:dyDescent="0.2">
      <c r="A109" s="54" t="s">
        <v>125</v>
      </c>
      <c r="B109" s="52" t="s">
        <v>85</v>
      </c>
      <c r="C109" s="47">
        <f>C108*C60</f>
        <v>1.2990381056766579E-5</v>
      </c>
      <c r="D109" s="47"/>
      <c r="F109" s="46">
        <v>28</v>
      </c>
      <c r="H109" s="65">
        <f t="shared" si="29"/>
        <v>-1121.7919999999999</v>
      </c>
      <c r="I109" s="102">
        <f t="shared" si="30"/>
        <v>-2152140.7600000002</v>
      </c>
      <c r="J109" s="42"/>
      <c r="M109" s="50">
        <f t="shared" si="25"/>
        <v>0.8254300268909921</v>
      </c>
      <c r="N109" s="65">
        <f t="shared" si="26"/>
        <v>-322989.38280000002</v>
      </c>
      <c r="O109" s="65">
        <f t="shared" si="27"/>
        <v>-32983.544397682854</v>
      </c>
      <c r="P109" s="69">
        <f>0.5*$C$47*M109*$C$59*F109^3 / 1000</f>
        <v>9043.7027184000017</v>
      </c>
      <c r="AB109" s="100">
        <f>-AC109/(0.5*$C$47*F109^2)</f>
        <v>5.5028668459399475</v>
      </c>
      <c r="AC109" s="100">
        <f>(H109+I109)*1</f>
        <v>-2153262.5520000001</v>
      </c>
      <c r="AD109" s="100">
        <f t="shared" si="28"/>
        <v>-219890.29598455239</v>
      </c>
      <c r="AE109" s="75">
        <f t="shared" si="31"/>
        <v>60291.351456000019</v>
      </c>
    </row>
    <row r="110" spans="1:31" x14ac:dyDescent="0.2">
      <c r="A110" s="53" t="s">
        <v>86</v>
      </c>
      <c r="B110" s="52" t="s">
        <v>1</v>
      </c>
      <c r="C110" s="47">
        <f>$C$85 * C109 / C107</f>
        <v>0.01</v>
      </c>
      <c r="F110" s="46">
        <v>30</v>
      </c>
      <c r="H110" s="65">
        <f t="shared" si="29"/>
        <v>-1201.92</v>
      </c>
      <c r="I110" s="102">
        <f t="shared" si="30"/>
        <v>-2470569.7500000005</v>
      </c>
      <c r="J110" s="42"/>
      <c r="M110" s="50">
        <f t="shared" si="25"/>
        <v>0.82540135843159257</v>
      </c>
      <c r="N110" s="65">
        <f t="shared" si="26"/>
        <v>-370765.75050000002</v>
      </c>
      <c r="O110" s="65">
        <f t="shared" si="27"/>
        <v>-37862.447634476717</v>
      </c>
      <c r="P110" s="69">
        <f>0.5*$C$47*M110*$C$59*F110^3 / 1000</f>
        <v>11122.972515000001</v>
      </c>
      <c r="AB110" s="100">
        <f>-AC110/(0.5*$C$47*F110^2)</f>
        <v>5.5026757228772842</v>
      </c>
      <c r="AC110" s="100">
        <f>(H110+I110)*1</f>
        <v>-2471771.6700000004</v>
      </c>
      <c r="AD110" s="100">
        <f t="shared" si="28"/>
        <v>-252416.31756317816</v>
      </c>
      <c r="AE110" s="75">
        <f t="shared" si="31"/>
        <v>74153.150100000013</v>
      </c>
    </row>
    <row r="111" spans="1:31" x14ac:dyDescent="0.2">
      <c r="A111" s="66" t="s">
        <v>146</v>
      </c>
      <c r="B111" s="41" t="s">
        <v>7</v>
      </c>
      <c r="C111" s="57">
        <f>$C$87 * ((1-$C$66)/$C$66) * C110</f>
        <v>8.9225433394242697E-3</v>
      </c>
    </row>
    <row r="112" spans="1:31" x14ac:dyDescent="0.2">
      <c r="A112" s="56" t="s">
        <v>151</v>
      </c>
      <c r="B112" s="52" t="s">
        <v>7</v>
      </c>
      <c r="C112" s="44">
        <f>($C$88 / C110^2) * (($C$67)^2 / $C$66^3)</f>
        <v>846451.66615999897</v>
      </c>
    </row>
    <row r="113" spans="1:31" x14ac:dyDescent="0.2">
      <c r="A113" s="56" t="s">
        <v>152</v>
      </c>
      <c r="B113" s="52" t="s">
        <v>7</v>
      </c>
      <c r="C113" s="61">
        <f>($C$89 / C110) * (($C$67) / $C$66^3)</f>
        <v>264.76930640165318</v>
      </c>
      <c r="F113" s="10" t="s">
        <v>214</v>
      </c>
      <c r="H113" s="10" t="s">
        <v>161</v>
      </c>
      <c r="M113" s="101" t="s">
        <v>215</v>
      </c>
      <c r="AB113" s="101" t="s">
        <v>195</v>
      </c>
    </row>
    <row r="114" spans="1:31" x14ac:dyDescent="0.2">
      <c r="A114" s="56" t="s">
        <v>150</v>
      </c>
      <c r="B114" s="41" t="s">
        <v>7</v>
      </c>
      <c r="C114" s="60">
        <f>C112*$C$48</f>
        <v>847.80598882585502</v>
      </c>
      <c r="F114" s="9" t="s">
        <v>9</v>
      </c>
      <c r="H114" s="9" t="s">
        <v>69</v>
      </c>
      <c r="I114" s="9" t="s">
        <v>79</v>
      </c>
      <c r="M114" s="9" t="s">
        <v>84</v>
      </c>
      <c r="N114" s="9" t="s">
        <v>40</v>
      </c>
      <c r="O114" s="9" t="s">
        <v>73</v>
      </c>
      <c r="P114" s="18" t="s">
        <v>10</v>
      </c>
      <c r="AB114" s="9" t="s">
        <v>191</v>
      </c>
      <c r="AC114" s="9" t="s">
        <v>192</v>
      </c>
      <c r="AD114" s="9" t="s">
        <v>193</v>
      </c>
      <c r="AE114" s="18" t="s">
        <v>194</v>
      </c>
    </row>
    <row r="115" spans="1:31" x14ac:dyDescent="0.2">
      <c r="A115" s="56" t="s">
        <v>149</v>
      </c>
      <c r="B115" s="41" t="s">
        <v>7</v>
      </c>
      <c r="C115" s="61">
        <f>C113*$C$47</f>
        <v>264295.36934319424</v>
      </c>
      <c r="F115" s="9" t="s">
        <v>12</v>
      </c>
      <c r="H115" s="9" t="s">
        <v>59</v>
      </c>
      <c r="I115" s="9" t="s">
        <v>59</v>
      </c>
      <c r="M115" s="9" t="s">
        <v>58</v>
      </c>
      <c r="N115" s="9" t="s">
        <v>59</v>
      </c>
      <c r="O115" s="9" t="s">
        <v>74</v>
      </c>
      <c r="P115" s="18" t="s">
        <v>75</v>
      </c>
      <c r="AB115" s="9" t="s">
        <v>58</v>
      </c>
      <c r="AC115" s="9" t="s">
        <v>59</v>
      </c>
      <c r="AD115" s="9" t="s">
        <v>74</v>
      </c>
      <c r="AE115" s="18" t="s">
        <v>75</v>
      </c>
    </row>
    <row r="116" spans="1:31" x14ac:dyDescent="0.2">
      <c r="F116" s="46">
        <f>F8</f>
        <v>0.05</v>
      </c>
      <c r="H116" s="65">
        <f t="shared" ref="H116:H137" si="32">-$C$48 * $C$131 * F116</f>
        <v>-35.056000000003067</v>
      </c>
      <c r="I116" s="102">
        <f t="shared" ref="I116:I137" si="33" xml:space="preserve"> -0.5 * $C$47 * $C$132 * F116^2</f>
        <v>-6.2388125000000016</v>
      </c>
      <c r="J116" s="42"/>
      <c r="M116" s="50">
        <f t="shared" ref="M116:M137" si="34">-N116/(0.5*$C$47*F116^2)</f>
        <v>4.9642635317221497</v>
      </c>
      <c r="N116" s="65">
        <f t="shared" ref="N116:N137" si="35">(H116+I116)*$C$60</f>
        <v>-6.1942218750004603</v>
      </c>
      <c r="O116" s="65">
        <f t="shared" ref="O116:O137" si="36">N116/($C$47*9.81)*1000</f>
        <v>-0.63255141841515672</v>
      </c>
      <c r="P116" s="69">
        <f>0.5*$C$47*M116*$C$59*F116^3 / 1000</f>
        <v>3.0971109375002305E-4</v>
      </c>
      <c r="AB116" s="100">
        <f>-AC116/(0.5*$C$47*F116^2)</f>
        <v>33.095090211481001</v>
      </c>
      <c r="AC116" s="100">
        <f>(H116+I116)*1</f>
        <v>-41.294812500003069</v>
      </c>
      <c r="AD116" s="100">
        <f t="shared" ref="AD116:AD137" si="37">AC116/($C$47*9.81)*$C$53</f>
        <v>-4.2170094561010449</v>
      </c>
      <c r="AE116" s="75">
        <f>0.5*$C$47*AB116*$C$59*F116^3 / 1000</f>
        <v>2.0647406250001534E-3</v>
      </c>
    </row>
    <row r="117" spans="1:31" x14ac:dyDescent="0.2">
      <c r="A117" s="10" t="s">
        <v>164</v>
      </c>
      <c r="B117" s="9"/>
      <c r="F117" s="46">
        <v>0.1</v>
      </c>
      <c r="H117" s="65">
        <f t="shared" si="32"/>
        <v>-70.112000000006134</v>
      </c>
      <c r="I117" s="102">
        <f t="shared" si="33"/>
        <v>-24.955250000000007</v>
      </c>
      <c r="J117" s="42"/>
      <c r="M117" s="70">
        <f t="shared" si="34"/>
        <v>2.8571317658610749</v>
      </c>
      <c r="N117" s="65">
        <f t="shared" si="35"/>
        <v>-14.260087500000921</v>
      </c>
      <c r="O117" s="73">
        <f t="shared" si="36"/>
        <v>-1.4562343353012615</v>
      </c>
      <c r="P117" s="69">
        <f>0.5*$C$47*M117*$C$59*F117^3 / 1000</f>
        <v>1.4260087500000923E-3</v>
      </c>
      <c r="AB117" s="100">
        <f>-AC117/(0.5*$C$47*F117^2)</f>
        <v>19.0475451057405</v>
      </c>
      <c r="AC117" s="100">
        <f>(H117+I117)*1</f>
        <v>-95.06725000000614</v>
      </c>
      <c r="AD117" s="100">
        <f t="shared" si="37"/>
        <v>-9.7082289020084094</v>
      </c>
      <c r="AE117" s="75">
        <f t="shared" ref="AE117:AE137" si="38">0.5*$C$47*AB117*$C$59*F117^3 / 1000</f>
        <v>9.5067250000006164E-3</v>
      </c>
    </row>
    <row r="118" spans="1:31" x14ac:dyDescent="0.2">
      <c r="A118" s="17" t="s">
        <v>3</v>
      </c>
      <c r="B118" s="18" t="s">
        <v>4</v>
      </c>
      <c r="C118" s="18" t="s">
        <v>5</v>
      </c>
      <c r="F118" s="71">
        <v>0.2</v>
      </c>
      <c r="G118" s="81"/>
      <c r="H118" s="65">
        <f t="shared" si="32"/>
        <v>-140.22400000001227</v>
      </c>
      <c r="I118" s="102">
        <f t="shared" si="33"/>
        <v>-99.821000000000026</v>
      </c>
      <c r="J118" s="77"/>
      <c r="K118" s="81"/>
      <c r="M118" s="71">
        <f t="shared" si="34"/>
        <v>1.8035658829305374</v>
      </c>
      <c r="N118" s="74">
        <f t="shared" si="35"/>
        <v>-36.006750000001844</v>
      </c>
      <c r="O118" s="74">
        <f t="shared" si="36"/>
        <v>-3.6769946644863154</v>
      </c>
      <c r="P118" s="69">
        <f>0.5*$C$47*M118*$C$59*F118^3 / 1000</f>
        <v>7.2013500000003691E-3</v>
      </c>
      <c r="AB118" s="100">
        <f>-AC118/(0.5*$C$47*F118^2)</f>
        <v>12.02377255287025</v>
      </c>
      <c r="AC118" s="100">
        <f>(H118+I118)*1</f>
        <v>-240.04500000001229</v>
      </c>
      <c r="AD118" s="100">
        <f t="shared" si="37"/>
        <v>-24.5132977632421</v>
      </c>
      <c r="AE118" s="75">
        <f t="shared" si="38"/>
        <v>4.8009000000002466E-2</v>
      </c>
    </row>
    <row r="119" spans="1:31" x14ac:dyDescent="0.2">
      <c r="A119" s="40" t="s">
        <v>70</v>
      </c>
      <c r="B119" s="41" t="s">
        <v>7</v>
      </c>
      <c r="C119" s="51">
        <v>40000</v>
      </c>
      <c r="F119" s="70">
        <v>0.4</v>
      </c>
      <c r="H119" s="65">
        <f t="shared" si="32"/>
        <v>-280.44800000002454</v>
      </c>
      <c r="I119" s="102">
        <f t="shared" si="33"/>
        <v>-399.28400000000011</v>
      </c>
      <c r="J119" s="42"/>
      <c r="M119" s="70">
        <f t="shared" si="34"/>
        <v>1.2767829414652687</v>
      </c>
      <c r="N119" s="65">
        <f t="shared" si="35"/>
        <v>-101.9598000000037</v>
      </c>
      <c r="O119" s="73">
        <f t="shared" si="36"/>
        <v>-10.412093304507799</v>
      </c>
      <c r="P119" s="69">
        <f>0.5*$C$47*M119*$C$59*F119^3 / 1000</f>
        <v>4.0783920000001479E-2</v>
      </c>
      <c r="AB119" s="100">
        <f>-AC119/(0.5*$C$47*F119^2)</f>
        <v>8.5118862764351242</v>
      </c>
      <c r="AC119" s="100">
        <f>(H119+I119)*1</f>
        <v>-679.73200000002464</v>
      </c>
      <c r="AD119" s="100">
        <f t="shared" si="37"/>
        <v>-69.413955363385327</v>
      </c>
      <c r="AE119" s="75">
        <f t="shared" si="38"/>
        <v>0.27189280000000987</v>
      </c>
    </row>
    <row r="120" spans="1:31" x14ac:dyDescent="0.2">
      <c r="A120" s="103" t="s">
        <v>196</v>
      </c>
      <c r="B120" s="41" t="s">
        <v>7</v>
      </c>
      <c r="C120" s="51">
        <v>5.3</v>
      </c>
      <c r="F120" s="71">
        <v>0.5</v>
      </c>
      <c r="G120" s="81"/>
      <c r="H120" s="65">
        <f t="shared" si="32"/>
        <v>-350.56000000003064</v>
      </c>
      <c r="I120" s="102">
        <f t="shared" si="33"/>
        <v>-623.88125000000002</v>
      </c>
      <c r="J120" s="77"/>
      <c r="K120" s="81"/>
      <c r="M120" s="71">
        <f t="shared" si="34"/>
        <v>1.1714263531722149</v>
      </c>
      <c r="N120" s="74">
        <f t="shared" si="35"/>
        <v>-146.16618750000458</v>
      </c>
      <c r="O120" s="74">
        <f t="shared" si="36"/>
        <v>-14.926431615344224</v>
      </c>
      <c r="P120" s="69">
        <f>0.5*$C$47*M120*$C$59*F120^3 / 1000</f>
        <v>7.3083093750002298E-2</v>
      </c>
      <c r="AB120" s="100">
        <f>-AC120/(0.5*$C$47*F120^2)</f>
        <v>7.8095090211481004</v>
      </c>
      <c r="AC120" s="100">
        <f>(H120+I120)*1</f>
        <v>-974.44125000003066</v>
      </c>
      <c r="AD120" s="100">
        <f t="shared" si="37"/>
        <v>-99.509544102294839</v>
      </c>
      <c r="AE120" s="75">
        <f t="shared" si="38"/>
        <v>0.48722062500001534</v>
      </c>
    </row>
    <row r="121" spans="1:31" x14ac:dyDescent="0.2">
      <c r="A121" s="97"/>
      <c r="B121" s="98"/>
      <c r="C121" s="47"/>
      <c r="F121" s="70">
        <v>0.8</v>
      </c>
      <c r="H121" s="65">
        <f t="shared" si="32"/>
        <v>-560.89600000004907</v>
      </c>
      <c r="I121" s="102">
        <f t="shared" si="33"/>
        <v>-1597.1360000000004</v>
      </c>
      <c r="J121" s="42"/>
      <c r="M121" s="70">
        <f t="shared" si="34"/>
        <v>1.0133914707326341</v>
      </c>
      <c r="N121" s="65">
        <f t="shared" si="35"/>
        <v>-323.70480000000737</v>
      </c>
      <c r="O121" s="73">
        <f t="shared" si="36"/>
        <v>-33.056602511156271</v>
      </c>
      <c r="P121" s="69">
        <f>0.5*$C$47*M121*$C$59*F121^3 / 1000</f>
        <v>0.25896384000000588</v>
      </c>
      <c r="AB121" s="100">
        <f>-AC121/(0.5*$C$47*F121^2)</f>
        <v>6.7559431382175612</v>
      </c>
      <c r="AC121" s="100">
        <f>(H121+I121)*1</f>
        <v>-2158.0320000000493</v>
      </c>
      <c r="AD121" s="100">
        <f t="shared" si="37"/>
        <v>-220.37735007437513</v>
      </c>
      <c r="AE121" s="75">
        <f t="shared" si="38"/>
        <v>1.7264256000000393</v>
      </c>
    </row>
    <row r="122" spans="1:31" x14ac:dyDescent="0.2">
      <c r="D122" s="29"/>
      <c r="F122" s="70">
        <v>1</v>
      </c>
      <c r="G122" s="84"/>
      <c r="H122" s="65">
        <f t="shared" si="32"/>
        <v>-701.12000000006128</v>
      </c>
      <c r="I122" s="102">
        <f t="shared" si="33"/>
        <v>-2495.5250000000001</v>
      </c>
      <c r="J122" s="83"/>
      <c r="K122" s="84"/>
      <c r="M122" s="70">
        <f t="shared" si="34"/>
        <v>0.96071317658610744</v>
      </c>
      <c r="N122" s="73">
        <f t="shared" si="35"/>
        <v>-479.49675000000917</v>
      </c>
      <c r="O122" s="73">
        <f t="shared" si="36"/>
        <v>-48.966013077783245</v>
      </c>
      <c r="P122" s="69">
        <f>0.5*$C$47*M122*$C$59*F122^3 / 1000</f>
        <v>0.47949675000000919</v>
      </c>
      <c r="AB122" s="100">
        <f>-AC122/(0.5*$C$47*F122^2)</f>
        <v>6.4047545105740502</v>
      </c>
      <c r="AC122" s="100">
        <f>(H122+I122)*1</f>
        <v>-3196.6450000000614</v>
      </c>
      <c r="AD122" s="100">
        <f t="shared" si="37"/>
        <v>-326.44008718522167</v>
      </c>
      <c r="AE122" s="75">
        <f t="shared" si="38"/>
        <v>3.1966450000000615</v>
      </c>
    </row>
    <row r="123" spans="1:31" x14ac:dyDescent="0.2">
      <c r="A123" s="10" t="s">
        <v>165</v>
      </c>
      <c r="B123" s="9"/>
      <c r="D123" s="29"/>
      <c r="F123" s="70">
        <v>2</v>
      </c>
      <c r="H123" s="65">
        <f t="shared" si="32"/>
        <v>-1402.2400000001226</v>
      </c>
      <c r="I123" s="102">
        <f t="shared" si="33"/>
        <v>-9982.1</v>
      </c>
      <c r="J123" s="42"/>
      <c r="M123" s="70">
        <f t="shared" si="34"/>
        <v>0.85535658829305383</v>
      </c>
      <c r="N123" s="65">
        <f t="shared" si="35"/>
        <v>-1707.6510000000185</v>
      </c>
      <c r="O123" s="73">
        <f t="shared" si="36"/>
        <v>-174.3846255439457</v>
      </c>
      <c r="P123" s="69">
        <f>0.5*$C$47*M123*$C$59*F123^3 / 1000</f>
        <v>3.4153020000000369</v>
      </c>
      <c r="AB123" s="100">
        <f>-AC123/(0.5*$C$47*F123^2)</f>
        <v>5.7023772552870255</v>
      </c>
      <c r="AC123" s="100">
        <f>(H123+I123)*1</f>
        <v>-11384.340000000124</v>
      </c>
      <c r="AD123" s="100">
        <f t="shared" si="37"/>
        <v>-1162.5641702929715</v>
      </c>
      <c r="AE123" s="75">
        <f t="shared" si="38"/>
        <v>22.768680000000248</v>
      </c>
    </row>
    <row r="124" spans="1:31" x14ac:dyDescent="0.2">
      <c r="A124" s="17" t="s">
        <v>3</v>
      </c>
      <c r="B124" s="18" t="s">
        <v>4</v>
      </c>
      <c r="C124" s="18" t="s">
        <v>5</v>
      </c>
      <c r="D124" s="29"/>
      <c r="F124" s="70">
        <v>4</v>
      </c>
      <c r="H124" s="65">
        <f t="shared" si="32"/>
        <v>-2804.4800000002451</v>
      </c>
      <c r="I124" s="102">
        <f t="shared" si="33"/>
        <v>-39928.400000000001</v>
      </c>
      <c r="J124" s="42"/>
      <c r="M124" s="70">
        <f t="shared" si="34"/>
        <v>0.80267829414652681</v>
      </c>
      <c r="N124" s="65">
        <f t="shared" si="35"/>
        <v>-6409.9320000000362</v>
      </c>
      <c r="O124" s="73">
        <f t="shared" si="36"/>
        <v>-654.57964864140808</v>
      </c>
      <c r="P124" s="69">
        <f>0.5*$C$47*M124*$C$59*F124^3 / 1000</f>
        <v>25.639728000000144</v>
      </c>
      <c r="AB124" s="100">
        <f>-AC124/(0.5*$C$47*F124^2)</f>
        <v>5.3511886276435119</v>
      </c>
      <c r="AC124" s="100">
        <f>(H124+I124)*1</f>
        <v>-42732.880000000245</v>
      </c>
      <c r="AD124" s="100">
        <f t="shared" si="37"/>
        <v>-4363.8643242760545</v>
      </c>
      <c r="AE124" s="75">
        <f t="shared" si="38"/>
        <v>170.93152000000097</v>
      </c>
    </row>
    <row r="125" spans="1:31" x14ac:dyDescent="0.2">
      <c r="A125" s="40" t="s">
        <v>70</v>
      </c>
      <c r="B125" s="41" t="s">
        <v>7</v>
      </c>
      <c r="C125" s="51">
        <v>40000</v>
      </c>
      <c r="F125" s="70">
        <v>5</v>
      </c>
      <c r="H125" s="65">
        <f t="shared" si="32"/>
        <v>-3505.6000000003064</v>
      </c>
      <c r="I125" s="102">
        <f t="shared" si="33"/>
        <v>-62388.125</v>
      </c>
      <c r="J125" s="42"/>
      <c r="M125" s="50">
        <f t="shared" si="34"/>
        <v>0.79214263531722151</v>
      </c>
      <c r="N125" s="65">
        <f t="shared" si="35"/>
        <v>-9884.0587500000456</v>
      </c>
      <c r="O125" s="65">
        <f t="shared" si="36"/>
        <v>-1009.3560592727082</v>
      </c>
      <c r="P125" s="69">
        <f>0.5*$C$47*M125*$C$59*F125^3 / 1000</f>
        <v>49.420293750000226</v>
      </c>
      <c r="AB125" s="100">
        <f>-AC125/(0.5*$C$47*F125^2)</f>
        <v>5.2809509021148102</v>
      </c>
      <c r="AC125" s="100">
        <f>(H125+I125)*1</f>
        <v>-65893.725000000311</v>
      </c>
      <c r="AD125" s="100">
        <f t="shared" si="37"/>
        <v>-6729.0403951513881</v>
      </c>
      <c r="AE125" s="75">
        <f t="shared" si="38"/>
        <v>329.46862500000157</v>
      </c>
    </row>
    <row r="126" spans="1:31" x14ac:dyDescent="0.2">
      <c r="A126" s="103" t="s">
        <v>196</v>
      </c>
      <c r="B126" s="41" t="s">
        <v>7</v>
      </c>
      <c r="C126" s="51">
        <v>5.5</v>
      </c>
      <c r="F126" s="70">
        <v>8</v>
      </c>
      <c r="H126" s="65">
        <f t="shared" si="32"/>
        <v>-5608.9600000004903</v>
      </c>
      <c r="I126" s="102">
        <f t="shared" si="33"/>
        <v>-159713.60000000001</v>
      </c>
      <c r="J126" s="42"/>
      <c r="M126" s="50">
        <f t="shared" si="34"/>
        <v>0.77633914707326346</v>
      </c>
      <c r="N126" s="65">
        <f t="shared" si="35"/>
        <v>-24798.384000000075</v>
      </c>
      <c r="O126" s="65">
        <f t="shared" si="36"/>
        <v>-2532.4008874968836</v>
      </c>
      <c r="P126" s="69">
        <f>0.5*$C$47*M126*$C$59*F126^3 / 1000</f>
        <v>198.38707200000059</v>
      </c>
      <c r="AB126" s="100">
        <f>-AC126/(0.5*$C$47*F126^2)</f>
        <v>5.1755943138217564</v>
      </c>
      <c r="AC126" s="100">
        <f>(H126+I126)*1</f>
        <v>-165322.56000000049</v>
      </c>
      <c r="AD126" s="100">
        <f t="shared" si="37"/>
        <v>-16882.672583312557</v>
      </c>
      <c r="AE126" s="75">
        <f t="shared" si="38"/>
        <v>1322.5804800000039</v>
      </c>
    </row>
    <row r="127" spans="1:31" x14ac:dyDescent="0.2">
      <c r="A127" s="97"/>
      <c r="B127" s="98"/>
      <c r="C127" s="47"/>
      <c r="F127" s="70">
        <v>10</v>
      </c>
      <c r="H127" s="65">
        <f t="shared" si="32"/>
        <v>-7011.2000000006128</v>
      </c>
      <c r="I127" s="102">
        <f t="shared" si="33"/>
        <v>-249552.5</v>
      </c>
      <c r="J127" s="42"/>
      <c r="M127" s="50">
        <f t="shared" si="34"/>
        <v>0.77107131765861081</v>
      </c>
      <c r="N127" s="65">
        <f t="shared" si="35"/>
        <v>-38484.555000000095</v>
      </c>
      <c r="O127" s="65">
        <f t="shared" si="36"/>
        <v>-3930.0271032548967</v>
      </c>
      <c r="P127" s="69">
        <f>0.5*$C$47*M127*$C$59*F127^3 / 1000</f>
        <v>384.84555000000097</v>
      </c>
      <c r="AB127" s="100">
        <f>-AC127/(0.5*$C$47*F127^2)</f>
        <v>5.1404754510574051</v>
      </c>
      <c r="AC127" s="100">
        <f>(H127+I127)*1</f>
        <v>-256563.70000000062</v>
      </c>
      <c r="AD127" s="100">
        <f t="shared" si="37"/>
        <v>-26200.180688365974</v>
      </c>
      <c r="AE127" s="75">
        <f t="shared" si="38"/>
        <v>2565.6370000000061</v>
      </c>
    </row>
    <row r="128" spans="1:31" x14ac:dyDescent="0.2">
      <c r="F128" s="70">
        <v>12</v>
      </c>
      <c r="H128" s="65">
        <f t="shared" si="32"/>
        <v>-8413.4400000007354</v>
      </c>
      <c r="I128" s="102">
        <f t="shared" si="33"/>
        <v>-359355.60000000003</v>
      </c>
      <c r="J128" s="42"/>
      <c r="M128" s="50">
        <f t="shared" si="34"/>
        <v>0.76755943138217575</v>
      </c>
      <c r="N128" s="65">
        <f t="shared" si="35"/>
        <v>-55165.356000000116</v>
      </c>
      <c r="O128" s="65">
        <f t="shared" si="36"/>
        <v>-5633.4637165664262</v>
      </c>
      <c r="P128" s="69">
        <f>0.5*$C$47*M128*$C$59*F128^3 / 1000</f>
        <v>661.9842720000014</v>
      </c>
      <c r="AB128" s="100">
        <f>-AC128/(0.5*$C$47*F128^2)</f>
        <v>5.1170628758811718</v>
      </c>
      <c r="AC128" s="100">
        <f>(H128+I128)*1</f>
        <v>-367769.04000000079</v>
      </c>
      <c r="AD128" s="100">
        <f t="shared" si="37"/>
        <v>-37556.424777109511</v>
      </c>
      <c r="AE128" s="75">
        <f t="shared" si="38"/>
        <v>4413.2284800000098</v>
      </c>
    </row>
    <row r="129" spans="1:31" x14ac:dyDescent="0.2">
      <c r="A129" s="10" t="s">
        <v>88</v>
      </c>
      <c r="B129" s="9"/>
      <c r="F129" s="70">
        <v>14</v>
      </c>
      <c r="H129" s="65">
        <f t="shared" si="32"/>
        <v>-9815.6800000008589</v>
      </c>
      <c r="I129" s="102">
        <f t="shared" si="33"/>
        <v>-489122.9</v>
      </c>
      <c r="J129" s="42"/>
      <c r="M129" s="50">
        <f t="shared" si="34"/>
        <v>0.76505094118472194</v>
      </c>
      <c r="N129" s="65">
        <f t="shared" si="35"/>
        <v>-74840.787000000128</v>
      </c>
      <c r="O129" s="65">
        <f t="shared" si="36"/>
        <v>-7642.7107274314712</v>
      </c>
      <c r="P129" s="69">
        <f>0.5*$C$47*M129*$C$59*F129^3 / 1000</f>
        <v>1047.7710180000017</v>
      </c>
      <c r="AB129" s="100">
        <f>-AC129/(0.5*$C$47*F129^2)</f>
        <v>5.1003396078981469</v>
      </c>
      <c r="AC129" s="100">
        <f>(H129+I129)*1</f>
        <v>-498938.58000000089</v>
      </c>
      <c r="AD129" s="100">
        <f t="shared" si="37"/>
        <v>-50951.404849543149</v>
      </c>
      <c r="AE129" s="75">
        <f t="shared" si="38"/>
        <v>6985.1401200000118</v>
      </c>
    </row>
    <row r="130" spans="1:31" x14ac:dyDescent="0.2">
      <c r="A130" s="17" t="s">
        <v>3</v>
      </c>
      <c r="B130" s="18" t="s">
        <v>4</v>
      </c>
      <c r="C130" s="18" t="s">
        <v>5</v>
      </c>
      <c r="F130" s="70">
        <v>15</v>
      </c>
      <c r="H130" s="65">
        <f t="shared" si="32"/>
        <v>-10516.80000000092</v>
      </c>
      <c r="I130" s="102">
        <f t="shared" si="33"/>
        <v>-561493.125</v>
      </c>
      <c r="J130" s="42"/>
      <c r="M130" s="50">
        <f t="shared" si="34"/>
        <v>0.76404754510574058</v>
      </c>
      <c r="N130" s="65">
        <f t="shared" si="35"/>
        <v>-85801.48875000015</v>
      </c>
      <c r="O130" s="65">
        <f t="shared" si="36"/>
        <v>-8762.0131319465654</v>
      </c>
      <c r="P130" s="69">
        <f>0.5*$C$47*M130*$C$59*F130^3 / 1000</f>
        <v>1287.0223312500025</v>
      </c>
      <c r="AB130" s="100">
        <f>-AC130/(0.5*$C$47*F130^2)</f>
        <v>5.0936503007049376</v>
      </c>
      <c r="AC130" s="100">
        <f>(H130+I130)*1</f>
        <v>-572009.92500000098</v>
      </c>
      <c r="AD130" s="100">
        <f t="shared" si="37"/>
        <v>-58413.420879643767</v>
      </c>
      <c r="AE130" s="75">
        <f t="shared" si="38"/>
        <v>8580.1488750000171</v>
      </c>
    </row>
    <row r="131" spans="1:31" x14ac:dyDescent="0.2">
      <c r="A131" s="103" t="s">
        <v>70</v>
      </c>
      <c r="B131" s="41" t="s">
        <v>7</v>
      </c>
      <c r="C131" s="51">
        <v>700000.00000006112</v>
      </c>
      <c r="F131" s="70">
        <v>18</v>
      </c>
      <c r="H131" s="65">
        <f t="shared" si="32"/>
        <v>-12620.160000001102</v>
      </c>
      <c r="I131" s="102">
        <f t="shared" si="33"/>
        <v>-808550.1</v>
      </c>
      <c r="J131" s="42"/>
      <c r="M131" s="50">
        <f t="shared" si="34"/>
        <v>0.76170628758811687</v>
      </c>
      <c r="N131" s="65">
        <f t="shared" si="35"/>
        <v>-123175.53900000015</v>
      </c>
      <c r="O131" s="65">
        <f t="shared" si="36"/>
        <v>-12578.635941822115</v>
      </c>
      <c r="P131" s="69">
        <f>0.5*$C$47*M131*$C$59*F131^3 / 1000</f>
        <v>2217.1597020000022</v>
      </c>
      <c r="AB131" s="100">
        <f>-AC131/(0.5*$C$47*F131^2)</f>
        <v>5.0780419172541134</v>
      </c>
      <c r="AC131" s="100">
        <f>(H131+I131)*1</f>
        <v>-821170.26000000106</v>
      </c>
      <c r="AD131" s="100">
        <f t="shared" si="37"/>
        <v>-83857.572945480759</v>
      </c>
      <c r="AE131" s="75">
        <f t="shared" si="38"/>
        <v>14781.064680000018</v>
      </c>
    </row>
    <row r="132" spans="1:31" x14ac:dyDescent="0.2">
      <c r="A132" s="103" t="s">
        <v>196</v>
      </c>
      <c r="B132" s="41" t="s">
        <v>7</v>
      </c>
      <c r="C132" s="51">
        <v>5</v>
      </c>
      <c r="F132" s="70">
        <v>20</v>
      </c>
      <c r="H132" s="65">
        <f t="shared" si="32"/>
        <v>-14022.400000001226</v>
      </c>
      <c r="I132" s="102">
        <f t="shared" si="33"/>
        <v>-998210</v>
      </c>
      <c r="J132" s="42"/>
      <c r="M132" s="50">
        <f t="shared" si="34"/>
        <v>0.76053565882930529</v>
      </c>
      <c r="N132" s="65">
        <f t="shared" si="35"/>
        <v>-151834.86000000016</v>
      </c>
      <c r="O132" s="65">
        <f t="shared" si="36"/>
        <v>-15505.314145347709</v>
      </c>
      <c r="P132" s="69">
        <f>0.5*$C$47*M132*$C$59*F132^3 / 1000</f>
        <v>3036.6972000000032</v>
      </c>
      <c r="AB132" s="100">
        <f>-AC132/(0.5*$C$47*F132^2)</f>
        <v>5.0702377255287026</v>
      </c>
      <c r="AC132" s="100">
        <f>(H132+I132)*1</f>
        <v>-1012232.4000000012</v>
      </c>
      <c r="AD132" s="100">
        <f t="shared" si="37"/>
        <v>-103368.76096898474</v>
      </c>
      <c r="AE132" s="75">
        <f t="shared" si="38"/>
        <v>20244.648000000027</v>
      </c>
    </row>
    <row r="133" spans="1:31" x14ac:dyDescent="0.2">
      <c r="A133" s="97"/>
      <c r="B133" s="98"/>
      <c r="C133" s="47"/>
      <c r="F133" s="70">
        <v>22</v>
      </c>
      <c r="H133" s="65">
        <f t="shared" si="32"/>
        <v>-15424.640000001349</v>
      </c>
      <c r="I133" s="102">
        <f t="shared" si="33"/>
        <v>-1207834.1000000001</v>
      </c>
      <c r="J133" s="42"/>
      <c r="M133" s="50">
        <f t="shared" si="34"/>
        <v>0.75957787166300483</v>
      </c>
      <c r="N133" s="65">
        <f t="shared" si="35"/>
        <v>-183488.81100000019</v>
      </c>
      <c r="O133" s="65">
        <f t="shared" si="36"/>
        <v>-18737.802746426823</v>
      </c>
      <c r="P133" s="69">
        <f>0.5*$C$47*M133*$C$59*F133^3 / 1000</f>
        <v>4036.7538420000042</v>
      </c>
      <c r="AB133" s="100">
        <f>-AC133/(0.5*$C$47*F133^2)</f>
        <v>5.0638524777533656</v>
      </c>
      <c r="AC133" s="100">
        <f>(H133+I133)*1</f>
        <v>-1223258.7400000014</v>
      </c>
      <c r="AD133" s="100">
        <f t="shared" si="37"/>
        <v>-124918.68497617883</v>
      </c>
      <c r="AE133" s="75">
        <f t="shared" si="38"/>
        <v>26911.692280000028</v>
      </c>
    </row>
    <row r="134" spans="1:31" x14ac:dyDescent="0.2">
      <c r="F134" s="70">
        <v>24</v>
      </c>
      <c r="H134" s="65">
        <f t="shared" si="32"/>
        <v>-16826.880000001471</v>
      </c>
      <c r="I134" s="102">
        <f t="shared" si="33"/>
        <v>-1437422.4000000001</v>
      </c>
      <c r="J134" s="42"/>
      <c r="M134" s="50">
        <f t="shared" si="34"/>
        <v>0.75877971569108793</v>
      </c>
      <c r="N134" s="65">
        <f t="shared" si="35"/>
        <v>-218137.39200000025</v>
      </c>
      <c r="O134" s="65">
        <f t="shared" si="36"/>
        <v>-22276.101745059459</v>
      </c>
      <c r="P134" s="69">
        <f>0.5*$C$47*M134*$C$59*F134^3 / 1000</f>
        <v>5235.2974080000067</v>
      </c>
      <c r="AB134" s="100">
        <f>-AC134/(0.5*$C$47*F134^2)</f>
        <v>5.0585314379405864</v>
      </c>
      <c r="AC134" s="100">
        <f>(H134+I134)*1</f>
        <v>-1454249.2800000017</v>
      </c>
      <c r="AD134" s="100">
        <f t="shared" si="37"/>
        <v>-148507.34496706305</v>
      </c>
      <c r="AE134" s="75">
        <f t="shared" si="38"/>
        <v>34901.982720000044</v>
      </c>
    </row>
    <row r="135" spans="1:31" x14ac:dyDescent="0.2">
      <c r="F135" s="70">
        <v>25</v>
      </c>
      <c r="H135" s="65">
        <f t="shared" si="32"/>
        <v>-17528.000000001532</v>
      </c>
      <c r="I135" s="102">
        <f t="shared" si="33"/>
        <v>-1559703.125</v>
      </c>
      <c r="J135" s="42"/>
      <c r="M135" s="50">
        <f t="shared" si="34"/>
        <v>0.75842852706344432</v>
      </c>
      <c r="N135" s="65">
        <f t="shared" si="35"/>
        <v>-236584.66875000024</v>
      </c>
      <c r="O135" s="65">
        <f t="shared" si="36"/>
        <v>-24159.930143458339</v>
      </c>
      <c r="P135" s="69">
        <f>0.5*$C$47*M135*$C$59*F135^3 / 1000</f>
        <v>5914.6167187500059</v>
      </c>
      <c r="AB135" s="100">
        <f>-AC135/(0.5*$C$47*F135^2)</f>
        <v>5.0561901804229628</v>
      </c>
      <c r="AC135" s="100">
        <f>(H135+I135)*1</f>
        <v>-1577231.1250000016</v>
      </c>
      <c r="AD135" s="100">
        <f t="shared" si="37"/>
        <v>-161066.20095638893</v>
      </c>
      <c r="AE135" s="75">
        <f t="shared" si="38"/>
        <v>39430.778125000048</v>
      </c>
    </row>
    <row r="136" spans="1:31" x14ac:dyDescent="0.2">
      <c r="F136" s="70">
        <v>28</v>
      </c>
      <c r="H136" s="65">
        <f t="shared" si="32"/>
        <v>-19631.360000001718</v>
      </c>
      <c r="I136" s="102">
        <f t="shared" si="33"/>
        <v>-1956491.6</v>
      </c>
      <c r="J136" s="42"/>
      <c r="M136" s="50">
        <f t="shared" si="34"/>
        <v>0.75752547059236097</v>
      </c>
      <c r="N136" s="65">
        <f t="shared" si="35"/>
        <v>-296418.44400000025</v>
      </c>
      <c r="O136" s="65">
        <f t="shared" si="36"/>
        <v>-30270.130934985264</v>
      </c>
      <c r="P136" s="69">
        <f>0.5*$C$47*M136*$C$59*F136^3 / 1000</f>
        <v>8299.7164320000084</v>
      </c>
      <c r="AB136" s="100">
        <f>-AC136/(0.5*$C$47*F136^2)</f>
        <v>5.050169803949073</v>
      </c>
      <c r="AC136" s="100">
        <f>(H136+I136)*1</f>
        <v>-1976122.9600000018</v>
      </c>
      <c r="AD136" s="100">
        <f t="shared" si="37"/>
        <v>-201800.87289990176</v>
      </c>
      <c r="AE136" s="75">
        <f t="shared" si="38"/>
        <v>55331.442880000053</v>
      </c>
    </row>
    <row r="137" spans="1:31" x14ac:dyDescent="0.2">
      <c r="F137" s="70">
        <v>30</v>
      </c>
      <c r="H137" s="65">
        <f t="shared" si="32"/>
        <v>-21033.600000001839</v>
      </c>
      <c r="I137" s="102">
        <f t="shared" si="33"/>
        <v>-2245972.5</v>
      </c>
      <c r="J137" s="42"/>
      <c r="M137" s="50">
        <f t="shared" si="34"/>
        <v>0.75702377255287023</v>
      </c>
      <c r="N137" s="65">
        <f t="shared" si="35"/>
        <v>-340050.91500000027</v>
      </c>
      <c r="O137" s="65">
        <f t="shared" si="36"/>
        <v>-34725.861126278447</v>
      </c>
      <c r="P137" s="69">
        <f>0.5*$C$47*M137*$C$59*F137^3 / 1000</f>
        <v>10201.527450000009</v>
      </c>
      <c r="AB137" s="100">
        <f>-AC137/(0.5*$C$47*F137^2)</f>
        <v>5.0468251503524684</v>
      </c>
      <c r="AC137" s="100">
        <f>(H137+I137)*1</f>
        <v>-2267006.100000002</v>
      </c>
      <c r="AD137" s="100">
        <f t="shared" si="37"/>
        <v>-231505.74084185631</v>
      </c>
      <c r="AE137" s="75">
        <f t="shared" si="38"/>
        <v>68010.183000000063</v>
      </c>
    </row>
    <row r="138" spans="1:31" x14ac:dyDescent="0.2">
      <c r="G138" s="31"/>
      <c r="H138" s="31"/>
      <c r="I138" s="31"/>
      <c r="J138" s="31"/>
      <c r="AE138" s="26"/>
    </row>
    <row r="139" spans="1:31" x14ac:dyDescent="0.2">
      <c r="G139" s="31"/>
      <c r="H139" s="31"/>
      <c r="I139" s="31"/>
      <c r="J139" s="31"/>
      <c r="P139" s="26"/>
    </row>
    <row r="140" spans="1:31" x14ac:dyDescent="0.2">
      <c r="G140" s="31"/>
      <c r="H140" s="31"/>
      <c r="I140" s="31"/>
      <c r="J140" s="31"/>
      <c r="P140" s="26"/>
    </row>
    <row r="141" spans="1:31" x14ac:dyDescent="0.2">
      <c r="A141" s="10" t="s">
        <v>117</v>
      </c>
      <c r="B141" s="9"/>
      <c r="C141" s="46"/>
      <c r="G141" s="31"/>
      <c r="H141" s="31"/>
      <c r="I141" s="31"/>
      <c r="J141" s="31"/>
    </row>
    <row r="142" spans="1:31" x14ac:dyDescent="0.2">
      <c r="A142" s="17" t="s">
        <v>3</v>
      </c>
      <c r="B142" s="18" t="s">
        <v>4</v>
      </c>
      <c r="C142" s="18" t="s">
        <v>5</v>
      </c>
      <c r="F142" s="10" t="s">
        <v>190</v>
      </c>
      <c r="G142" s="31"/>
      <c r="H142" s="31"/>
      <c r="I142" s="31"/>
      <c r="J142" s="31"/>
    </row>
    <row r="143" spans="1:31" x14ac:dyDescent="0.2">
      <c r="A143" s="67" t="s">
        <v>148</v>
      </c>
      <c r="B143" s="41" t="s">
        <v>41</v>
      </c>
      <c r="C143" s="45">
        <v>2.5000000000000001E-3</v>
      </c>
      <c r="F143" s="9" t="s">
        <v>9</v>
      </c>
      <c r="G143" s="9" t="s">
        <v>189</v>
      </c>
      <c r="H143" s="9" t="s">
        <v>40</v>
      </c>
      <c r="I143" s="9" t="s">
        <v>84</v>
      </c>
    </row>
    <row r="144" spans="1:31" x14ac:dyDescent="0.2">
      <c r="A144" s="38" t="s">
        <v>71</v>
      </c>
      <c r="B144" s="41" t="s">
        <v>41</v>
      </c>
      <c r="C144" s="48">
        <v>2.0000000000000001E-4</v>
      </c>
      <c r="F144" s="9" t="s">
        <v>12</v>
      </c>
      <c r="G144" s="9"/>
      <c r="H144" s="9" t="s">
        <v>59</v>
      </c>
      <c r="I144" s="9" t="s">
        <v>58</v>
      </c>
    </row>
    <row r="145" spans="1:16" x14ac:dyDescent="0.2">
      <c r="A145" s="38" t="s">
        <v>72</v>
      </c>
      <c r="B145" s="41" t="s">
        <v>41</v>
      </c>
      <c r="C145" s="45">
        <f>C144+C143</f>
        <v>2.7000000000000001E-3</v>
      </c>
      <c r="F145" s="31">
        <v>0.5</v>
      </c>
      <c r="G145" s="99">
        <v>-0.14000000000000001</v>
      </c>
      <c r="H145" s="31">
        <f>G145*$C$27</f>
        <v>-139.39100000000002</v>
      </c>
      <c r="I145" s="50">
        <f>-H145/(0.5*$C$47*F145^2)</f>
        <v>1.1171276585087306</v>
      </c>
    </row>
    <row r="146" spans="1:16" x14ac:dyDescent="0.2">
      <c r="A146" s="54" t="s">
        <v>114</v>
      </c>
      <c r="B146" s="41" t="s">
        <v>7</v>
      </c>
      <c r="C146" s="45">
        <f>C143/C145</f>
        <v>0.92592592592592593</v>
      </c>
      <c r="F146" s="31">
        <v>1</v>
      </c>
      <c r="G146" s="99">
        <v>-0.46</v>
      </c>
      <c r="H146" s="31">
        <f>G146*$C$27</f>
        <v>-457.99900000000002</v>
      </c>
      <c r="I146" s="50">
        <f>-H146/(0.5*$C$47*F146^2)</f>
        <v>0.91764057663217158</v>
      </c>
    </row>
    <row r="147" spans="1:16" x14ac:dyDescent="0.2">
      <c r="A147" s="66" t="s">
        <v>147</v>
      </c>
      <c r="B147" s="41" t="s">
        <v>7</v>
      </c>
      <c r="C147" s="45">
        <f>$C$87 * ((1 - C146) / C146) * C143</f>
        <v>2.9999999999999997E-4</v>
      </c>
      <c r="F147" s="31">
        <v>1.5</v>
      </c>
      <c r="G147" s="99">
        <v>-0.94</v>
      </c>
      <c r="H147" s="31">
        <f>G147*$C$27</f>
        <v>-935.91099999999994</v>
      </c>
      <c r="I147" s="50">
        <f>-H147/(0.5*$C$47*F147^2)</f>
        <v>0.83341269761762449</v>
      </c>
    </row>
    <row r="148" spans="1:16" x14ac:dyDescent="0.2">
      <c r="A148" s="54" t="s">
        <v>115</v>
      </c>
      <c r="B148" s="41" t="s">
        <v>7</v>
      </c>
      <c r="C148" s="47">
        <f>($C$88 / C143^2) * ((1 - C146)^2 / C146^3 )</f>
        <v>165888</v>
      </c>
      <c r="F148" s="31">
        <v>2</v>
      </c>
      <c r="G148" s="99">
        <v>-1.62</v>
      </c>
      <c r="H148" s="31">
        <f>G148*$C$27</f>
        <v>-1612.953</v>
      </c>
      <c r="I148" s="50">
        <f>-H148/(0.5*$C$47*F148^2)</f>
        <v>0.80792268160006409</v>
      </c>
      <c r="P148" s="31"/>
    </row>
    <row r="149" spans="1:16" x14ac:dyDescent="0.2">
      <c r="A149" s="54" t="s">
        <v>116</v>
      </c>
      <c r="B149" s="41" t="s">
        <v>7</v>
      </c>
      <c r="C149" s="65">
        <f xml:space="preserve"> ($C$89 / C143) * ((1 - C146) / C146^3)</f>
        <v>65.318399999999997</v>
      </c>
      <c r="F149" s="31">
        <v>2.5</v>
      </c>
      <c r="G149" s="99">
        <v>-2.4900000000000002</v>
      </c>
      <c r="H149" s="31">
        <f>G149*$C$27</f>
        <v>-2479.1685000000002</v>
      </c>
      <c r="I149" s="50">
        <f>-H149/(0.5*$C$47*F149^2)</f>
        <v>0.79475653419621128</v>
      </c>
      <c r="P149" s="31"/>
    </row>
    <row r="150" spans="1:16" x14ac:dyDescent="0.2">
      <c r="F150" s="31">
        <v>3</v>
      </c>
      <c r="G150" s="99">
        <v>-3.56</v>
      </c>
      <c r="H150" s="31">
        <f>G150*$C$27</f>
        <v>-3544.5140000000001</v>
      </c>
      <c r="I150" s="50">
        <f>-H150/(0.5*$C$47*F150^2)</f>
        <v>0.78908223497838914</v>
      </c>
      <c r="P150" s="31"/>
    </row>
    <row r="151" spans="1:16" x14ac:dyDescent="0.2">
      <c r="A151" s="10" t="s">
        <v>98</v>
      </c>
      <c r="F151" s="31">
        <v>3.5</v>
      </c>
      <c r="G151" s="99">
        <v>-4.83</v>
      </c>
      <c r="H151" s="31">
        <f>G151*$C$27</f>
        <v>-4808.9894999999997</v>
      </c>
      <c r="I151" s="50">
        <f>-H151/(0.5*$C$47*F151^2)</f>
        <v>0.78654906568471838</v>
      </c>
      <c r="P151" s="31"/>
    </row>
    <row r="152" spans="1:16" x14ac:dyDescent="0.2">
      <c r="A152" s="17" t="s">
        <v>3</v>
      </c>
      <c r="B152" s="18" t="s">
        <v>4</v>
      </c>
      <c r="C152" s="18" t="s">
        <v>5</v>
      </c>
      <c r="F152" s="31">
        <v>4</v>
      </c>
      <c r="G152" s="99">
        <v>-6.3</v>
      </c>
      <c r="H152" s="31">
        <f>G152*$C$27</f>
        <v>-6272.5949999999993</v>
      </c>
      <c r="I152" s="50">
        <f>-H152/(0.5*$C$47*F152^2)</f>
        <v>0.78548038488895111</v>
      </c>
      <c r="P152" s="31"/>
    </row>
    <row r="153" spans="1:16" x14ac:dyDescent="0.2">
      <c r="A153" s="67" t="s">
        <v>148</v>
      </c>
      <c r="B153" s="41" t="s">
        <v>41</v>
      </c>
      <c r="C153" s="45">
        <v>4.0000000000000001E-3</v>
      </c>
      <c r="G153" s="99"/>
      <c r="H153" s="31"/>
      <c r="I153" s="31"/>
      <c r="J153" s="31"/>
      <c r="P153" s="31"/>
    </row>
    <row r="154" spans="1:16" x14ac:dyDescent="0.2">
      <c r="A154" s="38" t="s">
        <v>71</v>
      </c>
      <c r="B154" s="41" t="s">
        <v>41</v>
      </c>
      <c r="C154" s="48">
        <v>8.0000000000000004E-4</v>
      </c>
      <c r="G154" s="99"/>
      <c r="H154" s="31"/>
      <c r="I154" s="31"/>
      <c r="J154" s="31"/>
      <c r="P154" s="31"/>
    </row>
    <row r="155" spans="1:16" x14ac:dyDescent="0.2">
      <c r="A155" s="38" t="s">
        <v>72</v>
      </c>
      <c r="B155" s="41" t="s">
        <v>41</v>
      </c>
      <c r="C155" s="45">
        <f>C154+C153</f>
        <v>4.8000000000000004E-3</v>
      </c>
      <c r="G155" s="99"/>
      <c r="H155" s="31"/>
      <c r="I155" s="31"/>
      <c r="J155" s="31"/>
      <c r="P155" s="31"/>
    </row>
    <row r="156" spans="1:16" x14ac:dyDescent="0.2">
      <c r="A156" s="54" t="s">
        <v>114</v>
      </c>
      <c r="B156" s="41" t="s">
        <v>7</v>
      </c>
      <c r="C156" s="45">
        <f>C153/C155</f>
        <v>0.83333333333333326</v>
      </c>
      <c r="G156" s="99"/>
      <c r="H156" s="31"/>
      <c r="I156" s="31"/>
      <c r="J156" s="31"/>
    </row>
    <row r="157" spans="1:16" x14ac:dyDescent="0.2">
      <c r="A157" s="66" t="s">
        <v>147</v>
      </c>
      <c r="B157" s="41" t="s">
        <v>7</v>
      </c>
      <c r="C157" s="45">
        <f>$C$87 * ((1 - C156) / C156) * C153</f>
        <v>1.2000000000000005E-3</v>
      </c>
      <c r="G157" s="99"/>
      <c r="H157" s="31"/>
      <c r="I157" s="31"/>
      <c r="J157" s="31"/>
    </row>
    <row r="158" spans="1:16" x14ac:dyDescent="0.2">
      <c r="A158" s="54" t="s">
        <v>115</v>
      </c>
      <c r="B158" s="41" t="s">
        <v>7</v>
      </c>
      <c r="C158" s="47">
        <f>($C$88 / C153^2) * ((1 - C156)^2 / C156^3 )</f>
        <v>450000.00000000058</v>
      </c>
      <c r="G158" s="99"/>
      <c r="H158" s="31"/>
      <c r="I158" s="31"/>
      <c r="J158" s="31"/>
    </row>
    <row r="159" spans="1:16" x14ac:dyDescent="0.2">
      <c r="A159" s="54" t="s">
        <v>116</v>
      </c>
      <c r="B159" s="41" t="s">
        <v>7</v>
      </c>
      <c r="C159" s="65">
        <f xml:space="preserve"> ($C$89 / C153) * ((1 - C156) / C156^3)</f>
        <v>126.00000000000011</v>
      </c>
      <c r="G159" s="99"/>
      <c r="H159" s="31"/>
      <c r="I159" s="31"/>
      <c r="J159" s="31"/>
    </row>
    <row r="160" spans="1:16" x14ac:dyDescent="0.2">
      <c r="G160" s="99"/>
      <c r="H160" s="31"/>
      <c r="I160" s="31"/>
      <c r="J160" s="31"/>
    </row>
    <row r="161" spans="1:10" x14ac:dyDescent="0.2">
      <c r="A161" s="10" t="s">
        <v>97</v>
      </c>
      <c r="B161" s="9"/>
      <c r="C161" s="46"/>
      <c r="G161" s="99"/>
      <c r="H161" s="31"/>
      <c r="I161" s="31"/>
      <c r="J161" s="31"/>
    </row>
    <row r="162" spans="1:10" x14ac:dyDescent="0.2">
      <c r="A162" s="17" t="s">
        <v>3</v>
      </c>
      <c r="B162" s="18" t="s">
        <v>4</v>
      </c>
      <c r="C162" s="18" t="s">
        <v>5</v>
      </c>
      <c r="G162" s="99"/>
      <c r="H162" s="31"/>
      <c r="I162" s="31"/>
      <c r="J162" s="31"/>
    </row>
    <row r="163" spans="1:10" x14ac:dyDescent="0.2">
      <c r="A163" s="67" t="s">
        <v>148</v>
      </c>
      <c r="B163" s="41" t="s">
        <v>41</v>
      </c>
      <c r="C163" s="45">
        <v>5.0000000000000001E-3</v>
      </c>
      <c r="G163" s="31"/>
      <c r="H163" s="31"/>
      <c r="I163" s="31"/>
      <c r="J163" s="31"/>
    </row>
    <row r="164" spans="1:10" x14ac:dyDescent="0.2">
      <c r="A164" s="38" t="s">
        <v>71</v>
      </c>
      <c r="B164" s="41" t="s">
        <v>41</v>
      </c>
      <c r="C164" s="48">
        <v>2.0000000000000001E-4</v>
      </c>
      <c r="G164" s="31"/>
      <c r="H164" s="31"/>
      <c r="I164" s="31"/>
      <c r="J164" s="31"/>
    </row>
    <row r="165" spans="1:10" x14ac:dyDescent="0.2">
      <c r="A165" s="38" t="s">
        <v>72</v>
      </c>
      <c r="B165" s="41" t="s">
        <v>41</v>
      </c>
      <c r="C165" s="45">
        <f>C164+C163</f>
        <v>5.1999999999999998E-3</v>
      </c>
      <c r="G165" s="31"/>
      <c r="H165" s="31"/>
      <c r="I165" s="31"/>
      <c r="J165" s="31"/>
    </row>
    <row r="166" spans="1:10" x14ac:dyDescent="0.2">
      <c r="A166" s="54" t="s">
        <v>114</v>
      </c>
      <c r="B166" s="41" t="s">
        <v>7</v>
      </c>
      <c r="C166" s="45">
        <f>C163/C165</f>
        <v>0.96153846153846156</v>
      </c>
      <c r="G166" s="31"/>
      <c r="H166" s="31"/>
      <c r="I166" s="31"/>
      <c r="J166" s="31"/>
    </row>
    <row r="167" spans="1:10" x14ac:dyDescent="0.2">
      <c r="A167" s="66" t="s">
        <v>147</v>
      </c>
      <c r="B167" s="41" t="s">
        <v>7</v>
      </c>
      <c r="C167" s="45">
        <f>$C$87 * ((1 - C166) / C166) * C163</f>
        <v>2.9999999999999981E-4</v>
      </c>
      <c r="G167" s="31"/>
      <c r="H167" s="31"/>
      <c r="I167" s="31"/>
      <c r="J167" s="31"/>
    </row>
    <row r="168" spans="1:10" x14ac:dyDescent="0.2">
      <c r="A168" s="54" t="s">
        <v>115</v>
      </c>
      <c r="B168" s="41" t="s">
        <v>7</v>
      </c>
      <c r="C168" s="47">
        <f>($C$88 / C163^2) * ((1 - C166)^2 / C166^3 )</f>
        <v>9983.9999999999873</v>
      </c>
    </row>
    <row r="169" spans="1:10" x14ac:dyDescent="0.2">
      <c r="A169" s="54" t="s">
        <v>116</v>
      </c>
      <c r="B169" s="41" t="s">
        <v>7</v>
      </c>
      <c r="C169" s="65">
        <f xml:space="preserve"> ($C$89 / C163) * ((1 - C166) / C166^3)</f>
        <v>15.14239999999999</v>
      </c>
    </row>
    <row r="176" spans="1:10" x14ac:dyDescent="0.2">
      <c r="E176" s="30"/>
      <c r="F176" s="30"/>
    </row>
    <row r="177" spans="1:6" x14ac:dyDescent="0.2">
      <c r="E177" s="30"/>
      <c r="F177" s="30"/>
    </row>
    <row r="178" spans="1:6" x14ac:dyDescent="0.2">
      <c r="E178" s="30"/>
      <c r="F178" s="30"/>
    </row>
    <row r="179" spans="1:6" x14ac:dyDescent="0.2">
      <c r="E179" s="30"/>
      <c r="F179" s="30"/>
    </row>
    <row r="180" spans="1:6" x14ac:dyDescent="0.2">
      <c r="E180" s="30"/>
      <c r="F180" s="30"/>
    </row>
    <row r="181" spans="1:6" x14ac:dyDescent="0.2">
      <c r="E181" s="30"/>
      <c r="F181" s="30"/>
    </row>
    <row r="182" spans="1:6" x14ac:dyDescent="0.2">
      <c r="E182" s="30"/>
      <c r="F182" s="30"/>
    </row>
    <row r="183" spans="1:6" x14ac:dyDescent="0.2">
      <c r="E183" s="30"/>
      <c r="F183" s="30"/>
    </row>
    <row r="184" spans="1:6" x14ac:dyDescent="0.2">
      <c r="A184" s="35"/>
      <c r="C184" s="49"/>
      <c r="E184" s="30"/>
      <c r="F184" s="30"/>
    </row>
    <row r="185" spans="1:6" x14ac:dyDescent="0.2">
      <c r="A185" s="35"/>
      <c r="C185" s="49"/>
      <c r="E185" s="30"/>
      <c r="F185" s="30"/>
    </row>
    <row r="186" spans="1:6" x14ac:dyDescent="0.2">
      <c r="A186" s="35"/>
      <c r="C186" s="49"/>
      <c r="E186" s="30"/>
      <c r="F186" s="30"/>
    </row>
    <row r="187" spans="1:6" x14ac:dyDescent="0.2">
      <c r="A187" s="35"/>
      <c r="E187" s="30"/>
      <c r="F187" s="30"/>
    </row>
    <row r="188" spans="1:6" x14ac:dyDescent="0.2">
      <c r="A188" s="35"/>
      <c r="E188" s="30"/>
      <c r="F188" s="30"/>
    </row>
    <row r="189" spans="1:6" x14ac:dyDescent="0.2">
      <c r="A189" s="35"/>
      <c r="E189" s="30"/>
      <c r="F189" s="30"/>
    </row>
    <row r="190" spans="1:6" x14ac:dyDescent="0.2">
      <c r="A190" s="35"/>
      <c r="E190" s="30"/>
      <c r="F190" s="30"/>
    </row>
    <row r="191" spans="1:6" x14ac:dyDescent="0.2">
      <c r="A191" s="35"/>
      <c r="E191" s="30"/>
      <c r="F191" s="30"/>
    </row>
    <row r="192" spans="1:6" x14ac:dyDescent="0.2">
      <c r="A192" s="35"/>
      <c r="E192" s="30"/>
      <c r="F192" s="30"/>
    </row>
    <row r="193" spans="1:11" x14ac:dyDescent="0.2">
      <c r="A193" s="35"/>
      <c r="E193" s="30"/>
      <c r="F193" s="30"/>
    </row>
    <row r="194" spans="1:11" x14ac:dyDescent="0.2">
      <c r="A194" s="35"/>
      <c r="E194" s="30"/>
      <c r="F194" s="30"/>
    </row>
    <row r="195" spans="1:11" x14ac:dyDescent="0.2">
      <c r="A195" s="35"/>
      <c r="E195" s="30"/>
      <c r="F195" s="30"/>
    </row>
    <row r="196" spans="1:11" x14ac:dyDescent="0.2">
      <c r="A196" s="35"/>
      <c r="E196" s="30"/>
      <c r="F196" s="30"/>
    </row>
    <row r="197" spans="1:11" x14ac:dyDescent="0.2">
      <c r="A197" s="35"/>
      <c r="E197" s="30"/>
      <c r="F197" s="30"/>
      <c r="G197" s="31"/>
      <c r="H197" s="31"/>
      <c r="I197" s="31"/>
      <c r="J197" s="31"/>
      <c r="K197" s="31"/>
    </row>
    <row r="198" spans="1:11" x14ac:dyDescent="0.2">
      <c r="A198" s="35"/>
      <c r="E198" s="30"/>
      <c r="F198" s="30"/>
      <c r="G198" s="31"/>
      <c r="H198" s="31"/>
      <c r="I198" s="31"/>
      <c r="J198" s="31"/>
      <c r="K198" s="31"/>
    </row>
    <row r="199" spans="1:11" x14ac:dyDescent="0.2">
      <c r="A199" s="35"/>
      <c r="E199" s="30"/>
      <c r="F199" s="30"/>
      <c r="G199" s="31"/>
      <c r="H199" s="31"/>
      <c r="I199" s="31"/>
      <c r="J199" s="31"/>
      <c r="K199" s="31"/>
    </row>
    <row r="200" spans="1:11" x14ac:dyDescent="0.2">
      <c r="A200" s="35"/>
      <c r="D200" s="30"/>
      <c r="E200" s="30"/>
      <c r="F200" s="30"/>
      <c r="G200" s="31"/>
      <c r="H200" s="31"/>
      <c r="I200" s="31"/>
      <c r="J200" s="31"/>
      <c r="K200" s="31"/>
    </row>
    <row r="201" spans="1:11" x14ac:dyDescent="0.2">
      <c r="A201" s="35"/>
      <c r="D201" s="30"/>
      <c r="E201" s="30"/>
      <c r="F201" s="30"/>
      <c r="G201" s="31"/>
      <c r="H201" s="31"/>
      <c r="I201" s="31"/>
      <c r="J201" s="31"/>
      <c r="K201" s="31"/>
    </row>
    <row r="202" spans="1:11" x14ac:dyDescent="0.2">
      <c r="A202" s="35"/>
      <c r="D202" s="30"/>
      <c r="E202" s="30"/>
      <c r="F202" s="30"/>
      <c r="G202" s="31"/>
      <c r="H202" s="31"/>
      <c r="I202" s="31"/>
      <c r="J202" s="31"/>
      <c r="K202" s="31"/>
    </row>
    <row r="203" spans="1:11" x14ac:dyDescent="0.2">
      <c r="A203" s="35"/>
      <c r="D203" s="30"/>
      <c r="E203" s="30"/>
      <c r="F203" s="30"/>
      <c r="G203" s="31"/>
      <c r="H203" s="31"/>
      <c r="I203" s="31"/>
      <c r="J203" s="31"/>
      <c r="K203" s="31"/>
    </row>
    <row r="204" spans="1:11" x14ac:dyDescent="0.2">
      <c r="A204" s="35"/>
      <c r="D204" s="30"/>
      <c r="E204" s="30"/>
      <c r="F204" s="30"/>
      <c r="G204" s="31"/>
      <c r="H204" s="31"/>
      <c r="I204" s="31"/>
      <c r="J204" s="31"/>
      <c r="K204" s="31"/>
    </row>
    <row r="205" spans="1:11" x14ac:dyDescent="0.2">
      <c r="A205" s="35"/>
      <c r="D205" s="30"/>
      <c r="E205" s="30"/>
      <c r="F205" s="30"/>
      <c r="G205" s="31"/>
      <c r="H205" s="31"/>
      <c r="I205" s="31"/>
      <c r="J205" s="31"/>
      <c r="K205" s="31"/>
    </row>
    <row r="206" spans="1:11" x14ac:dyDescent="0.2">
      <c r="A206" s="35"/>
      <c r="D206" s="30"/>
      <c r="E206" s="30"/>
      <c r="F206" s="30"/>
      <c r="G206" s="31"/>
      <c r="H206" s="31"/>
      <c r="I206" s="31"/>
      <c r="J206" s="31"/>
      <c r="K206" s="31"/>
    </row>
    <row r="207" spans="1:11" x14ac:dyDescent="0.2">
      <c r="A207" s="35"/>
      <c r="D207" s="30"/>
      <c r="E207" s="30"/>
      <c r="F207" s="30"/>
      <c r="G207" s="31"/>
      <c r="H207" s="31"/>
      <c r="I207" s="31"/>
      <c r="J207" s="31"/>
      <c r="K207" s="31"/>
    </row>
    <row r="208" spans="1:11" x14ac:dyDescent="0.2">
      <c r="A208" s="35"/>
      <c r="D208" s="30"/>
      <c r="E208" s="30"/>
      <c r="F208" s="30"/>
      <c r="G208" s="31"/>
      <c r="H208" s="31"/>
      <c r="I208" s="31"/>
      <c r="J208" s="31"/>
      <c r="K208" s="31"/>
    </row>
    <row r="209" spans="1:11" x14ac:dyDescent="0.2">
      <c r="A209" s="35"/>
      <c r="D209" s="30"/>
      <c r="E209" s="30"/>
      <c r="F209" s="30"/>
      <c r="G209" s="31"/>
      <c r="H209" s="31"/>
      <c r="I209" s="31"/>
      <c r="J209" s="31"/>
      <c r="K209" s="31"/>
    </row>
    <row r="210" spans="1:11" x14ac:dyDescent="0.2">
      <c r="A210" s="35"/>
      <c r="D210" s="30"/>
      <c r="E210" s="30"/>
      <c r="F210" s="30"/>
      <c r="G210" s="31"/>
      <c r="H210" s="31"/>
      <c r="I210" s="31"/>
      <c r="J210" s="31"/>
      <c r="K210" s="31"/>
    </row>
    <row r="211" spans="1:11" x14ac:dyDescent="0.2">
      <c r="A211" s="35"/>
      <c r="D211" s="30"/>
      <c r="E211" s="30"/>
      <c r="F211" s="30"/>
      <c r="G211" s="31"/>
      <c r="H211" s="31"/>
      <c r="I211" s="31"/>
      <c r="J211" s="31"/>
      <c r="K211" s="31"/>
    </row>
    <row r="212" spans="1:11" x14ac:dyDescent="0.2">
      <c r="A212" s="35"/>
      <c r="D212" s="30"/>
      <c r="E212" s="30"/>
      <c r="F212" s="30"/>
      <c r="G212" s="31"/>
      <c r="H212" s="31"/>
      <c r="I212" s="31"/>
      <c r="J212" s="31"/>
      <c r="K212" s="31"/>
    </row>
    <row r="213" spans="1:11" x14ac:dyDescent="0.2">
      <c r="A213" s="35"/>
      <c r="D213" s="30"/>
      <c r="E213" s="30"/>
      <c r="F213" s="30"/>
      <c r="G213" s="31"/>
      <c r="H213" s="31"/>
      <c r="I213" s="31"/>
      <c r="J213" s="31"/>
      <c r="K213" s="31"/>
    </row>
    <row r="214" spans="1:11" x14ac:dyDescent="0.2">
      <c r="A214" s="35"/>
      <c r="D214" s="30"/>
      <c r="E214" s="30"/>
      <c r="F214" s="30"/>
      <c r="G214" s="31"/>
      <c r="H214" s="31"/>
      <c r="I214" s="31"/>
      <c r="J214" s="31"/>
      <c r="K214" s="31"/>
    </row>
    <row r="215" spans="1:11" x14ac:dyDescent="0.2">
      <c r="A215" s="35"/>
      <c r="D215" s="30"/>
      <c r="E215" s="30"/>
      <c r="F215" s="30"/>
    </row>
    <row r="216" spans="1:11" x14ac:dyDescent="0.2">
      <c r="A216" s="35"/>
      <c r="D216" s="30"/>
      <c r="E216" s="30"/>
      <c r="F216" s="30"/>
    </row>
    <row r="217" spans="1:11" x14ac:dyDescent="0.2">
      <c r="A217" s="35"/>
      <c r="D217" s="30"/>
      <c r="E217" s="30"/>
      <c r="F217" s="30"/>
    </row>
    <row r="218" spans="1:11" x14ac:dyDescent="0.2">
      <c r="A218" s="35"/>
      <c r="D218" s="30"/>
      <c r="E218" s="30"/>
      <c r="F218" s="30"/>
    </row>
    <row r="219" spans="1:11" x14ac:dyDescent="0.2">
      <c r="A219" s="35"/>
      <c r="D219" s="30"/>
      <c r="E219" s="30"/>
      <c r="F219" s="30"/>
    </row>
    <row r="220" spans="1:11" x14ac:dyDescent="0.2">
      <c r="A220" s="35"/>
      <c r="D220" s="30"/>
      <c r="E220" s="30"/>
      <c r="F220" s="30"/>
    </row>
    <row r="221" spans="1:11" x14ac:dyDescent="0.2">
      <c r="A221" s="35"/>
      <c r="D221" s="30"/>
      <c r="E221" s="30"/>
      <c r="F221" s="30"/>
    </row>
    <row r="222" spans="1:11" x14ac:dyDescent="0.2">
      <c r="A222" s="35"/>
      <c r="D222" s="30"/>
      <c r="E222" s="30"/>
      <c r="F222" s="30"/>
    </row>
    <row r="223" spans="1:11" x14ac:dyDescent="0.2">
      <c r="A223" s="35"/>
      <c r="D223" s="30"/>
      <c r="E223" s="30"/>
      <c r="F223" s="30"/>
    </row>
    <row r="224" spans="1:11" x14ac:dyDescent="0.2">
      <c r="A224" s="35"/>
      <c r="D224" s="30"/>
      <c r="E224" s="30"/>
      <c r="F224" s="30"/>
    </row>
    <row r="225" spans="1:6" x14ac:dyDescent="0.2">
      <c r="A225" s="35"/>
      <c r="D225" s="30"/>
      <c r="E225" s="30"/>
      <c r="F225" s="30"/>
    </row>
    <row r="226" spans="1:6" x14ac:dyDescent="0.2">
      <c r="A226" s="35"/>
      <c r="D226" s="30"/>
      <c r="E226" s="30"/>
      <c r="F226" s="30"/>
    </row>
    <row r="227" spans="1:6" x14ac:dyDescent="0.2">
      <c r="A227" s="35"/>
      <c r="D227" s="30"/>
      <c r="E227" s="30"/>
      <c r="F227" s="30"/>
    </row>
    <row r="228" spans="1:6" x14ac:dyDescent="0.2">
      <c r="A228" s="35"/>
      <c r="D228" s="30"/>
      <c r="E228" s="30"/>
      <c r="F228" s="30"/>
    </row>
    <row r="229" spans="1:6" x14ac:dyDescent="0.2">
      <c r="A229" s="35"/>
      <c r="D229" s="30"/>
      <c r="E229" s="30"/>
      <c r="F229" s="30"/>
    </row>
    <row r="230" spans="1:6" x14ac:dyDescent="0.2">
      <c r="A230" s="35"/>
      <c r="D230" s="30"/>
      <c r="E230" s="30"/>
      <c r="F230" s="30"/>
    </row>
    <row r="231" spans="1:6" x14ac:dyDescent="0.2">
      <c r="A231" s="35"/>
      <c r="D231" s="30"/>
      <c r="E231" s="30"/>
      <c r="F231" s="30"/>
    </row>
    <row r="232" spans="1:6" x14ac:dyDescent="0.2">
      <c r="A232" s="37"/>
      <c r="B232" s="39"/>
      <c r="C232" s="46"/>
      <c r="D232" s="30"/>
      <c r="E232" s="30"/>
      <c r="F232" s="30"/>
    </row>
    <row r="233" spans="1:6" x14ac:dyDescent="0.2">
      <c r="A233" s="37"/>
      <c r="B233" s="39"/>
      <c r="C233" s="46"/>
      <c r="D233" s="30"/>
      <c r="E233" s="30"/>
      <c r="F233" s="30"/>
    </row>
    <row r="234" spans="1:6" x14ac:dyDescent="0.2">
      <c r="A234" s="37"/>
      <c r="B234" s="39"/>
      <c r="C234" s="46"/>
      <c r="D234" s="30"/>
      <c r="E234" s="30"/>
      <c r="F234" s="30"/>
    </row>
    <row r="235" spans="1:6" x14ac:dyDescent="0.2">
      <c r="A235" s="37"/>
      <c r="B235" s="39"/>
      <c r="C235" s="46"/>
      <c r="D235" s="30"/>
      <c r="E235" s="30"/>
      <c r="F235" s="30"/>
    </row>
    <row r="236" spans="1:6" x14ac:dyDescent="0.2">
      <c r="A236" s="37"/>
      <c r="B236" s="39"/>
      <c r="C236" s="46"/>
      <c r="D236" s="30"/>
      <c r="E236" s="30"/>
      <c r="F236" s="30"/>
    </row>
    <row r="237" spans="1:6" x14ac:dyDescent="0.2">
      <c r="A237" s="37"/>
      <c r="B237" s="39"/>
      <c r="C237" s="46"/>
      <c r="D237" s="30"/>
      <c r="E237" s="30"/>
      <c r="F237" s="30"/>
    </row>
    <row r="238" spans="1:6" x14ac:dyDescent="0.2">
      <c r="A238" s="37"/>
      <c r="B238" s="39"/>
      <c r="C238" s="46"/>
      <c r="D238" s="30"/>
      <c r="E238" s="30"/>
      <c r="F238" s="30"/>
    </row>
    <row r="239" spans="1:6" x14ac:dyDescent="0.2">
      <c r="A239" s="37"/>
      <c r="B239" s="39"/>
      <c r="C239" s="46"/>
      <c r="D239" s="30"/>
      <c r="E239" s="30"/>
      <c r="F239" s="30"/>
    </row>
    <row r="240" spans="1:6" x14ac:dyDescent="0.2">
      <c r="A240" s="37"/>
      <c r="B240" s="39"/>
      <c r="C240" s="46"/>
      <c r="D240" s="30"/>
      <c r="E240" s="30"/>
      <c r="F240" s="30"/>
    </row>
    <row r="241" spans="1:6" x14ac:dyDescent="0.2">
      <c r="A241" s="37"/>
      <c r="B241" s="39"/>
      <c r="C241" s="46"/>
      <c r="D241" s="30"/>
      <c r="E241" s="30"/>
      <c r="F241" s="30"/>
    </row>
    <row r="242" spans="1:6" x14ac:dyDescent="0.2">
      <c r="A242" s="37"/>
      <c r="B242" s="39"/>
      <c r="C242" s="46"/>
      <c r="D242" s="30"/>
      <c r="E242" s="30"/>
      <c r="F242" s="30"/>
    </row>
    <row r="243" spans="1:6" x14ac:dyDescent="0.2">
      <c r="A243" s="37"/>
      <c r="B243" s="39"/>
      <c r="C243" s="46"/>
      <c r="D243" s="30"/>
      <c r="E243" s="30"/>
      <c r="F243" s="30"/>
    </row>
    <row r="244" spans="1:6" x14ac:dyDescent="0.2">
      <c r="A244" s="37"/>
      <c r="B244" s="39"/>
      <c r="C244" s="46"/>
      <c r="D244" s="30"/>
      <c r="E244" s="30"/>
      <c r="F244" s="30"/>
    </row>
    <row r="245" spans="1:6" x14ac:dyDescent="0.2">
      <c r="A245" s="37"/>
      <c r="B245" s="39"/>
      <c r="C245" s="46"/>
      <c r="D245" s="30"/>
      <c r="E245" s="30"/>
      <c r="F245" s="30"/>
    </row>
    <row r="246" spans="1:6" x14ac:dyDescent="0.2">
      <c r="A246" s="37"/>
      <c r="B246" s="39"/>
      <c r="C246" s="46"/>
      <c r="D246" s="30"/>
      <c r="E246" s="30"/>
      <c r="F246" s="30"/>
    </row>
    <row r="247" spans="1:6" x14ac:dyDescent="0.2">
      <c r="A247" s="37"/>
      <c r="B247" s="39"/>
      <c r="C247" s="46"/>
      <c r="D247" s="30"/>
      <c r="E247" s="30"/>
      <c r="F247" s="30"/>
    </row>
    <row r="248" spans="1:6" x14ac:dyDescent="0.2">
      <c r="A248" s="37"/>
      <c r="B248" s="39"/>
      <c r="C248" s="46"/>
      <c r="D248" s="30"/>
      <c r="E248" s="30"/>
      <c r="F248" s="30"/>
    </row>
    <row r="249" spans="1:6" x14ac:dyDescent="0.2">
      <c r="A249" s="37"/>
      <c r="B249" s="39"/>
      <c r="C249" s="46"/>
      <c r="D249" s="30"/>
      <c r="E249" s="30"/>
      <c r="F249" s="30"/>
    </row>
    <row r="250" spans="1:6" x14ac:dyDescent="0.2">
      <c r="A250" s="37"/>
      <c r="B250" s="39"/>
      <c r="C250" s="46"/>
      <c r="D250" s="30"/>
      <c r="E250" s="30"/>
      <c r="F250" s="30"/>
    </row>
    <row r="251" spans="1:6" x14ac:dyDescent="0.2">
      <c r="A251" s="37"/>
      <c r="B251" s="39"/>
      <c r="C251" s="46"/>
      <c r="D251" s="30"/>
      <c r="E251" s="30"/>
      <c r="F251" s="30"/>
    </row>
    <row r="252" spans="1:6" x14ac:dyDescent="0.2">
      <c r="A252" s="37"/>
      <c r="B252" s="39"/>
      <c r="C252" s="46"/>
      <c r="D252" s="30"/>
      <c r="E252" s="30"/>
      <c r="F252" s="30"/>
    </row>
    <row r="253" spans="1:6" x14ac:dyDescent="0.2">
      <c r="A253" s="37"/>
      <c r="B253" s="39"/>
      <c r="C253" s="46"/>
      <c r="D253" s="30"/>
      <c r="E253" s="30"/>
      <c r="F253" s="30"/>
    </row>
    <row r="254" spans="1:6" x14ac:dyDescent="0.2">
      <c r="A254" s="37"/>
      <c r="B254" s="39"/>
      <c r="C254" s="46"/>
      <c r="D254" s="30"/>
      <c r="E254" s="30"/>
      <c r="F254" s="30"/>
    </row>
    <row r="255" spans="1:6" x14ac:dyDescent="0.2">
      <c r="A255" s="37"/>
      <c r="B255" s="39"/>
      <c r="C255" s="46"/>
      <c r="D255" s="30"/>
      <c r="E255" s="30"/>
      <c r="F255" s="30"/>
    </row>
    <row r="256" spans="1:6" x14ac:dyDescent="0.2">
      <c r="A256" s="37"/>
      <c r="B256" s="39"/>
      <c r="C256" s="46"/>
      <c r="D256" s="30"/>
      <c r="E256" s="30"/>
      <c r="F256" s="30"/>
    </row>
    <row r="257" spans="1:11" x14ac:dyDescent="0.2">
      <c r="A257" s="37"/>
      <c r="B257" s="39"/>
      <c r="C257" s="46"/>
      <c r="D257" s="30"/>
      <c r="E257" s="30"/>
      <c r="F257" s="30"/>
    </row>
    <row r="258" spans="1:11" x14ac:dyDescent="0.2">
      <c r="A258" s="37"/>
      <c r="B258" s="39"/>
      <c r="C258" s="46"/>
      <c r="D258" s="30"/>
      <c r="E258" s="30"/>
      <c r="F258" s="30"/>
      <c r="G258" s="31"/>
      <c r="H258" s="31"/>
      <c r="I258" s="31"/>
      <c r="J258" s="31"/>
      <c r="K258" s="31"/>
    </row>
    <row r="259" spans="1:11" x14ac:dyDescent="0.2">
      <c r="E259" s="30"/>
      <c r="F259" s="30"/>
      <c r="G259" s="31"/>
      <c r="H259" s="31"/>
      <c r="I259" s="31"/>
      <c r="J259" s="31"/>
      <c r="K259" s="31"/>
    </row>
    <row r="260" spans="1:11" x14ac:dyDescent="0.2">
      <c r="E260" s="30"/>
      <c r="F260" s="30"/>
      <c r="G260" s="31"/>
      <c r="H260" s="31"/>
      <c r="I260" s="31"/>
      <c r="J260" s="31"/>
      <c r="K260" s="31"/>
    </row>
    <row r="261" spans="1:11" x14ac:dyDescent="0.2">
      <c r="E261" s="30"/>
      <c r="F261" s="30"/>
      <c r="G261" s="31"/>
      <c r="H261" s="31"/>
      <c r="I261" s="31"/>
      <c r="J261" s="31"/>
      <c r="K261" s="31"/>
    </row>
    <row r="262" spans="1:11" x14ac:dyDescent="0.2">
      <c r="E262" s="30"/>
      <c r="F262" s="30"/>
      <c r="G262" s="31"/>
      <c r="H262" s="31"/>
      <c r="I262" s="31"/>
      <c r="J262" s="31"/>
      <c r="K262" s="31"/>
    </row>
    <row r="263" spans="1:11" x14ac:dyDescent="0.2">
      <c r="A263" s="37"/>
      <c r="B263" s="39"/>
      <c r="C263" s="46"/>
      <c r="D263" s="30"/>
      <c r="E263" s="30"/>
      <c r="F263" s="30"/>
      <c r="G263" s="31"/>
      <c r="H263" s="31"/>
      <c r="I263" s="31"/>
      <c r="J263" s="31"/>
      <c r="K263" s="31"/>
    </row>
    <row r="264" spans="1:11" x14ac:dyDescent="0.2">
      <c r="A264" s="37"/>
      <c r="B264" s="39"/>
      <c r="C264" s="46"/>
      <c r="D264" s="30"/>
      <c r="E264" s="30"/>
      <c r="F264" s="30"/>
      <c r="G264" s="31"/>
      <c r="H264" s="31"/>
      <c r="I264" s="31"/>
      <c r="J264" s="31"/>
      <c r="K264" s="31"/>
    </row>
    <row r="265" spans="1:11" x14ac:dyDescent="0.2">
      <c r="A265" s="37"/>
      <c r="B265" s="39"/>
      <c r="C265" s="46"/>
      <c r="D265" s="30"/>
      <c r="E265" s="30"/>
      <c r="F265" s="30"/>
      <c r="G265" s="31"/>
      <c r="H265" s="31"/>
      <c r="I265" s="31"/>
      <c r="J265" s="31"/>
      <c r="K265" s="31"/>
    </row>
    <row r="266" spans="1:11" x14ac:dyDescent="0.2">
      <c r="A266" s="37"/>
      <c r="B266" s="39"/>
      <c r="C266" s="46"/>
      <c r="D266" s="30"/>
      <c r="E266" s="30"/>
      <c r="F266" s="30"/>
      <c r="G266" s="31"/>
      <c r="H266" s="31"/>
      <c r="I266" s="31"/>
      <c r="J266" s="31"/>
      <c r="K266" s="31"/>
    </row>
    <row r="267" spans="1:11" x14ac:dyDescent="0.2">
      <c r="A267" s="37"/>
      <c r="B267" s="39"/>
      <c r="C267" s="46"/>
      <c r="D267" s="30"/>
      <c r="E267" s="30"/>
      <c r="F267" s="30"/>
      <c r="G267" s="31"/>
      <c r="H267" s="31"/>
      <c r="I267" s="31"/>
      <c r="J267" s="31"/>
      <c r="K267" s="31"/>
    </row>
    <row r="268" spans="1:11" x14ac:dyDescent="0.2">
      <c r="A268" s="37"/>
      <c r="B268" s="39"/>
      <c r="C268" s="46"/>
      <c r="D268" s="30"/>
      <c r="E268" s="30"/>
      <c r="F268" s="30"/>
      <c r="G268" s="31"/>
      <c r="H268" s="31"/>
      <c r="I268" s="31"/>
      <c r="J268" s="31"/>
      <c r="K268" s="31"/>
    </row>
    <row r="269" spans="1:11" x14ac:dyDescent="0.2">
      <c r="A269" s="37"/>
      <c r="B269" s="39"/>
      <c r="C269" s="46"/>
      <c r="D269" s="30"/>
      <c r="E269" s="30"/>
      <c r="F269" s="30"/>
      <c r="G269" s="31"/>
      <c r="H269" s="31"/>
      <c r="I269" s="31"/>
      <c r="J269" s="31"/>
      <c r="K269" s="31"/>
    </row>
    <row r="270" spans="1:11" x14ac:dyDescent="0.2">
      <c r="A270" s="37"/>
      <c r="B270" s="39"/>
      <c r="C270" s="46"/>
      <c r="D270" s="30"/>
      <c r="E270" s="30"/>
      <c r="F270" s="30"/>
      <c r="G270" s="31"/>
      <c r="H270" s="31"/>
      <c r="I270" s="31"/>
      <c r="J270" s="31"/>
      <c r="K270" s="31"/>
    </row>
    <row r="271" spans="1:11" x14ac:dyDescent="0.2">
      <c r="A271" s="37"/>
      <c r="B271" s="39"/>
      <c r="C271" s="46"/>
      <c r="D271" s="30"/>
      <c r="E271" s="30"/>
      <c r="F271" s="30"/>
      <c r="G271" s="31"/>
      <c r="H271" s="31"/>
      <c r="I271" s="31"/>
      <c r="J271" s="31"/>
      <c r="K271" s="31"/>
    </row>
    <row r="272" spans="1:11" x14ac:dyDescent="0.2">
      <c r="A272" s="37"/>
      <c r="B272" s="39"/>
      <c r="C272" s="46"/>
      <c r="D272" s="30"/>
      <c r="E272" s="30"/>
      <c r="F272" s="30"/>
      <c r="G272" s="31"/>
      <c r="H272" s="31"/>
      <c r="I272" s="31"/>
      <c r="J272" s="31"/>
      <c r="K272" s="31"/>
    </row>
    <row r="273" spans="1:11" x14ac:dyDescent="0.2">
      <c r="A273" s="37"/>
      <c r="B273" s="39"/>
      <c r="C273" s="46"/>
      <c r="D273" s="30"/>
      <c r="E273" s="30"/>
      <c r="F273" s="30"/>
      <c r="G273" s="31"/>
      <c r="H273" s="31"/>
      <c r="I273" s="31"/>
      <c r="J273" s="31"/>
      <c r="K273" s="31"/>
    </row>
    <row r="274" spans="1:11" x14ac:dyDescent="0.2">
      <c r="A274" s="37"/>
      <c r="B274" s="39"/>
      <c r="C274" s="46"/>
      <c r="D274" s="30"/>
      <c r="E274" s="30"/>
      <c r="F274" s="30"/>
      <c r="G274" s="31"/>
      <c r="H274" s="31"/>
      <c r="I274" s="31"/>
      <c r="J274" s="31"/>
      <c r="K274" s="31"/>
    </row>
    <row r="275" spans="1:11" x14ac:dyDescent="0.2">
      <c r="A275" s="37"/>
      <c r="B275" s="39"/>
      <c r="C275" s="46"/>
      <c r="D275" s="30"/>
      <c r="E275" s="30"/>
      <c r="F275" s="30"/>
      <c r="G275" s="31"/>
      <c r="H275" s="31"/>
      <c r="I275" s="31"/>
      <c r="J275" s="31"/>
      <c r="K275" s="31"/>
    </row>
    <row r="276" spans="1:11" x14ac:dyDescent="0.2">
      <c r="A276" s="37"/>
      <c r="B276" s="39"/>
      <c r="C276" s="46"/>
      <c r="D276" s="30"/>
      <c r="E276" s="30"/>
      <c r="F276" s="30"/>
      <c r="G276" s="31"/>
      <c r="H276" s="31"/>
      <c r="I276" s="31"/>
      <c r="J276" s="31"/>
      <c r="K276" s="31"/>
    </row>
    <row r="277" spans="1:11" x14ac:dyDescent="0.2">
      <c r="A277" s="37"/>
      <c r="B277" s="39"/>
      <c r="C277" s="46"/>
      <c r="D277" s="30"/>
      <c r="E277" s="30"/>
      <c r="F277" s="30"/>
      <c r="G277" s="31"/>
      <c r="H277" s="31"/>
      <c r="I277" s="31"/>
      <c r="J277" s="31"/>
      <c r="K277" s="31"/>
    </row>
    <row r="278" spans="1:11" x14ac:dyDescent="0.2">
      <c r="A278" s="37"/>
      <c r="B278" s="39"/>
      <c r="C278" s="46"/>
      <c r="D278" s="30"/>
      <c r="E278" s="30"/>
      <c r="F278" s="30"/>
      <c r="G278" s="31"/>
      <c r="H278" s="31"/>
      <c r="I278" s="31"/>
      <c r="J278" s="31"/>
      <c r="K278" s="31"/>
    </row>
    <row r="279" spans="1:11" x14ac:dyDescent="0.2">
      <c r="A279" s="37"/>
      <c r="B279" s="39"/>
      <c r="C279" s="46"/>
      <c r="D279" s="30"/>
      <c r="E279" s="30"/>
      <c r="F279" s="30"/>
      <c r="G279" s="31"/>
      <c r="H279" s="31"/>
      <c r="I279" s="31"/>
      <c r="J279" s="31"/>
      <c r="K279" s="31"/>
    </row>
    <row r="280" spans="1:11" x14ac:dyDescent="0.2">
      <c r="A280" s="37"/>
      <c r="B280" s="39"/>
      <c r="C280" s="46"/>
      <c r="D280" s="30"/>
      <c r="E280" s="30"/>
      <c r="F280" s="30"/>
      <c r="G280" s="31"/>
      <c r="H280" s="31"/>
      <c r="I280" s="31"/>
      <c r="J280" s="31"/>
      <c r="K280" s="31"/>
    </row>
    <row r="281" spans="1:11" x14ac:dyDescent="0.2">
      <c r="A281" s="37"/>
      <c r="B281" s="39"/>
      <c r="C281" s="46"/>
      <c r="D281" s="30"/>
      <c r="E281" s="30"/>
      <c r="F281" s="30"/>
      <c r="G281" s="31"/>
      <c r="H281" s="31"/>
      <c r="I281" s="31"/>
      <c r="J281" s="31"/>
      <c r="K281" s="31"/>
    </row>
    <row r="282" spans="1:11" x14ac:dyDescent="0.2">
      <c r="A282" s="31"/>
      <c r="B282" s="39"/>
      <c r="C282" s="46"/>
      <c r="D282" s="30"/>
      <c r="E282" s="30"/>
      <c r="F282" s="30"/>
      <c r="G282" s="31"/>
      <c r="H282" s="31"/>
      <c r="I282" s="31"/>
      <c r="J282" s="31"/>
      <c r="K282" s="31"/>
    </row>
    <row r="283" spans="1:11" x14ac:dyDescent="0.2">
      <c r="A283" s="31"/>
      <c r="B283" s="39"/>
      <c r="C283" s="46"/>
      <c r="D283" s="30"/>
      <c r="E283" s="30"/>
      <c r="F283" s="30"/>
      <c r="G283" s="31"/>
      <c r="H283" s="31"/>
      <c r="I283" s="31"/>
      <c r="J283" s="31"/>
      <c r="K283" s="31"/>
    </row>
    <row r="284" spans="1:11" x14ac:dyDescent="0.2">
      <c r="A284" s="31"/>
      <c r="B284" s="39"/>
      <c r="C284" s="46"/>
      <c r="D284" s="30"/>
      <c r="E284" s="30"/>
      <c r="F284" s="30"/>
      <c r="G284" s="31"/>
      <c r="H284" s="31"/>
      <c r="I284" s="31"/>
      <c r="J284" s="31"/>
      <c r="K284" s="31"/>
    </row>
    <row r="285" spans="1:11" x14ac:dyDescent="0.2">
      <c r="A285" s="31"/>
      <c r="B285" s="39"/>
      <c r="C285" s="46"/>
      <c r="D285" s="30"/>
      <c r="E285" s="30"/>
      <c r="F285" s="30"/>
      <c r="G285" s="31"/>
      <c r="H285" s="31"/>
      <c r="I285" s="31"/>
      <c r="J285" s="31"/>
      <c r="K285" s="31"/>
    </row>
    <row r="286" spans="1:11" x14ac:dyDescent="0.2">
      <c r="A286" s="31"/>
      <c r="B286" s="39"/>
      <c r="C286" s="46"/>
      <c r="D286" s="30"/>
      <c r="E286" s="30"/>
      <c r="F286" s="30"/>
      <c r="G286" s="31"/>
      <c r="H286" s="31"/>
      <c r="I286" s="31"/>
      <c r="J286" s="31"/>
      <c r="K286" s="31"/>
    </row>
    <row r="287" spans="1:11" x14ac:dyDescent="0.2">
      <c r="A287" s="31"/>
      <c r="B287" s="39"/>
      <c r="C287" s="46"/>
      <c r="D287" s="30"/>
      <c r="E287" s="30"/>
      <c r="F287" s="30"/>
      <c r="G287" s="31"/>
      <c r="H287" s="31"/>
      <c r="I287" s="31"/>
      <c r="J287" s="31"/>
      <c r="K287" s="31"/>
    </row>
    <row r="288" spans="1:11" x14ac:dyDescent="0.2">
      <c r="A288" s="31"/>
      <c r="B288" s="39"/>
      <c r="C288" s="46"/>
      <c r="D288" s="30"/>
      <c r="E288" s="30"/>
      <c r="F288" s="30"/>
      <c r="G288" s="31"/>
      <c r="H288" s="31"/>
      <c r="I288" s="31"/>
      <c r="J288" s="31"/>
      <c r="K288" s="31"/>
    </row>
    <row r="289" spans="1:11" x14ac:dyDescent="0.2">
      <c r="A289" s="31"/>
      <c r="B289" s="39"/>
      <c r="C289" s="46"/>
      <c r="D289" s="30"/>
      <c r="E289" s="30"/>
      <c r="F289" s="30"/>
      <c r="G289" s="31"/>
      <c r="H289" s="31"/>
      <c r="I289" s="31"/>
      <c r="J289" s="31"/>
      <c r="K289" s="31"/>
    </row>
    <row r="290" spans="1:11" x14ac:dyDescent="0.2">
      <c r="A290" s="31"/>
      <c r="B290" s="39"/>
      <c r="C290" s="46"/>
      <c r="D290" s="30"/>
      <c r="E290" s="30"/>
      <c r="F290" s="30"/>
      <c r="G290" s="31"/>
      <c r="H290" s="31"/>
      <c r="I290" s="31"/>
      <c r="J290" s="31"/>
      <c r="K290" s="31"/>
    </row>
    <row r="291" spans="1:11" x14ac:dyDescent="0.2">
      <c r="A291" s="31"/>
      <c r="B291" s="39"/>
      <c r="C291" s="46"/>
      <c r="D291" s="30"/>
      <c r="E291" s="30"/>
      <c r="F291" s="30"/>
      <c r="G291" s="31"/>
      <c r="H291" s="31"/>
      <c r="I291" s="31"/>
      <c r="J291" s="31"/>
      <c r="K291" s="31"/>
    </row>
    <row r="292" spans="1:11" x14ac:dyDescent="0.2">
      <c r="A292" s="31"/>
      <c r="B292" s="39"/>
      <c r="C292" s="46"/>
      <c r="D292" s="30"/>
      <c r="E292" s="30"/>
      <c r="F292" s="30"/>
      <c r="G292" s="31"/>
      <c r="H292" s="31"/>
      <c r="I292" s="31"/>
      <c r="J292" s="31"/>
      <c r="K292" s="31"/>
    </row>
    <row r="293" spans="1:11" x14ac:dyDescent="0.2">
      <c r="A293" s="31"/>
      <c r="B293" s="39"/>
      <c r="C293" s="46"/>
      <c r="D293" s="30"/>
      <c r="E293" s="30"/>
      <c r="F293" s="30"/>
      <c r="G293" s="31"/>
      <c r="H293" s="31"/>
      <c r="I293" s="31"/>
      <c r="J293" s="31"/>
      <c r="K293" s="31"/>
    </row>
    <row r="294" spans="1:11" x14ac:dyDescent="0.2">
      <c r="A294" s="31"/>
      <c r="B294" s="39"/>
      <c r="C294" s="46"/>
      <c r="D294" s="30"/>
      <c r="E294" s="30"/>
      <c r="F294" s="30"/>
      <c r="G294" s="31"/>
      <c r="H294" s="31"/>
      <c r="I294" s="31"/>
      <c r="J294" s="31"/>
      <c r="K294" s="31"/>
    </row>
    <row r="295" spans="1:11" x14ac:dyDescent="0.2">
      <c r="A295" s="31"/>
      <c r="B295" s="39"/>
      <c r="C295" s="46"/>
      <c r="D295" s="30"/>
      <c r="E295" s="30"/>
      <c r="F295" s="30"/>
      <c r="G295" s="31"/>
      <c r="H295" s="31"/>
      <c r="I295" s="31"/>
      <c r="J295" s="31"/>
      <c r="K295" s="31"/>
    </row>
    <row r="296" spans="1:11" x14ac:dyDescent="0.2">
      <c r="A296" s="31"/>
      <c r="B296" s="39"/>
      <c r="C296" s="46"/>
      <c r="D296" s="30"/>
      <c r="E296" s="30"/>
      <c r="F296" s="30"/>
      <c r="G296" s="31"/>
      <c r="H296" s="31"/>
      <c r="I296" s="31"/>
      <c r="J296" s="31"/>
      <c r="K296" s="31"/>
    </row>
    <row r="297" spans="1:11" x14ac:dyDescent="0.2">
      <c r="A297" s="31"/>
      <c r="B297" s="39"/>
      <c r="C297" s="46"/>
      <c r="D297" s="30"/>
      <c r="E297" s="30"/>
      <c r="F297" s="30"/>
      <c r="G297" s="31"/>
      <c r="H297" s="31"/>
      <c r="I297" s="31"/>
      <c r="J297" s="31"/>
      <c r="K297" s="31"/>
    </row>
    <row r="298" spans="1:11" x14ac:dyDescent="0.2">
      <c r="A298" s="31"/>
      <c r="B298" s="39"/>
      <c r="C298" s="46"/>
      <c r="D298" s="30"/>
      <c r="E298" s="30"/>
      <c r="F298" s="30"/>
      <c r="G298" s="31"/>
      <c r="H298" s="31"/>
      <c r="I298" s="31"/>
      <c r="J298" s="31"/>
      <c r="K298" s="31"/>
    </row>
    <row r="299" spans="1:11" x14ac:dyDescent="0.2">
      <c r="A299" s="31"/>
      <c r="B299" s="39"/>
      <c r="C299" s="46"/>
      <c r="D299" s="30"/>
      <c r="E299" s="30"/>
      <c r="F299" s="30"/>
      <c r="G299" s="31"/>
      <c r="H299" s="31"/>
      <c r="I299" s="31"/>
      <c r="J299" s="31"/>
      <c r="K299" s="31"/>
    </row>
    <row r="300" spans="1:11" x14ac:dyDescent="0.2">
      <c r="A300" s="31"/>
      <c r="B300" s="39"/>
      <c r="C300" s="46"/>
      <c r="D300" s="30"/>
      <c r="E300" s="30"/>
      <c r="F300" s="30"/>
      <c r="G300" s="31"/>
      <c r="H300" s="31"/>
      <c r="I300" s="31"/>
      <c r="J300" s="31"/>
      <c r="K300" s="31"/>
    </row>
    <row r="301" spans="1:11" x14ac:dyDescent="0.2">
      <c r="A301" s="31"/>
      <c r="B301" s="39"/>
      <c r="C301" s="46"/>
      <c r="D301" s="30"/>
      <c r="E301" s="30"/>
      <c r="F301" s="30"/>
      <c r="G301" s="31"/>
      <c r="H301" s="31"/>
      <c r="I301" s="31"/>
      <c r="J301" s="31"/>
      <c r="K301" s="31"/>
    </row>
    <row r="302" spans="1:11" x14ac:dyDescent="0.2">
      <c r="A302" s="31"/>
      <c r="B302" s="39"/>
      <c r="C302" s="46"/>
      <c r="D302" s="30"/>
      <c r="E302" s="30"/>
      <c r="F302" s="30"/>
      <c r="G302" s="31"/>
      <c r="H302" s="31"/>
      <c r="I302" s="31"/>
      <c r="J302" s="31"/>
      <c r="K302" s="31"/>
    </row>
    <row r="303" spans="1:11" x14ac:dyDescent="0.2">
      <c r="A303" s="31"/>
      <c r="B303" s="39"/>
      <c r="C303" s="46"/>
      <c r="D303" s="30"/>
      <c r="E303" s="30"/>
      <c r="F303" s="30"/>
      <c r="G303" s="31"/>
      <c r="H303" s="31"/>
      <c r="I303" s="31"/>
      <c r="J303" s="31"/>
      <c r="K303" s="31"/>
    </row>
    <row r="304" spans="1:11" x14ac:dyDescent="0.2">
      <c r="A304" s="31"/>
      <c r="B304" s="39"/>
      <c r="C304" s="46"/>
      <c r="D304" s="30"/>
      <c r="E304" s="30"/>
      <c r="F304" s="30"/>
      <c r="G304" s="31"/>
      <c r="H304" s="31"/>
      <c r="I304" s="31"/>
      <c r="J304" s="31"/>
      <c r="K304" s="31"/>
    </row>
    <row r="305" spans="1:11" x14ac:dyDescent="0.2">
      <c r="A305" s="31"/>
      <c r="B305" s="39"/>
      <c r="C305" s="46"/>
      <c r="D305" s="30"/>
      <c r="E305" s="30"/>
      <c r="F305" s="30"/>
      <c r="G305" s="31"/>
      <c r="H305" s="31"/>
      <c r="I305" s="31"/>
      <c r="J305" s="31"/>
      <c r="K305" s="31"/>
    </row>
    <row r="306" spans="1:11" x14ac:dyDescent="0.2">
      <c r="A306" s="31"/>
      <c r="B306" s="39"/>
      <c r="C306" s="46"/>
      <c r="D306" s="30"/>
      <c r="E306" s="30"/>
      <c r="F306" s="30"/>
      <c r="G306" s="31"/>
      <c r="H306" s="31"/>
      <c r="I306" s="31"/>
      <c r="J306" s="31"/>
      <c r="K306" s="31"/>
    </row>
    <row r="307" spans="1:11" x14ac:dyDescent="0.2">
      <c r="A307" s="31"/>
      <c r="B307" s="39"/>
      <c r="C307" s="46"/>
      <c r="D307" s="30"/>
      <c r="E307" s="30"/>
      <c r="F307" s="30"/>
      <c r="G307" s="31"/>
      <c r="H307" s="31"/>
      <c r="I307" s="31"/>
      <c r="J307" s="31"/>
      <c r="K307" s="31"/>
    </row>
    <row r="308" spans="1:11" x14ac:dyDescent="0.2">
      <c r="A308" s="31"/>
      <c r="B308" s="39"/>
      <c r="C308" s="46"/>
      <c r="D308" s="30"/>
      <c r="E308" s="30"/>
      <c r="F308" s="30"/>
      <c r="G308" s="31"/>
      <c r="H308" s="31"/>
      <c r="I308" s="31"/>
      <c r="J308" s="31"/>
      <c r="K308" s="31"/>
    </row>
    <row r="309" spans="1:11" x14ac:dyDescent="0.2">
      <c r="A309" s="31"/>
      <c r="B309" s="39"/>
      <c r="C309" s="46"/>
      <c r="D309" s="30"/>
      <c r="E309" s="30"/>
      <c r="F309" s="30"/>
      <c r="G309" s="31"/>
      <c r="H309" s="31"/>
      <c r="I309" s="31"/>
      <c r="J309" s="31"/>
      <c r="K309" s="31"/>
    </row>
    <row r="310" spans="1:11" x14ac:dyDescent="0.2">
      <c r="A310" s="31"/>
      <c r="B310" s="39"/>
      <c r="C310" s="46"/>
      <c r="D310" s="30"/>
      <c r="E310" s="30"/>
      <c r="F310" s="30"/>
      <c r="G310" s="31"/>
      <c r="H310" s="31"/>
      <c r="I310" s="31"/>
      <c r="J310" s="31"/>
      <c r="K310" s="31"/>
    </row>
    <row r="311" spans="1:11" x14ac:dyDescent="0.2">
      <c r="A311" s="31"/>
      <c r="B311" s="39"/>
      <c r="C311" s="46"/>
      <c r="D311" s="30"/>
      <c r="E311" s="30"/>
      <c r="F311" s="30"/>
      <c r="G311" s="31"/>
      <c r="H311" s="31"/>
      <c r="I311" s="31"/>
      <c r="J311" s="31"/>
      <c r="K311" s="31"/>
    </row>
    <row r="312" spans="1:11" x14ac:dyDescent="0.2">
      <c r="A312" s="31"/>
      <c r="B312" s="39"/>
      <c r="C312" s="46"/>
      <c r="D312" s="30"/>
      <c r="E312" s="30"/>
      <c r="F312" s="30"/>
      <c r="G312" s="31"/>
      <c r="H312" s="31"/>
      <c r="I312" s="31"/>
      <c r="J312" s="31"/>
      <c r="K312" s="31"/>
    </row>
    <row r="313" spans="1:11" x14ac:dyDescent="0.2">
      <c r="A313" s="31"/>
      <c r="B313" s="39"/>
      <c r="C313" s="46"/>
      <c r="D313" s="30"/>
      <c r="E313" s="30"/>
      <c r="F313" s="30"/>
      <c r="G313" s="31"/>
      <c r="H313" s="31"/>
      <c r="I313" s="31"/>
      <c r="J313" s="31"/>
      <c r="K313" s="31"/>
    </row>
    <row r="314" spans="1:11" x14ac:dyDescent="0.2">
      <c r="A314" s="31"/>
      <c r="B314" s="39"/>
      <c r="C314" s="46"/>
      <c r="D314" s="30"/>
      <c r="E314" s="30"/>
      <c r="F314" s="30"/>
      <c r="G314" s="31"/>
      <c r="H314" s="31"/>
      <c r="I314" s="31"/>
      <c r="J314" s="31"/>
      <c r="K314" s="31"/>
    </row>
    <row r="315" spans="1:11" x14ac:dyDescent="0.2">
      <c r="A315" s="31"/>
      <c r="B315" s="39"/>
      <c r="C315" s="46"/>
      <c r="D315" s="30"/>
      <c r="E315" s="30"/>
      <c r="F315" s="30"/>
      <c r="G315" s="31"/>
      <c r="H315" s="31"/>
      <c r="I315" s="31"/>
      <c r="J315" s="31"/>
      <c r="K315" s="31"/>
    </row>
    <row r="316" spans="1:11" x14ac:dyDescent="0.2">
      <c r="A316" s="31"/>
      <c r="B316" s="39"/>
      <c r="C316" s="46"/>
      <c r="D316" s="30"/>
      <c r="E316" s="30"/>
      <c r="F316" s="30"/>
      <c r="G316" s="31"/>
      <c r="H316" s="31"/>
      <c r="I316" s="31"/>
      <c r="J316" s="31"/>
      <c r="K316" s="31"/>
    </row>
    <row r="317" spans="1:11" x14ac:dyDescent="0.2">
      <c r="D317" s="30"/>
      <c r="E317" s="30"/>
      <c r="F317" s="30"/>
      <c r="G317" s="31"/>
      <c r="H317" s="31"/>
      <c r="I317" s="31"/>
      <c r="J317" s="31"/>
      <c r="K317" s="31"/>
    </row>
    <row r="318" spans="1:11" x14ac:dyDescent="0.2">
      <c r="D318" s="30"/>
      <c r="E318" s="30"/>
      <c r="F318" s="30"/>
      <c r="G318" s="31"/>
      <c r="H318" s="31"/>
      <c r="I318" s="31"/>
      <c r="J318" s="31"/>
      <c r="K318" s="31"/>
    </row>
    <row r="319" spans="1:11" x14ac:dyDescent="0.2">
      <c r="A319" s="31"/>
      <c r="B319" s="39"/>
      <c r="C319" s="46"/>
      <c r="D319" s="30"/>
      <c r="E319" s="30"/>
      <c r="F319" s="30"/>
      <c r="G319" s="31"/>
      <c r="H319" s="31"/>
      <c r="I319" s="31"/>
      <c r="J319" s="31"/>
      <c r="K319" s="31"/>
    </row>
    <row r="320" spans="1:11" x14ac:dyDescent="0.2">
      <c r="A320" s="31"/>
      <c r="B320" s="39"/>
      <c r="C320" s="46"/>
      <c r="D320" s="30"/>
      <c r="E320" s="30"/>
      <c r="F320" s="30"/>
      <c r="G320" s="31"/>
      <c r="H320" s="31"/>
      <c r="I320" s="31"/>
      <c r="J320" s="31"/>
      <c r="K320" s="31"/>
    </row>
    <row r="321" spans="1:11" x14ac:dyDescent="0.2">
      <c r="A321" s="31"/>
      <c r="B321" s="39"/>
      <c r="C321" s="46"/>
      <c r="D321" s="30"/>
      <c r="E321" s="30"/>
      <c r="F321" s="30"/>
      <c r="G321" s="31"/>
      <c r="H321" s="31"/>
      <c r="I321" s="31"/>
      <c r="J321" s="31"/>
      <c r="K321" s="31"/>
    </row>
    <row r="322" spans="1:11" x14ac:dyDescent="0.2">
      <c r="A322" s="31"/>
      <c r="B322" s="39"/>
      <c r="C322" s="46"/>
      <c r="D322" s="30"/>
      <c r="E322" s="30"/>
      <c r="F322" s="30"/>
      <c r="G322" s="31"/>
      <c r="H322" s="31"/>
      <c r="I322" s="31"/>
      <c r="J322" s="31"/>
      <c r="K322" s="31"/>
    </row>
    <row r="323" spans="1:11" x14ac:dyDescent="0.2">
      <c r="A323" s="31"/>
      <c r="B323" s="39"/>
      <c r="C323" s="46"/>
      <c r="D323" s="30"/>
      <c r="E323" s="30"/>
      <c r="F323" s="30"/>
      <c r="G323" s="31"/>
      <c r="H323" s="31"/>
      <c r="I323" s="31"/>
      <c r="J323" s="31"/>
      <c r="K323" s="31"/>
    </row>
    <row r="324" spans="1:11" x14ac:dyDescent="0.2">
      <c r="A324" s="31"/>
      <c r="B324" s="39"/>
      <c r="C324" s="46"/>
      <c r="D324" s="30"/>
      <c r="E324" s="30"/>
      <c r="F324" s="30"/>
      <c r="G324" s="31"/>
      <c r="H324" s="31"/>
      <c r="I324" s="31"/>
      <c r="J324" s="31"/>
      <c r="K324" s="31"/>
    </row>
    <row r="325" spans="1:11" x14ac:dyDescent="0.2">
      <c r="A325" s="31"/>
      <c r="B325" s="39"/>
      <c r="C325" s="46"/>
      <c r="D325" s="30"/>
      <c r="E325" s="30"/>
      <c r="F325" s="30"/>
      <c r="G325" s="31"/>
      <c r="H325" s="31"/>
      <c r="I325" s="31"/>
      <c r="J325" s="31"/>
      <c r="K325" s="31"/>
    </row>
    <row r="326" spans="1:11" x14ac:dyDescent="0.2">
      <c r="A326" s="31"/>
      <c r="B326" s="39"/>
      <c r="C326" s="46"/>
      <c r="D326" s="30"/>
      <c r="E326" s="30"/>
      <c r="F326" s="30"/>
      <c r="G326" s="31"/>
      <c r="H326" s="31"/>
      <c r="I326" s="31"/>
      <c r="J326" s="31"/>
      <c r="K326" s="31"/>
    </row>
    <row r="327" spans="1:11" x14ac:dyDescent="0.2">
      <c r="A327" s="31"/>
      <c r="B327" s="39"/>
      <c r="C327" s="46"/>
      <c r="D327" s="30"/>
      <c r="E327" s="30"/>
      <c r="F327" s="30"/>
      <c r="G327" s="31"/>
      <c r="H327" s="31"/>
      <c r="I327" s="31"/>
      <c r="J327" s="31"/>
      <c r="K327" s="31"/>
    </row>
    <row r="328" spans="1:11" x14ac:dyDescent="0.2">
      <c r="A328" s="31"/>
      <c r="B328" s="39"/>
      <c r="C328" s="46"/>
      <c r="D328" s="30"/>
      <c r="E328" s="30"/>
      <c r="F328" s="30"/>
      <c r="G328" s="31"/>
      <c r="H328" s="31"/>
      <c r="I328" s="31"/>
      <c r="J328" s="31"/>
      <c r="K328" s="31"/>
    </row>
    <row r="329" spans="1:11" x14ac:dyDescent="0.2">
      <c r="A329" s="31"/>
      <c r="B329" s="39"/>
      <c r="C329" s="46"/>
      <c r="D329" s="30"/>
      <c r="E329" s="30"/>
      <c r="F329" s="30"/>
      <c r="G329" s="31"/>
      <c r="H329" s="31"/>
      <c r="I329" s="31"/>
      <c r="J329" s="31"/>
      <c r="K329" s="31"/>
    </row>
    <row r="330" spans="1:11" x14ac:dyDescent="0.2">
      <c r="A330" s="31"/>
      <c r="B330" s="39"/>
      <c r="C330" s="46"/>
      <c r="D330" s="30"/>
      <c r="E330" s="30"/>
      <c r="F330" s="30"/>
      <c r="G330" s="31"/>
      <c r="H330" s="31"/>
      <c r="I330" s="31"/>
      <c r="J330" s="31"/>
      <c r="K330" s="31"/>
    </row>
    <row r="331" spans="1:11" x14ac:dyDescent="0.2">
      <c r="A331" s="31"/>
      <c r="B331" s="39"/>
      <c r="C331" s="46"/>
      <c r="D331" s="30"/>
      <c r="E331" s="30"/>
      <c r="F331" s="30"/>
      <c r="G331" s="31"/>
      <c r="H331" s="31"/>
      <c r="I331" s="31"/>
      <c r="J331" s="31"/>
      <c r="K331" s="31"/>
    </row>
    <row r="332" spans="1:11" x14ac:dyDescent="0.2">
      <c r="A332" s="31"/>
      <c r="B332" s="39"/>
      <c r="C332" s="46"/>
      <c r="D332" s="30"/>
      <c r="E332" s="30"/>
      <c r="F332" s="30"/>
      <c r="G332" s="31"/>
      <c r="H332" s="31"/>
      <c r="I332" s="31"/>
      <c r="J332" s="31"/>
      <c r="K332" s="31"/>
    </row>
    <row r="333" spans="1:11" x14ac:dyDescent="0.2">
      <c r="A333" s="31"/>
      <c r="B333" s="39"/>
      <c r="C333" s="46"/>
      <c r="D333" s="30"/>
      <c r="E333" s="30"/>
      <c r="F333" s="30"/>
      <c r="G333" s="31"/>
      <c r="H333" s="31"/>
      <c r="I333" s="31"/>
      <c r="J333" s="31"/>
      <c r="K333" s="31"/>
    </row>
    <row r="334" spans="1:11" x14ac:dyDescent="0.2">
      <c r="A334" s="31"/>
      <c r="B334" s="39"/>
      <c r="C334" s="46"/>
      <c r="D334" s="30"/>
      <c r="E334" s="30"/>
      <c r="F334" s="30"/>
      <c r="G334" s="31"/>
      <c r="H334" s="31"/>
      <c r="I334" s="31"/>
      <c r="J334" s="31"/>
      <c r="K334" s="31"/>
    </row>
    <row r="335" spans="1:11" x14ac:dyDescent="0.2">
      <c r="A335" s="31"/>
      <c r="B335" s="39"/>
      <c r="C335" s="46"/>
      <c r="D335" s="30"/>
      <c r="E335" s="30"/>
      <c r="F335" s="30"/>
      <c r="G335" s="31"/>
      <c r="H335" s="31"/>
      <c r="I335" s="31"/>
      <c r="J335" s="31"/>
      <c r="K335" s="31"/>
    </row>
    <row r="336" spans="1:11" x14ac:dyDescent="0.2">
      <c r="A336" s="31"/>
      <c r="B336" s="39"/>
      <c r="C336" s="46"/>
      <c r="D336" s="30"/>
      <c r="E336" s="30"/>
      <c r="F336" s="30"/>
      <c r="G336" s="31"/>
      <c r="H336" s="31"/>
      <c r="I336" s="31"/>
      <c r="J336" s="31"/>
      <c r="K336" s="31"/>
    </row>
    <row r="337" spans="1:11" x14ac:dyDescent="0.2">
      <c r="A337" s="31"/>
      <c r="B337" s="39"/>
      <c r="C337" s="46"/>
      <c r="D337" s="30"/>
      <c r="E337" s="30"/>
      <c r="F337" s="30"/>
      <c r="G337" s="31"/>
      <c r="H337" s="31"/>
      <c r="I337" s="31"/>
      <c r="J337" s="31"/>
      <c r="K337" s="31"/>
    </row>
    <row r="338" spans="1:11" x14ac:dyDescent="0.2">
      <c r="A338" s="31"/>
      <c r="B338" s="39"/>
      <c r="C338" s="46"/>
      <c r="D338" s="30"/>
      <c r="E338" s="30"/>
      <c r="F338" s="30"/>
      <c r="G338" s="31"/>
      <c r="H338" s="31"/>
      <c r="I338" s="31"/>
      <c r="J338" s="31"/>
      <c r="K338" s="31"/>
    </row>
    <row r="339" spans="1:11" x14ac:dyDescent="0.2">
      <c r="A339" s="31"/>
      <c r="B339" s="39"/>
      <c r="C339" s="46"/>
      <c r="D339" s="30"/>
      <c r="E339" s="30"/>
      <c r="F339" s="30"/>
      <c r="G339" s="31"/>
      <c r="H339" s="31"/>
      <c r="I339" s="31"/>
      <c r="J339" s="31"/>
      <c r="K339" s="31"/>
    </row>
    <row r="340" spans="1:11" x14ac:dyDescent="0.2">
      <c r="A340" s="31"/>
      <c r="B340" s="39"/>
      <c r="C340" s="46"/>
      <c r="D340" s="30"/>
      <c r="E340" s="30"/>
      <c r="F340" s="30"/>
      <c r="G340" s="31"/>
      <c r="H340" s="31"/>
      <c r="I340" s="31"/>
      <c r="J340" s="31"/>
      <c r="K340" s="31"/>
    </row>
    <row r="341" spans="1:11" x14ac:dyDescent="0.2">
      <c r="A341" s="31"/>
      <c r="B341" s="39"/>
      <c r="C341" s="46"/>
      <c r="D341" s="30"/>
      <c r="E341" s="30"/>
      <c r="F341" s="30"/>
      <c r="G341" s="31"/>
      <c r="H341" s="31"/>
      <c r="I341" s="31"/>
      <c r="J341" s="31"/>
      <c r="K341" s="31"/>
    </row>
    <row r="342" spans="1:11" x14ac:dyDescent="0.2">
      <c r="A342" s="31"/>
      <c r="B342" s="39"/>
      <c r="C342" s="46"/>
      <c r="D342" s="30"/>
      <c r="E342" s="30"/>
      <c r="F342" s="30"/>
      <c r="G342" s="31"/>
      <c r="H342" s="31"/>
      <c r="I342" s="31"/>
      <c r="J342" s="31"/>
      <c r="K342" s="31"/>
    </row>
    <row r="343" spans="1:11" x14ac:dyDescent="0.2">
      <c r="A343" s="31"/>
      <c r="B343" s="39"/>
      <c r="C343" s="46"/>
      <c r="D343" s="30"/>
    </row>
    <row r="344" spans="1:11" x14ac:dyDescent="0.2">
      <c r="A344" s="31"/>
      <c r="B344" s="39"/>
      <c r="C344" s="46"/>
      <c r="D344" s="30"/>
    </row>
    <row r="345" spans="1:11" x14ac:dyDescent="0.2">
      <c r="A345" s="31"/>
      <c r="B345" s="39"/>
      <c r="C345" s="46"/>
      <c r="D345" s="30"/>
    </row>
    <row r="346" spans="1:11" x14ac:dyDescent="0.2">
      <c r="A346" s="31"/>
      <c r="B346" s="39"/>
      <c r="C346" s="46"/>
      <c r="D346" s="30"/>
    </row>
    <row r="347" spans="1:11" x14ac:dyDescent="0.2">
      <c r="A347" s="31"/>
      <c r="B347" s="39"/>
      <c r="C347" s="46"/>
      <c r="D347" s="30"/>
    </row>
    <row r="348" spans="1:11" x14ac:dyDescent="0.2">
      <c r="D348" s="30"/>
    </row>
    <row r="349" spans="1:11" x14ac:dyDescent="0.2">
      <c r="D349" s="30"/>
    </row>
    <row r="350" spans="1:11" x14ac:dyDescent="0.2">
      <c r="D350" s="30"/>
    </row>
    <row r="351" spans="1:11" x14ac:dyDescent="0.2">
      <c r="A351" s="31"/>
      <c r="B351" s="39"/>
      <c r="C351" s="46"/>
      <c r="D351" s="30"/>
    </row>
    <row r="352" spans="1:11" x14ac:dyDescent="0.2">
      <c r="A352" s="31"/>
      <c r="B352" s="39"/>
      <c r="C352" s="46"/>
      <c r="D352" s="30"/>
    </row>
    <row r="353" spans="1:4" x14ac:dyDescent="0.2">
      <c r="A353" s="31"/>
      <c r="B353" s="39"/>
      <c r="C353" s="46"/>
      <c r="D353" s="30"/>
    </row>
    <row r="354" spans="1:4" x14ac:dyDescent="0.2">
      <c r="A354" s="31"/>
      <c r="B354" s="39"/>
      <c r="C354" s="46"/>
      <c r="D354" s="30"/>
    </row>
  </sheetData>
  <mergeCells count="1">
    <mergeCell ref="A2:G2"/>
  </mergeCells>
  <phoneticPr fontId="20" type="noConversion"/>
  <conditionalFormatting sqref="J8:J29">
    <cfRule type="containsText" dxfId="3" priority="1" operator="containsText" text="factor 2">
      <formula>NOT(ISERROR(SEARCH("factor 2",J8)))</formula>
    </cfRule>
    <cfRule type="containsText" dxfId="2" priority="2" operator="containsText" text="factor 1">
      <formula>NOT(ISERROR(SEARCH("factor 1",J8)))</formula>
    </cfRule>
    <cfRule type="containsText" dxfId="1" priority="3" operator="containsText" text="too high">
      <formula>NOT(ISERROR(SEARCH("too high",J8)))</formula>
    </cfRule>
    <cfRule type="containsText" dxfId="0" priority="4" operator="containsText" text="too low">
      <formula>NOT(ISERROR(SEARCH("too low",J8)))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ΔP screen</vt:lpstr>
      <vt:lpstr>ΔP screen (Wu) proof</vt:lpstr>
      <vt:lpstr>ΔP perforated</vt:lpstr>
      <vt:lpstr>ΔP honeycomb</vt:lpstr>
    </vt:vector>
  </TitlesOfParts>
  <Company>Edesign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Alexander H</cp:lastModifiedBy>
  <dcterms:created xsi:type="dcterms:W3CDTF">2002-09-23T13:14:33Z</dcterms:created>
  <dcterms:modified xsi:type="dcterms:W3CDTF">2025-03-24T19:12:32Z</dcterms:modified>
</cp:coreProperties>
</file>