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13_ncr:1_{5B24896E-E97D-8349-AAA7-056AC4B0146B}" xr6:coauthVersionLast="47" xr6:coauthVersionMax="47" xr10:uidLastSave="{00000000-0000-0000-0000-000000000000}"/>
  <bookViews>
    <workbookView xWindow="0" yWindow="500" windowWidth="35780" windowHeight="21900" tabRatio="674" activeTab="2" xr2:uid="{00000000-000D-0000-FFFF-FFFF00000000}"/>
  </bookViews>
  <sheets>
    <sheet name="ΔP screen" sheetId="29" r:id="rId1"/>
    <sheet name="ΔP screen (Wu) proof" sheetId="15" r:id="rId2"/>
    <sheet name="ΔP honeycomb" sheetId="21" r:id="rId3"/>
  </sheets>
  <externalReferences>
    <externalReference r:id="rId4"/>
    <externalReference r:id="rId5"/>
  </externalReferences>
  <definedNames>
    <definedName name="bays">#REF!</definedName>
    <definedName name="bays02">#REF!</definedName>
    <definedName name="bays0412">'[1]Brighton 0.75'!$C$156</definedName>
    <definedName name="bayys">#REF!</definedName>
    <definedName name="ICLbays">'[2]Brighton 0.75'!$C$156</definedName>
    <definedName name="kljk">'[1]Brighton 0.75'!$C$156</definedName>
    <definedName name="X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9" l="1"/>
  <c r="C30" i="29"/>
  <c r="E32" i="29"/>
  <c r="E33" i="29"/>
  <c r="E34" i="29"/>
  <c r="E35" i="29"/>
  <c r="E36" i="29"/>
  <c r="J36" i="29" s="1"/>
  <c r="E37" i="29"/>
  <c r="J37" i="29" s="1"/>
  <c r="E38" i="29"/>
  <c r="G38" i="29" s="1"/>
  <c r="E39" i="29"/>
  <c r="G39" i="29" s="1"/>
  <c r="E40" i="29"/>
  <c r="G40" i="29" s="1"/>
  <c r="E41" i="29"/>
  <c r="F41" i="29" s="1"/>
  <c r="E42" i="29"/>
  <c r="F42" i="29" s="1"/>
  <c r="E43" i="29"/>
  <c r="J43" i="29" s="1"/>
  <c r="E44" i="29"/>
  <c r="E45" i="29"/>
  <c r="E46" i="29"/>
  <c r="E47" i="29"/>
  <c r="E48" i="29"/>
  <c r="E49" i="29"/>
  <c r="J49" i="29" s="1"/>
  <c r="E50" i="29"/>
  <c r="G50" i="29" s="1"/>
  <c r="E51" i="29"/>
  <c r="J51" i="29" s="1"/>
  <c r="E52" i="29"/>
  <c r="G52" i="29" s="1"/>
  <c r="E31" i="29"/>
  <c r="F31" i="29" s="1"/>
  <c r="C17" i="29"/>
  <c r="G44" i="29"/>
  <c r="G45" i="29"/>
  <c r="G46" i="29"/>
  <c r="G47" i="29"/>
  <c r="G48" i="29"/>
  <c r="G49" i="29"/>
  <c r="F37" i="29"/>
  <c r="F39" i="29"/>
  <c r="F40" i="29"/>
  <c r="F44" i="29"/>
  <c r="F45" i="29"/>
  <c r="F46" i="29"/>
  <c r="F47" i="29"/>
  <c r="F50" i="29"/>
  <c r="G32" i="29"/>
  <c r="J48" i="29"/>
  <c r="J47" i="29"/>
  <c r="J46" i="29"/>
  <c r="J45" i="29"/>
  <c r="J44" i="29"/>
  <c r="J35" i="29"/>
  <c r="J34" i="29"/>
  <c r="J33" i="29"/>
  <c r="J32" i="29"/>
  <c r="C10" i="15"/>
  <c r="C7" i="15"/>
  <c r="C16" i="15"/>
  <c r="E6" i="15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C11" i="29"/>
  <c r="C8" i="29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89" i="21"/>
  <c r="I90" i="21"/>
  <c r="M90" i="21" s="1"/>
  <c r="L90" i="21" s="1"/>
  <c r="O90" i="21" s="1"/>
  <c r="P90" i="21" s="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M102" i="21" s="1"/>
  <c r="L102" i="21" s="1"/>
  <c r="O102" i="21" s="1"/>
  <c r="P102" i="21" s="1"/>
  <c r="I103" i="21"/>
  <c r="M103" i="21" s="1"/>
  <c r="I104" i="21"/>
  <c r="I105" i="21"/>
  <c r="I106" i="21"/>
  <c r="I107" i="21"/>
  <c r="I108" i="21"/>
  <c r="I109" i="21"/>
  <c r="I110" i="21"/>
  <c r="I89" i="21"/>
  <c r="I116" i="21"/>
  <c r="C45" i="21"/>
  <c r="M105" i="21"/>
  <c r="I137" i="21"/>
  <c r="I136" i="21"/>
  <c r="I135" i="21"/>
  <c r="I134" i="21"/>
  <c r="I133" i="21"/>
  <c r="I132" i="21"/>
  <c r="M132" i="21" s="1"/>
  <c r="I131" i="21"/>
  <c r="I130" i="21"/>
  <c r="I129" i="21"/>
  <c r="I128" i="21"/>
  <c r="I127" i="21"/>
  <c r="I126" i="21"/>
  <c r="I125" i="21"/>
  <c r="I124" i="21"/>
  <c r="I123" i="21"/>
  <c r="I122" i="21"/>
  <c r="I121" i="21"/>
  <c r="I120" i="21"/>
  <c r="I119" i="21"/>
  <c r="I118" i="21"/>
  <c r="I117" i="21"/>
  <c r="M133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M134" i="21" s="1"/>
  <c r="H135" i="21"/>
  <c r="H136" i="21"/>
  <c r="H137" i="21"/>
  <c r="H116" i="21"/>
  <c r="F8" i="21"/>
  <c r="C32" i="21"/>
  <c r="H62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63" i="21"/>
  <c r="H64" i="21"/>
  <c r="H65" i="21"/>
  <c r="H66" i="21"/>
  <c r="H67" i="21"/>
  <c r="H68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62" i="21"/>
  <c r="F24" i="21"/>
  <c r="F25" i="21"/>
  <c r="F26" i="21"/>
  <c r="F27" i="21"/>
  <c r="F28" i="21"/>
  <c r="F29" i="21"/>
  <c r="C31" i="21"/>
  <c r="C33" i="21"/>
  <c r="C138" i="21"/>
  <c r="C139" i="21" s="1"/>
  <c r="C140" i="21" s="1"/>
  <c r="C118" i="21"/>
  <c r="C41" i="21"/>
  <c r="C88" i="21"/>
  <c r="C89" i="21" s="1"/>
  <c r="F35" i="21"/>
  <c r="C90" i="21"/>
  <c r="C91" i="21" s="1"/>
  <c r="H39" i="29" l="1"/>
  <c r="I39" i="29" s="1"/>
  <c r="G35" i="29"/>
  <c r="G37" i="29"/>
  <c r="F52" i="29"/>
  <c r="F36" i="29"/>
  <c r="G36" i="29"/>
  <c r="F51" i="29"/>
  <c r="F35" i="29"/>
  <c r="H35" i="29" s="1"/>
  <c r="I35" i="29" s="1"/>
  <c r="F34" i="29"/>
  <c r="G34" i="29"/>
  <c r="F49" i="29"/>
  <c r="H49" i="29" s="1"/>
  <c r="I49" i="29" s="1"/>
  <c r="F33" i="29"/>
  <c r="H33" i="29" s="1"/>
  <c r="I33" i="29" s="1"/>
  <c r="G33" i="29"/>
  <c r="F48" i="29"/>
  <c r="F32" i="29"/>
  <c r="H32" i="29" s="1"/>
  <c r="I32" i="29" s="1"/>
  <c r="G31" i="29"/>
  <c r="H31" i="29" s="1"/>
  <c r="I31" i="29" s="1"/>
  <c r="J31" i="29"/>
  <c r="F38" i="29"/>
  <c r="H38" i="29" s="1"/>
  <c r="I38" i="29" s="1"/>
  <c r="H52" i="29"/>
  <c r="I52" i="29" s="1"/>
  <c r="H37" i="29"/>
  <c r="I37" i="29" s="1"/>
  <c r="H50" i="29"/>
  <c r="I50" i="29" s="1"/>
  <c r="J39" i="29"/>
  <c r="H40" i="29"/>
  <c r="I40" i="29" s="1"/>
  <c r="J38" i="29"/>
  <c r="G42" i="29"/>
  <c r="H42" i="29" s="1"/>
  <c r="J40" i="29"/>
  <c r="J52" i="29"/>
  <c r="J42" i="29"/>
  <c r="G51" i="29"/>
  <c r="H48" i="29"/>
  <c r="I48" i="29" s="1"/>
  <c r="J50" i="29"/>
  <c r="G43" i="29"/>
  <c r="H44" i="29"/>
  <c r="I44" i="29" s="1"/>
  <c r="G41" i="29"/>
  <c r="H41" i="29" s="1"/>
  <c r="I41" i="29" s="1"/>
  <c r="J41" i="29"/>
  <c r="F43" i="29"/>
  <c r="H47" i="29"/>
  <c r="I47" i="29" s="1"/>
  <c r="H46" i="29"/>
  <c r="I46" i="29" s="1"/>
  <c r="H45" i="29"/>
  <c r="I45" i="29" s="1"/>
  <c r="M131" i="21"/>
  <c r="M129" i="21"/>
  <c r="L129" i="21" s="1"/>
  <c r="O129" i="21" s="1"/>
  <c r="P129" i="21" s="1"/>
  <c r="M130" i="21"/>
  <c r="L130" i="21" s="1"/>
  <c r="O130" i="21" s="1"/>
  <c r="P130" i="21" s="1"/>
  <c r="M93" i="21"/>
  <c r="N93" i="21" s="1"/>
  <c r="M106" i="21"/>
  <c r="L106" i="21" s="1"/>
  <c r="O106" i="21" s="1"/>
  <c r="P106" i="21" s="1"/>
  <c r="M96" i="21"/>
  <c r="L96" i="21" s="1"/>
  <c r="O96" i="21" s="1"/>
  <c r="P96" i="21" s="1"/>
  <c r="M97" i="21"/>
  <c r="N97" i="21" s="1"/>
  <c r="M109" i="21"/>
  <c r="L109" i="21" s="1"/>
  <c r="O109" i="21" s="1"/>
  <c r="P109" i="21" s="1"/>
  <c r="M101" i="21"/>
  <c r="N101" i="21" s="1"/>
  <c r="M107" i="21"/>
  <c r="L107" i="21" s="1"/>
  <c r="O107" i="21" s="1"/>
  <c r="P107" i="21" s="1"/>
  <c r="M98" i="21"/>
  <c r="N98" i="21" s="1"/>
  <c r="M110" i="21"/>
  <c r="N110" i="21" s="1"/>
  <c r="M91" i="21"/>
  <c r="N91" i="21" s="1"/>
  <c r="M108" i="21"/>
  <c r="N108" i="21" s="1"/>
  <c r="M92" i="21"/>
  <c r="N92" i="21" s="1"/>
  <c r="M121" i="21"/>
  <c r="N121" i="21" s="1"/>
  <c r="M94" i="21"/>
  <c r="L94" i="21" s="1"/>
  <c r="O94" i="21" s="1"/>
  <c r="P94" i="21" s="1"/>
  <c r="M99" i="21"/>
  <c r="L99" i="21" s="1"/>
  <c r="O99" i="21" s="1"/>
  <c r="P99" i="21" s="1"/>
  <c r="M104" i="21"/>
  <c r="L104" i="21" s="1"/>
  <c r="O104" i="21" s="1"/>
  <c r="P104" i="21" s="1"/>
  <c r="M117" i="21"/>
  <c r="L117" i="21" s="1"/>
  <c r="O117" i="21" s="1"/>
  <c r="P117" i="21" s="1"/>
  <c r="M89" i="21"/>
  <c r="N89" i="21" s="1"/>
  <c r="M95" i="21"/>
  <c r="N95" i="21" s="1"/>
  <c r="M100" i="21"/>
  <c r="N100" i="21" s="1"/>
  <c r="N103" i="21"/>
  <c r="L103" i="21"/>
  <c r="O103" i="21" s="1"/>
  <c r="P103" i="21" s="1"/>
  <c r="N105" i="21"/>
  <c r="L105" i="21"/>
  <c r="O105" i="21" s="1"/>
  <c r="P105" i="21" s="1"/>
  <c r="N102" i="21"/>
  <c r="N90" i="21"/>
  <c r="M119" i="21"/>
  <c r="L119" i="21" s="1"/>
  <c r="O119" i="21" s="1"/>
  <c r="P119" i="21" s="1"/>
  <c r="M120" i="21"/>
  <c r="L120" i="21" s="1"/>
  <c r="O120" i="21" s="1"/>
  <c r="P120" i="21" s="1"/>
  <c r="M137" i="21"/>
  <c r="N137" i="21" s="1"/>
  <c r="M122" i="21"/>
  <c r="L122" i="21" s="1"/>
  <c r="O122" i="21" s="1"/>
  <c r="P122" i="21" s="1"/>
  <c r="M116" i="21"/>
  <c r="L116" i="21" s="1"/>
  <c r="O116" i="21" s="1"/>
  <c r="P116" i="21" s="1"/>
  <c r="M125" i="21"/>
  <c r="N125" i="21" s="1"/>
  <c r="M118" i="21"/>
  <c r="N118" i="21" s="1"/>
  <c r="M124" i="21"/>
  <c r="N124" i="21" s="1"/>
  <c r="M135" i="21"/>
  <c r="L135" i="21" s="1"/>
  <c r="O135" i="21" s="1"/>
  <c r="P135" i="21" s="1"/>
  <c r="M123" i="21"/>
  <c r="L123" i="21" s="1"/>
  <c r="O123" i="21" s="1"/>
  <c r="P123" i="21" s="1"/>
  <c r="M128" i="21"/>
  <c r="L128" i="21" s="1"/>
  <c r="O128" i="21" s="1"/>
  <c r="P128" i="21" s="1"/>
  <c r="M127" i="21"/>
  <c r="N127" i="21" s="1"/>
  <c r="M126" i="21"/>
  <c r="N126" i="21" s="1"/>
  <c r="M136" i="21"/>
  <c r="L136" i="21" s="1"/>
  <c r="O136" i="21" s="1"/>
  <c r="P136" i="21" s="1"/>
  <c r="N131" i="21"/>
  <c r="L131" i="21"/>
  <c r="O131" i="21" s="1"/>
  <c r="P131" i="21" s="1"/>
  <c r="N132" i="21"/>
  <c r="L132" i="21"/>
  <c r="O132" i="21" s="1"/>
  <c r="P132" i="21" s="1"/>
  <c r="N133" i="21"/>
  <c r="L133" i="21"/>
  <c r="O133" i="21" s="1"/>
  <c r="P133" i="21" s="1"/>
  <c r="L134" i="21"/>
  <c r="O134" i="21" s="1"/>
  <c r="P134" i="21" s="1"/>
  <c r="N134" i="21"/>
  <c r="N129" i="21"/>
  <c r="C142" i="21"/>
  <c r="C141" i="21"/>
  <c r="C119" i="21"/>
  <c r="C92" i="21"/>
  <c r="F9" i="21"/>
  <c r="F56" i="21"/>
  <c r="F36" i="21"/>
  <c r="F48" i="21"/>
  <c r="F47" i="21"/>
  <c r="F45" i="21"/>
  <c r="F55" i="21"/>
  <c r="F42" i="21"/>
  <c r="F41" i="21"/>
  <c r="F12" i="21"/>
  <c r="F52" i="21"/>
  <c r="F40" i="21"/>
  <c r="F11" i="21"/>
  <c r="F51" i="21"/>
  <c r="F39" i="21"/>
  <c r="F10" i="21"/>
  <c r="F50" i="21"/>
  <c r="F38" i="21"/>
  <c r="F46" i="21"/>
  <c r="F44" i="21"/>
  <c r="F43" i="21"/>
  <c r="F14" i="21"/>
  <c r="F13" i="21"/>
  <c r="F49" i="21"/>
  <c r="F37" i="21"/>
  <c r="C23" i="29"/>
  <c r="H34" i="29" l="1"/>
  <c r="I34" i="29" s="1"/>
  <c r="H36" i="29"/>
  <c r="I36" i="29" s="1"/>
  <c r="H51" i="29"/>
  <c r="I51" i="29" s="1"/>
  <c r="K48" i="29"/>
  <c r="L48" i="29" s="1"/>
  <c r="H43" i="29"/>
  <c r="I43" i="29" s="1"/>
  <c r="I42" i="29"/>
  <c r="K42" i="29"/>
  <c r="L42" i="29" s="1"/>
  <c r="K36" i="29"/>
  <c r="L36" i="29" s="1"/>
  <c r="K34" i="29"/>
  <c r="L34" i="29" s="1"/>
  <c r="K43" i="29"/>
  <c r="L43" i="29" s="1"/>
  <c r="K46" i="29"/>
  <c r="L46" i="29" s="1"/>
  <c r="K37" i="29"/>
  <c r="L37" i="29" s="1"/>
  <c r="K45" i="29"/>
  <c r="L45" i="29" s="1"/>
  <c r="K40" i="29"/>
  <c r="L40" i="29" s="1"/>
  <c r="K31" i="29"/>
  <c r="L31" i="29" s="1"/>
  <c r="K47" i="29"/>
  <c r="L47" i="29" s="1"/>
  <c r="K50" i="29"/>
  <c r="L50" i="29" s="1"/>
  <c r="K44" i="29"/>
  <c r="L44" i="29" s="1"/>
  <c r="K35" i="29"/>
  <c r="L35" i="29" s="1"/>
  <c r="K33" i="29"/>
  <c r="L33" i="29" s="1"/>
  <c r="K38" i="29"/>
  <c r="L38" i="29" s="1"/>
  <c r="K52" i="29"/>
  <c r="L52" i="29" s="1"/>
  <c r="K51" i="29"/>
  <c r="L51" i="29" s="1"/>
  <c r="K49" i="29"/>
  <c r="L49" i="29" s="1"/>
  <c r="L93" i="21"/>
  <c r="O93" i="21" s="1"/>
  <c r="P93" i="21" s="1"/>
  <c r="N109" i="21"/>
  <c r="L97" i="21"/>
  <c r="O97" i="21" s="1"/>
  <c r="P97" i="21" s="1"/>
  <c r="N106" i="21"/>
  <c r="N130" i="21"/>
  <c r="N119" i="21"/>
  <c r="N116" i="21"/>
  <c r="N122" i="21"/>
  <c r="L121" i="21"/>
  <c r="O121" i="21" s="1"/>
  <c r="P121" i="21" s="1"/>
  <c r="L89" i="21"/>
  <c r="O89" i="21" s="1"/>
  <c r="P89" i="21" s="1"/>
  <c r="N96" i="21"/>
  <c r="L101" i="21"/>
  <c r="O101" i="21" s="1"/>
  <c r="P101" i="21" s="1"/>
  <c r="L100" i="21"/>
  <c r="O100" i="21" s="1"/>
  <c r="P100" i="21" s="1"/>
  <c r="L95" i="21"/>
  <c r="O95" i="21" s="1"/>
  <c r="P95" i="21" s="1"/>
  <c r="L110" i="21"/>
  <c r="O110" i="21" s="1"/>
  <c r="P110" i="21" s="1"/>
  <c r="L98" i="21"/>
  <c r="O98" i="21" s="1"/>
  <c r="P98" i="21" s="1"/>
  <c r="N107" i="21"/>
  <c r="L92" i="21"/>
  <c r="O92" i="21" s="1"/>
  <c r="P92" i="21" s="1"/>
  <c r="N94" i="21"/>
  <c r="L108" i="21"/>
  <c r="O108" i="21" s="1"/>
  <c r="P108" i="21" s="1"/>
  <c r="N104" i="21"/>
  <c r="N99" i="21"/>
  <c r="L91" i="21"/>
  <c r="O91" i="21" s="1"/>
  <c r="P91" i="21" s="1"/>
  <c r="N117" i="21"/>
  <c r="L125" i="21"/>
  <c r="O125" i="21" s="1"/>
  <c r="P125" i="21" s="1"/>
  <c r="L137" i="21"/>
  <c r="O137" i="21" s="1"/>
  <c r="P137" i="21" s="1"/>
  <c r="N120" i="21"/>
  <c r="N136" i="21"/>
  <c r="N123" i="21"/>
  <c r="N128" i="21"/>
  <c r="L127" i="21"/>
  <c r="O127" i="21" s="1"/>
  <c r="P127" i="21" s="1"/>
  <c r="L118" i="21"/>
  <c r="O118" i="21" s="1"/>
  <c r="P118" i="21" s="1"/>
  <c r="L124" i="21"/>
  <c r="O124" i="21" s="1"/>
  <c r="P124" i="21" s="1"/>
  <c r="N135" i="21"/>
  <c r="L126" i="21"/>
  <c r="O126" i="21" s="1"/>
  <c r="P126" i="21" s="1"/>
  <c r="C122" i="21"/>
  <c r="C121" i="21"/>
  <c r="C120" i="21"/>
  <c r="F53" i="21"/>
  <c r="F54" i="21"/>
  <c r="K39" i="29" l="1"/>
  <c r="L39" i="29" s="1"/>
  <c r="K41" i="29"/>
  <c r="L41" i="29" s="1"/>
  <c r="K32" i="29"/>
  <c r="L32" i="29" s="1"/>
  <c r="C24" i="15"/>
  <c r="M15" i="29"/>
  <c r="C25" i="29"/>
  <c r="M16" i="29" l="1"/>
  <c r="M14" i="29"/>
  <c r="M13" i="29"/>
  <c r="M12" i="29"/>
  <c r="M11" i="29"/>
  <c r="M10" i="29"/>
  <c r="M8" i="29"/>
  <c r="M26" i="29"/>
  <c r="M25" i="29"/>
  <c r="M23" i="29"/>
  <c r="M20" i="29"/>
  <c r="M19" i="29"/>
  <c r="M24" i="29"/>
  <c r="M9" i="29"/>
  <c r="M5" i="29"/>
  <c r="M22" i="29"/>
  <c r="M7" i="29"/>
  <c r="M21" i="29"/>
  <c r="M18" i="29"/>
  <c r="M6" i="29"/>
  <c r="M17" i="29"/>
  <c r="C24" i="29"/>
  <c r="C27" i="29" s="1"/>
  <c r="C28" i="29" s="1"/>
  <c r="C29" i="29" s="1"/>
  <c r="F5" i="29" s="1"/>
  <c r="C26" i="29"/>
  <c r="F15" i="29" l="1"/>
  <c r="G15" i="29" s="1"/>
  <c r="F6" i="29"/>
  <c r="I6" i="29" s="1"/>
  <c r="F24" i="29"/>
  <c r="G24" i="29" s="1"/>
  <c r="G5" i="29"/>
  <c r="F8" i="29"/>
  <c r="G8" i="29" s="1"/>
  <c r="F17" i="29"/>
  <c r="G17" i="29" s="1"/>
  <c r="F9" i="29"/>
  <c r="G9" i="29" s="1"/>
  <c r="F18" i="29"/>
  <c r="G18" i="29" s="1"/>
  <c r="F19" i="29"/>
  <c r="G19" i="29" s="1"/>
  <c r="F10" i="29"/>
  <c r="H10" i="29" s="1"/>
  <c r="F12" i="29"/>
  <c r="G12" i="29" s="1"/>
  <c r="F16" i="29"/>
  <c r="G16" i="29" s="1"/>
  <c r="F23" i="29"/>
  <c r="G23" i="29" s="1"/>
  <c r="F14" i="29"/>
  <c r="G14" i="29" s="1"/>
  <c r="F22" i="29"/>
  <c r="G22" i="29" s="1"/>
  <c r="F7" i="29"/>
  <c r="G7" i="29" s="1"/>
  <c r="F21" i="29"/>
  <c r="G21" i="29" s="1"/>
  <c r="F20" i="29"/>
  <c r="G20" i="29" s="1"/>
  <c r="F26" i="29"/>
  <c r="G26" i="29" s="1"/>
  <c r="F11" i="29"/>
  <c r="G11" i="29" s="1"/>
  <c r="F13" i="29"/>
  <c r="G13" i="29" s="1"/>
  <c r="F25" i="29"/>
  <c r="G25" i="29" s="1"/>
  <c r="H6" i="29" l="1"/>
  <c r="J6" i="29" s="1"/>
  <c r="K6" i="29" s="1"/>
  <c r="N6" i="29" s="1"/>
  <c r="H22" i="29"/>
  <c r="I12" i="29"/>
  <c r="I24" i="29"/>
  <c r="I20" i="29"/>
  <c r="H24" i="29"/>
  <c r="I9" i="29"/>
  <c r="H9" i="29"/>
  <c r="H15" i="29"/>
  <c r="I18" i="29"/>
  <c r="H18" i="29"/>
  <c r="I15" i="29"/>
  <c r="I26" i="29"/>
  <c r="H8" i="29"/>
  <c r="H19" i="29"/>
  <c r="I17" i="29"/>
  <c r="I5" i="29"/>
  <c r="G6" i="29"/>
  <c r="I13" i="29"/>
  <c r="I22" i="29"/>
  <c r="J22" i="29" s="1"/>
  <c r="K22" i="29" s="1"/>
  <c r="N22" i="29" s="1"/>
  <c r="H13" i="29"/>
  <c r="H11" i="29"/>
  <c r="I16" i="29"/>
  <c r="H14" i="29"/>
  <c r="I11" i="29"/>
  <c r="H5" i="29"/>
  <c r="I8" i="29"/>
  <c r="H21" i="29"/>
  <c r="H25" i="29"/>
  <c r="I23" i="29"/>
  <c r="H23" i="29"/>
  <c r="I10" i="29"/>
  <c r="J10" i="29" s="1"/>
  <c r="K10" i="29" s="1"/>
  <c r="N10" i="29" s="1"/>
  <c r="G10" i="29"/>
  <c r="I7" i="29"/>
  <c r="I14" i="29"/>
  <c r="H7" i="29"/>
  <c r="H16" i="29"/>
  <c r="I25" i="29"/>
  <c r="I21" i="29"/>
  <c r="H20" i="29"/>
  <c r="H12" i="29"/>
  <c r="H26" i="29"/>
  <c r="I19" i="29"/>
  <c r="H17" i="29"/>
  <c r="L6" i="29"/>
  <c r="J9" i="29" l="1"/>
  <c r="K9" i="29" s="1"/>
  <c r="N9" i="29" s="1"/>
  <c r="J24" i="29"/>
  <c r="K24" i="29" s="1"/>
  <c r="N24" i="29" s="1"/>
  <c r="J19" i="29"/>
  <c r="K19" i="29" s="1"/>
  <c r="L19" i="29" s="1"/>
  <c r="J12" i="29"/>
  <c r="K12" i="29" s="1"/>
  <c r="N12" i="29" s="1"/>
  <c r="J20" i="29"/>
  <c r="K20" i="29" s="1"/>
  <c r="N20" i="29" s="1"/>
  <c r="J18" i="29"/>
  <c r="K18" i="29" s="1"/>
  <c r="N18" i="29" s="1"/>
  <c r="J15" i="29"/>
  <c r="K15" i="29" s="1"/>
  <c r="N15" i="29" s="1"/>
  <c r="J14" i="29"/>
  <c r="K14" i="29" s="1"/>
  <c r="N14" i="29" s="1"/>
  <c r="J23" i="29"/>
  <c r="K23" i="29" s="1"/>
  <c r="N23" i="29" s="1"/>
  <c r="J8" i="29"/>
  <c r="K8" i="29" s="1"/>
  <c r="N8" i="29" s="1"/>
  <c r="J25" i="29"/>
  <c r="K25" i="29" s="1"/>
  <c r="N25" i="29" s="1"/>
  <c r="J16" i="29"/>
  <c r="K16" i="29" s="1"/>
  <c r="N16" i="29" s="1"/>
  <c r="J17" i="29"/>
  <c r="K17" i="29" s="1"/>
  <c r="N17" i="29" s="1"/>
  <c r="J26" i="29"/>
  <c r="K26" i="29" s="1"/>
  <c r="N26" i="29" s="1"/>
  <c r="J21" i="29"/>
  <c r="K21" i="29" s="1"/>
  <c r="N21" i="29" s="1"/>
  <c r="J13" i="29"/>
  <c r="K13" i="29" s="1"/>
  <c r="N13" i="29" s="1"/>
  <c r="J7" i="29"/>
  <c r="K7" i="29" s="1"/>
  <c r="N7" i="29" s="1"/>
  <c r="J5" i="29"/>
  <c r="K5" i="29" s="1"/>
  <c r="J11" i="29"/>
  <c r="K11" i="29" s="1"/>
  <c r="N11" i="29" s="1"/>
  <c r="L10" i="29"/>
  <c r="O10" i="29"/>
  <c r="L24" i="29"/>
  <c r="L22" i="29"/>
  <c r="L9" i="29"/>
  <c r="O6" i="29"/>
  <c r="L12" i="29" l="1"/>
  <c r="N19" i="29"/>
  <c r="O19" i="29" s="1"/>
  <c r="L20" i="29"/>
  <c r="L14" i="29"/>
  <c r="L26" i="29"/>
  <c r="L15" i="29"/>
  <c r="L18" i="29"/>
  <c r="L8" i="29"/>
  <c r="L25" i="29"/>
  <c r="L17" i="29"/>
  <c r="L7" i="29"/>
  <c r="L16" i="29"/>
  <c r="L23" i="29"/>
  <c r="L11" i="29"/>
  <c r="L5" i="29"/>
  <c r="N5" i="29"/>
  <c r="O5" i="29" s="1"/>
  <c r="L13" i="29"/>
  <c r="L21" i="29"/>
  <c r="O23" i="29"/>
  <c r="O8" i="29"/>
  <c r="O15" i="29"/>
  <c r="O26" i="29"/>
  <c r="O9" i="29"/>
  <c r="O12" i="29"/>
  <c r="O25" i="29"/>
  <c r="O22" i="29"/>
  <c r="O16" i="29"/>
  <c r="O13" i="29"/>
  <c r="O21" i="29"/>
  <c r="O17" i="29"/>
  <c r="O24" i="29"/>
  <c r="O18" i="29"/>
  <c r="O14" i="29"/>
  <c r="O20" i="29"/>
  <c r="O11" i="29"/>
  <c r="O7" i="29"/>
  <c r="C12" i="21"/>
  <c r="C9" i="21"/>
  <c r="C128" i="21" l="1"/>
  <c r="C129" i="21" s="1"/>
  <c r="M62" i="21"/>
  <c r="C46" i="21"/>
  <c r="C130" i="21" l="1"/>
  <c r="C132" i="21"/>
  <c r="C131" i="21"/>
  <c r="C50" i="21"/>
  <c r="C51" i="21" s="1"/>
  <c r="C48" i="21"/>
  <c r="C93" i="21" s="1"/>
  <c r="C52" i="21"/>
  <c r="G11" i="21" s="1"/>
  <c r="C77" i="21"/>
  <c r="I29" i="21"/>
  <c r="I14" i="21"/>
  <c r="I28" i="21"/>
  <c r="I12" i="21"/>
  <c r="I16" i="21"/>
  <c r="I22" i="21"/>
  <c r="I27" i="21"/>
  <c r="I25" i="21"/>
  <c r="I15" i="21"/>
  <c r="I13" i="21"/>
  <c r="I23" i="21"/>
  <c r="I24" i="21"/>
  <c r="I19" i="21"/>
  <c r="I11" i="21"/>
  <c r="I8" i="21"/>
  <c r="I10" i="21"/>
  <c r="I18" i="21"/>
  <c r="I21" i="21"/>
  <c r="I17" i="21"/>
  <c r="I9" i="21"/>
  <c r="I26" i="21"/>
  <c r="I20" i="21"/>
  <c r="C75" i="21"/>
  <c r="C76" i="21" s="1"/>
  <c r="N62" i="21"/>
  <c r="L62" i="21"/>
  <c r="O62" i="21" s="1"/>
  <c r="P62" i="21" s="1"/>
  <c r="M63" i="21"/>
  <c r="M65" i="21"/>
  <c r="M78" i="21"/>
  <c r="M70" i="21"/>
  <c r="M77" i="21"/>
  <c r="M69" i="21"/>
  <c r="M80" i="21"/>
  <c r="M76" i="21"/>
  <c r="M72" i="21"/>
  <c r="M68" i="21"/>
  <c r="M82" i="21"/>
  <c r="M74" i="21"/>
  <c r="M81" i="21"/>
  <c r="M73" i="21"/>
  <c r="M64" i="21"/>
  <c r="M83" i="21"/>
  <c r="M79" i="21"/>
  <c r="M75" i="21"/>
  <c r="M71" i="21"/>
  <c r="M67" i="21"/>
  <c r="G17" i="21" l="1"/>
  <c r="J17" i="21" s="1"/>
  <c r="G10" i="21"/>
  <c r="H10" i="21" s="1"/>
  <c r="G14" i="21"/>
  <c r="J14" i="21" s="1"/>
  <c r="G26" i="21"/>
  <c r="H26" i="21" s="1"/>
  <c r="G16" i="21"/>
  <c r="H16" i="21" s="1"/>
  <c r="G28" i="21"/>
  <c r="J28" i="21" s="1"/>
  <c r="G23" i="21"/>
  <c r="J23" i="21" s="1"/>
  <c r="G15" i="21"/>
  <c r="H15" i="21" s="1"/>
  <c r="G29" i="21"/>
  <c r="H29" i="21" s="1"/>
  <c r="G13" i="21"/>
  <c r="H13" i="21" s="1"/>
  <c r="K13" i="21" s="1"/>
  <c r="L13" i="21" s="1"/>
  <c r="G9" i="21"/>
  <c r="J9" i="21" s="1"/>
  <c r="G8" i="21"/>
  <c r="H8" i="21" s="1"/>
  <c r="G19" i="21"/>
  <c r="J19" i="21" s="1"/>
  <c r="G24" i="21"/>
  <c r="J24" i="21" s="1"/>
  <c r="G12" i="21"/>
  <c r="H12" i="21" s="1"/>
  <c r="K12" i="21" s="1"/>
  <c r="L12" i="21" s="1"/>
  <c r="C78" i="21"/>
  <c r="C79" i="21"/>
  <c r="G20" i="21"/>
  <c r="H20" i="21" s="1"/>
  <c r="G18" i="21"/>
  <c r="H18" i="21" s="1"/>
  <c r="G21" i="21"/>
  <c r="J21" i="21" s="1"/>
  <c r="G25" i="21"/>
  <c r="H25" i="21" s="1"/>
  <c r="G22" i="21"/>
  <c r="J22" i="21" s="1"/>
  <c r="G27" i="21"/>
  <c r="J27" i="21" s="1"/>
  <c r="H14" i="21"/>
  <c r="K14" i="21" s="1"/>
  <c r="L14" i="21" s="1"/>
  <c r="H19" i="21"/>
  <c r="H24" i="21"/>
  <c r="H17" i="21"/>
  <c r="K17" i="21" s="1"/>
  <c r="L17" i="21" s="1"/>
  <c r="J10" i="21"/>
  <c r="J11" i="21"/>
  <c r="H11" i="21"/>
  <c r="M66" i="21"/>
  <c r="N66" i="21" s="1"/>
  <c r="C49" i="21"/>
  <c r="J16" i="21" l="1"/>
  <c r="C95" i="21"/>
  <c r="C97" i="21" s="1"/>
  <c r="C94" i="21"/>
  <c r="C96" i="21" s="1"/>
  <c r="C82" i="21"/>
  <c r="I35" i="21" s="1"/>
  <c r="H28" i="21"/>
  <c r="K28" i="21" s="1"/>
  <c r="L28" i="21" s="1"/>
  <c r="M28" i="21" s="1"/>
  <c r="N28" i="21" s="1"/>
  <c r="J26" i="21"/>
  <c r="C81" i="21"/>
  <c r="J20" i="21"/>
  <c r="H21" i="21"/>
  <c r="J13" i="21"/>
  <c r="C80" i="21"/>
  <c r="J25" i="21"/>
  <c r="H22" i="21"/>
  <c r="H9" i="21"/>
  <c r="K9" i="21" s="1"/>
  <c r="L9" i="21" s="1"/>
  <c r="H27" i="21"/>
  <c r="J15" i="21"/>
  <c r="K29" i="21"/>
  <c r="L29" i="21" s="1"/>
  <c r="H23" i="21"/>
  <c r="K23" i="21" s="1"/>
  <c r="L23" i="21" s="1"/>
  <c r="J29" i="21"/>
  <c r="J18" i="21"/>
  <c r="J12" i="21"/>
  <c r="K8" i="21"/>
  <c r="L8" i="21" s="1"/>
  <c r="J8" i="21"/>
  <c r="K21" i="21"/>
  <c r="L21" i="21" s="1"/>
  <c r="K15" i="21"/>
  <c r="L15" i="21" s="1"/>
  <c r="K22" i="21"/>
  <c r="L22" i="21" s="1"/>
  <c r="K19" i="21"/>
  <c r="L19" i="21" s="1"/>
  <c r="K11" i="21"/>
  <c r="L11" i="21" s="1"/>
  <c r="K20" i="21"/>
  <c r="L20" i="21" s="1"/>
  <c r="K26" i="21"/>
  <c r="L26" i="21" s="1"/>
  <c r="K25" i="21"/>
  <c r="L25" i="21" s="1"/>
  <c r="K24" i="21"/>
  <c r="L24" i="21" s="1"/>
  <c r="K27" i="21"/>
  <c r="L27" i="21" s="1"/>
  <c r="K16" i="21"/>
  <c r="L16" i="21" s="1"/>
  <c r="K18" i="21"/>
  <c r="L18" i="21" s="1"/>
  <c r="K10" i="21"/>
  <c r="L10" i="21" s="1"/>
  <c r="M12" i="21"/>
  <c r="N12" i="21" s="1"/>
  <c r="L66" i="21"/>
  <c r="O66" i="21" s="1"/>
  <c r="P66" i="21" s="1"/>
  <c r="M17" i="21"/>
  <c r="N17" i="21" s="1"/>
  <c r="M13" i="21"/>
  <c r="N13" i="21" s="1"/>
  <c r="C83" i="21" l="1"/>
  <c r="H38" i="21"/>
  <c r="H50" i="21"/>
  <c r="H39" i="21"/>
  <c r="H51" i="21"/>
  <c r="H40" i="21"/>
  <c r="H52" i="21"/>
  <c r="H41" i="21"/>
  <c r="H53" i="21"/>
  <c r="H42" i="21"/>
  <c r="H54" i="21"/>
  <c r="H43" i="21"/>
  <c r="H55" i="21"/>
  <c r="H44" i="21"/>
  <c r="H56" i="21"/>
  <c r="H45" i="21"/>
  <c r="H35" i="21"/>
  <c r="H46" i="21"/>
  <c r="H47" i="21"/>
  <c r="H36" i="21"/>
  <c r="H48" i="21"/>
  <c r="H37" i="21"/>
  <c r="H49" i="21"/>
  <c r="C84" i="21"/>
  <c r="I36" i="21"/>
  <c r="I48" i="21"/>
  <c r="I37" i="21"/>
  <c r="I49" i="21"/>
  <c r="I38" i="21"/>
  <c r="I50" i="21"/>
  <c r="I39" i="21"/>
  <c r="I51" i="21"/>
  <c r="I40" i="21"/>
  <c r="I52" i="21"/>
  <c r="I42" i="21"/>
  <c r="I54" i="21"/>
  <c r="I43" i="21"/>
  <c r="I55" i="21"/>
  <c r="I56" i="21"/>
  <c r="I45" i="21"/>
  <c r="I46" i="21"/>
  <c r="I47" i="21"/>
  <c r="I53" i="21"/>
  <c r="I41" i="21"/>
  <c r="I44" i="21"/>
  <c r="M22" i="21"/>
  <c r="N22" i="21" s="1"/>
  <c r="O28" i="21"/>
  <c r="P28" i="21" s="1"/>
  <c r="O12" i="21"/>
  <c r="P12" i="21" s="1"/>
  <c r="O17" i="21"/>
  <c r="P17" i="21" s="1"/>
  <c r="M14" i="21"/>
  <c r="N14" i="21" s="1"/>
  <c r="O14" i="21"/>
  <c r="P14" i="21" s="1"/>
  <c r="O13" i="21"/>
  <c r="P13" i="21" s="1"/>
  <c r="M23" i="21" l="1"/>
  <c r="N23" i="21" s="1"/>
  <c r="O23" i="21"/>
  <c r="P23" i="21" s="1"/>
  <c r="M11" i="21"/>
  <c r="N11" i="21" s="1"/>
  <c r="O11" i="21"/>
  <c r="P11" i="21" s="1"/>
  <c r="M25" i="21"/>
  <c r="N25" i="21" s="1"/>
  <c r="O25" i="21"/>
  <c r="P25" i="21" s="1"/>
  <c r="M15" i="21"/>
  <c r="N15" i="21" s="1"/>
  <c r="O15" i="21"/>
  <c r="P15" i="21" s="1"/>
  <c r="O10" i="21"/>
  <c r="P10" i="21" s="1"/>
  <c r="M10" i="21"/>
  <c r="N10" i="21" s="1"/>
  <c r="M21" i="21"/>
  <c r="N21" i="21" s="1"/>
  <c r="O21" i="21"/>
  <c r="P21" i="21" s="1"/>
  <c r="M20" i="21"/>
  <c r="N20" i="21" s="1"/>
  <c r="O20" i="21"/>
  <c r="P20" i="21" s="1"/>
  <c r="M26" i="21"/>
  <c r="N26" i="21" s="1"/>
  <c r="O26" i="21"/>
  <c r="P26" i="21" s="1"/>
  <c r="M24" i="21"/>
  <c r="N24" i="21" s="1"/>
  <c r="O24" i="21"/>
  <c r="P24" i="21" s="1"/>
  <c r="M19" i="21"/>
  <c r="N19" i="21" s="1"/>
  <c r="O19" i="21"/>
  <c r="P19" i="21" s="1"/>
  <c r="M29" i="21"/>
  <c r="N29" i="21" s="1"/>
  <c r="O29" i="21"/>
  <c r="P29" i="21" s="1"/>
  <c r="M18" i="21"/>
  <c r="N18" i="21" s="1"/>
  <c r="O18" i="21"/>
  <c r="P18" i="21" s="1"/>
  <c r="M16" i="21"/>
  <c r="N16" i="21" s="1"/>
  <c r="O16" i="21"/>
  <c r="P16" i="21" s="1"/>
  <c r="M9" i="21"/>
  <c r="N9" i="21" s="1"/>
  <c r="O9" i="21"/>
  <c r="P9" i="21" s="1"/>
  <c r="M27" i="21"/>
  <c r="N27" i="21" s="1"/>
  <c r="O27" i="21"/>
  <c r="P27" i="21" s="1"/>
  <c r="O22" i="21"/>
  <c r="P22" i="21" s="1"/>
  <c r="M8" i="21"/>
  <c r="N8" i="21" s="1"/>
  <c r="O8" i="21"/>
  <c r="P8" i="21" s="1"/>
  <c r="M35" i="21"/>
  <c r="N35" i="21" s="1"/>
  <c r="M50" i="21"/>
  <c r="N50" i="21" s="1"/>
  <c r="M48" i="21"/>
  <c r="N48" i="21" s="1"/>
  <c r="M36" i="21"/>
  <c r="N36" i="21" s="1"/>
  <c r="M49" i="21"/>
  <c r="N49" i="21" s="1"/>
  <c r="M37" i="21"/>
  <c r="N37" i="21" s="1"/>
  <c r="M43" i="21"/>
  <c r="N43" i="21" s="1"/>
  <c r="M44" i="21"/>
  <c r="N44" i="21" s="1"/>
  <c r="M45" i="21"/>
  <c r="N45" i="21" s="1"/>
  <c r="M38" i="21"/>
  <c r="N38" i="21" s="1"/>
  <c r="M39" i="21"/>
  <c r="N39" i="21" s="1"/>
  <c r="M55" i="21"/>
  <c r="N55" i="21" s="1"/>
  <c r="M47" i="21"/>
  <c r="N47" i="21" s="1"/>
  <c r="M52" i="21"/>
  <c r="N52" i="21" s="1"/>
  <c r="M42" i="21"/>
  <c r="N42" i="21" s="1"/>
  <c r="M51" i="21"/>
  <c r="N51" i="21" s="1"/>
  <c r="M41" i="21"/>
  <c r="N41" i="21" s="1"/>
  <c r="M53" i="21"/>
  <c r="N53" i="21" s="1"/>
  <c r="M56" i="21"/>
  <c r="N56" i="21" s="1"/>
  <c r="M46" i="21"/>
  <c r="N46" i="21" s="1"/>
  <c r="M54" i="21"/>
  <c r="N54" i="21" s="1"/>
  <c r="M40" i="21"/>
  <c r="N40" i="21" s="1"/>
  <c r="N63" i="21"/>
  <c r="L63" i="21"/>
  <c r="O63" i="21" s="1"/>
  <c r="P63" i="21" s="1"/>
  <c r="N83" i="21"/>
  <c r="L83" i="21"/>
  <c r="O83" i="21" s="1"/>
  <c r="P83" i="21" s="1"/>
  <c r="N82" i="21"/>
  <c r="L82" i="21"/>
  <c r="O82" i="21" s="1"/>
  <c r="P82" i="21" s="1"/>
  <c r="N81" i="21"/>
  <c r="L81" i="21"/>
  <c r="O81" i="21" s="1"/>
  <c r="P81" i="21" s="1"/>
  <c r="N64" i="21"/>
  <c r="L64" i="21"/>
  <c r="O64" i="21" s="1"/>
  <c r="P64" i="21" s="1"/>
  <c r="N72" i="21"/>
  <c r="L72" i="21"/>
  <c r="O72" i="21" s="1"/>
  <c r="P72" i="21" s="1"/>
  <c r="N69" i="21"/>
  <c r="L69" i="21"/>
  <c r="O69" i="21" s="1"/>
  <c r="P69" i="21" s="1"/>
  <c r="N79" i="21"/>
  <c r="L79" i="21"/>
  <c r="O79" i="21" s="1"/>
  <c r="P79" i="21" s="1"/>
  <c r="N67" i="21"/>
  <c r="L67" i="21"/>
  <c r="O67" i="21" s="1"/>
  <c r="P67" i="21" s="1"/>
  <c r="N74" i="21"/>
  <c r="L74" i="21"/>
  <c r="O74" i="21" s="1"/>
  <c r="P74" i="21" s="1"/>
  <c r="N80" i="21"/>
  <c r="L80" i="21"/>
  <c r="O80" i="21" s="1"/>
  <c r="P80" i="21" s="1"/>
  <c r="N77" i="21"/>
  <c r="L77" i="21"/>
  <c r="O77" i="21" s="1"/>
  <c r="P77" i="21" s="1"/>
  <c r="N70" i="21"/>
  <c r="L70" i="21"/>
  <c r="O70" i="21" s="1"/>
  <c r="P70" i="21" s="1"/>
  <c r="N71" i="21"/>
  <c r="L71" i="21"/>
  <c r="O71" i="21" s="1"/>
  <c r="P71" i="21" s="1"/>
  <c r="N78" i="21"/>
  <c r="L78" i="21"/>
  <c r="O78" i="21" s="1"/>
  <c r="P78" i="21" s="1"/>
  <c r="N65" i="21"/>
  <c r="L65" i="21"/>
  <c r="O65" i="21" s="1"/>
  <c r="P65" i="21" s="1"/>
  <c r="N76" i="21"/>
  <c r="L76" i="21"/>
  <c r="O76" i="21" s="1"/>
  <c r="P76" i="21" s="1"/>
  <c r="N73" i="21"/>
  <c r="L73" i="21"/>
  <c r="O73" i="21" s="1"/>
  <c r="P73" i="21" s="1"/>
  <c r="N75" i="21"/>
  <c r="L75" i="21"/>
  <c r="O75" i="21" s="1"/>
  <c r="P75" i="21" s="1"/>
  <c r="N68" i="21"/>
  <c r="L68" i="21"/>
  <c r="O68" i="21" s="1"/>
  <c r="P68" i="21" s="1"/>
  <c r="L35" i="21" l="1"/>
  <c r="O35" i="21" s="1"/>
  <c r="P35" i="21" s="1"/>
  <c r="L45" i="21"/>
  <c r="O45" i="21" s="1"/>
  <c r="P45" i="21" s="1"/>
  <c r="L36" i="21"/>
  <c r="O36" i="21" s="1"/>
  <c r="P36" i="21" s="1"/>
  <c r="L48" i="21"/>
  <c r="O48" i="21" s="1"/>
  <c r="P48" i="21" s="1"/>
  <c r="L38" i="21"/>
  <c r="O38" i="21" s="1"/>
  <c r="P38" i="21" s="1"/>
  <c r="L52" i="21"/>
  <c r="O52" i="21" s="1"/>
  <c r="P52" i="21" s="1"/>
  <c r="L43" i="21"/>
  <c r="O43" i="21" s="1"/>
  <c r="P43" i="21" s="1"/>
  <c r="L49" i="21"/>
  <c r="O49" i="21" s="1"/>
  <c r="P49" i="21" s="1"/>
  <c r="L39" i="21"/>
  <c r="O39" i="21" s="1"/>
  <c r="P39" i="21" s="1"/>
  <c r="L56" i="21"/>
  <c r="O56" i="21" s="1"/>
  <c r="P56" i="21" s="1"/>
  <c r="L41" i="21"/>
  <c r="O41" i="21" s="1"/>
  <c r="P41" i="21" s="1"/>
  <c r="L42" i="21"/>
  <c r="O42" i="21" s="1"/>
  <c r="P42" i="21" s="1"/>
  <c r="L55" i="21"/>
  <c r="O55" i="21" s="1"/>
  <c r="P55" i="21" s="1"/>
  <c r="L53" i="21"/>
  <c r="O53" i="21" s="1"/>
  <c r="P53" i="21" s="1"/>
  <c r="L54" i="21"/>
  <c r="O54" i="21" s="1"/>
  <c r="P54" i="21" s="1"/>
  <c r="L46" i="21"/>
  <c r="O46" i="21" s="1"/>
  <c r="P46" i="21" s="1"/>
  <c r="L40" i="21"/>
  <c r="O40" i="21" s="1"/>
  <c r="P40" i="21" s="1"/>
  <c r="L37" i="21"/>
  <c r="O37" i="21" s="1"/>
  <c r="P37" i="21" s="1"/>
  <c r="L47" i="21"/>
  <c r="O47" i="21" s="1"/>
  <c r="P47" i="21" s="1"/>
  <c r="L50" i="21"/>
  <c r="O50" i="21" s="1"/>
  <c r="P50" i="21" s="1"/>
  <c r="L44" i="21"/>
  <c r="O44" i="21" s="1"/>
  <c r="P44" i="21" s="1"/>
  <c r="L51" i="21"/>
  <c r="O51" i="21" s="1"/>
  <c r="P51" i="21" s="1"/>
  <c r="C31" i="15" l="1"/>
  <c r="C25" i="15" l="1"/>
  <c r="C28" i="15" s="1"/>
  <c r="C29" i="15" s="1"/>
  <c r="C30" i="15" s="1"/>
  <c r="C26" i="15"/>
  <c r="F5" i="15" l="1"/>
  <c r="F43" i="15"/>
  <c r="I43" i="15" s="1"/>
  <c r="F44" i="15"/>
  <c r="I44" i="15" s="1"/>
  <c r="F40" i="15"/>
  <c r="H40" i="15" s="1"/>
  <c r="F45" i="15"/>
  <c r="H45" i="15" s="1"/>
  <c r="F49" i="15"/>
  <c r="I49" i="15" s="1"/>
  <c r="F50" i="15"/>
  <c r="F46" i="15"/>
  <c r="H46" i="15" s="1"/>
  <c r="F41" i="15"/>
  <c r="I41" i="15" s="1"/>
  <c r="F42" i="15"/>
  <c r="H42" i="15" s="1"/>
  <c r="F47" i="15"/>
  <c r="I47" i="15" s="1"/>
  <c r="F48" i="15"/>
  <c r="C18" i="15"/>
  <c r="C27" i="15"/>
  <c r="G5" i="15" s="1"/>
  <c r="F38" i="15"/>
  <c r="F34" i="15"/>
  <c r="F30" i="15"/>
  <c r="F25" i="15"/>
  <c r="F24" i="15"/>
  <c r="H24" i="15" s="1"/>
  <c r="F23" i="15"/>
  <c r="F22" i="15"/>
  <c r="F18" i="15"/>
  <c r="F13" i="15"/>
  <c r="F39" i="15"/>
  <c r="F35" i="15"/>
  <c r="F31" i="15"/>
  <c r="G31" i="15" s="1"/>
  <c r="F26" i="15"/>
  <c r="H26" i="15" s="1"/>
  <c r="F19" i="15"/>
  <c r="F14" i="15"/>
  <c r="F36" i="15"/>
  <c r="I36" i="15" s="1"/>
  <c r="F32" i="15"/>
  <c r="F27" i="15"/>
  <c r="F20" i="15"/>
  <c r="F15" i="15"/>
  <c r="F11" i="15"/>
  <c r="I11" i="15" s="1"/>
  <c r="F10" i="15"/>
  <c r="F9" i="15"/>
  <c r="F8" i="15"/>
  <c r="G8" i="15" s="1"/>
  <c r="F7" i="15"/>
  <c r="F6" i="15"/>
  <c r="F37" i="15"/>
  <c r="F33" i="15"/>
  <c r="F29" i="15"/>
  <c r="F28" i="15"/>
  <c r="F21" i="15"/>
  <c r="F17" i="15"/>
  <c r="F16" i="15"/>
  <c r="F12" i="15"/>
  <c r="H43" i="15" l="1"/>
  <c r="I45" i="15"/>
  <c r="J43" i="15"/>
  <c r="K43" i="15" s="1"/>
  <c r="L43" i="15" s="1"/>
  <c r="M43" i="15" s="1"/>
  <c r="H44" i="15"/>
  <c r="J44" i="15" s="1"/>
  <c r="K44" i="15" s="1"/>
  <c r="L44" i="15" s="1"/>
  <c r="M44" i="15" s="1"/>
  <c r="G50" i="15"/>
  <c r="G12" i="15"/>
  <c r="H41" i="15"/>
  <c r="J41" i="15" s="1"/>
  <c r="K41" i="15" s="1"/>
  <c r="L41" i="15" s="1"/>
  <c r="M41" i="15" s="1"/>
  <c r="G48" i="15"/>
  <c r="G9" i="15"/>
  <c r="G16" i="15"/>
  <c r="G17" i="15"/>
  <c r="G49" i="15"/>
  <c r="G28" i="15"/>
  <c r="G45" i="15"/>
  <c r="G40" i="15"/>
  <c r="G47" i="15"/>
  <c r="G32" i="15"/>
  <c r="G23" i="15"/>
  <c r="G36" i="15"/>
  <c r="G41" i="15"/>
  <c r="G44" i="15"/>
  <c r="I48" i="15"/>
  <c r="J45" i="15"/>
  <c r="K45" i="15" s="1"/>
  <c r="L45" i="15" s="1"/>
  <c r="M45" i="15" s="1"/>
  <c r="G21" i="15"/>
  <c r="G42" i="15"/>
  <c r="G37" i="15"/>
  <c r="H47" i="15"/>
  <c r="J47" i="15" s="1"/>
  <c r="K47" i="15" s="1"/>
  <c r="L47" i="15" s="1"/>
  <c r="M47" i="15" s="1"/>
  <c r="H48" i="15"/>
  <c r="G15" i="15"/>
  <c r="G18" i="15"/>
  <c r="G29" i="15"/>
  <c r="G33" i="15"/>
  <c r="G25" i="15"/>
  <c r="H50" i="15"/>
  <c r="G46" i="15"/>
  <c r="G43" i="15"/>
  <c r="G10" i="15"/>
  <c r="G39" i="15"/>
  <c r="G20" i="15"/>
  <c r="G27" i="15"/>
  <c r="H49" i="15"/>
  <c r="J49" i="15" s="1"/>
  <c r="K49" i="15" s="1"/>
  <c r="L49" i="15" s="1"/>
  <c r="M49" i="15" s="1"/>
  <c r="G14" i="15"/>
  <c r="I40" i="15"/>
  <c r="J40" i="15" s="1"/>
  <c r="K40" i="15" s="1"/>
  <c r="L40" i="15" s="1"/>
  <c r="M40" i="15" s="1"/>
  <c r="G6" i="15"/>
  <c r="G7" i="15"/>
  <c r="G19" i="15"/>
  <c r="G34" i="15"/>
  <c r="I46" i="15"/>
  <c r="J46" i="15" s="1"/>
  <c r="K46" i="15" s="1"/>
  <c r="L46" i="15" s="1"/>
  <c r="M46" i="15" s="1"/>
  <c r="I50" i="15"/>
  <c r="I42" i="15"/>
  <c r="J42" i="15" s="1"/>
  <c r="K42" i="15" s="1"/>
  <c r="L42" i="15" s="1"/>
  <c r="M42" i="15" s="1"/>
  <c r="I27" i="15"/>
  <c r="G11" i="15"/>
  <c r="H19" i="15"/>
  <c r="G26" i="15"/>
  <c r="G35" i="15"/>
  <c r="G22" i="15"/>
  <c r="H39" i="15"/>
  <c r="G13" i="15"/>
  <c r="G24" i="15"/>
  <c r="G38" i="15"/>
  <c r="G30" i="15"/>
  <c r="H13" i="15"/>
  <c r="H38" i="15"/>
  <c r="H31" i="15"/>
  <c r="I31" i="15"/>
  <c r="I13" i="15"/>
  <c r="I24" i="15"/>
  <c r="J24" i="15" s="1"/>
  <c r="K24" i="15" s="1"/>
  <c r="L24" i="15" s="1"/>
  <c r="M24" i="15" s="1"/>
  <c r="I38" i="15"/>
  <c r="I7" i="15"/>
  <c r="I32" i="15"/>
  <c r="I9" i="15"/>
  <c r="H23" i="15"/>
  <c r="H34" i="15"/>
  <c r="I19" i="15"/>
  <c r="I8" i="15"/>
  <c r="H14" i="15"/>
  <c r="I20" i="15"/>
  <c r="I14" i="15"/>
  <c r="H22" i="15"/>
  <c r="H30" i="15"/>
  <c r="I30" i="15"/>
  <c r="I26" i="15"/>
  <c r="J26" i="15" s="1"/>
  <c r="K26" i="15" s="1"/>
  <c r="L26" i="15" s="1"/>
  <c r="M26" i="15" s="1"/>
  <c r="I22" i="15"/>
  <c r="H18" i="15"/>
  <c r="H25" i="15"/>
  <c r="I18" i="15"/>
  <c r="I6" i="15"/>
  <c r="I10" i="15"/>
  <c r="I15" i="15"/>
  <c r="H35" i="15"/>
  <c r="I39" i="15"/>
  <c r="I23" i="15"/>
  <c r="I35" i="15"/>
  <c r="I25" i="15"/>
  <c r="I34" i="15"/>
  <c r="H17" i="15"/>
  <c r="H37" i="15"/>
  <c r="H6" i="15"/>
  <c r="H10" i="15"/>
  <c r="H15" i="15"/>
  <c r="H20" i="15"/>
  <c r="I29" i="15"/>
  <c r="H28" i="15"/>
  <c r="H33" i="15"/>
  <c r="H7" i="15"/>
  <c r="H11" i="15"/>
  <c r="J11" i="15" s="1"/>
  <c r="K11" i="15" s="1"/>
  <c r="L11" i="15" s="1"/>
  <c r="M11" i="15" s="1"/>
  <c r="I16" i="15"/>
  <c r="I21" i="15"/>
  <c r="H36" i="15"/>
  <c r="J36" i="15" s="1"/>
  <c r="K36" i="15" s="1"/>
  <c r="L36" i="15" s="1"/>
  <c r="M36" i="15" s="1"/>
  <c r="I5" i="15"/>
  <c r="H16" i="15"/>
  <c r="H29" i="15"/>
  <c r="H8" i="15"/>
  <c r="I12" i="15"/>
  <c r="I17" i="15"/>
  <c r="H27" i="15"/>
  <c r="H32" i="15"/>
  <c r="I37" i="15"/>
  <c r="H12" i="15"/>
  <c r="H21" i="15"/>
  <c r="H5" i="15"/>
  <c r="H9" i="15"/>
  <c r="I28" i="15"/>
  <c r="I33" i="15"/>
  <c r="J35" i="15" l="1"/>
  <c r="K35" i="15" s="1"/>
  <c r="L35" i="15" s="1"/>
  <c r="M35" i="15" s="1"/>
  <c r="J48" i="15"/>
  <c r="K48" i="15" s="1"/>
  <c r="L48" i="15" s="1"/>
  <c r="M48" i="15" s="1"/>
  <c r="J19" i="15"/>
  <c r="K19" i="15" s="1"/>
  <c r="L19" i="15" s="1"/>
  <c r="M19" i="15" s="1"/>
  <c r="J10" i="15"/>
  <c r="K10" i="15" s="1"/>
  <c r="L10" i="15" s="1"/>
  <c r="M10" i="15" s="1"/>
  <c r="J5" i="15"/>
  <c r="K5" i="15" s="1"/>
  <c r="L5" i="15" s="1"/>
  <c r="M5" i="15" s="1"/>
  <c r="J50" i="15"/>
  <c r="K50" i="15" s="1"/>
  <c r="L50" i="15" s="1"/>
  <c r="M50" i="15" s="1"/>
  <c r="J27" i="15"/>
  <c r="K27" i="15" s="1"/>
  <c r="L27" i="15" s="1"/>
  <c r="M27" i="15" s="1"/>
  <c r="J38" i="15"/>
  <c r="K38" i="15" s="1"/>
  <c r="L38" i="15" s="1"/>
  <c r="M38" i="15" s="1"/>
  <c r="J39" i="15"/>
  <c r="K39" i="15" s="1"/>
  <c r="L39" i="15" s="1"/>
  <c r="M39" i="15" s="1"/>
  <c r="J32" i="15"/>
  <c r="K32" i="15" s="1"/>
  <c r="L32" i="15" s="1"/>
  <c r="M32" i="15" s="1"/>
  <c r="J23" i="15"/>
  <c r="K23" i="15" s="1"/>
  <c r="L23" i="15" s="1"/>
  <c r="M23" i="15" s="1"/>
  <c r="J13" i="15"/>
  <c r="K13" i="15" s="1"/>
  <c r="L13" i="15" s="1"/>
  <c r="M13" i="15" s="1"/>
  <c r="J31" i="15"/>
  <c r="K31" i="15" s="1"/>
  <c r="L31" i="15" s="1"/>
  <c r="M31" i="15" s="1"/>
  <c r="J9" i="15"/>
  <c r="K9" i="15" s="1"/>
  <c r="L9" i="15" s="1"/>
  <c r="M9" i="15" s="1"/>
  <c r="J8" i="15"/>
  <c r="K8" i="15" s="1"/>
  <c r="L8" i="15" s="1"/>
  <c r="M8" i="15" s="1"/>
  <c r="J7" i="15"/>
  <c r="K7" i="15" s="1"/>
  <c r="L7" i="15" s="1"/>
  <c r="M7" i="15" s="1"/>
  <c r="J16" i="15"/>
  <c r="K16" i="15" s="1"/>
  <c r="L16" i="15" s="1"/>
  <c r="M16" i="15" s="1"/>
  <c r="J22" i="15"/>
  <c r="K22" i="15" s="1"/>
  <c r="L22" i="15" s="1"/>
  <c r="M22" i="15" s="1"/>
  <c r="J20" i="15"/>
  <c r="K20" i="15" s="1"/>
  <c r="L20" i="15" s="1"/>
  <c r="M20" i="15" s="1"/>
  <c r="J30" i="15"/>
  <c r="K30" i="15" s="1"/>
  <c r="L30" i="15" s="1"/>
  <c r="M30" i="15" s="1"/>
  <c r="J34" i="15"/>
  <c r="K34" i="15" s="1"/>
  <c r="L34" i="15" s="1"/>
  <c r="M34" i="15" s="1"/>
  <c r="J14" i="15"/>
  <c r="K14" i="15" s="1"/>
  <c r="L14" i="15" s="1"/>
  <c r="M14" i="15" s="1"/>
  <c r="J25" i="15"/>
  <c r="K25" i="15" s="1"/>
  <c r="L25" i="15" s="1"/>
  <c r="M25" i="15" s="1"/>
  <c r="J15" i="15"/>
  <c r="K15" i="15" s="1"/>
  <c r="L15" i="15" s="1"/>
  <c r="M15" i="15" s="1"/>
  <c r="J18" i="15"/>
  <c r="K18" i="15" s="1"/>
  <c r="L18" i="15" s="1"/>
  <c r="M18" i="15" s="1"/>
  <c r="J6" i="15"/>
  <c r="K6" i="15" s="1"/>
  <c r="L6" i="15" s="1"/>
  <c r="M6" i="15" s="1"/>
  <c r="J21" i="15"/>
  <c r="K21" i="15" s="1"/>
  <c r="L21" i="15" s="1"/>
  <c r="M21" i="15" s="1"/>
  <c r="J28" i="15"/>
  <c r="K28" i="15" s="1"/>
  <c r="L28" i="15" s="1"/>
  <c r="M28" i="15" s="1"/>
  <c r="J37" i="15"/>
  <c r="K37" i="15" s="1"/>
  <c r="L37" i="15" s="1"/>
  <c r="M37" i="15" s="1"/>
  <c r="J12" i="15"/>
  <c r="K12" i="15" s="1"/>
  <c r="L12" i="15" s="1"/>
  <c r="M12" i="15" s="1"/>
  <c r="J29" i="15"/>
  <c r="K29" i="15" s="1"/>
  <c r="L29" i="15" s="1"/>
  <c r="M29" i="15" s="1"/>
  <c r="J33" i="15"/>
  <c r="K33" i="15" s="1"/>
  <c r="L33" i="15" s="1"/>
  <c r="M33" i="15" s="1"/>
  <c r="J17" i="15"/>
  <c r="K17" i="15" s="1"/>
  <c r="L17" i="15" s="1"/>
  <c r="M17" i="15" s="1"/>
</calcChain>
</file>

<file path=xl/sharedStrings.xml><?xml version="1.0" encoding="utf-8"?>
<sst xmlns="http://schemas.openxmlformats.org/spreadsheetml/2006/main" count="555" uniqueCount="191">
  <si>
    <t>m/s</t>
  </si>
  <si>
    <t>m</t>
  </si>
  <si>
    <t>m^2</t>
  </si>
  <si>
    <t>Characteristic</t>
  </si>
  <si>
    <t>Unit</t>
  </si>
  <si>
    <t>Value</t>
  </si>
  <si>
    <t>Nm</t>
  </si>
  <si>
    <t>ratio</t>
  </si>
  <si>
    <t>K factor</t>
  </si>
  <si>
    <t>Velocity</t>
  </si>
  <si>
    <t>Power</t>
  </si>
  <si>
    <t>(Watt)</t>
  </si>
  <si>
    <t>(m/s)</t>
  </si>
  <si>
    <t>kg/m^3</t>
  </si>
  <si>
    <t>Total</t>
  </si>
  <si>
    <t>Wire Thickness</t>
  </si>
  <si>
    <t>Re</t>
  </si>
  <si>
    <t>Re/(1-ε)</t>
  </si>
  <si>
    <t>fk</t>
  </si>
  <si>
    <t>Gap Width</t>
  </si>
  <si>
    <t>Wire Spacing</t>
  </si>
  <si>
    <t>Wires / metre</t>
  </si>
  <si>
    <t>Porosity</t>
  </si>
  <si>
    <t>ε</t>
  </si>
  <si>
    <t>Mesh Coef</t>
  </si>
  <si>
    <t>SA/V cylinder</t>
  </si>
  <si>
    <t>Sv</t>
  </si>
  <si>
    <t>Equ. Sperical Dia.</t>
  </si>
  <si>
    <t>Dp</t>
  </si>
  <si>
    <t>Flow Velocity</t>
  </si>
  <si>
    <t>Reynoldy Number</t>
  </si>
  <si>
    <t>Friction Coefficients</t>
  </si>
  <si>
    <t>Viscous Coefficient</t>
  </si>
  <si>
    <t>⍺</t>
  </si>
  <si>
    <t>Inertial Coefficient</t>
  </si>
  <si>
    <t>β</t>
  </si>
  <si>
    <t>Exponential Coef.</t>
  </si>
  <si>
    <t>γ</t>
  </si>
  <si>
    <t>Screen Thickness</t>
  </si>
  <si>
    <t>L</t>
  </si>
  <si>
    <t>ΔP</t>
  </si>
  <si>
    <t>mm</t>
  </si>
  <si>
    <t>Geometric Characteristic</t>
  </si>
  <si>
    <t>Wire screen loss calculations as outlined by Wu et Al</t>
  </si>
  <si>
    <t>I fk</t>
  </si>
  <si>
    <t>V fk</t>
  </si>
  <si>
    <t>Roughness (ε) Guide</t>
  </si>
  <si>
    <t>Material</t>
  </si>
  <si>
    <t>concrete (corase)</t>
  </si>
  <si>
    <t>concrete (smooth)</t>
  </si>
  <si>
    <t>drawn tubing</t>
  </si>
  <si>
    <t>glass &amp; plastic perspex</t>
  </si>
  <si>
    <t>cast iron</t>
  </si>
  <si>
    <t>sewers (old)</t>
  </si>
  <si>
    <t>steel (mortar lined)</t>
  </si>
  <si>
    <t>steel (rusted)</t>
  </si>
  <si>
    <t>steel (structural / forged)</t>
  </si>
  <si>
    <t>water mains (old)</t>
  </si>
  <si>
    <t>(ratio)</t>
  </si>
  <si>
    <t>(Pa)</t>
  </si>
  <si>
    <t>Screen Area</t>
  </si>
  <si>
    <t>A</t>
  </si>
  <si>
    <t>V</t>
  </si>
  <si>
    <t>Blockage</t>
  </si>
  <si>
    <t>1-ε</t>
  </si>
  <si>
    <t>Physical haracteristics</t>
  </si>
  <si>
    <t>spacing</t>
  </si>
  <si>
    <t>roughness</t>
  </si>
  <si>
    <t>relative roughness</t>
  </si>
  <si>
    <t>Viscous ΔP</t>
  </si>
  <si>
    <t>Darcy Factor</t>
  </si>
  <si>
    <t>Forchheimer Factor</t>
  </si>
  <si>
    <t>wall thickness</t>
  </si>
  <si>
    <t>pitch</t>
  </si>
  <si>
    <t>ΔH</t>
  </si>
  <si>
    <t>(mm)</t>
  </si>
  <si>
    <t>(kW)</t>
  </si>
  <si>
    <t>Physical Properties</t>
  </si>
  <si>
    <t>kg / (m s)</t>
  </si>
  <si>
    <t>m^2 /s</t>
  </si>
  <si>
    <t>Inertial ΔP</t>
  </si>
  <si>
    <t>Flowrate</t>
  </si>
  <si>
    <r>
      <t>(m</t>
    </r>
    <r>
      <rPr>
        <b/>
        <vertAlign val="superscript"/>
        <sz val="12"/>
        <rFont val="Calibri (Body)"/>
      </rPr>
      <t>3</t>
    </r>
    <r>
      <rPr>
        <b/>
        <sz val="12"/>
        <rFont val="Calibri"/>
        <family val="2"/>
        <scheme val="minor"/>
      </rPr>
      <t>/s)</t>
    </r>
  </si>
  <si>
    <t>coefficient</t>
  </si>
  <si>
    <t>Actual Flow</t>
  </si>
  <si>
    <t>K total</t>
  </si>
  <si>
    <t>m^3</t>
  </si>
  <si>
    <t>hydraulic cylinder Cylinder (dc)</t>
  </si>
  <si>
    <t>Innocentini (1999) coefficients</t>
  </si>
  <si>
    <t>AStar Experimental Values</t>
  </si>
  <si>
    <t>Re Rough</t>
  </si>
  <si>
    <t>Factor 1</t>
  </si>
  <si>
    <t>Factor 2</t>
  </si>
  <si>
    <t>Chosen</t>
  </si>
  <si>
    <t>honeycomb thickness</t>
  </si>
  <si>
    <t>acceleration due to gravity</t>
  </si>
  <si>
    <t>m / s^2</t>
  </si>
  <si>
    <t>metres to milimetres</t>
  </si>
  <si>
    <t>Dimensions of YingYing's HC2 (made from  paper)</t>
  </si>
  <si>
    <t>Dimensions of YingYing's HC1 (3D printed)</t>
  </si>
  <si>
    <t>Pressure Loss in Honeycombs</t>
  </si>
  <si>
    <t>Eckert Fiction coefficients</t>
  </si>
  <si>
    <t>coefficient for Darcy term</t>
  </si>
  <si>
    <t>coefficient for Forchheimer term</t>
  </si>
  <si>
    <t>coefficient for particle size</t>
  </si>
  <si>
    <t>coefficient for particle diameter</t>
  </si>
  <si>
    <t>coefficient factor 2</t>
  </si>
  <si>
    <t>coefficient factor 1</t>
  </si>
  <si>
    <t>coefficient factor 1 exponent</t>
  </si>
  <si>
    <t>coefficient expoent</t>
  </si>
  <si>
    <t>Choice</t>
  </si>
  <si>
    <t>(text)</t>
  </si>
  <si>
    <t>Re choice limit</t>
  </si>
  <si>
    <t>Re lower limit</t>
  </si>
  <si>
    <t>Re upper limit</t>
  </si>
  <si>
    <t>porosity (𝛾)</t>
  </si>
  <si>
    <t>Darcy term (D)</t>
  </si>
  <si>
    <t>Forchheimer term (F)</t>
  </si>
  <si>
    <t>Dimensions Check</t>
  </si>
  <si>
    <t>wetted (tube) circumfrance</t>
  </si>
  <si>
    <t>wetted (tube) surface area</t>
  </si>
  <si>
    <t>wetted (tube) volume</t>
  </si>
  <si>
    <t>wetted (tube) cross section area</t>
  </si>
  <si>
    <t>hexagonal (cell) circumference</t>
  </si>
  <si>
    <t>hexagonal (cell) surface area</t>
  </si>
  <si>
    <t>hexagonal (cell) cross section area</t>
  </si>
  <si>
    <t>hexagonal (cell)  volume</t>
  </si>
  <si>
    <t>Innocentini (1999) metrics for tubular honeycomb</t>
  </si>
  <si>
    <t>60° staggered honeycomb</t>
  </si>
  <si>
    <t>total width</t>
  </si>
  <si>
    <t>total height</t>
  </si>
  <si>
    <t>total area</t>
  </si>
  <si>
    <t>tubular open area coefficient</t>
  </si>
  <si>
    <t>tubular porosity</t>
  </si>
  <si>
    <t>tubular blockage</t>
  </si>
  <si>
    <t>hexagonal porosity</t>
  </si>
  <si>
    <t>hexagonal blockage</t>
  </si>
  <si>
    <t>Innocentini (1999) metrics for hexagonal honeycomb</t>
  </si>
  <si>
    <t>coefficient for hydraulic diameter</t>
  </si>
  <si>
    <t>outer diameter</t>
  </si>
  <si>
    <t>hydraulic cylinder (dc)</t>
  </si>
  <si>
    <t>air density (ρ)</t>
  </si>
  <si>
    <t>air dynamic viscosity (μ)</t>
  </si>
  <si>
    <t>air kinematic viscosity (ν)</t>
  </si>
  <si>
    <t>water  density (ρ)</t>
  </si>
  <si>
    <t>water dynamic viscosity (μ)</t>
  </si>
  <si>
    <t>water kinematic viscosity (ν)</t>
  </si>
  <si>
    <t>Particle Size (dp) DON’T USE THIS</t>
  </si>
  <si>
    <t>particle Size (dp) DON’T USE THIS</t>
  </si>
  <si>
    <t>cell diameter (dc or dg) USE THIS</t>
  </si>
  <si>
    <t>K2 ⅹ density</t>
  </si>
  <si>
    <t>K1 ⅹ dynamic viscosity</t>
  </si>
  <si>
    <t>K1 viscous term</t>
  </si>
  <si>
    <t>K2 intertial term</t>
  </si>
  <si>
    <t>(some use 3.5)</t>
  </si>
  <si>
    <t>coefficient for K</t>
  </si>
  <si>
    <t>Idelchik</t>
  </si>
  <si>
    <t xml:space="preserve"> (Referenced by Eckart and Barlow)</t>
  </si>
  <si>
    <t>from 1966</t>
  </si>
  <si>
    <t>Innocentini</t>
  </si>
  <si>
    <t>from 1999</t>
  </si>
  <si>
    <t>(Referenced by YingYing)</t>
  </si>
  <si>
    <t>from 2019</t>
  </si>
  <si>
    <t>A-Star Experiments</t>
  </si>
  <si>
    <t>Porous Approximation</t>
  </si>
  <si>
    <t>Note: Edinburgh Designs used specific honeycombs to validate performanceThe honeycomb was tubular and arranged hexagonally Flow speed between 0.22 and 0.50 m/s. The Honeycomb tested had a tube diameter of between10 and 12mm and a honeycomb thickness of 150mm. The pressure coefficient (K) was around 0.8.</t>
  </si>
  <si>
    <t>Porous Approximation 10mm</t>
  </si>
  <si>
    <t>Porous Approximation 7mm</t>
  </si>
  <si>
    <t>Porosity (ε)</t>
  </si>
  <si>
    <t>Blockage (1-ε)</t>
  </si>
  <si>
    <t>Mesh Coef (Nm)</t>
  </si>
  <si>
    <t>SA/V cylinder (Sv)</t>
  </si>
  <si>
    <t>Equ. Sperical Dia. (Dp)</t>
  </si>
  <si>
    <t>Screen Thickness (L)</t>
  </si>
  <si>
    <t>Screen Area (A)</t>
  </si>
  <si>
    <t>Viscous</t>
  </si>
  <si>
    <t>Inertial</t>
  </si>
  <si>
    <t>qty</t>
  </si>
  <si>
    <t>Viscous Coefficient (⍺)</t>
  </si>
  <si>
    <t>Inertial Coefficient (β)</t>
  </si>
  <si>
    <t>Exponential Coefficient (γ)</t>
  </si>
  <si>
    <t>Wire Properties</t>
  </si>
  <si>
    <t>Graphing variables</t>
  </si>
  <si>
    <t>Start Velocity</t>
  </si>
  <si>
    <t>Growt rate</t>
  </si>
  <si>
    <t>Porous Baffle Pressure</t>
  </si>
  <si>
    <t>Length (L)</t>
  </si>
  <si>
    <t>Wire screen loss calculations</t>
  </si>
  <si>
    <t>as outlined by Wu et Al</t>
  </si>
  <si>
    <t xml:space="preserve"> Total ΔP</t>
  </si>
  <si>
    <t>Wu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</si>
</sst>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E+00"/>
    <numFmt numFmtId="167" formatCode="0.00000E+00"/>
    <numFmt numFmtId="168" formatCode="0.00000"/>
    <numFmt numFmtId="169" formatCode="0.0000000"/>
  </numFmts>
  <fonts count="24" x14ac:knownFonts="1">
    <font>
      <sz val="12"/>
      <name val="Times New Roman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vertAlign val="superscript"/>
      <sz val="12"/>
      <name val="Calibri (Body)"/>
    </font>
    <font>
      <sz val="12"/>
      <name val="Times New Roman"/>
      <family val="1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8" fillId="0" borderId="0"/>
    <xf numFmtId="0" fontId="7" fillId="0" borderId="0"/>
    <xf numFmtId="0" fontId="4" fillId="0" borderId="0"/>
    <xf numFmtId="0" fontId="18" fillId="0" borderId="0" applyNumberFormat="0" applyFill="0" applyBorder="0" applyAlignment="0" applyProtection="0"/>
    <xf numFmtId="9" fontId="20" fillId="0" borderId="0" applyFont="0" applyFill="0" applyBorder="0" applyAlignment="0" applyProtection="0"/>
  </cellStyleXfs>
  <cellXfs count="101">
    <xf numFmtId="0" fontId="0" fillId="0" borderId="0" xfId="0"/>
    <xf numFmtId="1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/>
    <xf numFmtId="164" fontId="9" fillId="0" borderId="0" xfId="0" applyNumberFormat="1" applyFont="1"/>
    <xf numFmtId="2" fontId="7" fillId="0" borderId="0" xfId="0" applyNumberFormat="1" applyFont="1"/>
    <xf numFmtId="1" fontId="7" fillId="0" borderId="0" xfId="0" applyNumberFormat="1" applyFont="1"/>
    <xf numFmtId="165" fontId="7" fillId="0" borderId="0" xfId="0" applyNumberFormat="1" applyFont="1"/>
    <xf numFmtId="164" fontId="7" fillId="0" borderId="0" xfId="0" applyNumberFormat="1" applyFont="1"/>
    <xf numFmtId="0" fontId="10" fillId="0" borderId="0" xfId="2" applyFont="1" applyAlignment="1">
      <alignment horizontal="center"/>
    </xf>
    <xf numFmtId="0" fontId="11" fillId="0" borderId="0" xfId="2" applyFont="1"/>
    <xf numFmtId="0" fontId="7" fillId="0" borderId="0" xfId="2"/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165" fontId="13" fillId="0" borderId="0" xfId="0" applyNumberFormat="1" applyFont="1"/>
    <xf numFmtId="2" fontId="13" fillId="0" borderId="0" xfId="0" applyNumberFormat="1" applyFont="1"/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164" fontId="13" fillId="0" borderId="0" xfId="0" applyNumberFormat="1" applyFont="1"/>
    <xf numFmtId="1" fontId="13" fillId="0" borderId="0" xfId="0" applyNumberFormat="1" applyFont="1"/>
    <xf numFmtId="2" fontId="7" fillId="0" borderId="0" xfId="2" applyNumberFormat="1" applyAlignment="1">
      <alignment horizontal="center" vertical="center"/>
    </xf>
    <xf numFmtId="164" fontId="7" fillId="0" borderId="0" xfId="2" applyNumberFormat="1" applyAlignment="1">
      <alignment horizontal="center" vertical="center"/>
    </xf>
    <xf numFmtId="164" fontId="7" fillId="0" borderId="0" xfId="2" applyNumberFormat="1"/>
    <xf numFmtId="11" fontId="7" fillId="0" borderId="0" xfId="2" applyNumberFormat="1"/>
    <xf numFmtId="167" fontId="7" fillId="0" borderId="0" xfId="2" applyNumberFormat="1"/>
    <xf numFmtId="164" fontId="7" fillId="0" borderId="0" xfId="2" applyNumberFormat="1" applyAlignment="1">
      <alignment horizontal="right"/>
    </xf>
    <xf numFmtId="2" fontId="7" fillId="0" borderId="0" xfId="2" applyNumberFormat="1"/>
    <xf numFmtId="166" fontId="7" fillId="0" borderId="0" xfId="0" applyNumberFormat="1" applyFont="1"/>
    <xf numFmtId="166" fontId="13" fillId="0" borderId="0" xfId="0" applyNumberFormat="1" applyFont="1"/>
    <xf numFmtId="166" fontId="9" fillId="0" borderId="0" xfId="0" applyNumberFormat="1" applyFont="1"/>
    <xf numFmtId="0" fontId="6" fillId="0" borderId="0" xfId="2" applyFont="1"/>
    <xf numFmtId="0" fontId="6" fillId="0" borderId="0" xfId="2" applyFont="1" applyAlignment="1">
      <alignment horizontal="center"/>
    </xf>
    <xf numFmtId="2" fontId="6" fillId="0" borderId="0" xfId="2" applyNumberFormat="1" applyFont="1"/>
    <xf numFmtId="0" fontId="5" fillId="0" borderId="0" xfId="2" applyFont="1"/>
    <xf numFmtId="2" fontId="6" fillId="0" borderId="0" xfId="2" applyNumberFormat="1" applyFont="1" applyAlignment="1">
      <alignment horizontal="center"/>
    </xf>
    <xf numFmtId="164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2" applyAlignment="1">
      <alignment horizontal="right"/>
    </xf>
    <xf numFmtId="164" fontId="7" fillId="0" borderId="0" xfId="2" applyNumberFormat="1" applyAlignment="1">
      <alignment horizontal="right" vertical="center"/>
    </xf>
    <xf numFmtId="11" fontId="7" fillId="0" borderId="0" xfId="2" applyNumberFormat="1" applyAlignment="1">
      <alignment horizontal="right" vertical="center"/>
    </xf>
    <xf numFmtId="165" fontId="7" fillId="0" borderId="0" xfId="2" applyNumberFormat="1" applyAlignment="1">
      <alignment horizontal="right"/>
    </xf>
    <xf numFmtId="2" fontId="7" fillId="0" borderId="0" xfId="2" applyNumberFormat="1" applyAlignment="1">
      <alignment horizontal="right"/>
    </xf>
    <xf numFmtId="11" fontId="7" fillId="0" borderId="0" xfId="2" applyNumberFormat="1" applyAlignment="1">
      <alignment horizontal="right"/>
    </xf>
    <xf numFmtId="165" fontId="6" fillId="0" borderId="0" xfId="2" applyNumberFormat="1" applyFont="1" applyAlignment="1">
      <alignment horizontal="right"/>
    </xf>
    <xf numFmtId="167" fontId="7" fillId="0" borderId="0" xfId="2" applyNumberFormat="1" applyAlignment="1">
      <alignment horizontal="right"/>
    </xf>
    <xf numFmtId="2" fontId="6" fillId="0" borderId="0" xfId="2" applyNumberFormat="1" applyFont="1" applyAlignment="1">
      <alignment horizontal="right"/>
    </xf>
    <xf numFmtId="11" fontId="17" fillId="0" borderId="0" xfId="2" applyNumberFormat="1" applyFont="1" applyAlignment="1">
      <alignment horizontal="right" vertical="center"/>
    </xf>
    <xf numFmtId="0" fontId="3" fillId="0" borderId="0" xfId="2" applyFont="1" applyAlignment="1">
      <alignment horizontal="center"/>
    </xf>
    <xf numFmtId="0" fontId="3" fillId="0" borderId="0" xfId="2" applyFont="1"/>
    <xf numFmtId="0" fontId="2" fillId="0" borderId="0" xfId="2" applyFont="1"/>
    <xf numFmtId="0" fontId="2" fillId="0" borderId="0" xfId="2" applyFont="1" applyAlignment="1">
      <alignment horizontal="center"/>
    </xf>
    <xf numFmtId="164" fontId="2" fillId="0" borderId="0" xfId="2" applyNumberFormat="1" applyFont="1" applyAlignment="1">
      <alignment horizontal="left" vertical="center"/>
    </xf>
    <xf numFmtId="165" fontId="7" fillId="0" borderId="0" xfId="2" applyNumberFormat="1" applyAlignment="1">
      <alignment horizontal="right" vertical="center"/>
    </xf>
    <xf numFmtId="169" fontId="7" fillId="0" borderId="0" xfId="2" applyNumberFormat="1" applyAlignment="1">
      <alignment horizontal="right"/>
    </xf>
    <xf numFmtId="164" fontId="6" fillId="0" borderId="0" xfId="2" applyNumberFormat="1" applyFont="1" applyAlignment="1">
      <alignment horizontal="right"/>
    </xf>
    <xf numFmtId="2" fontId="7" fillId="0" borderId="0" xfId="2" applyNumberFormat="1" applyAlignment="1">
      <alignment horizontal="right" vertical="center"/>
    </xf>
    <xf numFmtId="1" fontId="7" fillId="0" borderId="0" xfId="2" applyNumberFormat="1" applyAlignment="1">
      <alignment horizontal="right" vertical="center"/>
    </xf>
    <xf numFmtId="11" fontId="2" fillId="0" borderId="0" xfId="2" applyNumberFormat="1" applyFont="1" applyAlignment="1">
      <alignment horizontal="right"/>
    </xf>
    <xf numFmtId="9" fontId="7" fillId="0" borderId="0" xfId="5" applyFont="1" applyAlignment="1">
      <alignment horizontal="right"/>
    </xf>
    <xf numFmtId="1" fontId="6" fillId="0" borderId="0" xfId="2" applyNumberFormat="1" applyFont="1" applyAlignment="1">
      <alignment horizontal="right"/>
    </xf>
    <xf numFmtId="1" fontId="7" fillId="0" borderId="0" xfId="2" applyNumberFormat="1" applyAlignment="1">
      <alignment horizontal="right"/>
    </xf>
    <xf numFmtId="164" fontId="9" fillId="0" borderId="0" xfId="2" applyNumberFormat="1" applyFont="1" applyAlignment="1">
      <alignment horizontal="left" vertical="center"/>
    </xf>
    <xf numFmtId="0" fontId="17" fillId="0" borderId="0" xfId="2" applyFont="1"/>
    <xf numFmtId="10" fontId="7" fillId="0" borderId="0" xfId="5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2" fontId="13" fillId="0" borderId="0" xfId="2" applyNumberFormat="1" applyFont="1" applyAlignment="1">
      <alignment horizontal="right"/>
    </xf>
    <xf numFmtId="2" fontId="9" fillId="0" borderId="0" xfId="2" applyNumberFormat="1" applyFont="1" applyAlignment="1">
      <alignment horizontal="right"/>
    </xf>
    <xf numFmtId="164" fontId="13" fillId="0" borderId="0" xfId="2" applyNumberFormat="1" applyFont="1" applyAlignment="1">
      <alignment horizontal="right" vertical="center"/>
    </xf>
    <xf numFmtId="1" fontId="13" fillId="0" borderId="0" xfId="2" applyNumberFormat="1" applyFont="1" applyAlignment="1">
      <alignment horizontal="right"/>
    </xf>
    <xf numFmtId="1" fontId="9" fillId="0" borderId="0" xfId="2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164" fontId="9" fillId="0" borderId="0" xfId="2" applyNumberFormat="1" applyFont="1" applyAlignment="1">
      <alignment horizontal="right" vertical="center"/>
    </xf>
    <xf numFmtId="0" fontId="9" fillId="0" borderId="0" xfId="2" applyFont="1" applyAlignment="1">
      <alignment horizontal="right"/>
    </xf>
    <xf numFmtId="1" fontId="9" fillId="0" borderId="0" xfId="0" applyNumberFormat="1" applyFont="1" applyAlignment="1">
      <alignment horizontal="right"/>
    </xf>
    <xf numFmtId="164" fontId="9" fillId="0" borderId="0" xfId="2" applyNumberFormat="1" applyFont="1" applyAlignment="1">
      <alignment horizontal="right"/>
    </xf>
    <xf numFmtId="2" fontId="9" fillId="0" borderId="0" xfId="2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/>
    </xf>
    <xf numFmtId="0" fontId="11" fillId="0" borderId="0" xfId="2" applyFont="1" applyAlignment="1">
      <alignment horizontal="left"/>
    </xf>
    <xf numFmtId="0" fontId="9" fillId="0" borderId="0" xfId="2" applyFont="1"/>
    <xf numFmtId="164" fontId="13" fillId="0" borderId="0" xfId="2" applyNumberFormat="1" applyFont="1" applyAlignment="1">
      <alignment horizontal="right"/>
    </xf>
    <xf numFmtId="0" fontId="13" fillId="0" borderId="0" xfId="2" applyFont="1" applyAlignment="1">
      <alignment horizontal="right"/>
    </xf>
    <xf numFmtId="2" fontId="13" fillId="0" borderId="0" xfId="2" applyNumberFormat="1" applyFont="1" applyAlignment="1">
      <alignment horizontal="right" vertical="center"/>
    </xf>
    <xf numFmtId="0" fontId="13" fillId="0" borderId="0" xfId="2" applyFont="1"/>
    <xf numFmtId="0" fontId="1" fillId="0" borderId="0" xfId="2" applyFont="1" applyAlignment="1">
      <alignment horizontal="right"/>
    </xf>
    <xf numFmtId="164" fontId="1" fillId="0" borderId="0" xfId="2" applyNumberFormat="1" applyFont="1" applyAlignment="1">
      <alignment horizontal="right"/>
    </xf>
    <xf numFmtId="0" fontId="21" fillId="0" borderId="0" xfId="2" applyFont="1"/>
    <xf numFmtId="164" fontId="7" fillId="0" borderId="0" xfId="2" applyNumberFormat="1" applyAlignment="1">
      <alignment horizontal="right" vertical="top"/>
    </xf>
    <xf numFmtId="168" fontId="1" fillId="0" borderId="0" xfId="2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2" fontId="23" fillId="0" borderId="0" xfId="0" applyNumberFormat="1" applyFont="1" applyAlignment="1">
      <alignment horizontal="right"/>
    </xf>
    <xf numFmtId="2" fontId="23" fillId="0" borderId="0" xfId="0" applyNumberFormat="1" applyFont="1"/>
    <xf numFmtId="1" fontId="23" fillId="0" borderId="0" xfId="0" applyNumberFormat="1" applyFont="1"/>
    <xf numFmtId="165" fontId="23" fillId="0" borderId="0" xfId="0" applyNumberFormat="1" applyFont="1"/>
    <xf numFmtId="164" fontId="23" fillId="0" borderId="0" xfId="0" applyNumberFormat="1" applyFont="1"/>
    <xf numFmtId="166" fontId="23" fillId="0" borderId="0" xfId="0" applyNumberFormat="1" applyFont="1"/>
    <xf numFmtId="0" fontId="1" fillId="0" borderId="0" xfId="2" applyFont="1" applyAlignment="1">
      <alignment horizontal="left" wrapText="1"/>
    </xf>
  </cellXfs>
  <cellStyles count="6">
    <cellStyle name="Hyperlink 2" xfId="4" xr:uid="{84C5FC50-D195-8349-88C7-588FA6599261}"/>
    <cellStyle name="Normal" xfId="0" builtinId="0"/>
    <cellStyle name="Normal 2" xfId="1" xr:uid="{00000000-0005-0000-0000-000002000000}"/>
    <cellStyle name="Normal 3" xfId="2" xr:uid="{10B03A3C-5A35-A74C-9FF9-136ED6999651}"/>
    <cellStyle name="Normal 4" xfId="3" xr:uid="{899A2450-14EB-614F-BF2B-F6C5FAC50DD8}"/>
    <cellStyle name="Per cent" xfId="5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1076669410578"/>
          <c:y val="2.4557391350573794E-2"/>
          <c:w val="0.77591216497251736"/>
          <c:h val="0.875423030296572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screen'!$E$2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screen'!$M$5:$M$26</c:f>
              <c:numCache>
                <c:formatCode>0.0E+00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screen'!$O$5:$O$26</c:f>
              <c:numCache>
                <c:formatCode>0.0E+00</c:formatCode>
                <c:ptCount val="22"/>
                <c:pt idx="0">
                  <c:v>6.8769977694853561E-6</c:v>
                </c:pt>
                <c:pt idx="1">
                  <c:v>6.633209024521984E-5</c:v>
                </c:pt>
                <c:pt idx="2">
                  <c:v>4.126512765414134E-4</c:v>
                </c:pt>
                <c:pt idx="3">
                  <c:v>2.772590394398259E-3</c:v>
                </c:pt>
                <c:pt idx="4">
                  <c:v>1.9635203242046439E-2</c:v>
                </c:pt>
                <c:pt idx="5">
                  <c:v>3.715777941510625E-2</c:v>
                </c:pt>
                <c:pt idx="6">
                  <c:v>0.14361681693753708</c:v>
                </c:pt>
                <c:pt idx="7">
                  <c:v>0.27373486107985395</c:v>
                </c:pt>
                <c:pt idx="8">
                  <c:v>0.72603555344288884</c:v>
                </c:pt>
                <c:pt idx="9">
                  <c:v>1.5070795943185928</c:v>
                </c:pt>
                <c:pt idx="10">
                  <c:v>2.0477074443645349</c:v>
                </c:pt>
                <c:pt idx="11">
                  <c:v>6.6727571502006899</c:v>
                </c:pt>
                <c:pt idx="12">
                  <c:v>29.636647126066379</c:v>
                </c:pt>
                <c:pt idx="13">
                  <c:v>117.04904188891383</c:v>
                </c:pt>
                <c:pt idx="14">
                  <c:v>224.78224476999733</c:v>
                </c:pt>
                <c:pt idx="15">
                  <c:v>736.05825607774023</c:v>
                </c:pt>
                <c:pt idx="16">
                  <c:v>1708.200961957702</c:v>
                </c:pt>
                <c:pt idx="17">
                  <c:v>2257.8231770866391</c:v>
                </c:pt>
                <c:pt idx="18">
                  <c:v>2912.7192197930267</c:v>
                </c:pt>
                <c:pt idx="19">
                  <c:v>3282.414834275949</c:v>
                </c:pt>
                <c:pt idx="20">
                  <c:v>4573.7083490669274</c:v>
                </c:pt>
                <c:pt idx="21">
                  <c:v>5597.3625952472503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A-8D4C-B03B-5076A65AC6DD}"/>
            </c:ext>
          </c:extLst>
        </c:ser>
        <c:ser>
          <c:idx val="0"/>
          <c:order val="1"/>
          <c:tx>
            <c:strRef>
              <c:f>'ΔP screen'!$E$28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screen'!$J$31:$J$52</c:f>
              <c:numCache>
                <c:formatCode>0.0E+00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screen'!$L$31:$L$52</c:f>
              <c:numCache>
                <c:formatCode>0.0E+00</c:formatCode>
                <c:ptCount val="22"/>
                <c:pt idx="0">
                  <c:v>9.2357440000000024E-6</c:v>
                </c:pt>
                <c:pt idx="1">
                  <c:v>7.5691000000000018E-5</c:v>
                </c:pt>
                <c:pt idx="2">
                  <c:v>4.2254800000000013E-4</c:v>
                </c:pt>
                <c:pt idx="3">
                  <c:v>2.6484640000000005E-3</c:v>
                </c:pt>
                <c:pt idx="4">
                  <c:v>1.8260032000000006E-2</c:v>
                </c:pt>
                <c:pt idx="5">
                  <c:v>3.4520499999999996E-2</c:v>
                </c:pt>
                <c:pt idx="6">
                  <c:v>0.13436953600000001</c:v>
                </c:pt>
                <c:pt idx="7">
                  <c:v>0.25786599999999998</c:v>
                </c:pt>
                <c:pt idx="8">
                  <c:v>0.693238672</c:v>
                </c:pt>
                <c:pt idx="9">
                  <c:v>1.4564460960000001</c:v>
                </c:pt>
                <c:pt idx="10">
                  <c:v>1.9897360000000002</c:v>
                </c:pt>
                <c:pt idx="11">
                  <c:v>6.6330180000000007</c:v>
                </c:pt>
                <c:pt idx="12">
                  <c:v>30.403450000000003</c:v>
                </c:pt>
                <c:pt idx="13">
                  <c:v>123.82988800000001</c:v>
                </c:pt>
                <c:pt idx="14">
                  <c:v>241.39780000000002</c:v>
                </c:pt>
                <c:pt idx="15">
                  <c:v>812.65905000000009</c:v>
                </c:pt>
                <c:pt idx="16">
                  <c:v>1923.8632000000005</c:v>
                </c:pt>
                <c:pt idx="17">
                  <c:v>2559.776296</c:v>
                </c:pt>
                <c:pt idx="18">
                  <c:v>3322.3276800000003</c:v>
                </c:pt>
                <c:pt idx="19">
                  <c:v>3754.6862500000007</c:v>
                </c:pt>
                <c:pt idx="20">
                  <c:v>5273.3423680000005</c:v>
                </c:pt>
                <c:pt idx="21">
                  <c:v>6484.8042000000005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9-8447-A7E3-F52DE2E7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 (m</a:t>
                </a:r>
                <a:r>
                  <a:rPr lang="en-GB" baseline="30000"/>
                  <a:t>3</a:t>
                </a:r>
                <a:r>
                  <a:rPr lang="en-GB"/>
                  <a:t>/s)</a:t>
                </a:r>
              </a:p>
            </c:rich>
          </c:tx>
          <c:layout>
            <c:manualLayout>
              <c:xMode val="edge"/>
              <c:yMode val="edge"/>
              <c:x val="0.44739418878872911"/>
              <c:y val="0.9550804692591615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  <c:majorUnit val="5"/>
      </c:valAx>
      <c:valAx>
        <c:axId val="184635328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 (kW)</a:t>
                </a:r>
              </a:p>
            </c:rich>
          </c:tx>
          <c:layout>
            <c:manualLayout>
              <c:xMode val="edge"/>
              <c:yMode val="edge"/>
              <c:x val="2.1107026280730582E-5"/>
              <c:y val="0.32106805555555551"/>
            </c:manualLayout>
          </c:layout>
          <c:overlay val="0"/>
        </c:title>
        <c:numFmt formatCode="0.E+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666180555147192"/>
          <c:y val="0.76239975230106682"/>
          <c:w val="0.36720824978291594"/>
          <c:h val="0.1289279702761280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67510648653872E-2"/>
          <c:y val="2.4503647883756703E-2"/>
          <c:w val="0.84301767846294295"/>
          <c:h val="0.84801218642334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screen'!$E$2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screen'!$E$5:$E$26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screen'!$L$5:$L$26</c:f>
              <c:numCache>
                <c:formatCode>0.000</c:formatCode>
                <c:ptCount val="22"/>
                <c:pt idx="0">
                  <c:v>1.7223496717805438</c:v>
                </c:pt>
                <c:pt idx="1">
                  <c:v>1.0632272529788791</c:v>
                </c:pt>
                <c:pt idx="2">
                  <c:v>0.82679077648049137</c:v>
                </c:pt>
                <c:pt idx="3">
                  <c:v>0.6943975141249894</c:v>
                </c:pt>
                <c:pt idx="4">
                  <c:v>0.61470657314561317</c:v>
                </c:pt>
                <c:pt idx="5">
                  <c:v>0.59559654442165888</c:v>
                </c:pt>
                <c:pt idx="6">
                  <c:v>0.56201481783435603</c:v>
                </c:pt>
                <c:pt idx="7">
                  <c:v>0.54845694466009598</c:v>
                </c:pt>
                <c:pt idx="8">
                  <c:v>0.530134674953465</c:v>
                </c:pt>
                <c:pt idx="9">
                  <c:v>0.51776311019594956</c:v>
                </c:pt>
                <c:pt idx="10">
                  <c:v>0.51284999107506879</c:v>
                </c:pt>
                <c:pt idx="11">
                  <c:v>0.49516961272517857</c:v>
                </c:pt>
                <c:pt idx="12">
                  <c:v>0.47504142858852139</c:v>
                </c:pt>
                <c:pt idx="13">
                  <c:v>0.45804730502761937</c:v>
                </c:pt>
                <c:pt idx="14">
                  <c:v>0.45037516483670076</c:v>
                </c:pt>
                <c:pt idx="15">
                  <c:v>0.43696921485502954</c:v>
                </c:pt>
                <c:pt idx="16">
                  <c:v>0.42782031706013374</c:v>
                </c:pt>
                <c:pt idx="17">
                  <c:v>0.42484872038765176</c:v>
                </c:pt>
                <c:pt idx="18">
                  <c:v>0.42216023851512391</c:v>
                </c:pt>
                <c:pt idx="19">
                  <c:v>0.42090673090294672</c:v>
                </c:pt>
                <c:pt idx="20">
                  <c:v>0.41745224759769173</c:v>
                </c:pt>
                <c:pt idx="21">
                  <c:v>0.41536711230193979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2-4041-90D2-DDF57F39F552}"/>
            </c:ext>
          </c:extLst>
        </c:ser>
        <c:ser>
          <c:idx val="0"/>
          <c:order val="1"/>
          <c:tx>
            <c:strRef>
              <c:f>'ΔP screen'!$E$28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screen'!$E$31:$E$52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screen'!$I$31:$I$52</c:f>
              <c:numCache>
                <c:formatCode>0.000</c:formatCode>
                <c:ptCount val="22"/>
                <c:pt idx="0">
                  <c:v>2.3130995792426368</c:v>
                </c:pt>
                <c:pt idx="1">
                  <c:v>1.2132398316970547</c:v>
                </c:pt>
                <c:pt idx="2">
                  <c:v>0.84661991584852736</c:v>
                </c:pt>
                <c:pt idx="3">
                  <c:v>0.66330995792426362</c:v>
                </c:pt>
                <c:pt idx="4">
                  <c:v>0.5716549789621318</c:v>
                </c:pt>
                <c:pt idx="5">
                  <c:v>0.55332398316970544</c:v>
                </c:pt>
                <c:pt idx="6">
                  <c:v>0.52582748948106584</c:v>
                </c:pt>
                <c:pt idx="7">
                  <c:v>0.51666199158485271</c:v>
                </c:pt>
                <c:pt idx="8">
                  <c:v>0.50618713684632344</c:v>
                </c:pt>
                <c:pt idx="9">
                  <c:v>0.50036777310269598</c:v>
                </c:pt>
                <c:pt idx="10">
                  <c:v>0.49833099579242635</c:v>
                </c:pt>
                <c:pt idx="11">
                  <c:v>0.49222066386161761</c:v>
                </c:pt>
                <c:pt idx="12">
                  <c:v>0.48733239831697056</c:v>
                </c:pt>
                <c:pt idx="13">
                  <c:v>0.4845827489481066</c:v>
                </c:pt>
                <c:pt idx="14">
                  <c:v>0.4836661991584853</c:v>
                </c:pt>
                <c:pt idx="15">
                  <c:v>0.48244413277232356</c:v>
                </c:pt>
                <c:pt idx="16">
                  <c:v>0.48183309957924275</c:v>
                </c:pt>
                <c:pt idx="17">
                  <c:v>0.48166645416294784</c:v>
                </c:pt>
                <c:pt idx="18">
                  <c:v>0.48152758298270215</c:v>
                </c:pt>
                <c:pt idx="19">
                  <c:v>0.48146647966339412</c:v>
                </c:pt>
                <c:pt idx="20">
                  <c:v>0.48130935684231618</c:v>
                </c:pt>
                <c:pt idx="21">
                  <c:v>0.48122206638616177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12-4041-90D2-DDF57F39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velocity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347226897236375"/>
              <c:y val="0.9526410327689772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</c:valAx>
      <c:valAx>
        <c:axId val="1846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K Factor</a:t>
                </a:r>
                <a:endParaRPr lang="en-GB" baseline="-25000"/>
              </a:p>
            </c:rich>
          </c:tx>
          <c:layout>
            <c:manualLayout>
              <c:xMode val="edge"/>
              <c:yMode val="edge"/>
              <c:x val="3.333441140966056E-3"/>
              <c:y val="0.35574814374021457"/>
            </c:manualLayout>
          </c:layout>
          <c:overlay val="0"/>
        </c:title>
        <c:numFmt formatCode="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77117726890107"/>
          <c:y val="3.4260222651798192E-2"/>
          <c:w val="0.30802614289260744"/>
          <c:h val="0.1071932830192916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67510648653872E-2"/>
          <c:y val="2.4503647883756703E-2"/>
          <c:w val="0.84301767846294295"/>
          <c:h val="0.84801218642334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screen'!$E$2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screen'!$E$5:$E$26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screen'!$L$5:$L$26</c:f>
              <c:numCache>
                <c:formatCode>0.000</c:formatCode>
                <c:ptCount val="22"/>
                <c:pt idx="0">
                  <c:v>1.7223496717805438</c:v>
                </c:pt>
                <c:pt idx="1">
                  <c:v>1.0632272529788791</c:v>
                </c:pt>
                <c:pt idx="2">
                  <c:v>0.82679077648049137</c:v>
                </c:pt>
                <c:pt idx="3">
                  <c:v>0.6943975141249894</c:v>
                </c:pt>
                <c:pt idx="4">
                  <c:v>0.61470657314561317</c:v>
                </c:pt>
                <c:pt idx="5">
                  <c:v>0.59559654442165888</c:v>
                </c:pt>
                <c:pt idx="6">
                  <c:v>0.56201481783435603</c:v>
                </c:pt>
                <c:pt idx="7">
                  <c:v>0.54845694466009598</c:v>
                </c:pt>
                <c:pt idx="8">
                  <c:v>0.530134674953465</c:v>
                </c:pt>
                <c:pt idx="9">
                  <c:v>0.51776311019594956</c:v>
                </c:pt>
                <c:pt idx="10">
                  <c:v>0.51284999107506879</c:v>
                </c:pt>
                <c:pt idx="11">
                  <c:v>0.49516961272517857</c:v>
                </c:pt>
                <c:pt idx="12">
                  <c:v>0.47504142858852139</c:v>
                </c:pt>
                <c:pt idx="13">
                  <c:v>0.45804730502761937</c:v>
                </c:pt>
                <c:pt idx="14">
                  <c:v>0.45037516483670076</c:v>
                </c:pt>
                <c:pt idx="15">
                  <c:v>0.43696921485502954</c:v>
                </c:pt>
                <c:pt idx="16">
                  <c:v>0.42782031706013374</c:v>
                </c:pt>
                <c:pt idx="17">
                  <c:v>0.42484872038765176</c:v>
                </c:pt>
                <c:pt idx="18">
                  <c:v>0.42216023851512391</c:v>
                </c:pt>
                <c:pt idx="19">
                  <c:v>0.42090673090294672</c:v>
                </c:pt>
                <c:pt idx="20">
                  <c:v>0.41745224759769173</c:v>
                </c:pt>
                <c:pt idx="21">
                  <c:v>0.41536711230193979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5-C048-8386-59BDC9C8D19A}"/>
            </c:ext>
          </c:extLst>
        </c:ser>
        <c:ser>
          <c:idx val="0"/>
          <c:order val="1"/>
          <c:tx>
            <c:strRef>
              <c:f>'ΔP screen'!$E$28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screen'!$E$31:$E$52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screen'!$I$31:$I$52</c:f>
              <c:numCache>
                <c:formatCode>0.000</c:formatCode>
                <c:ptCount val="22"/>
                <c:pt idx="0">
                  <c:v>2.3130995792426368</c:v>
                </c:pt>
                <c:pt idx="1">
                  <c:v>1.2132398316970547</c:v>
                </c:pt>
                <c:pt idx="2">
                  <c:v>0.84661991584852736</c:v>
                </c:pt>
                <c:pt idx="3">
                  <c:v>0.66330995792426362</c:v>
                </c:pt>
                <c:pt idx="4">
                  <c:v>0.5716549789621318</c:v>
                </c:pt>
                <c:pt idx="5">
                  <c:v>0.55332398316970544</c:v>
                </c:pt>
                <c:pt idx="6">
                  <c:v>0.52582748948106584</c:v>
                </c:pt>
                <c:pt idx="7">
                  <c:v>0.51666199158485271</c:v>
                </c:pt>
                <c:pt idx="8">
                  <c:v>0.50618713684632344</c:v>
                </c:pt>
                <c:pt idx="9">
                  <c:v>0.50036777310269598</c:v>
                </c:pt>
                <c:pt idx="10">
                  <c:v>0.49833099579242635</c:v>
                </c:pt>
                <c:pt idx="11">
                  <c:v>0.49222066386161761</c:v>
                </c:pt>
                <c:pt idx="12">
                  <c:v>0.48733239831697056</c:v>
                </c:pt>
                <c:pt idx="13">
                  <c:v>0.4845827489481066</c:v>
                </c:pt>
                <c:pt idx="14">
                  <c:v>0.4836661991584853</c:v>
                </c:pt>
                <c:pt idx="15">
                  <c:v>0.48244413277232356</c:v>
                </c:pt>
                <c:pt idx="16">
                  <c:v>0.48183309957924275</c:v>
                </c:pt>
                <c:pt idx="17">
                  <c:v>0.48166645416294784</c:v>
                </c:pt>
                <c:pt idx="18">
                  <c:v>0.48152758298270215</c:v>
                </c:pt>
                <c:pt idx="19">
                  <c:v>0.48146647966339412</c:v>
                </c:pt>
                <c:pt idx="20">
                  <c:v>0.48130935684231618</c:v>
                </c:pt>
                <c:pt idx="21">
                  <c:v>0.48122206638616177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A5-C048-8386-59BDC9C8D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velocity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347226897236375"/>
              <c:y val="0.95264103276897727"/>
            </c:manualLayout>
          </c:layout>
          <c:overlay val="0"/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</c:valAx>
      <c:valAx>
        <c:axId val="1846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K Factor</a:t>
                </a:r>
                <a:endParaRPr lang="en-GB" baseline="-25000"/>
              </a:p>
            </c:rich>
          </c:tx>
          <c:layout>
            <c:manualLayout>
              <c:xMode val="edge"/>
              <c:yMode val="edge"/>
              <c:x val="3.333441140966056E-3"/>
              <c:y val="0.35574814374021457"/>
            </c:manualLayout>
          </c:layout>
          <c:overlay val="0"/>
        </c:title>
        <c:numFmt formatCode="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88269281360133"/>
          <c:y val="6.2615399739912009E-2"/>
          <c:w val="0.30374826400643234"/>
          <c:h val="0.1218366723122587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xVal>
            <c:numRef>
              <c:f>'ΔP screen (Wu) proof'!$G$5:$G$50</c:f>
              <c:numCache>
                <c:formatCode>0</c:formatCode>
                <c:ptCount val="46"/>
                <c:pt idx="0">
                  <c:v>1.5012799859373076E-2</c:v>
                </c:pt>
                <c:pt idx="1">
                  <c:v>2.116804780171604E-2</c:v>
                </c:pt>
                <c:pt idx="2">
                  <c:v>2.9846947400419613E-2</c:v>
                </c:pt>
                <c:pt idx="3">
                  <c:v>4.2084195834591651E-2</c:v>
                </c:pt>
                <c:pt idx="4">
                  <c:v>5.9338716126774216E-2</c:v>
                </c:pt>
                <c:pt idx="5">
                  <c:v>8.3667589738751658E-2</c:v>
                </c:pt>
                <c:pt idx="6">
                  <c:v>0.11797130153163983</c:v>
                </c:pt>
                <c:pt idx="7">
                  <c:v>0.16633953515961211</c:v>
                </c:pt>
                <c:pt idx="8">
                  <c:v>0.23453874457505308</c:v>
                </c:pt>
                <c:pt idx="9">
                  <c:v>0.33069962985082485</c:v>
                </c:pt>
                <c:pt idx="10">
                  <c:v>0.46628647808966295</c:v>
                </c:pt>
                <c:pt idx="11">
                  <c:v>0.65746393410642479</c:v>
                </c:pt>
                <c:pt idx="12">
                  <c:v>0.92702414709005865</c:v>
                </c:pt>
                <c:pt idx="13">
                  <c:v>1.3071040473969828</c:v>
                </c:pt>
                <c:pt idx="14">
                  <c:v>1.8430167068297463</c:v>
                </c:pt>
                <c:pt idx="15">
                  <c:v>2.5986535566299418</c:v>
                </c:pt>
                <c:pt idx="16">
                  <c:v>3.6641015148482174</c:v>
                </c:pt>
                <c:pt idx="17">
                  <c:v>5.1663831359359857</c:v>
                </c:pt>
                <c:pt idx="18">
                  <c:v>7.2846002216697405</c:v>
                </c:pt>
                <c:pt idx="19">
                  <c:v>10.271286312554331</c:v>
                </c:pt>
                <c:pt idx="20">
                  <c:v>14.48251370070161</c:v>
                </c:pt>
                <c:pt idx="21">
                  <c:v>20.420344317989269</c:v>
                </c:pt>
                <c:pt idx="22">
                  <c:v>28.792685488364864</c:v>
                </c:pt>
                <c:pt idx="23">
                  <c:v>40.597686538594452</c:v>
                </c:pt>
                <c:pt idx="24">
                  <c:v>57.242738019418169</c:v>
                </c:pt>
                <c:pt idx="25">
                  <c:v>80.712260607379633</c:v>
                </c:pt>
                <c:pt idx="26">
                  <c:v>113.80428745640525</c:v>
                </c:pt>
                <c:pt idx="27">
                  <c:v>160.46404531353141</c:v>
                </c:pt>
                <c:pt idx="28">
                  <c:v>226.25430389207929</c:v>
                </c:pt>
                <c:pt idx="29">
                  <c:v>319.01856848783171</c:v>
                </c:pt>
                <c:pt idx="30">
                  <c:v>449.81618156784276</c:v>
                </c:pt>
                <c:pt idx="31">
                  <c:v>634.24081601065825</c:v>
                </c:pt>
                <c:pt idx="32">
                  <c:v>894.279550575028</c:v>
                </c:pt>
                <c:pt idx="33">
                  <c:v>1260.9341663107894</c:v>
                </c:pt>
                <c:pt idx="34">
                  <c:v>1777.9171744982132</c:v>
                </c:pt>
                <c:pt idx="35">
                  <c:v>2506.86321604248</c:v>
                </c:pt>
                <c:pt idx="36">
                  <c:v>3534.6771346198975</c:v>
                </c:pt>
                <c:pt idx="37">
                  <c:v>4983.8947598140549</c:v>
                </c:pt>
                <c:pt idx="38">
                  <c:v>7027.2916113378178</c:v>
                </c:pt>
                <c:pt idx="39">
                  <c:v>9908.4811719863228</c:v>
                </c:pt>
                <c:pt idx="40">
                  <c:v>13970.958452500712</c:v>
                </c:pt>
                <c:pt idx="41">
                  <c:v>19699.051418026003</c:v>
                </c:pt>
                <c:pt idx="42">
                  <c:v>27775.66249941666</c:v>
                </c:pt>
                <c:pt idx="43">
                  <c:v>39163.684124177496</c:v>
                </c:pt>
                <c:pt idx="44">
                  <c:v>55220.794615090257</c:v>
                </c:pt>
                <c:pt idx="45">
                  <c:v>77861.32040727725</c:v>
                </c:pt>
              </c:numCache>
            </c:numRef>
          </c:xVal>
          <c:yVal>
            <c:numRef>
              <c:f>'ΔP screen (Wu) proof'!$J$5:$J$50</c:f>
              <c:numCache>
                <c:formatCode>0.000</c:formatCode>
                <c:ptCount val="46"/>
                <c:pt idx="0">
                  <c:v>16654.733699606761</c:v>
                </c:pt>
                <c:pt idx="1">
                  <c:v>11812.475096244438</c:v>
                </c:pt>
                <c:pt idx="2">
                  <c:v>8378.2345024807546</c:v>
                </c:pt>
                <c:pt idx="3">
                  <c:v>5942.5885944394122</c:v>
                </c:pt>
                <c:pt idx="4">
                  <c:v>4215.1662119357516</c:v>
                </c:pt>
                <c:pt idx="5">
                  <c:v>2990.0303536365013</c:v>
                </c:pt>
                <c:pt idx="6">
                  <c:v>2121.1264005723974</c:v>
                </c:pt>
                <c:pt idx="7">
                  <c:v>1504.8695086954904</c:v>
                </c:pt>
                <c:pt idx="8">
                  <c:v>1067.7952418938246</c:v>
                </c:pt>
                <c:pt idx="9">
                  <c:v>757.80115568520091</c:v>
                </c:pt>
                <c:pt idx="10">
                  <c:v>537.93515444231548</c:v>
                </c:pt>
                <c:pt idx="11">
                  <c:v>381.99007098069035</c:v>
                </c:pt>
                <c:pt idx="12">
                  <c:v>271.37925491464159</c:v>
                </c:pt>
                <c:pt idx="13">
                  <c:v>192.920677870118</c:v>
                </c:pt>
                <c:pt idx="14">
                  <c:v>137.26537689399984</c:v>
                </c:pt>
                <c:pt idx="15">
                  <c:v>97.782875307794527</c:v>
                </c:pt>
                <c:pt idx="16">
                  <c:v>69.770701039722894</c:v>
                </c:pt>
                <c:pt idx="17">
                  <c:v>49.893761324552322</c:v>
                </c:pt>
                <c:pt idx="18">
                  <c:v>35.786736104049879</c:v>
                </c:pt>
                <c:pt idx="19">
                  <c:v>25.772087527254961</c:v>
                </c:pt>
                <c:pt idx="20">
                  <c:v>18.660066684753083</c:v>
                </c:pt>
                <c:pt idx="21">
                  <c:v>13.606874409701799</c:v>
                </c:pt>
                <c:pt idx="22">
                  <c:v>10.014066097912096</c:v>
                </c:pt>
                <c:pt idx="23">
                  <c:v>7.457207605354772</c:v>
                </c:pt>
                <c:pt idx="24">
                  <c:v>5.635276590727571</c:v>
                </c:pt>
                <c:pt idx="25">
                  <c:v>4.3347769397023947</c:v>
                </c:pt>
                <c:pt idx="26">
                  <c:v>3.404287998949548</c:v>
                </c:pt>
                <c:pt idx="27">
                  <c:v>2.7364143845449447</c:v>
                </c:pt>
                <c:pt idx="28">
                  <c:v>2.2549844247627844</c:v>
                </c:pt>
                <c:pt idx="29">
                  <c:v>1.905971038672122</c:v>
                </c:pt>
                <c:pt idx="30">
                  <c:v>1.6510526401941767</c:v>
                </c:pt>
                <c:pt idx="31">
                  <c:v>1.4630464007086692</c:v>
                </c:pt>
                <c:pt idx="32">
                  <c:v>1.3226694255893658</c:v>
                </c:pt>
                <c:pt idx="33">
                  <c:v>1.2162417137312331</c:v>
                </c:pt>
                <c:pt idx="34">
                  <c:v>1.1340570483388821</c:v>
                </c:pt>
                <c:pt idx="35">
                  <c:v>1.0692275978894894</c:v>
                </c:pt>
                <c:pt idx="36">
                  <c:v>1.0168644818171071</c:v>
                </c:pt>
                <c:pt idx="37">
                  <c:v>0.97349660910624436</c:v>
                </c:pt>
                <c:pt idx="38">
                  <c:v>0.93665850482021207</c:v>
                </c:pt>
                <c:pt idx="39">
                  <c:v>0.90459798628308885</c:v>
                </c:pt>
                <c:pt idx="40">
                  <c:v>0.87606883906921684</c:v>
                </c:pt>
                <c:pt idx="41">
                  <c:v>0.85018377659604005</c:v>
                </c:pt>
                <c:pt idx="42">
                  <c:v>0.82631015409620778</c:v>
                </c:pt>
                <c:pt idx="43">
                  <c:v>0.80399600489391065</c:v>
                </c:pt>
                <c:pt idx="44">
                  <c:v>0.78291758190976457</c:v>
                </c:pt>
                <c:pt idx="45">
                  <c:v>0.7628421511479121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C-CD48-96EE-097C24CE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logBase val="10"/>
          <c:orientation val="minMax"/>
          <c:max val="100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Re/(1-ε)</a:t>
                </a:r>
              </a:p>
            </c:rich>
          </c:tx>
          <c:overlay val="0"/>
        </c:title>
        <c:numFmt formatCode="0.E+0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.1"/>
        <c:crossBetween val="midCat"/>
      </c:valAx>
      <c:valAx>
        <c:axId val="18463532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</a:t>
                </a:r>
                <a:r>
                  <a:rPr lang="en-GB" baseline="-25000"/>
                  <a:t>k</a:t>
                </a:r>
              </a:p>
            </c:rich>
          </c:tx>
          <c:overlay val="0"/>
        </c:title>
        <c:numFmt formatCode="0.E+0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honeycomb'!$P$8:$P$29</c:f>
              <c:numCache>
                <c:formatCode>0.00</c:formatCode>
                <c:ptCount val="22"/>
                <c:pt idx="0">
                  <c:v>5.1435375862838457E-5</c:v>
                </c:pt>
                <c:pt idx="1">
                  <c:v>3.9318058546497118E-4</c:v>
                </c:pt>
                <c:pt idx="2">
                  <c:v>3.0088305795084209E-3</c:v>
                </c:pt>
                <c:pt idx="3">
                  <c:v>2.3050920905359876E-2</c:v>
                </c:pt>
                <c:pt idx="4">
                  <c:v>4.4408984412210195E-2</c:v>
                </c:pt>
                <c:pt idx="5">
                  <c:v>0.17679588017885436</c:v>
                </c:pt>
                <c:pt idx="6">
                  <c:v>0.34073374518586458</c:v>
                </c:pt>
                <c:pt idx="7">
                  <c:v>0.58246418101483111</c:v>
                </c:pt>
                <c:pt idx="8">
                  <c:v>0.92423696240306497</c:v>
                </c:pt>
                <c:pt idx="9">
                  <c:v>1.9643403661569523</c:v>
                </c:pt>
                <c:pt idx="10">
                  <c:v>2.6945684035074788</c:v>
                </c:pt>
                <c:pt idx="11">
                  <c:v>9.0941683618377418</c:v>
                </c:pt>
                <c:pt idx="12">
                  <c:v>42.102631304804355</c:v>
                </c:pt>
                <c:pt idx="13">
                  <c:v>172.45237782447865</c:v>
                </c:pt>
                <c:pt idx="14">
                  <c:v>336.82105043843484</c:v>
                </c:pt>
                <c:pt idx="15">
                  <c:v>1136.7710452297176</c:v>
                </c:pt>
                <c:pt idx="16">
                  <c:v>2694.5684035074787</c:v>
                </c:pt>
                <c:pt idx="17">
                  <c:v>3586.4705450684542</c:v>
                </c:pt>
                <c:pt idx="18">
                  <c:v>4656.2142012609238</c:v>
                </c:pt>
                <c:pt idx="19">
                  <c:v>5262.828913100544</c:v>
                </c:pt>
                <c:pt idx="20">
                  <c:v>7393.8956992245212</c:v>
                </c:pt>
                <c:pt idx="21">
                  <c:v>9094.168361837741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7-594E-8C98-0EC606D059CE}"/>
            </c:ext>
          </c:extLst>
        </c:ser>
        <c:ser>
          <c:idx val="2"/>
          <c:order val="1"/>
          <c:tx>
            <c:strRef>
              <c:f>'ΔP honeycomb'!$F$32</c:f>
              <c:strCache>
                <c:ptCount val="1"/>
                <c:pt idx="0">
                  <c:v>Innocentini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'ΔP honeycomb'!$F$35:$F$56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honeycomb'!$P$35:$P$56</c:f>
              <c:numCache>
                <c:formatCode>0</c:formatCode>
                <c:ptCount val="22"/>
                <c:pt idx="0">
                  <c:v>5.1524146504756951E-3</c:v>
                </c:pt>
                <c:pt idx="1">
                  <c:v>3.9499532010812292E-2</c:v>
                </c:pt>
                <c:pt idx="2">
                  <c:v>0.30911711531452529</c:v>
                </c:pt>
                <c:pt idx="3">
                  <c:v>2.4454203594283106</c:v>
                </c:pt>
                <c:pt idx="4">
                  <c:v>4.7654629820522096</c:v>
                </c:pt>
                <c:pt idx="5">
                  <c:v>19.453296623074912</c:v>
                </c:pt>
                <c:pt idx="6">
                  <c:v>37.951725337118354</c:v>
                </c:pt>
                <c:pt idx="7">
                  <c:v>302.92588861974957</c:v>
                </c:pt>
                <c:pt idx="8">
                  <c:v>2420.6554526492073</c:v>
                </c:pt>
                <c:pt idx="9">
                  <c:v>4726.7678152098624</c:v>
                </c:pt>
                <c:pt idx="10">
                  <c:v>19354.236995958501</c:v>
                </c:pt>
                <c:pt idx="11">
                  <c:v>37796.944669748969</c:v>
                </c:pt>
                <c:pt idx="12">
                  <c:v>65308.167407970373</c:v>
                </c:pt>
                <c:pt idx="13">
                  <c:v>103701.33305787807</c:v>
                </c:pt>
                <c:pt idx="14">
                  <c:v>127545.34067698156</c:v>
                </c:pt>
                <c:pt idx="15">
                  <c:v>220387.20448177357</c:v>
                </c:pt>
                <c:pt idx="16">
                  <c:v>302306.76595027198</c:v>
                </c:pt>
                <c:pt idx="17">
                  <c:v>402361.98171947786</c:v>
                </c:pt>
                <c:pt idx="18">
                  <c:v>522366.27963664668</c:v>
                </c:pt>
                <c:pt idx="19">
                  <c:v>590416.03060298436</c:v>
                </c:pt>
                <c:pt idx="20">
                  <c:v>829475.83330389392</c:v>
                </c:pt>
                <c:pt idx="21">
                  <c:v>1020207.9447484832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7-594E-8C98-0EC606D059CE}"/>
            </c:ext>
          </c:extLst>
        </c:ser>
        <c:ser>
          <c:idx val="0"/>
          <c:order val="2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honeycomb'!$P$62:$P$83</c:f>
              <c:numCache>
                <c:formatCode>0.00</c:formatCode>
                <c:ptCount val="22"/>
                <c:pt idx="0">
                  <c:v>7.570687500000001E-5</c:v>
                </c:pt>
                <c:pt idx="1">
                  <c:v>4.9782750000000012E-4</c:v>
                </c:pt>
                <c:pt idx="2">
                  <c:v>3.5513100000000002E-3</c:v>
                </c:pt>
                <c:pt idx="3">
                  <c:v>2.6685240000000002E-2</c:v>
                </c:pt>
                <c:pt idx="4">
                  <c:v>5.1445687499999997E-2</c:v>
                </c:pt>
                <c:pt idx="5">
                  <c:v>0.20658096000000001</c:v>
                </c:pt>
                <c:pt idx="6">
                  <c:v>0.40078275000000002</c:v>
                </c:pt>
                <c:pt idx="7">
                  <c:v>3.1631309999999999</c:v>
                </c:pt>
                <c:pt idx="8">
                  <c:v>25.132524</c:v>
                </c:pt>
                <c:pt idx="9">
                  <c:v>49.019568749999998</c:v>
                </c:pt>
                <c:pt idx="10">
                  <c:v>200.37009599999999</c:v>
                </c:pt>
                <c:pt idx="11">
                  <c:v>391.07827500000002</c:v>
                </c:pt>
                <c:pt idx="12">
                  <c:v>675.47271599999988</c:v>
                </c:pt>
                <c:pt idx="13">
                  <c:v>1072.2734190000001</c:v>
                </c:pt>
                <c:pt idx="14">
                  <c:v>1318.6761187500003</c:v>
                </c:pt>
                <c:pt idx="15">
                  <c:v>2277.9736109999999</c:v>
                </c:pt>
                <c:pt idx="16">
                  <c:v>3124.3131000000003</c:v>
                </c:pt>
                <c:pt idx="17">
                  <c:v>4157.9388509999999</c:v>
                </c:pt>
                <c:pt idx="18">
                  <c:v>5397.5708639999993</c:v>
                </c:pt>
                <c:pt idx="19">
                  <c:v>6100.4892187499991</c:v>
                </c:pt>
                <c:pt idx="20">
                  <c:v>8569.7336759999998</c:v>
                </c:pt>
                <c:pt idx="21">
                  <c:v>10539.704475000002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07-594E-8C98-0EC606D059CE}"/>
            </c:ext>
          </c:extLst>
        </c:ser>
        <c:ser>
          <c:idx val="3"/>
          <c:order val="3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honeycomb'!$P$89:$P$110</c:f>
              <c:numCache>
                <c:formatCode>0.00</c:formatCode>
                <c:ptCount val="22"/>
                <c:pt idx="0">
                  <c:v>7.7581874999999988E-5</c:v>
                </c:pt>
                <c:pt idx="1">
                  <c:v>5.1282750000000005E-4</c:v>
                </c:pt>
                <c:pt idx="2">
                  <c:v>3.6713100000000005E-3</c:v>
                </c:pt>
                <c:pt idx="3">
                  <c:v>2.7645240000000001E-2</c:v>
                </c:pt>
                <c:pt idx="4">
                  <c:v>5.3320687499999998E-2</c:v>
                </c:pt>
                <c:pt idx="5">
                  <c:v>0.21426096</c:v>
                </c:pt>
                <c:pt idx="6">
                  <c:v>0.41578275000000003</c:v>
                </c:pt>
                <c:pt idx="7">
                  <c:v>3.283131</c:v>
                </c:pt>
                <c:pt idx="8">
                  <c:v>26.092524000000001</c:v>
                </c:pt>
                <c:pt idx="9">
                  <c:v>50.894568749999998</c:v>
                </c:pt>
                <c:pt idx="10">
                  <c:v>208.050096</c:v>
                </c:pt>
                <c:pt idx="11">
                  <c:v>406.07827499999996</c:v>
                </c:pt>
                <c:pt idx="12">
                  <c:v>701.39271599999995</c:v>
                </c:pt>
                <c:pt idx="13">
                  <c:v>1113.433419</c:v>
                </c:pt>
                <c:pt idx="14">
                  <c:v>1369.3011187500001</c:v>
                </c:pt>
                <c:pt idx="15">
                  <c:v>2365.4536110000004</c:v>
                </c:pt>
                <c:pt idx="16">
                  <c:v>3244.3130999999998</c:v>
                </c:pt>
                <c:pt idx="17">
                  <c:v>4317.6588510000001</c:v>
                </c:pt>
                <c:pt idx="18">
                  <c:v>5604.930863999999</c:v>
                </c:pt>
                <c:pt idx="19">
                  <c:v>6334.86421875</c:v>
                </c:pt>
                <c:pt idx="20">
                  <c:v>8899.0136759999987</c:v>
                </c:pt>
                <c:pt idx="21">
                  <c:v>10944.704475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07-594E-8C98-0EC606D059CE}"/>
            </c:ext>
          </c:extLst>
        </c:ser>
        <c:ser>
          <c:idx val="4"/>
          <c:order val="4"/>
          <c:tx>
            <c:strRef>
              <c:f>'ΔP honeycomb'!$F$113</c:f>
              <c:strCache>
                <c:ptCount val="1"/>
                <c:pt idx="0">
                  <c:v>A-Star Experiments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honeycomb'!$P$116:$P$137</c:f>
              <c:numCache>
                <c:formatCode>0.00</c:formatCode>
                <c:ptCount val="22"/>
                <c:pt idx="0">
                  <c:v>3.4318125E-4</c:v>
                </c:pt>
                <c:pt idx="1">
                  <c:v>1.3730999999999997E-3</c:v>
                </c:pt>
                <c:pt idx="2">
                  <c:v>5.4953999999999992E-3</c:v>
                </c:pt>
                <c:pt idx="3">
                  <c:v>2.2005599999999997E-2</c:v>
                </c:pt>
                <c:pt idx="4">
                  <c:v>3.4402499999999996E-2</c:v>
                </c:pt>
                <c:pt idx="5">
                  <c:v>8.8214399999999998E-2</c:v>
                </c:pt>
                <c:pt idx="6">
                  <c:v>0.137985</c:v>
                </c:pt>
                <c:pt idx="7">
                  <c:v>0.55493999999999999</c:v>
                </c:pt>
                <c:pt idx="8">
                  <c:v>2.24376</c:v>
                </c:pt>
                <c:pt idx="9">
                  <c:v>3.5246249999999999</c:v>
                </c:pt>
                <c:pt idx="10">
                  <c:v>9.1670399999999983</c:v>
                </c:pt>
                <c:pt idx="11">
                  <c:v>14.4735</c:v>
                </c:pt>
                <c:pt idx="12">
                  <c:v>21.057839999999999</c:v>
                </c:pt>
                <c:pt idx="13">
                  <c:v>28.956060000000001</c:v>
                </c:pt>
                <c:pt idx="14">
                  <c:v>33.409125000000003</c:v>
                </c:pt>
                <c:pt idx="15">
                  <c:v>48.83814000000001</c:v>
                </c:pt>
                <c:pt idx="16">
                  <c:v>60.893999999999998</c:v>
                </c:pt>
                <c:pt idx="17">
                  <c:v>74.40773999999999</c:v>
                </c:pt>
                <c:pt idx="18">
                  <c:v>89.415359999999978</c:v>
                </c:pt>
                <c:pt idx="19">
                  <c:v>97.490625000000009</c:v>
                </c:pt>
                <c:pt idx="20">
                  <c:v>124.05624</c:v>
                </c:pt>
                <c:pt idx="21">
                  <c:v>143.76150000000001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07-594E-8C98-0EC606D0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At val="1E-3"/>
        <c:crossBetween val="midCat"/>
      </c:valAx>
      <c:valAx>
        <c:axId val="1608121600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requirement</a:t>
                </a:r>
                <a:r>
                  <a:rPr lang="en-GB" baseline="0"/>
                  <a:t> (kW)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1417358645815"/>
          <c:y val="0.67430779543648689"/>
          <c:w val="0.2487312153173408"/>
          <c:h val="0.17184628418127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honeycomb'!$L$8:$L$29</c:f>
              <c:numCache>
                <c:formatCode>0.000</c:formatCode>
                <c:ptCount val="22"/>
                <c:pt idx="0">
                  <c:v>0.8244500238483421</c:v>
                </c:pt>
                <c:pt idx="1">
                  <c:v>0.78777917344213799</c:v>
                </c:pt>
                <c:pt idx="2">
                  <c:v>0.75356406018543876</c:v>
                </c:pt>
                <c:pt idx="3">
                  <c:v>0.72164023070776995</c:v>
                </c:pt>
                <c:pt idx="4">
                  <c:v>0.71182503565955024</c:v>
                </c:pt>
                <c:pt idx="5">
                  <c:v>0.69185424458890965</c:v>
                </c:pt>
                <c:pt idx="6">
                  <c:v>0.68269634379055211</c:v>
                </c:pt>
                <c:pt idx="7">
                  <c:v>0.67536401287923709</c:v>
                </c:pt>
                <c:pt idx="8">
                  <c:v>0.67485684319461992</c:v>
                </c:pt>
                <c:pt idx="9">
                  <c:v>0.67485684319461992</c:v>
                </c:pt>
                <c:pt idx="10">
                  <c:v>0.67485684319461992</c:v>
                </c:pt>
                <c:pt idx="11">
                  <c:v>0.67485684319461992</c:v>
                </c:pt>
                <c:pt idx="12">
                  <c:v>0.67485684319461992</c:v>
                </c:pt>
                <c:pt idx="13">
                  <c:v>0.67485684319461992</c:v>
                </c:pt>
                <c:pt idx="14">
                  <c:v>0.67485684319461992</c:v>
                </c:pt>
                <c:pt idx="15">
                  <c:v>0.67485684319461992</c:v>
                </c:pt>
                <c:pt idx="16">
                  <c:v>0.67485684319461992</c:v>
                </c:pt>
                <c:pt idx="17">
                  <c:v>0.67485684319461992</c:v>
                </c:pt>
                <c:pt idx="18">
                  <c:v>0.67485684319461992</c:v>
                </c:pt>
                <c:pt idx="19">
                  <c:v>0.67485684319461992</c:v>
                </c:pt>
                <c:pt idx="20">
                  <c:v>0.67485684319461992</c:v>
                </c:pt>
                <c:pt idx="21">
                  <c:v>0.67485684319461992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1-9C4B-ACCB-16A02AE4FD21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honeycomb'!$L$62:$L$83</c:f>
              <c:numCache>
                <c:formatCode>0.00</c:formatCode>
                <c:ptCount val="22"/>
                <c:pt idx="0">
                  <c:v>1.2134942897214984</c:v>
                </c:pt>
                <c:pt idx="1">
                  <c:v>0.99745041073933072</c:v>
                </c:pt>
                <c:pt idx="2">
                  <c:v>0.88942847124824664</c:v>
                </c:pt>
                <c:pt idx="3">
                  <c:v>0.83541750150270477</c:v>
                </c:pt>
                <c:pt idx="4">
                  <c:v>0.82461530755359636</c:v>
                </c:pt>
                <c:pt idx="5">
                  <c:v>0.80841201662993367</c:v>
                </c:pt>
                <c:pt idx="6">
                  <c:v>0.80301091965537974</c:v>
                </c:pt>
                <c:pt idx="7">
                  <c:v>0.79220872570627121</c:v>
                </c:pt>
                <c:pt idx="8">
                  <c:v>0.78680762873171706</c:v>
                </c:pt>
                <c:pt idx="9">
                  <c:v>0.78572740933680618</c:v>
                </c:pt>
                <c:pt idx="10">
                  <c:v>0.78410708024443987</c:v>
                </c:pt>
                <c:pt idx="11">
                  <c:v>0.78356697054698454</c:v>
                </c:pt>
                <c:pt idx="12">
                  <c:v>0.78320689741534744</c:v>
                </c:pt>
                <c:pt idx="13">
                  <c:v>0.78294970232132111</c:v>
                </c:pt>
                <c:pt idx="14">
                  <c:v>0.78284682428371077</c:v>
                </c:pt>
                <c:pt idx="15">
                  <c:v>0.78260677552928604</c:v>
                </c:pt>
                <c:pt idx="16">
                  <c:v>0.78248675115207378</c:v>
                </c:pt>
                <c:pt idx="17">
                  <c:v>0.7823885493888999</c:v>
                </c:pt>
                <c:pt idx="18">
                  <c:v>0.78230671458625511</c:v>
                </c:pt>
                <c:pt idx="19">
                  <c:v>0.78227070727309145</c:v>
                </c:pt>
                <c:pt idx="20">
                  <c:v>0.782178117039242</c:v>
                </c:pt>
                <c:pt idx="21">
                  <c:v>0.78212667802043678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1-9C4B-ACCB-16A02AE4FD21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honeycomb'!$L$89:$L$110</c:f>
              <c:numCache>
                <c:formatCode>0.00</c:formatCode>
                <c:ptCount val="22"/>
                <c:pt idx="0">
                  <c:v>1.2435483870967738</c:v>
                </c:pt>
                <c:pt idx="1">
                  <c:v>1.0275045081146061</c:v>
                </c:pt>
                <c:pt idx="2">
                  <c:v>0.91948256862352218</c:v>
                </c:pt>
                <c:pt idx="3">
                  <c:v>0.8654715988779802</c:v>
                </c:pt>
                <c:pt idx="4">
                  <c:v>0.85466940492887189</c:v>
                </c:pt>
                <c:pt idx="5">
                  <c:v>0.83846611400520921</c:v>
                </c:pt>
                <c:pt idx="6">
                  <c:v>0.83306501703065516</c:v>
                </c:pt>
                <c:pt idx="7">
                  <c:v>0.82226282308154675</c:v>
                </c:pt>
                <c:pt idx="8">
                  <c:v>0.81686172610699259</c:v>
                </c:pt>
                <c:pt idx="9">
                  <c:v>0.81578150671208172</c:v>
                </c:pt>
                <c:pt idx="10">
                  <c:v>0.8141611776197154</c:v>
                </c:pt>
                <c:pt idx="11">
                  <c:v>0.81362106792225997</c:v>
                </c:pt>
                <c:pt idx="12">
                  <c:v>0.81326099479062297</c:v>
                </c:pt>
                <c:pt idx="13">
                  <c:v>0.81300379969659664</c:v>
                </c:pt>
                <c:pt idx="14">
                  <c:v>0.8129009216589862</c:v>
                </c:pt>
                <c:pt idx="15">
                  <c:v>0.81266087290456157</c:v>
                </c:pt>
                <c:pt idx="16">
                  <c:v>0.8125408485273492</c:v>
                </c:pt>
                <c:pt idx="17">
                  <c:v>0.81244264676417544</c:v>
                </c:pt>
                <c:pt idx="18">
                  <c:v>0.81236081196153065</c:v>
                </c:pt>
                <c:pt idx="19">
                  <c:v>0.81232480464836698</c:v>
                </c:pt>
                <c:pt idx="20">
                  <c:v>0.81223221441451743</c:v>
                </c:pt>
                <c:pt idx="21">
                  <c:v>0.81218077539571221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1-9C4B-ACCB-16A02AE4FD21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Experiments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honeycomb'!$L$116:$L$137</c:f>
              <c:numCache>
                <c:formatCode>0.00</c:formatCode>
                <c:ptCount val="22"/>
                <c:pt idx="0">
                  <c:v>5.5008014425966723</c:v>
                </c:pt>
                <c:pt idx="1">
                  <c:v>2.7511520737327175</c:v>
                </c:pt>
                <c:pt idx="2">
                  <c:v>1.3763273893007408</c:v>
                </c:pt>
                <c:pt idx="3">
                  <c:v>0.68891504708475226</c:v>
                </c:pt>
                <c:pt idx="4">
                  <c:v>0.5514325786415547</c:v>
                </c:pt>
                <c:pt idx="5">
                  <c:v>0.34520887597675809</c:v>
                </c:pt>
                <c:pt idx="6">
                  <c:v>0.27646764175515925</c:v>
                </c:pt>
                <c:pt idx="7">
                  <c:v>0.1389851733119615</c:v>
                </c:pt>
                <c:pt idx="8">
                  <c:v>7.0243939090362639E-2</c:v>
                </c:pt>
                <c:pt idx="9">
                  <c:v>5.6495692246042874E-2</c:v>
                </c:pt>
                <c:pt idx="10">
                  <c:v>3.5873321979563208E-2</c:v>
                </c:pt>
                <c:pt idx="11">
                  <c:v>2.8999198557403325E-2</c:v>
                </c:pt>
                <c:pt idx="12">
                  <c:v>2.4416449609296731E-2</c:v>
                </c:pt>
                <c:pt idx="13">
                  <c:v>2.1143057503506309E-2</c:v>
                </c:pt>
                <c:pt idx="14">
                  <c:v>1.9833700661190144E-2</c:v>
                </c:pt>
                <c:pt idx="15">
                  <c:v>1.677853469578575E-2</c:v>
                </c:pt>
                <c:pt idx="16">
                  <c:v>1.5250951713083549E-2</c:v>
                </c:pt>
                <c:pt idx="17">
                  <c:v>1.4001111090872658E-2</c:v>
                </c:pt>
                <c:pt idx="18">
                  <c:v>1.295957723903025E-2</c:v>
                </c:pt>
                <c:pt idx="19">
                  <c:v>1.2501302344219596E-2</c:v>
                </c:pt>
                <c:pt idx="20">
                  <c:v>1.1322881186135043E-2</c:v>
                </c:pt>
                <c:pt idx="21">
                  <c:v>1.0668202764976958E-2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1-9C4B-ACCB-16A02AE4F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29522271666843"/>
          <c:y val="5.5595968693670748E-2"/>
          <c:w val="0.25720931754359572"/>
          <c:h val="0.15324014482130632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honeycomb'!$L$8:$L$29</c:f>
              <c:numCache>
                <c:formatCode>0.000</c:formatCode>
                <c:ptCount val="22"/>
                <c:pt idx="0">
                  <c:v>0.8244500238483421</c:v>
                </c:pt>
                <c:pt idx="1">
                  <c:v>0.78777917344213799</c:v>
                </c:pt>
                <c:pt idx="2">
                  <c:v>0.75356406018543876</c:v>
                </c:pt>
                <c:pt idx="3">
                  <c:v>0.72164023070776995</c:v>
                </c:pt>
                <c:pt idx="4">
                  <c:v>0.71182503565955024</c:v>
                </c:pt>
                <c:pt idx="5">
                  <c:v>0.69185424458890965</c:v>
                </c:pt>
                <c:pt idx="6">
                  <c:v>0.68269634379055211</c:v>
                </c:pt>
                <c:pt idx="7">
                  <c:v>0.67536401287923709</c:v>
                </c:pt>
                <c:pt idx="8">
                  <c:v>0.67485684319461992</c:v>
                </c:pt>
                <c:pt idx="9">
                  <c:v>0.67485684319461992</c:v>
                </c:pt>
                <c:pt idx="10">
                  <c:v>0.67485684319461992</c:v>
                </c:pt>
                <c:pt idx="11">
                  <c:v>0.67485684319461992</c:v>
                </c:pt>
                <c:pt idx="12">
                  <c:v>0.67485684319461992</c:v>
                </c:pt>
                <c:pt idx="13">
                  <c:v>0.67485684319461992</c:v>
                </c:pt>
                <c:pt idx="14">
                  <c:v>0.67485684319461992</c:v>
                </c:pt>
                <c:pt idx="15">
                  <c:v>0.67485684319461992</c:v>
                </c:pt>
                <c:pt idx="16">
                  <c:v>0.67485684319461992</c:v>
                </c:pt>
                <c:pt idx="17">
                  <c:v>0.67485684319461992</c:v>
                </c:pt>
                <c:pt idx="18">
                  <c:v>0.67485684319461992</c:v>
                </c:pt>
                <c:pt idx="19">
                  <c:v>0.67485684319461992</c:v>
                </c:pt>
                <c:pt idx="20">
                  <c:v>0.67485684319461992</c:v>
                </c:pt>
                <c:pt idx="21">
                  <c:v>0.67485684319461992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2-B94E-B63E-A81F4DBF32DF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honeycomb'!$L$62:$L$83</c:f>
              <c:numCache>
                <c:formatCode>0.00</c:formatCode>
                <c:ptCount val="22"/>
                <c:pt idx="0">
                  <c:v>1.2134942897214984</c:v>
                </c:pt>
                <c:pt idx="1">
                  <c:v>0.99745041073933072</c:v>
                </c:pt>
                <c:pt idx="2">
                  <c:v>0.88942847124824664</c:v>
                </c:pt>
                <c:pt idx="3">
                  <c:v>0.83541750150270477</c:v>
                </c:pt>
                <c:pt idx="4">
                  <c:v>0.82461530755359636</c:v>
                </c:pt>
                <c:pt idx="5">
                  <c:v>0.80841201662993367</c:v>
                </c:pt>
                <c:pt idx="6">
                  <c:v>0.80301091965537974</c:v>
                </c:pt>
                <c:pt idx="7">
                  <c:v>0.79220872570627121</c:v>
                </c:pt>
                <c:pt idx="8">
                  <c:v>0.78680762873171706</c:v>
                </c:pt>
                <c:pt idx="9">
                  <c:v>0.78572740933680618</c:v>
                </c:pt>
                <c:pt idx="10">
                  <c:v>0.78410708024443987</c:v>
                </c:pt>
                <c:pt idx="11">
                  <c:v>0.78356697054698454</c:v>
                </c:pt>
                <c:pt idx="12">
                  <c:v>0.78320689741534744</c:v>
                </c:pt>
                <c:pt idx="13">
                  <c:v>0.78294970232132111</c:v>
                </c:pt>
                <c:pt idx="14">
                  <c:v>0.78284682428371077</c:v>
                </c:pt>
                <c:pt idx="15">
                  <c:v>0.78260677552928604</c:v>
                </c:pt>
                <c:pt idx="16">
                  <c:v>0.78248675115207378</c:v>
                </c:pt>
                <c:pt idx="17">
                  <c:v>0.7823885493888999</c:v>
                </c:pt>
                <c:pt idx="18">
                  <c:v>0.78230671458625511</c:v>
                </c:pt>
                <c:pt idx="19">
                  <c:v>0.78227070727309145</c:v>
                </c:pt>
                <c:pt idx="20">
                  <c:v>0.782178117039242</c:v>
                </c:pt>
                <c:pt idx="21">
                  <c:v>0.78212667802043678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72-B94E-B63E-A81F4DBF32DF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honeycomb'!$L$89:$L$110</c:f>
              <c:numCache>
                <c:formatCode>0.00</c:formatCode>
                <c:ptCount val="22"/>
                <c:pt idx="0">
                  <c:v>1.2435483870967738</c:v>
                </c:pt>
                <c:pt idx="1">
                  <c:v>1.0275045081146061</c:v>
                </c:pt>
                <c:pt idx="2">
                  <c:v>0.91948256862352218</c:v>
                </c:pt>
                <c:pt idx="3">
                  <c:v>0.8654715988779802</c:v>
                </c:pt>
                <c:pt idx="4">
                  <c:v>0.85466940492887189</c:v>
                </c:pt>
                <c:pt idx="5">
                  <c:v>0.83846611400520921</c:v>
                </c:pt>
                <c:pt idx="6">
                  <c:v>0.83306501703065516</c:v>
                </c:pt>
                <c:pt idx="7">
                  <c:v>0.82226282308154675</c:v>
                </c:pt>
                <c:pt idx="8">
                  <c:v>0.81686172610699259</c:v>
                </c:pt>
                <c:pt idx="9">
                  <c:v>0.81578150671208172</c:v>
                </c:pt>
                <c:pt idx="10">
                  <c:v>0.8141611776197154</c:v>
                </c:pt>
                <c:pt idx="11">
                  <c:v>0.81362106792225997</c:v>
                </c:pt>
                <c:pt idx="12">
                  <c:v>0.81326099479062297</c:v>
                </c:pt>
                <c:pt idx="13">
                  <c:v>0.81300379969659664</c:v>
                </c:pt>
                <c:pt idx="14">
                  <c:v>0.8129009216589862</c:v>
                </c:pt>
                <c:pt idx="15">
                  <c:v>0.81266087290456157</c:v>
                </c:pt>
                <c:pt idx="16">
                  <c:v>0.8125408485273492</c:v>
                </c:pt>
                <c:pt idx="17">
                  <c:v>0.81244264676417544</c:v>
                </c:pt>
                <c:pt idx="18">
                  <c:v>0.81236081196153065</c:v>
                </c:pt>
                <c:pt idx="19">
                  <c:v>0.81232480464836698</c:v>
                </c:pt>
                <c:pt idx="20">
                  <c:v>0.81223221441451743</c:v>
                </c:pt>
                <c:pt idx="21">
                  <c:v>0.81218077539571221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72-B94E-B63E-A81F4DBF32DF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Experiments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honeycomb'!$L$116:$L$137</c:f>
              <c:numCache>
                <c:formatCode>0.00</c:formatCode>
                <c:ptCount val="22"/>
                <c:pt idx="0">
                  <c:v>5.5008014425966723</c:v>
                </c:pt>
                <c:pt idx="1">
                  <c:v>2.7511520737327175</c:v>
                </c:pt>
                <c:pt idx="2">
                  <c:v>1.3763273893007408</c:v>
                </c:pt>
                <c:pt idx="3">
                  <c:v>0.68891504708475226</c:v>
                </c:pt>
                <c:pt idx="4">
                  <c:v>0.5514325786415547</c:v>
                </c:pt>
                <c:pt idx="5">
                  <c:v>0.34520887597675809</c:v>
                </c:pt>
                <c:pt idx="6">
                  <c:v>0.27646764175515925</c:v>
                </c:pt>
                <c:pt idx="7">
                  <c:v>0.1389851733119615</c:v>
                </c:pt>
                <c:pt idx="8">
                  <c:v>7.0243939090362639E-2</c:v>
                </c:pt>
                <c:pt idx="9">
                  <c:v>5.6495692246042874E-2</c:v>
                </c:pt>
                <c:pt idx="10">
                  <c:v>3.5873321979563208E-2</c:v>
                </c:pt>
                <c:pt idx="11">
                  <c:v>2.8999198557403325E-2</c:v>
                </c:pt>
                <c:pt idx="12">
                  <c:v>2.4416449609296731E-2</c:v>
                </c:pt>
                <c:pt idx="13">
                  <c:v>2.1143057503506309E-2</c:v>
                </c:pt>
                <c:pt idx="14">
                  <c:v>1.9833700661190144E-2</c:v>
                </c:pt>
                <c:pt idx="15">
                  <c:v>1.677853469578575E-2</c:v>
                </c:pt>
                <c:pt idx="16">
                  <c:v>1.5250951713083549E-2</c:v>
                </c:pt>
                <c:pt idx="17">
                  <c:v>1.4001111090872658E-2</c:v>
                </c:pt>
                <c:pt idx="18">
                  <c:v>1.295957723903025E-2</c:v>
                </c:pt>
                <c:pt idx="19">
                  <c:v>1.2501302344219596E-2</c:v>
                </c:pt>
                <c:pt idx="20">
                  <c:v>1.1322881186135043E-2</c:v>
                </c:pt>
                <c:pt idx="21">
                  <c:v>1.0668202764976958E-2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72-B94E-B63E-A81F4DBF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29522271666843"/>
          <c:y val="0.46087917934064515"/>
          <c:w val="0.25720931754359572"/>
          <c:h val="0.15324014482130632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379913</xdr:colOff>
      <xdr:row>2</xdr:row>
      <xdr:rowOff>32563</xdr:rowOff>
    </xdr:from>
    <xdr:to>
      <xdr:col>28</xdr:col>
      <xdr:colOff>227948</xdr:colOff>
      <xdr:row>23</xdr:row>
      <xdr:rowOff>206238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D00272-3B1C-9849-874E-A4EED16E1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149360</xdr:colOff>
      <xdr:row>45</xdr:row>
      <xdr:rowOff>80760</xdr:rowOff>
    </xdr:from>
    <xdr:to>
      <xdr:col>2</xdr:col>
      <xdr:colOff>610685</xdr:colOff>
      <xdr:row>47</xdr:row>
      <xdr:rowOff>138182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D86F10-B3FF-1899-A419-F0B5B4835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360" y="9394093"/>
          <a:ext cx="3170658" cy="463822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1</xdr:row>
      <xdr:rowOff>206238</xdr:rowOff>
    </xdr:from>
    <xdr:to>
      <xdr:col>23</xdr:col>
      <xdr:colOff>10855</xdr:colOff>
      <xdr:row>23</xdr:row>
      <xdr:rowOff>10854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47A28E-4DE1-444A-8B14-F730C544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10855</xdr:colOff>
      <xdr:row>45</xdr:row>
      <xdr:rowOff>184531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F98445-B9F6-3E40-9253-229974463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621570</xdr:colOff>
      <xdr:row>0</xdr:row>
      <xdr:rowOff>149788</xdr:rowOff>
    </xdr:from>
    <xdr:to>
      <xdr:col>26</xdr:col>
      <xdr:colOff>620889</xdr:colOff>
      <xdr:row>45</xdr:row>
      <xdr:rowOff>168788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BAC837-D8F0-EF43-915D-CE6D2A36E65C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16636" t="17634" r="60590" b="12085"/>
        <a:stretch/>
      </xdr:blipFill>
      <xdr:spPr>
        <a:xfrm>
          <a:off x="11896348" y="149788"/>
          <a:ext cx="10822541" cy="9036000"/>
        </a:xfrm>
        <a:prstGeom prst="rect">
          <a:avLst/>
        </a:prstGeom>
      </xdr:spPr>
    </xdr:pic>
    <xdr:clientData/>
  </xdr:twoCellAnchor>
  <xdr:twoCellAnchor>
    <xdr:from>
      <xdr:col>13</xdr:col>
      <xdr:colOff>761998</xdr:colOff>
      <xdr:row>2</xdr:row>
      <xdr:rowOff>28223</xdr:rowOff>
    </xdr:from>
    <xdr:to>
      <xdr:col>25</xdr:col>
      <xdr:colOff>555956</xdr:colOff>
      <xdr:row>44</xdr:row>
      <xdr:rowOff>10890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0BE4F-D524-DB40-843B-DD46AE2EA6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26</xdr:col>
      <xdr:colOff>15302</xdr:colOff>
      <xdr:row>29</xdr:row>
      <xdr:rowOff>172598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A544ACD-07AE-5043-AE4D-F33A61389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26</xdr:col>
      <xdr:colOff>15302</xdr:colOff>
      <xdr:row>55</xdr:row>
      <xdr:rowOff>168314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794E92-0D50-A64B-A51E-FE4894E52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26</xdr:col>
      <xdr:colOff>15302</xdr:colOff>
      <xdr:row>81</xdr:row>
      <xdr:rowOff>168314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222374D-5C3A-1D40-A9AF-ADD3856B3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sheets/quotes/orders/quote%20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TTHEW/wp/tenders/Narec/2002/quote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  east 6m"/>
      <sheetName val="mid  east14m "/>
      <sheetName val="COPPE bid"/>
      <sheetName val="COPPE wet back"/>
      <sheetName val="UoE"/>
      <sheetName val="UoE control"/>
      <sheetName val="OPT piston"/>
      <sheetName val="OPT 0.6 piston"/>
      <sheetName val="far  east 8m  (2)"/>
      <sheetName val="Nantes control"/>
      <sheetName val="Nantes control French"/>
      <sheetName val="INSEAN piston"/>
      <sheetName val="OCEANIDE"/>
      <sheetName val="Lehigh control"/>
      <sheetName val="Lehigh control march"/>
      <sheetName val="Mexico piston"/>
      <sheetName val="Mexico flap"/>
      <sheetName val="Mexico multi-flap"/>
      <sheetName val="Belfast4"/>
      <sheetName val="Belfast6"/>
      <sheetName val="Belfast 4m tank"/>
      <sheetName val="India435"/>
      <sheetName val="Perth"/>
      <sheetName val="Belfast6-"/>
      <sheetName val="UCL wide"/>
      <sheetName val="ICL2.8 0.9 flap"/>
      <sheetName val="OCEANID 42 0.5m"/>
      <sheetName val="OCEANID 42 0.75m "/>
      <sheetName val="gordons"/>
      <sheetName val="Brighton 0.75"/>
      <sheetName val="Uppsala 0.75 "/>
      <sheetName val="Brighton 0.5"/>
      <sheetName val="Belfast+1"/>
      <sheetName val="Wavegen 8"/>
      <sheetName val="Cardiff"/>
      <sheetName val="Belfast bid"/>
      <sheetName val="Brighton tank"/>
      <sheetName val="Cardiff Aug"/>
      <sheetName val="Brighton 15mm tank"/>
      <sheetName val="Malaysia"/>
      <sheetName val="Haslar 60m"/>
      <sheetName val="Brighton 2x 15mm tank"/>
      <sheetName val="Perth (2)"/>
      <sheetName val="cussons 9m "/>
      <sheetName val="ICL bid"/>
      <sheetName val="Teharan 6m"/>
      <sheetName val="Paddlelayers"/>
      <sheetName val="price list"/>
      <sheetName val="People"/>
      <sheetName val="Address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56">
          <cell r="C156">
            <v>7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  east 6m"/>
      <sheetName val="mid  east14m "/>
      <sheetName val="COPPE bid"/>
      <sheetName val="COPPE wet back"/>
      <sheetName val="UoE"/>
      <sheetName val="UoE control"/>
      <sheetName val="OPT piston"/>
      <sheetName val="OPT 0.6 piston"/>
      <sheetName val="far  east 8m  (2)"/>
      <sheetName val="Nantes control"/>
      <sheetName val="Nantes control French"/>
      <sheetName val="INSEAN piston"/>
      <sheetName val="OCEANIDE"/>
      <sheetName val="Lehigh control"/>
      <sheetName val="Lehigh control march"/>
      <sheetName val="Mexico piston"/>
      <sheetName val="Mexico flap"/>
      <sheetName val="Mexico multi-flap"/>
      <sheetName val="Belfast4"/>
      <sheetName val="Belfast6"/>
      <sheetName val="Belfast 4m tank"/>
      <sheetName val="India435"/>
      <sheetName val="Perth"/>
      <sheetName val="Belfast6-"/>
      <sheetName val="UCL wide"/>
      <sheetName val="ICL2.8 0.9 flap"/>
      <sheetName val="OCEANID 42 0.5m"/>
      <sheetName val="OCEANID 42 0.75m "/>
      <sheetName val="gordons"/>
      <sheetName val="Brighton 0.75"/>
      <sheetName val="Uppsala 0.75 "/>
      <sheetName val="Brighton 0.5"/>
      <sheetName val="Belfast+1"/>
      <sheetName val="Wavegen 8"/>
      <sheetName val="Cardiff"/>
      <sheetName val="Belfast bid"/>
      <sheetName val="Brighton tank"/>
      <sheetName val="Cardiff Aug"/>
      <sheetName val="Brighton 15mm tank"/>
      <sheetName val="Malaysia"/>
      <sheetName val="Haslar 60m"/>
      <sheetName val="Brighton 2x 15mm tank"/>
      <sheetName val="Perth (2)"/>
      <sheetName val="cussons 9m "/>
      <sheetName val="ICL bid"/>
      <sheetName val="Teharan 6m"/>
      <sheetName val="Paddlelayers"/>
      <sheetName val="price list"/>
      <sheetName val="People"/>
      <sheetName val="Addres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156">
          <cell r="C156">
            <v>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2FDE-5CA5-354F-9E90-E8D841C9E032}">
  <dimension ref="A1:O52"/>
  <sheetViews>
    <sheetView zoomScale="75" zoomScaleNormal="90" workbookViewId="0">
      <selection activeCell="N38" sqref="N38"/>
    </sheetView>
  </sheetViews>
  <sheetFormatPr baseColWidth="10" defaultColWidth="11" defaultRowHeight="16" x14ac:dyDescent="0.2"/>
  <cols>
    <col min="1" max="1" width="23.83203125" style="14" customWidth="1"/>
    <col min="2" max="3" width="11.83203125" style="14" customWidth="1"/>
    <col min="4" max="4" width="9.1640625" style="14" customWidth="1"/>
    <col min="5" max="5" width="8.6640625" style="14" customWidth="1"/>
    <col min="6" max="6" width="10.33203125" style="14" bestFit="1" customWidth="1"/>
    <col min="7" max="7" width="12" style="14" bestFit="1" customWidth="1"/>
    <col min="8" max="8" width="10.83203125" style="14" bestFit="1" customWidth="1"/>
    <col min="9" max="10" width="11.1640625" style="14" bestFit="1" customWidth="1"/>
    <col min="11" max="11" width="11.83203125" style="14" bestFit="1" customWidth="1"/>
    <col min="12" max="15" width="11.1640625" style="14" bestFit="1" customWidth="1"/>
    <col min="16" max="16384" width="11" style="14"/>
  </cols>
  <sheetData>
    <row r="1" spans="1:15" ht="26" x14ac:dyDescent="0.3">
      <c r="A1" s="12" t="s">
        <v>187</v>
      </c>
    </row>
    <row r="2" spans="1:15" x14ac:dyDescent="0.2">
      <c r="A2" s="17" t="s">
        <v>188</v>
      </c>
      <c r="E2" s="10" t="s">
        <v>190</v>
      </c>
      <c r="H2" s="16" t="s">
        <v>175</v>
      </c>
      <c r="I2" s="16" t="s">
        <v>176</v>
      </c>
      <c r="J2" s="16" t="s">
        <v>14</v>
      </c>
    </row>
    <row r="3" spans="1:15" x14ac:dyDescent="0.2">
      <c r="E3" s="18" t="s">
        <v>62</v>
      </c>
      <c r="F3" s="18" t="s">
        <v>16</v>
      </c>
      <c r="G3" s="18" t="s">
        <v>17</v>
      </c>
      <c r="H3" s="18" t="s">
        <v>45</v>
      </c>
      <c r="I3" s="18" t="s">
        <v>44</v>
      </c>
      <c r="J3" s="18" t="s">
        <v>18</v>
      </c>
      <c r="K3" s="18" t="s">
        <v>189</v>
      </c>
      <c r="L3" s="18" t="s">
        <v>8</v>
      </c>
      <c r="M3" s="18" t="s">
        <v>81</v>
      </c>
      <c r="N3" s="18" t="s">
        <v>10</v>
      </c>
      <c r="O3" s="18" t="s">
        <v>10</v>
      </c>
    </row>
    <row r="4" spans="1:15" ht="16" customHeight="1" x14ac:dyDescent="0.2">
      <c r="A4" s="15" t="s">
        <v>77</v>
      </c>
      <c r="E4" s="18" t="s">
        <v>12</v>
      </c>
      <c r="F4" s="18" t="s">
        <v>58</v>
      </c>
      <c r="G4" s="18" t="s">
        <v>58</v>
      </c>
      <c r="H4" s="18" t="s">
        <v>58</v>
      </c>
      <c r="I4" s="18" t="s">
        <v>58</v>
      </c>
      <c r="J4" s="18" t="s">
        <v>58</v>
      </c>
      <c r="K4" s="18" t="s">
        <v>59</v>
      </c>
      <c r="L4" s="18" t="s">
        <v>58</v>
      </c>
      <c r="M4" s="18" t="s">
        <v>82</v>
      </c>
      <c r="N4" s="18" t="s">
        <v>11</v>
      </c>
      <c r="O4" s="18" t="s">
        <v>76</v>
      </c>
    </row>
    <row r="5" spans="1:15" x14ac:dyDescent="0.2">
      <c r="A5" s="17" t="s">
        <v>3</v>
      </c>
      <c r="B5" s="18" t="s">
        <v>4</v>
      </c>
      <c r="C5" s="18" t="s">
        <v>5</v>
      </c>
      <c r="E5" s="94">
        <v>0.02</v>
      </c>
      <c r="F5" s="95">
        <f t="shared" ref="F5:F26" si="0">(1-$C$25)*($C$29*$C$15*E5)/$C$16</f>
        <v>51.49074633294785</v>
      </c>
      <c r="G5" s="96">
        <f t="shared" ref="G5:G26" si="1">F5/$C$26</f>
        <v>143.0298509248552</v>
      </c>
      <c r="H5" s="97">
        <f t="shared" ref="H5:H26" si="2">$C$35*(1-$C$25)/F5</f>
        <v>1.7478868808396133</v>
      </c>
      <c r="I5" s="95">
        <f t="shared" ref="I5:I26" si="3">$C$36*((1-$C$25)/F5)^$C$37</f>
        <v>1.1880956612598819</v>
      </c>
      <c r="J5" s="98">
        <f>H5+I5</f>
        <v>2.9359825420994952</v>
      </c>
      <c r="K5" s="95">
        <f t="shared" ref="K5:K26" si="4">J5*$C$30*$C$15*E5^2*(1-$C$25)/($C$25^3*$C$29)</f>
        <v>0.34384988847426778</v>
      </c>
      <c r="L5" s="98">
        <f t="shared" ref="L5:L26" si="5">2*K5/($C$15*E5^2)</f>
        <v>1.7223496717805438</v>
      </c>
      <c r="M5" s="99">
        <f t="shared" ref="M5:M26" si="6">E5*$C$31</f>
        <v>0.02</v>
      </c>
      <c r="N5" s="99">
        <f>K5*M5</f>
        <v>6.8769977694853558E-3</v>
      </c>
      <c r="O5" s="99">
        <f>N5/1000</f>
        <v>6.8769977694853561E-6</v>
      </c>
    </row>
    <row r="6" spans="1:15" x14ac:dyDescent="0.2">
      <c r="A6" s="14" t="s">
        <v>141</v>
      </c>
      <c r="B6" s="13" t="s">
        <v>13</v>
      </c>
      <c r="C6" s="14">
        <v>1.204</v>
      </c>
      <c r="E6" s="94">
        <v>0.05</v>
      </c>
      <c r="F6" s="95">
        <f t="shared" si="0"/>
        <v>128.72686583236964</v>
      </c>
      <c r="G6" s="96">
        <f t="shared" si="1"/>
        <v>357.57462731213803</v>
      </c>
      <c r="H6" s="97">
        <f t="shared" si="2"/>
        <v>0.69915475233584523</v>
      </c>
      <c r="I6" s="95">
        <f t="shared" si="3"/>
        <v>1.1132627283742731</v>
      </c>
      <c r="J6" s="98">
        <f t="shared" ref="J6:J26" si="7">H6+I6</f>
        <v>1.8124174807101183</v>
      </c>
      <c r="K6" s="95">
        <f t="shared" si="4"/>
        <v>1.3266418049043966</v>
      </c>
      <c r="L6" s="98">
        <f t="shared" si="5"/>
        <v>1.0632272529788791</v>
      </c>
      <c r="M6" s="99">
        <f t="shared" si="6"/>
        <v>0.05</v>
      </c>
      <c r="N6" s="99">
        <f t="shared" ref="N6:N26" si="8">K6*M6</f>
        <v>6.6332090245219841E-2</v>
      </c>
      <c r="O6" s="99">
        <f t="shared" ref="O6:O26" si="9">N6/1000</f>
        <v>6.633209024521984E-5</v>
      </c>
    </row>
    <row r="7" spans="1:15" x14ac:dyDescent="0.2">
      <c r="A7" s="14" t="s">
        <v>142</v>
      </c>
      <c r="B7" s="13" t="s">
        <v>78</v>
      </c>
      <c r="C7" s="14">
        <v>1.8130000000000001E-5</v>
      </c>
      <c r="E7" s="94">
        <v>0.1</v>
      </c>
      <c r="F7" s="95">
        <f t="shared" si="0"/>
        <v>257.45373166473928</v>
      </c>
      <c r="G7" s="96">
        <f t="shared" si="1"/>
        <v>715.14925462427607</v>
      </c>
      <c r="H7" s="97">
        <f t="shared" si="2"/>
        <v>0.34957737616792262</v>
      </c>
      <c r="I7" s="95">
        <f t="shared" si="3"/>
        <v>1.0598015237659961</v>
      </c>
      <c r="J7" s="98">
        <f t="shared" si="7"/>
        <v>1.4093788999339187</v>
      </c>
      <c r="K7" s="95">
        <f t="shared" si="4"/>
        <v>4.1265127654141338</v>
      </c>
      <c r="L7" s="98">
        <f t="shared" si="5"/>
        <v>0.82679077648049137</v>
      </c>
      <c r="M7" s="99">
        <f t="shared" si="6"/>
        <v>0.1</v>
      </c>
      <c r="N7" s="99">
        <f t="shared" si="8"/>
        <v>0.41265127654141343</v>
      </c>
      <c r="O7" s="99">
        <f t="shared" si="9"/>
        <v>4.126512765414134E-4</v>
      </c>
    </row>
    <row r="8" spans="1:15" x14ac:dyDescent="0.2">
      <c r="A8" s="14" t="s">
        <v>143</v>
      </c>
      <c r="B8" s="13" t="s">
        <v>79</v>
      </c>
      <c r="C8" s="14">
        <f>C7/C6</f>
        <v>1.5058139534883723E-5</v>
      </c>
      <c r="E8" s="94">
        <v>0.2</v>
      </c>
      <c r="F8" s="95">
        <f t="shared" si="0"/>
        <v>514.90746332947856</v>
      </c>
      <c r="G8" s="96">
        <f t="shared" si="1"/>
        <v>1430.2985092485521</v>
      </c>
      <c r="H8" s="97">
        <f t="shared" si="2"/>
        <v>0.17478868808396131</v>
      </c>
      <c r="I8" s="95">
        <f t="shared" si="3"/>
        <v>1.0089076380172497</v>
      </c>
      <c r="J8" s="98">
        <f t="shared" si="7"/>
        <v>1.183696326101211</v>
      </c>
      <c r="K8" s="95">
        <f t="shared" si="4"/>
        <v>13.862951971991293</v>
      </c>
      <c r="L8" s="98">
        <f t="shared" si="5"/>
        <v>0.6943975141249894</v>
      </c>
      <c r="M8" s="99">
        <f t="shared" si="6"/>
        <v>0.2</v>
      </c>
      <c r="N8" s="99">
        <f t="shared" si="8"/>
        <v>2.7725903943982591</v>
      </c>
      <c r="O8" s="99">
        <f t="shared" si="9"/>
        <v>2.772590394398259E-3</v>
      </c>
    </row>
    <row r="9" spans="1:15" x14ac:dyDescent="0.2">
      <c r="A9" s="14" t="s">
        <v>144</v>
      </c>
      <c r="B9" s="13" t="s">
        <v>13</v>
      </c>
      <c r="C9" s="14">
        <v>998.2</v>
      </c>
      <c r="E9" s="94">
        <v>0.4</v>
      </c>
      <c r="F9" s="95">
        <f t="shared" si="0"/>
        <v>1029.8149266589571</v>
      </c>
      <c r="G9" s="96">
        <f t="shared" si="1"/>
        <v>2860.5970184971043</v>
      </c>
      <c r="H9" s="97">
        <f t="shared" si="2"/>
        <v>8.7394344041980654E-2</v>
      </c>
      <c r="I9" s="95">
        <f t="shared" si="3"/>
        <v>0.96045778310684615</v>
      </c>
      <c r="J9" s="98">
        <f t="shared" si="7"/>
        <v>1.0478521271488268</v>
      </c>
      <c r="K9" s="95">
        <f t="shared" si="4"/>
        <v>49.088008105116096</v>
      </c>
      <c r="L9" s="98">
        <f t="shared" si="5"/>
        <v>0.61470657314561317</v>
      </c>
      <c r="M9" s="99">
        <f t="shared" si="6"/>
        <v>0.4</v>
      </c>
      <c r="N9" s="99">
        <f t="shared" si="8"/>
        <v>19.63520324204644</v>
      </c>
      <c r="O9" s="99">
        <f t="shared" si="9"/>
        <v>1.9635203242046439E-2</v>
      </c>
    </row>
    <row r="10" spans="1:15" x14ac:dyDescent="0.2">
      <c r="A10" s="14" t="s">
        <v>145</v>
      </c>
      <c r="B10" s="13" t="s">
        <v>78</v>
      </c>
      <c r="C10" s="14">
        <v>1.307E-3</v>
      </c>
      <c r="E10" s="94">
        <v>0.5</v>
      </c>
      <c r="F10" s="95">
        <f t="shared" si="0"/>
        <v>1287.2686583236964</v>
      </c>
      <c r="G10" s="96">
        <f t="shared" si="1"/>
        <v>3575.74627312138</v>
      </c>
      <c r="H10" s="97">
        <f t="shared" si="2"/>
        <v>6.9915475233584518E-2</v>
      </c>
      <c r="I10" s="95">
        <f t="shared" si="3"/>
        <v>0.94536097252108808</v>
      </c>
      <c r="J10" s="98">
        <f t="shared" si="7"/>
        <v>1.0152764477546725</v>
      </c>
      <c r="K10" s="95">
        <f t="shared" si="4"/>
        <v>74.315558830212495</v>
      </c>
      <c r="L10" s="98">
        <f t="shared" si="5"/>
        <v>0.59559654442165888</v>
      </c>
      <c r="M10" s="99">
        <f t="shared" si="6"/>
        <v>0.5</v>
      </c>
      <c r="N10" s="99">
        <f t="shared" si="8"/>
        <v>37.157779415106248</v>
      </c>
      <c r="O10" s="99">
        <f t="shared" si="9"/>
        <v>3.715777941510625E-2</v>
      </c>
    </row>
    <row r="11" spans="1:15" x14ac:dyDescent="0.2">
      <c r="A11" s="14" t="s">
        <v>146</v>
      </c>
      <c r="B11" s="13" t="s">
        <v>79</v>
      </c>
      <c r="C11" s="14">
        <f>C10/C9</f>
        <v>1.3093568423161691E-6</v>
      </c>
      <c r="E11" s="94">
        <v>0.8</v>
      </c>
      <c r="F11" s="2">
        <f t="shared" si="0"/>
        <v>2059.6298533179142</v>
      </c>
      <c r="G11" s="1">
        <f t="shared" si="1"/>
        <v>5721.1940369942085</v>
      </c>
      <c r="H11" s="3">
        <f t="shared" si="2"/>
        <v>4.3697172020990327E-2</v>
      </c>
      <c r="I11" s="2">
        <f t="shared" si="3"/>
        <v>0.91433459156223118</v>
      </c>
      <c r="J11" s="4">
        <f t="shared" si="7"/>
        <v>0.95803176358322151</v>
      </c>
      <c r="K11" s="2">
        <f t="shared" si="4"/>
        <v>179.52102117192138</v>
      </c>
      <c r="L11" s="4">
        <f t="shared" si="5"/>
        <v>0.56201481783435603</v>
      </c>
      <c r="M11" s="34">
        <f t="shared" si="6"/>
        <v>0.8</v>
      </c>
      <c r="N11" s="34">
        <f t="shared" si="8"/>
        <v>143.6168169375371</v>
      </c>
      <c r="O11" s="34">
        <f t="shared" si="9"/>
        <v>0.14361681693753708</v>
      </c>
    </row>
    <row r="12" spans="1:15" x14ac:dyDescent="0.2">
      <c r="E12" s="81">
        <v>1</v>
      </c>
      <c r="F12" s="95">
        <f t="shared" si="0"/>
        <v>2574.5373166473928</v>
      </c>
      <c r="G12" s="96">
        <f t="shared" si="1"/>
        <v>7151.49254624276</v>
      </c>
      <c r="H12" s="97">
        <f t="shared" si="2"/>
        <v>3.4957737616792259E-2</v>
      </c>
      <c r="I12" s="95">
        <f t="shared" si="3"/>
        <v>0.89996276139581766</v>
      </c>
      <c r="J12" s="98">
        <f t="shared" si="7"/>
        <v>0.93492049901260987</v>
      </c>
      <c r="K12" s="95">
        <f t="shared" si="4"/>
        <v>273.73486107985394</v>
      </c>
      <c r="L12" s="98">
        <f t="shared" si="5"/>
        <v>0.54845694466009598</v>
      </c>
      <c r="M12" s="99">
        <f t="shared" si="6"/>
        <v>1</v>
      </c>
      <c r="N12" s="99">
        <f t="shared" si="8"/>
        <v>273.73486107985394</v>
      </c>
      <c r="O12" s="99">
        <f t="shared" si="9"/>
        <v>0.27373486107985395</v>
      </c>
    </row>
    <row r="13" spans="1:15" x14ac:dyDescent="0.2">
      <c r="A13" s="10" t="s">
        <v>84</v>
      </c>
      <c r="B13" s="36"/>
      <c r="C13" s="42"/>
      <c r="E13" s="94">
        <v>1.4</v>
      </c>
      <c r="F13" s="95">
        <f t="shared" si="0"/>
        <v>3604.3522433063499</v>
      </c>
      <c r="G13" s="96">
        <f t="shared" si="1"/>
        <v>10012.089564739865</v>
      </c>
      <c r="H13" s="97">
        <f t="shared" si="2"/>
        <v>2.4969812583423043E-2</v>
      </c>
      <c r="I13" s="95">
        <f t="shared" si="3"/>
        <v>0.87871785091867427</v>
      </c>
      <c r="J13" s="98">
        <f t="shared" si="7"/>
        <v>0.90368766350209728</v>
      </c>
      <c r="K13" s="95">
        <f t="shared" si="4"/>
        <v>518.59682388777776</v>
      </c>
      <c r="L13" s="98">
        <f t="shared" si="5"/>
        <v>0.530134674953465</v>
      </c>
      <c r="M13" s="99">
        <f t="shared" si="6"/>
        <v>1.4</v>
      </c>
      <c r="N13" s="99">
        <f t="shared" si="8"/>
        <v>726.03555344288884</v>
      </c>
      <c r="O13" s="99">
        <f t="shared" si="9"/>
        <v>0.72603555344288884</v>
      </c>
    </row>
    <row r="14" spans="1:15" x14ac:dyDescent="0.2">
      <c r="A14" s="17" t="s">
        <v>3</v>
      </c>
      <c r="B14" s="18" t="s">
        <v>4</v>
      </c>
      <c r="C14" s="18" t="s">
        <v>5</v>
      </c>
      <c r="E14" s="94">
        <v>1.8</v>
      </c>
      <c r="F14" s="95">
        <f t="shared" si="0"/>
        <v>4634.167169965307</v>
      </c>
      <c r="G14" s="96">
        <f t="shared" si="1"/>
        <v>12872.686583236968</v>
      </c>
      <c r="H14" s="97">
        <f t="shared" si="2"/>
        <v>1.9420965342662366E-2</v>
      </c>
      <c r="I14" s="95">
        <f t="shared" si="3"/>
        <v>0.86317765988710271</v>
      </c>
      <c r="J14" s="98">
        <f t="shared" si="7"/>
        <v>0.88259862522976507</v>
      </c>
      <c r="K14" s="95">
        <f t="shared" si="4"/>
        <v>837.2664412881071</v>
      </c>
      <c r="L14" s="98">
        <f t="shared" si="5"/>
        <v>0.51776311019594956</v>
      </c>
      <c r="M14" s="99">
        <f t="shared" si="6"/>
        <v>1.8</v>
      </c>
      <c r="N14" s="99">
        <f t="shared" si="8"/>
        <v>1507.0795943185929</v>
      </c>
      <c r="O14" s="99">
        <f t="shared" si="9"/>
        <v>1.5070795943185928</v>
      </c>
    </row>
    <row r="15" spans="1:15" x14ac:dyDescent="0.2">
      <c r="A15" s="14" t="s">
        <v>141</v>
      </c>
      <c r="B15" s="13" t="s">
        <v>13</v>
      </c>
      <c r="C15" s="14">
        <v>998.2</v>
      </c>
      <c r="D15" s="20"/>
      <c r="E15" s="94">
        <v>2</v>
      </c>
      <c r="F15" s="95">
        <f t="shared" si="0"/>
        <v>5149.0746332947856</v>
      </c>
      <c r="G15" s="96">
        <f t="shared" si="1"/>
        <v>14302.98509248552</v>
      </c>
      <c r="H15" s="97">
        <f t="shared" si="2"/>
        <v>1.7478868808396129E-2</v>
      </c>
      <c r="I15" s="95">
        <f t="shared" si="3"/>
        <v>0.85674466731925358</v>
      </c>
      <c r="J15" s="98">
        <f t="shared" si="7"/>
        <v>0.87422353612764969</v>
      </c>
      <c r="K15" s="95">
        <f t="shared" si="4"/>
        <v>1023.8537221822675</v>
      </c>
      <c r="L15" s="98">
        <f t="shared" si="5"/>
        <v>0.51284999107506879</v>
      </c>
      <c r="M15" s="99">
        <f t="shared" si="6"/>
        <v>2</v>
      </c>
      <c r="N15" s="99">
        <f t="shared" si="8"/>
        <v>2047.7074443645349</v>
      </c>
      <c r="O15" s="99">
        <f t="shared" si="9"/>
        <v>2.0477074443645349</v>
      </c>
    </row>
    <row r="16" spans="1:15" x14ac:dyDescent="0.2">
      <c r="A16" s="14" t="s">
        <v>142</v>
      </c>
      <c r="B16" s="13" t="s">
        <v>78</v>
      </c>
      <c r="C16" s="14">
        <v>1.307E-3</v>
      </c>
      <c r="D16" s="20"/>
      <c r="E16" s="94">
        <v>3</v>
      </c>
      <c r="F16" s="95">
        <f t="shared" si="0"/>
        <v>7723.6119499421784</v>
      </c>
      <c r="G16" s="96">
        <f t="shared" si="1"/>
        <v>21454.47763872828</v>
      </c>
      <c r="H16" s="97">
        <f t="shared" si="2"/>
        <v>1.1652579205597421E-2</v>
      </c>
      <c r="I16" s="95">
        <f t="shared" si="3"/>
        <v>0.83243231375133753</v>
      </c>
      <c r="J16" s="98">
        <f t="shared" si="7"/>
        <v>0.8440848929569349</v>
      </c>
      <c r="K16" s="95">
        <f t="shared" si="4"/>
        <v>2224.25238340023</v>
      </c>
      <c r="L16" s="98">
        <f t="shared" si="5"/>
        <v>0.49516961272517857</v>
      </c>
      <c r="M16" s="99">
        <f t="shared" si="6"/>
        <v>3</v>
      </c>
      <c r="N16" s="99">
        <f t="shared" si="8"/>
        <v>6672.7571502006904</v>
      </c>
      <c r="O16" s="99">
        <f t="shared" si="9"/>
        <v>6.6727571502006899</v>
      </c>
    </row>
    <row r="17" spans="1:15" x14ac:dyDescent="0.2">
      <c r="A17" s="14" t="s">
        <v>143</v>
      </c>
      <c r="B17" s="13" t="s">
        <v>79</v>
      </c>
      <c r="C17" s="14">
        <f>C16/C15</f>
        <v>1.3093568423161691E-6</v>
      </c>
      <c r="E17" s="94">
        <v>5</v>
      </c>
      <c r="F17" s="95">
        <f t="shared" si="0"/>
        <v>12872.686583236964</v>
      </c>
      <c r="G17" s="96">
        <f t="shared" si="1"/>
        <v>35757.462731213804</v>
      </c>
      <c r="H17" s="97">
        <f t="shared" si="2"/>
        <v>6.9915475233584519E-3</v>
      </c>
      <c r="I17" s="95">
        <f t="shared" si="3"/>
        <v>0.80278207972624938</v>
      </c>
      <c r="J17" s="98">
        <f t="shared" si="7"/>
        <v>0.80977362724960777</v>
      </c>
      <c r="K17" s="95">
        <f t="shared" si="4"/>
        <v>5927.3294252132755</v>
      </c>
      <c r="L17" s="98">
        <f t="shared" si="5"/>
        <v>0.47504142858852139</v>
      </c>
      <c r="M17" s="99">
        <f t="shared" si="6"/>
        <v>5</v>
      </c>
      <c r="N17" s="99">
        <f t="shared" si="8"/>
        <v>29636.647126066378</v>
      </c>
      <c r="O17" s="99">
        <f t="shared" si="9"/>
        <v>29.636647126066379</v>
      </c>
    </row>
    <row r="18" spans="1:15" x14ac:dyDescent="0.2">
      <c r="A18" s="53"/>
      <c r="B18" s="52"/>
      <c r="C18" s="45"/>
      <c r="E18" s="94">
        <v>8</v>
      </c>
      <c r="F18" s="95">
        <f t="shared" si="0"/>
        <v>20596.298533179142</v>
      </c>
      <c r="G18" s="96">
        <f t="shared" si="1"/>
        <v>57211.94036994208</v>
      </c>
      <c r="H18" s="97">
        <f t="shared" si="2"/>
        <v>4.3697172020990323E-3</v>
      </c>
      <c r="I18" s="95">
        <f t="shared" si="3"/>
        <v>0.77643508280494933</v>
      </c>
      <c r="J18" s="98">
        <f t="shared" si="7"/>
        <v>0.78080480000704833</v>
      </c>
      <c r="K18" s="95">
        <f t="shared" si="4"/>
        <v>14631.13023611423</v>
      </c>
      <c r="L18" s="98">
        <f t="shared" si="5"/>
        <v>0.45804730502761937</v>
      </c>
      <c r="M18" s="99">
        <f t="shared" si="6"/>
        <v>8</v>
      </c>
      <c r="N18" s="99">
        <f t="shared" si="8"/>
        <v>117049.04188891384</v>
      </c>
      <c r="O18" s="99">
        <f t="shared" si="9"/>
        <v>117.04904188891383</v>
      </c>
    </row>
    <row r="19" spans="1:15" x14ac:dyDescent="0.2">
      <c r="A19" s="15" t="s">
        <v>42</v>
      </c>
      <c r="E19" s="94">
        <v>10</v>
      </c>
      <c r="F19" s="95">
        <f t="shared" si="0"/>
        <v>25745.373166473928</v>
      </c>
      <c r="G19" s="96">
        <f t="shared" si="1"/>
        <v>71514.925462427607</v>
      </c>
      <c r="H19" s="97">
        <f t="shared" si="2"/>
        <v>3.495773761679226E-3</v>
      </c>
      <c r="I19" s="95">
        <f t="shared" si="3"/>
        <v>0.7642308052370933</v>
      </c>
      <c r="J19" s="98">
        <f t="shared" si="7"/>
        <v>0.7677265789987725</v>
      </c>
      <c r="K19" s="95">
        <f t="shared" si="4"/>
        <v>22478.224476999734</v>
      </c>
      <c r="L19" s="98">
        <f t="shared" si="5"/>
        <v>0.45037516483670076</v>
      </c>
      <c r="M19" s="99">
        <f t="shared" si="6"/>
        <v>10</v>
      </c>
      <c r="N19" s="99">
        <f t="shared" si="8"/>
        <v>224782.24476999734</v>
      </c>
      <c r="O19" s="99">
        <f t="shared" si="9"/>
        <v>224.78224476999733</v>
      </c>
    </row>
    <row r="20" spans="1:15" x14ac:dyDescent="0.2">
      <c r="A20" s="17" t="s">
        <v>3</v>
      </c>
      <c r="B20" s="18" t="s">
        <v>4</v>
      </c>
      <c r="C20" s="18" t="s">
        <v>5</v>
      </c>
      <c r="E20" s="94">
        <v>15</v>
      </c>
      <c r="F20" s="95">
        <f t="shared" si="0"/>
        <v>38618.05974971089</v>
      </c>
      <c r="G20" s="96">
        <f t="shared" si="1"/>
        <v>107272.3881936414</v>
      </c>
      <c r="H20" s="97">
        <f t="shared" si="2"/>
        <v>2.330515841119484E-3</v>
      </c>
      <c r="I20" s="95">
        <f t="shared" si="3"/>
        <v>0.7425437726202988</v>
      </c>
      <c r="J20" s="98">
        <f t="shared" si="7"/>
        <v>0.74487428846141823</v>
      </c>
      <c r="K20" s="95">
        <f t="shared" si="4"/>
        <v>49070.550405182679</v>
      </c>
      <c r="L20" s="98">
        <f t="shared" si="5"/>
        <v>0.43696921485502954</v>
      </c>
      <c r="M20" s="99">
        <f t="shared" si="6"/>
        <v>15</v>
      </c>
      <c r="N20" s="99">
        <f t="shared" si="8"/>
        <v>736058.25607774023</v>
      </c>
      <c r="O20" s="99">
        <f t="shared" si="9"/>
        <v>736.05825607774023</v>
      </c>
    </row>
    <row r="21" spans="1:15" x14ac:dyDescent="0.2">
      <c r="A21" s="14" t="s">
        <v>15</v>
      </c>
      <c r="B21" s="13" t="s">
        <v>1</v>
      </c>
      <c r="C21" s="19">
        <v>1E-3</v>
      </c>
      <c r="E21" s="94">
        <v>20</v>
      </c>
      <c r="F21" s="95">
        <f t="shared" si="0"/>
        <v>51490.746332947856</v>
      </c>
      <c r="G21" s="96">
        <f t="shared" si="1"/>
        <v>143029.85092485521</v>
      </c>
      <c r="H21" s="97">
        <f t="shared" si="2"/>
        <v>1.747886880839613E-3</v>
      </c>
      <c r="I21" s="95">
        <f t="shared" si="3"/>
        <v>0.72753084357899245</v>
      </c>
      <c r="J21" s="98">
        <f t="shared" si="7"/>
        <v>0.72927873045983205</v>
      </c>
      <c r="K21" s="95">
        <f t="shared" si="4"/>
        <v>85410.048097885097</v>
      </c>
      <c r="L21" s="98">
        <f t="shared" si="5"/>
        <v>0.42782031706013374</v>
      </c>
      <c r="M21" s="99">
        <f t="shared" si="6"/>
        <v>20</v>
      </c>
      <c r="N21" s="99">
        <f t="shared" si="8"/>
        <v>1708200.9619577019</v>
      </c>
      <c r="O21" s="99">
        <f t="shared" si="9"/>
        <v>1708.200961957702</v>
      </c>
    </row>
    <row r="22" spans="1:15" x14ac:dyDescent="0.2">
      <c r="A22" s="14" t="s">
        <v>19</v>
      </c>
      <c r="B22" s="13" t="s">
        <v>1</v>
      </c>
      <c r="C22" s="19">
        <v>4.0000000000000001E-3</v>
      </c>
      <c r="E22" s="94">
        <v>22</v>
      </c>
      <c r="F22" s="95">
        <f t="shared" si="0"/>
        <v>56639.820966242638</v>
      </c>
      <c r="G22" s="96">
        <f t="shared" si="1"/>
        <v>157332.83601734071</v>
      </c>
      <c r="H22" s="97">
        <f t="shared" si="2"/>
        <v>1.5889880734905573E-3</v>
      </c>
      <c r="I22" s="95">
        <f t="shared" si="3"/>
        <v>0.72262424604984632</v>
      </c>
      <c r="J22" s="98">
        <f t="shared" si="7"/>
        <v>0.72421323412333682</v>
      </c>
      <c r="K22" s="95">
        <f t="shared" si="4"/>
        <v>102628.32623121087</v>
      </c>
      <c r="L22" s="98">
        <f t="shared" si="5"/>
        <v>0.42484872038765176</v>
      </c>
      <c r="M22" s="99">
        <f t="shared" si="6"/>
        <v>22</v>
      </c>
      <c r="N22" s="99">
        <f t="shared" si="8"/>
        <v>2257823.1770866392</v>
      </c>
      <c r="O22" s="99">
        <f t="shared" si="9"/>
        <v>2257.8231770866391</v>
      </c>
    </row>
    <row r="23" spans="1:15" x14ac:dyDescent="0.2">
      <c r="A23" s="14" t="s">
        <v>20</v>
      </c>
      <c r="B23" s="13" t="s">
        <v>1</v>
      </c>
      <c r="C23" s="19">
        <f>C21+C22</f>
        <v>5.0000000000000001E-3</v>
      </c>
      <c r="E23" s="94">
        <v>24</v>
      </c>
      <c r="F23" s="95">
        <f t="shared" si="0"/>
        <v>61788.895599537427</v>
      </c>
      <c r="G23" s="96">
        <f t="shared" si="1"/>
        <v>171635.82110982624</v>
      </c>
      <c r="H23" s="97">
        <f t="shared" si="2"/>
        <v>1.4565724006996776E-3</v>
      </c>
      <c r="I23" s="95">
        <f t="shared" si="3"/>
        <v>0.71817377360658308</v>
      </c>
      <c r="J23" s="98">
        <f t="shared" si="7"/>
        <v>0.71963034600728271</v>
      </c>
      <c r="K23" s="95">
        <f t="shared" si="4"/>
        <v>121363.30082470945</v>
      </c>
      <c r="L23" s="98">
        <f t="shared" si="5"/>
        <v>0.42216023851512391</v>
      </c>
      <c r="M23" s="99">
        <f t="shared" si="6"/>
        <v>24</v>
      </c>
      <c r="N23" s="99">
        <f t="shared" si="8"/>
        <v>2912719.2197930268</v>
      </c>
      <c r="O23" s="99">
        <f t="shared" si="9"/>
        <v>2912.7192197930267</v>
      </c>
    </row>
    <row r="24" spans="1:15" x14ac:dyDescent="0.2">
      <c r="A24" s="14" t="s">
        <v>21</v>
      </c>
      <c r="B24" s="13" t="s">
        <v>177</v>
      </c>
      <c r="C24" s="24">
        <f>1/C23</f>
        <v>200</v>
      </c>
      <c r="E24" s="93">
        <v>25</v>
      </c>
      <c r="F24" s="5">
        <f t="shared" si="0"/>
        <v>64363.432916184822</v>
      </c>
      <c r="G24" s="6">
        <f t="shared" si="1"/>
        <v>178787.31365606902</v>
      </c>
      <c r="H24" s="7">
        <f t="shared" si="2"/>
        <v>1.3983095046716904E-3</v>
      </c>
      <c r="I24" s="5">
        <f t="shared" si="3"/>
        <v>0.71609525990838052</v>
      </c>
      <c r="J24" s="8">
        <f t="shared" si="7"/>
        <v>0.7174935694130522</v>
      </c>
      <c r="K24" s="5">
        <f t="shared" si="4"/>
        <v>131296.59337103795</v>
      </c>
      <c r="L24" s="8">
        <f t="shared" si="5"/>
        <v>0.42090673090294672</v>
      </c>
      <c r="M24" s="32">
        <f t="shared" si="6"/>
        <v>25</v>
      </c>
      <c r="N24" s="32">
        <f t="shared" si="8"/>
        <v>3282414.8342759488</v>
      </c>
      <c r="O24" s="33">
        <f t="shared" si="9"/>
        <v>3282.414834275949</v>
      </c>
    </row>
    <row r="25" spans="1:15" x14ac:dyDescent="0.2">
      <c r="A25" s="14" t="s">
        <v>168</v>
      </c>
      <c r="B25" s="13" t="s">
        <v>7</v>
      </c>
      <c r="C25" s="19">
        <f>(1-C21/C23)^2</f>
        <v>0.64000000000000012</v>
      </c>
      <c r="E25" s="93">
        <v>28</v>
      </c>
      <c r="F25" s="5">
        <f t="shared" si="0"/>
        <v>72087.044866126991</v>
      </c>
      <c r="G25" s="6">
        <f t="shared" si="1"/>
        <v>200241.79129479727</v>
      </c>
      <c r="H25" s="7">
        <f t="shared" si="2"/>
        <v>1.2484906291711523E-3</v>
      </c>
      <c r="I25" s="5">
        <f t="shared" si="3"/>
        <v>0.71035643558768402</v>
      </c>
      <c r="J25" s="8">
        <f t="shared" si="7"/>
        <v>0.71160492621685523</v>
      </c>
      <c r="K25" s="5">
        <f t="shared" si="4"/>
        <v>163346.72675239024</v>
      </c>
      <c r="L25" s="8">
        <f t="shared" si="5"/>
        <v>0.41745224759769173</v>
      </c>
      <c r="M25" s="32">
        <f t="shared" si="6"/>
        <v>28</v>
      </c>
      <c r="N25" s="32">
        <f t="shared" si="8"/>
        <v>4573708.3490669271</v>
      </c>
      <c r="O25" s="33">
        <f t="shared" si="9"/>
        <v>4573.7083490669274</v>
      </c>
    </row>
    <row r="26" spans="1:15" x14ac:dyDescent="0.2">
      <c r="A26" s="14" t="s">
        <v>169</v>
      </c>
      <c r="B26" s="13" t="s">
        <v>7</v>
      </c>
      <c r="C26" s="19">
        <f>1-C25</f>
        <v>0.35999999999999988</v>
      </c>
      <c r="E26" s="93">
        <v>30</v>
      </c>
      <c r="F26" s="5">
        <f t="shared" si="0"/>
        <v>77236.11949942178</v>
      </c>
      <c r="G26" s="6">
        <f t="shared" si="1"/>
        <v>214544.77638728279</v>
      </c>
      <c r="H26" s="7">
        <f t="shared" si="2"/>
        <v>1.165257920559742E-3</v>
      </c>
      <c r="I26" s="5">
        <f t="shared" si="3"/>
        <v>0.70688526762693871</v>
      </c>
      <c r="J26" s="8">
        <f t="shared" si="7"/>
        <v>0.70805052554749848</v>
      </c>
      <c r="K26" s="5">
        <f t="shared" si="4"/>
        <v>186578.75317490834</v>
      </c>
      <c r="L26" s="8">
        <f t="shared" si="5"/>
        <v>0.41536711230193979</v>
      </c>
      <c r="M26" s="32">
        <f t="shared" si="6"/>
        <v>30</v>
      </c>
      <c r="N26" s="32">
        <f t="shared" si="8"/>
        <v>5597362.5952472501</v>
      </c>
      <c r="O26" s="33">
        <f t="shared" si="9"/>
        <v>5597.3625952472503</v>
      </c>
    </row>
    <row r="27" spans="1:15" x14ac:dyDescent="0.2">
      <c r="A27" s="14" t="s">
        <v>170</v>
      </c>
      <c r="B27" s="13" t="s">
        <v>7</v>
      </c>
      <c r="C27" s="19">
        <f>((1/C24^2)+C21^2)^0.5</f>
        <v>5.0990195135927853E-3</v>
      </c>
    </row>
    <row r="28" spans="1:15" x14ac:dyDescent="0.2">
      <c r="A28" s="14" t="s">
        <v>171</v>
      </c>
      <c r="B28" s="13" t="s">
        <v>26</v>
      </c>
      <c r="C28" s="24">
        <f>PI()*C27*C24^2</f>
        <v>640.7616897765638</v>
      </c>
      <c r="E28" s="10" t="s">
        <v>164</v>
      </c>
      <c r="F28" s="5"/>
      <c r="G28" s="6"/>
      <c r="H28" s="7"/>
      <c r="I28" s="5"/>
      <c r="J28" s="8"/>
      <c r="K28" s="5"/>
      <c r="L28" s="8"/>
      <c r="M28" s="32"/>
      <c r="N28" s="32"/>
      <c r="O28" s="33"/>
    </row>
    <row r="29" spans="1:15" x14ac:dyDescent="0.2">
      <c r="A29" s="14" t="s">
        <v>172</v>
      </c>
      <c r="B29" s="13" t="s">
        <v>1</v>
      </c>
      <c r="C29" s="19">
        <f>6/C28</f>
        <v>9.36385569819604E-3</v>
      </c>
      <c r="E29" s="18" t="s">
        <v>62</v>
      </c>
      <c r="F29" s="18" t="s">
        <v>69</v>
      </c>
      <c r="G29" s="18" t="s">
        <v>80</v>
      </c>
      <c r="H29" s="18" t="s">
        <v>189</v>
      </c>
      <c r="I29" s="18" t="s">
        <v>8</v>
      </c>
      <c r="J29" s="18" t="s">
        <v>81</v>
      </c>
      <c r="K29" s="18" t="s">
        <v>10</v>
      </c>
      <c r="L29" s="18" t="s">
        <v>10</v>
      </c>
    </row>
    <row r="30" spans="1:15" ht="19" x14ac:dyDescent="0.2">
      <c r="A30" s="14" t="s">
        <v>173</v>
      </c>
      <c r="B30" s="13" t="s">
        <v>1</v>
      </c>
      <c r="C30" s="19">
        <f>2*C21</f>
        <v>2E-3</v>
      </c>
      <c r="E30" s="18" t="s">
        <v>12</v>
      </c>
      <c r="F30" s="18" t="s">
        <v>59</v>
      </c>
      <c r="G30" s="18" t="s">
        <v>59</v>
      </c>
      <c r="H30" s="18" t="s">
        <v>59</v>
      </c>
      <c r="I30" s="18" t="s">
        <v>58</v>
      </c>
      <c r="J30" s="18" t="s">
        <v>82</v>
      </c>
      <c r="K30" s="18" t="s">
        <v>11</v>
      </c>
      <c r="L30" s="18" t="s">
        <v>76</v>
      </c>
    </row>
    <row r="31" spans="1:15" x14ac:dyDescent="0.2">
      <c r="A31" s="14" t="s">
        <v>174</v>
      </c>
      <c r="B31" s="13" t="s">
        <v>2</v>
      </c>
      <c r="C31" s="14">
        <v>1</v>
      </c>
      <c r="E31" s="94">
        <f>E5</f>
        <v>0.02</v>
      </c>
      <c r="F31" s="95">
        <f t="shared" ref="F31:F52" si="10">$C$42 * $C$16 * $C$44 *E31</f>
        <v>0.36596000000000006</v>
      </c>
      <c r="G31" s="98">
        <f t="shared" ref="G31:G52" si="11">0.5 * $C$43 * $C$15 * $C$44 *E31 ^2</f>
        <v>9.5827200000000015E-2</v>
      </c>
      <c r="H31" s="95">
        <f>F31+G31</f>
        <v>0.46178720000000006</v>
      </c>
      <c r="I31" s="98">
        <f>2*H31/($C$15*E31^2)</f>
        <v>2.3130995792426368</v>
      </c>
      <c r="J31" s="99">
        <f t="shared" ref="J31:J52" si="12">E31*$C$31</f>
        <v>0.02</v>
      </c>
      <c r="K31" s="99">
        <f>H31*J31</f>
        <v>9.2357440000000023E-3</v>
      </c>
      <c r="L31" s="99">
        <f>K31/1000</f>
        <v>9.2357440000000024E-6</v>
      </c>
    </row>
    <row r="32" spans="1:15" x14ac:dyDescent="0.2">
      <c r="E32" s="94">
        <f t="shared" ref="E32:E52" si="13">E6</f>
        <v>0.05</v>
      </c>
      <c r="F32" s="95">
        <f t="shared" si="10"/>
        <v>0.91490000000000016</v>
      </c>
      <c r="G32" s="98">
        <f t="shared" si="11"/>
        <v>0.59892000000000012</v>
      </c>
      <c r="H32" s="95">
        <f t="shared" ref="H32:H52" si="14">F32+G32</f>
        <v>1.5138200000000004</v>
      </c>
      <c r="I32" s="98">
        <f t="shared" ref="I32:I52" si="15">2*H32/($C$15*E32^2)</f>
        <v>1.2132398316970547</v>
      </c>
      <c r="J32" s="99">
        <f t="shared" si="12"/>
        <v>0.05</v>
      </c>
      <c r="K32" s="99">
        <f t="shared" ref="K32:K52" si="16">H32*J32</f>
        <v>7.5691000000000022E-2</v>
      </c>
      <c r="L32" s="99">
        <f t="shared" ref="L32:L52" si="17">K32/1000</f>
        <v>7.5691000000000018E-5</v>
      </c>
    </row>
    <row r="33" spans="1:12" x14ac:dyDescent="0.2">
      <c r="A33" s="15" t="s">
        <v>31</v>
      </c>
      <c r="E33" s="94">
        <f t="shared" si="13"/>
        <v>0.1</v>
      </c>
      <c r="F33" s="95">
        <f t="shared" si="10"/>
        <v>1.8298000000000003</v>
      </c>
      <c r="G33" s="98">
        <f t="shared" si="11"/>
        <v>2.3956800000000005</v>
      </c>
      <c r="H33" s="95">
        <f t="shared" si="14"/>
        <v>4.225480000000001</v>
      </c>
      <c r="I33" s="98">
        <f t="shared" si="15"/>
        <v>0.84661991584852736</v>
      </c>
      <c r="J33" s="99">
        <f t="shared" si="12"/>
        <v>0.1</v>
      </c>
      <c r="K33" s="99">
        <f t="shared" si="16"/>
        <v>0.42254800000000015</v>
      </c>
      <c r="L33" s="99">
        <f t="shared" si="17"/>
        <v>4.2254800000000013E-4</v>
      </c>
    </row>
    <row r="34" spans="1:12" x14ac:dyDescent="0.2">
      <c r="A34" s="17" t="s">
        <v>3</v>
      </c>
      <c r="B34" s="18" t="s">
        <v>4</v>
      </c>
      <c r="C34" s="18" t="s">
        <v>5</v>
      </c>
      <c r="E34" s="94">
        <f t="shared" si="13"/>
        <v>0.2</v>
      </c>
      <c r="F34" s="95">
        <f t="shared" si="10"/>
        <v>3.6596000000000006</v>
      </c>
      <c r="G34" s="98">
        <f t="shared" si="11"/>
        <v>9.5827200000000019</v>
      </c>
      <c r="H34" s="95">
        <f t="shared" si="14"/>
        <v>13.242320000000003</v>
      </c>
      <c r="I34" s="98">
        <f t="shared" si="15"/>
        <v>0.66330995792426362</v>
      </c>
      <c r="J34" s="99">
        <f t="shared" si="12"/>
        <v>0.2</v>
      </c>
      <c r="K34" s="99">
        <f t="shared" si="16"/>
        <v>2.6484640000000006</v>
      </c>
      <c r="L34" s="99">
        <f t="shared" si="17"/>
        <v>2.6484640000000005E-3</v>
      </c>
    </row>
    <row r="35" spans="1:12" x14ac:dyDescent="0.2">
      <c r="A35" s="14" t="s">
        <v>178</v>
      </c>
      <c r="B35" s="13" t="s">
        <v>7</v>
      </c>
      <c r="C35" s="14">
        <v>250</v>
      </c>
      <c r="E35" s="94">
        <f t="shared" si="13"/>
        <v>0.4</v>
      </c>
      <c r="F35" s="95">
        <f t="shared" si="10"/>
        <v>7.3192000000000013</v>
      </c>
      <c r="G35" s="98">
        <f t="shared" si="11"/>
        <v>38.330880000000008</v>
      </c>
      <c r="H35" s="95">
        <f t="shared" si="14"/>
        <v>45.65008000000001</v>
      </c>
      <c r="I35" s="98">
        <f t="shared" si="15"/>
        <v>0.5716549789621318</v>
      </c>
      <c r="J35" s="99">
        <f t="shared" si="12"/>
        <v>0.4</v>
      </c>
      <c r="K35" s="99">
        <f t="shared" si="16"/>
        <v>18.260032000000006</v>
      </c>
      <c r="L35" s="99">
        <f t="shared" si="17"/>
        <v>1.8260032000000006E-2</v>
      </c>
    </row>
    <row r="36" spans="1:12" x14ac:dyDescent="0.2">
      <c r="A36" s="14" t="s">
        <v>179</v>
      </c>
      <c r="B36" s="13" t="s">
        <v>7</v>
      </c>
      <c r="C36" s="14">
        <v>1.69</v>
      </c>
      <c r="E36" s="94">
        <f t="shared" si="13"/>
        <v>0.5</v>
      </c>
      <c r="F36" s="95">
        <f t="shared" si="10"/>
        <v>9.1490000000000009</v>
      </c>
      <c r="G36" s="98">
        <f t="shared" si="11"/>
        <v>59.892000000000003</v>
      </c>
      <c r="H36" s="95">
        <f t="shared" si="14"/>
        <v>69.040999999999997</v>
      </c>
      <c r="I36" s="98">
        <f t="shared" si="15"/>
        <v>0.55332398316970544</v>
      </c>
      <c r="J36" s="99">
        <f t="shared" si="12"/>
        <v>0.5</v>
      </c>
      <c r="K36" s="99">
        <f t="shared" si="16"/>
        <v>34.520499999999998</v>
      </c>
      <c r="L36" s="99">
        <f t="shared" si="17"/>
        <v>3.4520499999999996E-2</v>
      </c>
    </row>
    <row r="37" spans="1:12" x14ac:dyDescent="0.2">
      <c r="A37" s="14" t="s">
        <v>180</v>
      </c>
      <c r="B37" s="13" t="s">
        <v>7</v>
      </c>
      <c r="C37" s="14">
        <v>7.0999999999999994E-2</v>
      </c>
      <c r="E37" s="94">
        <f t="shared" si="13"/>
        <v>0.8</v>
      </c>
      <c r="F37" s="95">
        <f t="shared" si="10"/>
        <v>14.638400000000003</v>
      </c>
      <c r="G37" s="98">
        <f t="shared" si="11"/>
        <v>153.32352000000003</v>
      </c>
      <c r="H37" s="95">
        <f t="shared" si="14"/>
        <v>167.96192000000002</v>
      </c>
      <c r="I37" s="98">
        <f t="shared" si="15"/>
        <v>0.52582748948106584</v>
      </c>
      <c r="J37" s="34">
        <f t="shared" si="12"/>
        <v>0.8</v>
      </c>
      <c r="K37" s="34">
        <f t="shared" si="16"/>
        <v>134.36953600000001</v>
      </c>
      <c r="L37" s="34">
        <f t="shared" si="17"/>
        <v>0.13436953600000001</v>
      </c>
    </row>
    <row r="38" spans="1:12" x14ac:dyDescent="0.2">
      <c r="E38" s="94">
        <f t="shared" si="13"/>
        <v>1</v>
      </c>
      <c r="F38" s="95">
        <f t="shared" si="10"/>
        <v>18.298000000000002</v>
      </c>
      <c r="G38" s="98">
        <f t="shared" si="11"/>
        <v>239.56800000000001</v>
      </c>
      <c r="H38" s="95">
        <f t="shared" si="14"/>
        <v>257.86599999999999</v>
      </c>
      <c r="I38" s="98">
        <f t="shared" si="15"/>
        <v>0.51666199158485271</v>
      </c>
      <c r="J38" s="99">
        <f t="shared" si="12"/>
        <v>1</v>
      </c>
      <c r="K38" s="99">
        <f t="shared" si="16"/>
        <v>257.86599999999999</v>
      </c>
      <c r="L38" s="99">
        <f t="shared" si="17"/>
        <v>0.25786599999999998</v>
      </c>
    </row>
    <row r="39" spans="1:12" x14ac:dyDescent="0.2">
      <c r="A39" s="15"/>
      <c r="E39" s="94">
        <f t="shared" si="13"/>
        <v>1.4</v>
      </c>
      <c r="F39" s="95">
        <f t="shared" si="10"/>
        <v>25.6172</v>
      </c>
      <c r="G39" s="98">
        <f t="shared" si="11"/>
        <v>469.55327999999997</v>
      </c>
      <c r="H39" s="95">
        <f t="shared" si="14"/>
        <v>495.17048</v>
      </c>
      <c r="I39" s="98">
        <f t="shared" si="15"/>
        <v>0.50618713684632344</v>
      </c>
      <c r="J39" s="99">
        <f t="shared" si="12"/>
        <v>1.4</v>
      </c>
      <c r="K39" s="99">
        <f t="shared" si="16"/>
        <v>693.23867199999995</v>
      </c>
      <c r="L39" s="99">
        <f t="shared" si="17"/>
        <v>0.693238672</v>
      </c>
    </row>
    <row r="40" spans="1:12" x14ac:dyDescent="0.2">
      <c r="A40" s="15" t="s">
        <v>185</v>
      </c>
      <c r="E40" s="94">
        <f t="shared" si="13"/>
        <v>1.8</v>
      </c>
      <c r="F40" s="95">
        <f t="shared" si="10"/>
        <v>32.936400000000006</v>
      </c>
      <c r="G40" s="98">
        <f t="shared" si="11"/>
        <v>776.20032000000003</v>
      </c>
      <c r="H40" s="95">
        <f t="shared" si="14"/>
        <v>809.13672000000008</v>
      </c>
      <c r="I40" s="98">
        <f t="shared" si="15"/>
        <v>0.50036777310269598</v>
      </c>
      <c r="J40" s="99">
        <f t="shared" si="12"/>
        <v>1.8</v>
      </c>
      <c r="K40" s="99">
        <f t="shared" si="16"/>
        <v>1456.4460960000001</v>
      </c>
      <c r="L40" s="99">
        <f t="shared" si="17"/>
        <v>1.4564460960000001</v>
      </c>
    </row>
    <row r="41" spans="1:12" x14ac:dyDescent="0.2">
      <c r="A41" s="17" t="s">
        <v>3</v>
      </c>
      <c r="B41" s="18" t="s">
        <v>4</v>
      </c>
      <c r="C41" s="18" t="s">
        <v>5</v>
      </c>
      <c r="E41" s="94">
        <f t="shared" si="13"/>
        <v>2</v>
      </c>
      <c r="F41" s="95">
        <f t="shared" si="10"/>
        <v>36.596000000000004</v>
      </c>
      <c r="G41" s="98">
        <f t="shared" si="11"/>
        <v>958.27200000000005</v>
      </c>
      <c r="H41" s="95">
        <f t="shared" si="14"/>
        <v>994.86800000000005</v>
      </c>
      <c r="I41" s="98">
        <f t="shared" si="15"/>
        <v>0.49833099579242635</v>
      </c>
      <c r="J41" s="99">
        <f t="shared" si="12"/>
        <v>2</v>
      </c>
      <c r="K41" s="99">
        <f t="shared" si="16"/>
        <v>1989.7360000000001</v>
      </c>
      <c r="L41" s="99">
        <f t="shared" si="17"/>
        <v>1.9897360000000002</v>
      </c>
    </row>
    <row r="42" spans="1:12" x14ac:dyDescent="0.2">
      <c r="A42" s="14" t="s">
        <v>116</v>
      </c>
      <c r="B42" s="13" t="s">
        <v>7</v>
      </c>
      <c r="C42" s="14">
        <v>7000000</v>
      </c>
      <c r="D42" s="14">
        <v>2000000</v>
      </c>
      <c r="E42" s="94">
        <f t="shared" si="13"/>
        <v>3</v>
      </c>
      <c r="F42" s="95">
        <f t="shared" si="10"/>
        <v>54.894000000000005</v>
      </c>
      <c r="G42" s="98">
        <f t="shared" si="11"/>
        <v>2156.1120000000001</v>
      </c>
      <c r="H42" s="95">
        <f t="shared" si="14"/>
        <v>2211.0060000000003</v>
      </c>
      <c r="I42" s="98">
        <f t="shared" si="15"/>
        <v>0.49222066386161761</v>
      </c>
      <c r="J42" s="99">
        <f t="shared" si="12"/>
        <v>3</v>
      </c>
      <c r="K42" s="99">
        <f t="shared" si="16"/>
        <v>6633.0180000000009</v>
      </c>
      <c r="L42" s="99">
        <f t="shared" si="17"/>
        <v>6.6330180000000007</v>
      </c>
    </row>
    <row r="43" spans="1:12" x14ac:dyDescent="0.2">
      <c r="A43" s="14" t="s">
        <v>117</v>
      </c>
      <c r="B43" s="13" t="s">
        <v>7</v>
      </c>
      <c r="C43" s="14">
        <v>240</v>
      </c>
      <c r="D43" s="14">
        <v>280</v>
      </c>
      <c r="E43" s="94">
        <f t="shared" si="13"/>
        <v>5</v>
      </c>
      <c r="F43" s="95">
        <f t="shared" si="10"/>
        <v>91.490000000000009</v>
      </c>
      <c r="G43" s="98">
        <f t="shared" si="11"/>
        <v>5989.2000000000007</v>
      </c>
      <c r="H43" s="95">
        <f t="shared" si="14"/>
        <v>6080.6900000000005</v>
      </c>
      <c r="I43" s="98">
        <f t="shared" si="15"/>
        <v>0.48733239831697056</v>
      </c>
      <c r="J43" s="99">
        <f t="shared" si="12"/>
        <v>5</v>
      </c>
      <c r="K43" s="99">
        <f t="shared" si="16"/>
        <v>30403.450000000004</v>
      </c>
      <c r="L43" s="99">
        <f t="shared" si="17"/>
        <v>30.403450000000003</v>
      </c>
    </row>
    <row r="44" spans="1:12" x14ac:dyDescent="0.2">
      <c r="A44" s="14" t="s">
        <v>186</v>
      </c>
      <c r="B44" s="13" t="s">
        <v>1</v>
      </c>
      <c r="C44" s="19">
        <f>C30</f>
        <v>2E-3</v>
      </c>
      <c r="D44" s="14">
        <v>3.0000000000000001E-3</v>
      </c>
      <c r="E44" s="94">
        <f t="shared" si="13"/>
        <v>8</v>
      </c>
      <c r="F44" s="95">
        <f t="shared" si="10"/>
        <v>146.38400000000001</v>
      </c>
      <c r="G44" s="98">
        <f t="shared" si="11"/>
        <v>15332.352000000001</v>
      </c>
      <c r="H44" s="95">
        <f t="shared" si="14"/>
        <v>15478.736000000001</v>
      </c>
      <c r="I44" s="98">
        <f t="shared" si="15"/>
        <v>0.4845827489481066</v>
      </c>
      <c r="J44" s="99">
        <f t="shared" si="12"/>
        <v>8</v>
      </c>
      <c r="K44" s="99">
        <f t="shared" si="16"/>
        <v>123829.88800000001</v>
      </c>
      <c r="L44" s="99">
        <f t="shared" si="17"/>
        <v>123.82988800000001</v>
      </c>
    </row>
    <row r="45" spans="1:12" x14ac:dyDescent="0.2">
      <c r="E45" s="94">
        <f t="shared" si="13"/>
        <v>10</v>
      </c>
      <c r="F45" s="95">
        <f t="shared" si="10"/>
        <v>182.98000000000002</v>
      </c>
      <c r="G45" s="98">
        <f t="shared" si="11"/>
        <v>23956.800000000003</v>
      </c>
      <c r="H45" s="95">
        <f t="shared" si="14"/>
        <v>24139.780000000002</v>
      </c>
      <c r="I45" s="98">
        <f t="shared" si="15"/>
        <v>0.4836661991584853</v>
      </c>
      <c r="J45" s="99">
        <f t="shared" si="12"/>
        <v>10</v>
      </c>
      <c r="K45" s="99">
        <f t="shared" si="16"/>
        <v>241397.80000000002</v>
      </c>
      <c r="L45" s="99">
        <f t="shared" si="17"/>
        <v>241.39780000000002</v>
      </c>
    </row>
    <row r="46" spans="1:12" x14ac:dyDescent="0.2">
      <c r="E46" s="94">
        <f t="shared" si="13"/>
        <v>15</v>
      </c>
      <c r="F46" s="95">
        <f t="shared" si="10"/>
        <v>274.47000000000003</v>
      </c>
      <c r="G46" s="98">
        <f t="shared" si="11"/>
        <v>53902.8</v>
      </c>
      <c r="H46" s="95">
        <f t="shared" si="14"/>
        <v>54177.270000000004</v>
      </c>
      <c r="I46" s="98">
        <f t="shared" si="15"/>
        <v>0.48244413277232356</v>
      </c>
      <c r="J46" s="99">
        <f t="shared" si="12"/>
        <v>15</v>
      </c>
      <c r="K46" s="99">
        <f t="shared" si="16"/>
        <v>812659.05</v>
      </c>
      <c r="L46" s="99">
        <f t="shared" si="17"/>
        <v>812.65905000000009</v>
      </c>
    </row>
    <row r="47" spans="1:12" x14ac:dyDescent="0.2">
      <c r="E47" s="94">
        <f t="shared" si="13"/>
        <v>20</v>
      </c>
      <c r="F47" s="95">
        <f t="shared" si="10"/>
        <v>365.96000000000004</v>
      </c>
      <c r="G47" s="98">
        <f t="shared" si="11"/>
        <v>95827.200000000012</v>
      </c>
      <c r="H47" s="95">
        <f t="shared" si="14"/>
        <v>96193.160000000018</v>
      </c>
      <c r="I47" s="98">
        <f t="shared" si="15"/>
        <v>0.48183309957924275</v>
      </c>
      <c r="J47" s="99">
        <f t="shared" si="12"/>
        <v>20</v>
      </c>
      <c r="K47" s="99">
        <f t="shared" si="16"/>
        <v>1923863.2000000004</v>
      </c>
      <c r="L47" s="99">
        <f t="shared" si="17"/>
        <v>1923.8632000000005</v>
      </c>
    </row>
    <row r="48" spans="1:12" x14ac:dyDescent="0.2">
      <c r="B48" s="13"/>
      <c r="C48" s="19"/>
      <c r="E48" s="94">
        <f t="shared" si="13"/>
        <v>22</v>
      </c>
      <c r="F48" s="95">
        <f t="shared" si="10"/>
        <v>402.55600000000004</v>
      </c>
      <c r="G48" s="98">
        <f t="shared" si="11"/>
        <v>115950.91200000001</v>
      </c>
      <c r="H48" s="95">
        <f t="shared" si="14"/>
        <v>116353.46800000001</v>
      </c>
      <c r="I48" s="98">
        <f t="shared" si="15"/>
        <v>0.48166645416294784</v>
      </c>
      <c r="J48" s="99">
        <f t="shared" si="12"/>
        <v>22</v>
      </c>
      <c r="K48" s="99">
        <f t="shared" si="16"/>
        <v>2559776.2960000001</v>
      </c>
      <c r="L48" s="99">
        <f t="shared" si="17"/>
        <v>2559.776296</v>
      </c>
    </row>
    <row r="49" spans="2:12" x14ac:dyDescent="0.2">
      <c r="B49" s="13"/>
      <c r="C49" s="19"/>
      <c r="E49" s="94">
        <f t="shared" si="13"/>
        <v>24</v>
      </c>
      <c r="F49" s="95">
        <f t="shared" si="10"/>
        <v>439.15200000000004</v>
      </c>
      <c r="G49" s="98">
        <f t="shared" si="11"/>
        <v>137991.16800000001</v>
      </c>
      <c r="H49" s="95">
        <f t="shared" si="14"/>
        <v>138430.32</v>
      </c>
      <c r="I49" s="98">
        <f t="shared" si="15"/>
        <v>0.48152758298270215</v>
      </c>
      <c r="J49" s="99">
        <f t="shared" si="12"/>
        <v>24</v>
      </c>
      <c r="K49" s="99">
        <f t="shared" si="16"/>
        <v>3322327.68</v>
      </c>
      <c r="L49" s="99">
        <f t="shared" si="17"/>
        <v>3322.3276800000003</v>
      </c>
    </row>
    <row r="50" spans="2:12" x14ac:dyDescent="0.2">
      <c r="E50" s="94">
        <f t="shared" si="13"/>
        <v>25</v>
      </c>
      <c r="F50" s="95">
        <f t="shared" si="10"/>
        <v>457.45000000000005</v>
      </c>
      <c r="G50" s="98">
        <f t="shared" si="11"/>
        <v>149730</v>
      </c>
      <c r="H50" s="95">
        <f t="shared" si="14"/>
        <v>150187.45000000001</v>
      </c>
      <c r="I50" s="98">
        <f t="shared" si="15"/>
        <v>0.48146647966339412</v>
      </c>
      <c r="J50" s="32">
        <f t="shared" si="12"/>
        <v>25</v>
      </c>
      <c r="K50" s="32">
        <f t="shared" si="16"/>
        <v>3754686.2500000005</v>
      </c>
      <c r="L50" s="33">
        <f t="shared" si="17"/>
        <v>3754.6862500000007</v>
      </c>
    </row>
    <row r="51" spans="2:12" x14ac:dyDescent="0.2">
      <c r="E51" s="94">
        <f t="shared" si="13"/>
        <v>28</v>
      </c>
      <c r="F51" s="95">
        <f t="shared" si="10"/>
        <v>512.34400000000005</v>
      </c>
      <c r="G51" s="98">
        <f t="shared" si="11"/>
        <v>187821.31200000001</v>
      </c>
      <c r="H51" s="95">
        <f t="shared" si="14"/>
        <v>188333.65600000002</v>
      </c>
      <c r="I51" s="98">
        <f t="shared" si="15"/>
        <v>0.48130935684231618</v>
      </c>
      <c r="J51" s="32">
        <f t="shared" si="12"/>
        <v>28</v>
      </c>
      <c r="K51" s="32">
        <f t="shared" si="16"/>
        <v>5273342.3680000007</v>
      </c>
      <c r="L51" s="33">
        <f t="shared" si="17"/>
        <v>5273.3423680000005</v>
      </c>
    </row>
    <row r="52" spans="2:12" x14ac:dyDescent="0.2">
      <c r="E52" s="94">
        <f t="shared" si="13"/>
        <v>30</v>
      </c>
      <c r="F52" s="95">
        <f t="shared" si="10"/>
        <v>548.94000000000005</v>
      </c>
      <c r="G52" s="98">
        <f t="shared" si="11"/>
        <v>215611.2</v>
      </c>
      <c r="H52" s="95">
        <f t="shared" si="14"/>
        <v>216160.14</v>
      </c>
      <c r="I52" s="98">
        <f t="shared" si="15"/>
        <v>0.48122206638616177</v>
      </c>
      <c r="J52" s="32">
        <f t="shared" si="12"/>
        <v>30</v>
      </c>
      <c r="K52" s="32">
        <f t="shared" si="16"/>
        <v>6484804.2000000002</v>
      </c>
      <c r="L52" s="33">
        <f t="shared" si="17"/>
        <v>6484.8042000000005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8D87-C5D5-C547-87B7-DE708B3EFF40}">
  <dimension ref="A1:M87"/>
  <sheetViews>
    <sheetView zoomScale="90" zoomScaleNormal="90" workbookViewId="0">
      <selection activeCell="A40" sqref="A40:C43"/>
    </sheetView>
  </sheetViews>
  <sheetFormatPr baseColWidth="10" defaultColWidth="11" defaultRowHeight="16" x14ac:dyDescent="0.2"/>
  <cols>
    <col min="1" max="1" width="25.33203125" style="14" customWidth="1"/>
    <col min="2" max="3" width="11.83203125" style="14" customWidth="1"/>
    <col min="4" max="4" width="9.1640625" style="14" customWidth="1"/>
    <col min="5" max="5" width="8.6640625" style="14" customWidth="1"/>
    <col min="6" max="6" width="9.33203125" style="14" customWidth="1"/>
    <col min="7" max="7" width="8" style="14" bestFit="1" customWidth="1"/>
    <col min="8" max="8" width="9.83203125" style="14" customWidth="1"/>
    <col min="9" max="10" width="11" style="14"/>
    <col min="11" max="11" width="11.6640625" style="14" bestFit="1" customWidth="1"/>
    <col min="12" max="16384" width="11" style="14"/>
  </cols>
  <sheetData>
    <row r="1" spans="1:13" ht="26" x14ac:dyDescent="0.3">
      <c r="A1" s="12" t="s">
        <v>43</v>
      </c>
    </row>
    <row r="3" spans="1:13" x14ac:dyDescent="0.2">
      <c r="A3" s="15" t="s">
        <v>77</v>
      </c>
      <c r="E3" s="18" t="s">
        <v>62</v>
      </c>
      <c r="F3" s="18" t="s">
        <v>16</v>
      </c>
      <c r="G3" s="18" t="s">
        <v>17</v>
      </c>
      <c r="H3" s="18" t="s">
        <v>45</v>
      </c>
      <c r="I3" s="18" t="s">
        <v>44</v>
      </c>
      <c r="J3" s="18" t="s">
        <v>18</v>
      </c>
      <c r="K3" s="18" t="s">
        <v>40</v>
      </c>
      <c r="L3" s="18" t="s">
        <v>8</v>
      </c>
      <c r="M3" s="18" t="s">
        <v>10</v>
      </c>
    </row>
    <row r="4" spans="1:13" x14ac:dyDescent="0.2">
      <c r="A4" s="17" t="s">
        <v>3</v>
      </c>
      <c r="B4" s="18" t="s">
        <v>4</v>
      </c>
      <c r="C4" s="18" t="s">
        <v>5</v>
      </c>
      <c r="E4" s="18" t="s">
        <v>12</v>
      </c>
      <c r="F4" s="18" t="s">
        <v>58</v>
      </c>
      <c r="G4" s="18" t="s">
        <v>58</v>
      </c>
      <c r="H4" s="18" t="s">
        <v>58</v>
      </c>
      <c r="I4" s="18" t="s">
        <v>58</v>
      </c>
      <c r="J4" s="18" t="s">
        <v>58</v>
      </c>
      <c r="K4" s="18" t="s">
        <v>59</v>
      </c>
      <c r="L4" s="18" t="s">
        <v>58</v>
      </c>
      <c r="M4" s="18" t="s">
        <v>11</v>
      </c>
    </row>
    <row r="5" spans="1:13" x14ac:dyDescent="0.2">
      <c r="A5" s="14" t="s">
        <v>141</v>
      </c>
      <c r="B5" s="13" t="s">
        <v>13</v>
      </c>
      <c r="C5" s="14">
        <v>1.204</v>
      </c>
      <c r="E5" s="5">
        <v>2.0000000000000002E-5</v>
      </c>
      <c r="F5" s="5">
        <f t="shared" ref="F5:F50" si="0">(1-$C$26)*($C$30*$C$14*E5)/$C$15</f>
        <v>4.5872444014751056E-3</v>
      </c>
      <c r="G5" s="6">
        <f t="shared" ref="G5:G50" si="1">F5/$C$27</f>
        <v>1.5012799859373076E-2</v>
      </c>
      <c r="H5" s="5">
        <f t="shared" ref="H5:H50" si="2">$C$36*(1-$C$26)/F5</f>
        <v>16652.456726379074</v>
      </c>
      <c r="I5" s="5">
        <f t="shared" ref="I5:I50" si="3">$C$37*((1-$C$26)/F5)^$C$38</f>
        <v>2.2769732276852022</v>
      </c>
      <c r="J5" s="8">
        <f>H5+I5</f>
        <v>16654.733699606761</v>
      </c>
      <c r="K5" s="5">
        <f t="shared" ref="K5:K50" si="4">J5*$C$31*$C$14*E5^2*(1-$C$26)/($C$26^3*$C$30)</f>
        <v>1.748085134365656E-6</v>
      </c>
      <c r="L5" s="8">
        <f t="shared" ref="L5:L50" si="5">2*K5/($C$14*E5^2)</f>
        <v>7259.4897606547165</v>
      </c>
      <c r="M5" s="32">
        <f t="shared" ref="M5:M50" si="6">0.5*$C$14*L5*$C$32*E5^3</f>
        <v>6.9923405374626245E-11</v>
      </c>
    </row>
    <row r="6" spans="1:13" x14ac:dyDescent="0.2">
      <c r="A6" s="14" t="s">
        <v>142</v>
      </c>
      <c r="B6" s="13" t="s">
        <v>78</v>
      </c>
      <c r="C6" s="14">
        <v>1.8130000000000001E-5</v>
      </c>
      <c r="E6" s="5">
        <f>E5*$C$43</f>
        <v>2.8200000000000001E-5</v>
      </c>
      <c r="F6" s="5">
        <f t="shared" si="0"/>
        <v>6.4680146060798992E-3</v>
      </c>
      <c r="G6" s="6">
        <f t="shared" si="1"/>
        <v>2.116804780171604E-2</v>
      </c>
      <c r="H6" s="5">
        <f t="shared" si="2"/>
        <v>11810.252997431968</v>
      </c>
      <c r="I6" s="5">
        <f t="shared" si="3"/>
        <v>2.2220988124691012</v>
      </c>
      <c r="J6" s="8">
        <f t="shared" ref="J6:J39" si="7">H6+I6</f>
        <v>11812.475096244438</v>
      </c>
      <c r="K6" s="5">
        <f t="shared" si="4"/>
        <v>2.4649267498290901E-6</v>
      </c>
      <c r="L6" s="8">
        <f t="shared" si="5"/>
        <v>5148.8389761044373</v>
      </c>
      <c r="M6" s="32">
        <f t="shared" si="6"/>
        <v>1.3902186869036072E-10</v>
      </c>
    </row>
    <row r="7" spans="1:13" x14ac:dyDescent="0.2">
      <c r="A7" s="14" t="s">
        <v>143</v>
      </c>
      <c r="B7" s="13" t="s">
        <v>79</v>
      </c>
      <c r="C7" s="14">
        <f>C6/C5</f>
        <v>1.5058139534883723E-5</v>
      </c>
      <c r="E7" s="5">
        <f t="shared" ref="E7:E50" si="8">E6*$C$43</f>
        <v>3.9761999999999996E-5</v>
      </c>
      <c r="F7" s="5">
        <f t="shared" si="0"/>
        <v>9.119900594572657E-3</v>
      </c>
      <c r="G7" s="6">
        <f t="shared" si="1"/>
        <v>2.9846947400419613E-2</v>
      </c>
      <c r="H7" s="5">
        <f t="shared" si="2"/>
        <v>8376.0659556255086</v>
      </c>
      <c r="I7" s="5">
        <f t="shared" si="3"/>
        <v>2.1685468552462241</v>
      </c>
      <c r="J7" s="8">
        <f t="shared" si="7"/>
        <v>8378.2345024807546</v>
      </c>
      <c r="K7" s="5">
        <f t="shared" si="4"/>
        <v>3.4757925591226246E-6</v>
      </c>
      <c r="L7" s="8">
        <f t="shared" si="5"/>
        <v>3651.917147408918</v>
      </c>
      <c r="M7" s="32">
        <f t="shared" si="6"/>
        <v>2.7640892747166763E-10</v>
      </c>
    </row>
    <row r="8" spans="1:13" x14ac:dyDescent="0.2">
      <c r="A8" s="14" t="s">
        <v>144</v>
      </c>
      <c r="B8" s="13" t="s">
        <v>13</v>
      </c>
      <c r="C8" s="14">
        <v>998.2</v>
      </c>
      <c r="E8" s="5">
        <f t="shared" si="8"/>
        <v>5.6064419999999993E-5</v>
      </c>
      <c r="F8" s="5">
        <f t="shared" si="0"/>
        <v>1.2859059838347446E-2</v>
      </c>
      <c r="G8" s="6">
        <f t="shared" si="1"/>
        <v>4.2084195834591651E-2</v>
      </c>
      <c r="H8" s="5">
        <f t="shared" si="2"/>
        <v>5940.4723089542622</v>
      </c>
      <c r="I8" s="5">
        <f t="shared" si="3"/>
        <v>2.1162854851503949</v>
      </c>
      <c r="J8" s="8">
        <f t="shared" si="7"/>
        <v>5942.5885944394122</v>
      </c>
      <c r="K8" s="5">
        <f t="shared" si="4"/>
        <v>4.9013444876363912E-6</v>
      </c>
      <c r="L8" s="8">
        <f t="shared" si="5"/>
        <v>2590.2642354548739</v>
      </c>
      <c r="M8" s="32">
        <f t="shared" si="6"/>
        <v>5.495820718390629E-10</v>
      </c>
    </row>
    <row r="9" spans="1:13" x14ac:dyDescent="0.2">
      <c r="A9" s="14" t="s">
        <v>145</v>
      </c>
      <c r="B9" s="13" t="s">
        <v>78</v>
      </c>
      <c r="C9" s="14">
        <v>1.307E-3</v>
      </c>
      <c r="E9" s="5">
        <f t="shared" si="8"/>
        <v>7.9050832199999989E-5</v>
      </c>
      <c r="F9" s="5">
        <f t="shared" si="0"/>
        <v>1.8131274372069895E-2</v>
      </c>
      <c r="G9" s="6">
        <f t="shared" si="1"/>
        <v>5.9338716126774216E-2</v>
      </c>
      <c r="H9" s="5">
        <f t="shared" si="2"/>
        <v>4213.1009283363574</v>
      </c>
      <c r="I9" s="5">
        <f t="shared" si="3"/>
        <v>2.0652835993943603</v>
      </c>
      <c r="J9" s="8">
        <f t="shared" si="7"/>
        <v>4215.1662119357516</v>
      </c>
      <c r="K9" s="5">
        <f t="shared" si="4"/>
        <v>6.9118211567192001E-6</v>
      </c>
      <c r="L9" s="8">
        <f t="shared" si="5"/>
        <v>1837.3128329111512</v>
      </c>
      <c r="M9" s="32">
        <f t="shared" si="6"/>
        <v>1.0927704289124388E-9</v>
      </c>
    </row>
    <row r="10" spans="1:13" x14ac:dyDescent="0.2">
      <c r="A10" s="14" t="s">
        <v>146</v>
      </c>
      <c r="B10" s="13" t="s">
        <v>79</v>
      </c>
      <c r="C10" s="14">
        <f>C9/C8</f>
        <v>1.3093568423161691E-6</v>
      </c>
      <c r="E10" s="5">
        <f t="shared" si="8"/>
        <v>1.1146167340199998E-4</v>
      </c>
      <c r="F10" s="5">
        <f t="shared" si="0"/>
        <v>2.5565096864618556E-2</v>
      </c>
      <c r="G10" s="6">
        <f t="shared" si="1"/>
        <v>8.3667589738751658E-2</v>
      </c>
      <c r="H10" s="5">
        <f t="shared" si="2"/>
        <v>2988.014842791742</v>
      </c>
      <c r="I10" s="5">
        <f t="shared" si="3"/>
        <v>2.0155108447593033</v>
      </c>
      <c r="J10" s="8">
        <f t="shared" si="7"/>
        <v>2990.0303536365013</v>
      </c>
      <c r="K10" s="5">
        <f t="shared" si="4"/>
        <v>9.7474633369064331E-6</v>
      </c>
      <c r="L10" s="8">
        <f t="shared" si="5"/>
        <v>1303.2988174877567</v>
      </c>
      <c r="M10" s="32">
        <f t="shared" si="6"/>
        <v>2.1729371499124674E-9</v>
      </c>
    </row>
    <row r="11" spans="1:13" x14ac:dyDescent="0.2">
      <c r="E11" s="5">
        <f t="shared" si="8"/>
        <v>1.5716095949681996E-4</v>
      </c>
      <c r="F11" s="5">
        <f t="shared" si="0"/>
        <v>3.6046786579112158E-2</v>
      </c>
      <c r="G11" s="6">
        <f t="shared" si="1"/>
        <v>0.11797130153163983</v>
      </c>
      <c r="H11" s="5">
        <f t="shared" si="2"/>
        <v>2119.159462972867</v>
      </c>
      <c r="I11" s="5">
        <f t="shared" si="3"/>
        <v>1.966937599530455</v>
      </c>
      <c r="J11" s="8">
        <f t="shared" si="7"/>
        <v>2121.1264005723974</v>
      </c>
      <c r="K11" s="5">
        <f t="shared" si="4"/>
        <v>1.3747406922932069E-5</v>
      </c>
      <c r="L11" s="8">
        <f t="shared" si="5"/>
        <v>924.55968757839014</v>
      </c>
      <c r="M11" s="32">
        <f t="shared" si="6"/>
        <v>4.3211113252024589E-9</v>
      </c>
    </row>
    <row r="12" spans="1:13" x14ac:dyDescent="0.2">
      <c r="A12" s="10" t="s">
        <v>84</v>
      </c>
      <c r="B12" s="36"/>
      <c r="C12" s="42"/>
      <c r="E12" s="5">
        <f t="shared" si="8"/>
        <v>2.2159695289051612E-4</v>
      </c>
      <c r="F12" s="5">
        <f t="shared" si="0"/>
        <v>5.0825969076548135E-2</v>
      </c>
      <c r="G12" s="6">
        <f t="shared" si="1"/>
        <v>0.16633953515961211</v>
      </c>
      <c r="H12" s="5">
        <f t="shared" si="2"/>
        <v>1502.9499737396222</v>
      </c>
      <c r="I12" s="5">
        <f t="shared" si="3"/>
        <v>1.9195349558680512</v>
      </c>
      <c r="J12" s="8">
        <f t="shared" si="7"/>
        <v>1504.8695086954904</v>
      </c>
      <c r="K12" s="5">
        <f t="shared" si="4"/>
        <v>1.9390602632698926E-5</v>
      </c>
      <c r="L12" s="8">
        <f t="shared" si="5"/>
        <v>655.94472938071362</v>
      </c>
      <c r="M12" s="32">
        <f t="shared" si="6"/>
        <v>8.5937969162338038E-9</v>
      </c>
    </row>
    <row r="13" spans="1:13" x14ac:dyDescent="0.2">
      <c r="A13" s="17" t="s">
        <v>3</v>
      </c>
      <c r="B13" s="18" t="s">
        <v>4</v>
      </c>
      <c r="C13" s="18" t="s">
        <v>5</v>
      </c>
      <c r="E13" s="5">
        <f t="shared" si="8"/>
        <v>3.1245170357562771E-4</v>
      </c>
      <c r="F13" s="5">
        <f t="shared" si="0"/>
        <v>7.1664616397932868E-2</v>
      </c>
      <c r="G13" s="6">
        <f t="shared" si="1"/>
        <v>0.23453874457505308</v>
      </c>
      <c r="H13" s="5">
        <f t="shared" si="2"/>
        <v>1065.9219671912215</v>
      </c>
      <c r="I13" s="5">
        <f t="shared" si="3"/>
        <v>1.8732747026031471</v>
      </c>
      <c r="J13" s="8">
        <f t="shared" si="7"/>
        <v>1067.7952418938246</v>
      </c>
      <c r="K13" s="5">
        <f t="shared" si="4"/>
        <v>2.735386318881695E-5</v>
      </c>
      <c r="L13" s="8">
        <f t="shared" si="5"/>
        <v>465.43215669591115</v>
      </c>
      <c r="M13" s="32">
        <f t="shared" si="6"/>
        <v>1.7093522305441018E-8</v>
      </c>
    </row>
    <row r="14" spans="1:13" x14ac:dyDescent="0.2">
      <c r="A14" s="14" t="s">
        <v>141</v>
      </c>
      <c r="B14" s="13" t="s">
        <v>13</v>
      </c>
      <c r="C14" s="14">
        <v>1.204</v>
      </c>
      <c r="E14" s="5">
        <f t="shared" si="8"/>
        <v>4.4055690204163506E-4</v>
      </c>
      <c r="F14" s="5">
        <f t="shared" si="0"/>
        <v>0.10104710912108535</v>
      </c>
      <c r="G14" s="6">
        <f t="shared" si="1"/>
        <v>0.33069962985082485</v>
      </c>
      <c r="H14" s="5">
        <f t="shared" si="2"/>
        <v>755.97302637675284</v>
      </c>
      <c r="I14" s="5">
        <f t="shared" si="3"/>
        <v>1.8281293084480454</v>
      </c>
      <c r="J14" s="8">
        <f t="shared" si="7"/>
        <v>757.80115568520091</v>
      </c>
      <c r="K14" s="5">
        <f t="shared" si="4"/>
        <v>3.859438969784143E-5</v>
      </c>
      <c r="L14" s="8">
        <f t="shared" si="5"/>
        <v>330.311479578861</v>
      </c>
      <c r="M14" s="32">
        <f t="shared" si="6"/>
        <v>3.400604952293723E-8</v>
      </c>
    </row>
    <row r="15" spans="1:13" x14ac:dyDescent="0.2">
      <c r="A15" s="14" t="s">
        <v>142</v>
      </c>
      <c r="B15" s="13" t="s">
        <v>78</v>
      </c>
      <c r="C15" s="14">
        <v>1.8130000000000001E-5</v>
      </c>
      <c r="E15" s="5">
        <f t="shared" si="8"/>
        <v>6.2118523187870537E-4</v>
      </c>
      <c r="F15" s="5">
        <f t="shared" si="0"/>
        <v>0.14247642386073031</v>
      </c>
      <c r="G15" s="6">
        <f t="shared" si="1"/>
        <v>0.46628647808966295</v>
      </c>
      <c r="H15" s="5">
        <f t="shared" si="2"/>
        <v>536.15108253670417</v>
      </c>
      <c r="I15" s="5">
        <f t="shared" si="3"/>
        <v>1.7840719056113483</v>
      </c>
      <c r="J15" s="8">
        <f t="shared" si="7"/>
        <v>537.93515444231548</v>
      </c>
      <c r="K15" s="5">
        <f t="shared" si="4"/>
        <v>5.4467452887710385E-5</v>
      </c>
      <c r="L15" s="8">
        <f t="shared" si="5"/>
        <v>234.47596437176344</v>
      </c>
      <c r="M15" s="32">
        <f t="shared" si="6"/>
        <v>6.7668754703789673E-8</v>
      </c>
    </row>
    <row r="16" spans="1:13" x14ac:dyDescent="0.2">
      <c r="A16" s="14" t="s">
        <v>143</v>
      </c>
      <c r="B16" s="13" t="s">
        <v>79</v>
      </c>
      <c r="C16" s="14">
        <f>C15/C14</f>
        <v>1.5058139534883723E-5</v>
      </c>
      <c r="E16" s="5">
        <f t="shared" si="8"/>
        <v>8.7587117694897453E-4</v>
      </c>
      <c r="F16" s="5">
        <f t="shared" si="0"/>
        <v>0.20089175764362974</v>
      </c>
      <c r="G16" s="6">
        <f t="shared" si="1"/>
        <v>0.65746393410642479</v>
      </c>
      <c r="H16" s="5">
        <f t="shared" si="2"/>
        <v>380.24899470688246</v>
      </c>
      <c r="I16" s="5">
        <f t="shared" si="3"/>
        <v>1.7410762738078844</v>
      </c>
      <c r="J16" s="8">
        <f t="shared" si="7"/>
        <v>381.99007098069035</v>
      </c>
      <c r="K16" s="5">
        <f t="shared" si="4"/>
        <v>7.689488284251246E-5</v>
      </c>
      <c r="L16" s="8">
        <f t="shared" si="5"/>
        <v>166.50239259133667</v>
      </c>
      <c r="M16" s="32">
        <f t="shared" si="6"/>
        <v>1.3470002307324981E-7</v>
      </c>
    </row>
    <row r="17" spans="1:13" x14ac:dyDescent="0.2">
      <c r="A17" s="14" t="s">
        <v>29</v>
      </c>
      <c r="B17" s="13" t="s">
        <v>62</v>
      </c>
      <c r="C17" s="23">
        <v>40</v>
      </c>
      <c r="E17" s="5">
        <f t="shared" si="8"/>
        <v>1.234978359498054E-3</v>
      </c>
      <c r="F17" s="5">
        <f t="shared" si="0"/>
        <v>0.28325737827751785</v>
      </c>
      <c r="G17" s="6">
        <f t="shared" si="1"/>
        <v>0.92702414709005865</v>
      </c>
      <c r="H17" s="5">
        <f t="shared" si="2"/>
        <v>269.68013808998762</v>
      </c>
      <c r="I17" s="5">
        <f t="shared" si="3"/>
        <v>1.6991168246539905</v>
      </c>
      <c r="J17" s="8">
        <f t="shared" si="7"/>
        <v>271.37925491464159</v>
      </c>
      <c r="K17" s="5">
        <f t="shared" si="4"/>
        <v>1.0860760483653307E-4</v>
      </c>
      <c r="L17" s="8">
        <f t="shared" si="5"/>
        <v>118.28918779730851</v>
      </c>
      <c r="M17" s="32">
        <f t="shared" si="6"/>
        <v>2.6825608330006902E-7</v>
      </c>
    </row>
    <row r="18" spans="1:13" x14ac:dyDescent="0.2">
      <c r="A18" s="14" t="s">
        <v>30</v>
      </c>
      <c r="B18" s="13" t="s">
        <v>16</v>
      </c>
      <c r="C18" s="24">
        <f>(1-C26)*(C30*C14*C17)/C15</f>
        <v>9174.4888029502108</v>
      </c>
      <c r="E18" s="5">
        <f t="shared" si="8"/>
        <v>1.741319486892256E-3</v>
      </c>
      <c r="F18" s="5">
        <f t="shared" si="0"/>
        <v>0.39939290337130018</v>
      </c>
      <c r="G18" s="6">
        <f t="shared" si="1"/>
        <v>1.3071040473969828</v>
      </c>
      <c r="H18" s="5">
        <f t="shared" si="2"/>
        <v>191.26250928367915</v>
      </c>
      <c r="I18" s="5">
        <f t="shared" si="3"/>
        <v>1.6581685864388609</v>
      </c>
      <c r="J18" s="8">
        <f t="shared" si="7"/>
        <v>192.920677870118</v>
      </c>
      <c r="K18" s="5">
        <f t="shared" si="4"/>
        <v>1.5349724848806785E-4</v>
      </c>
      <c r="L18" s="8">
        <f t="shared" si="5"/>
        <v>84.090548121448279</v>
      </c>
      <c r="M18" s="32">
        <f t="shared" si="6"/>
        <v>5.3457549995323075E-7</v>
      </c>
    </row>
    <row r="19" spans="1:13" x14ac:dyDescent="0.2">
      <c r="E19" s="5">
        <f t="shared" si="8"/>
        <v>2.455260476518081E-3</v>
      </c>
      <c r="F19" s="5">
        <f t="shared" si="0"/>
        <v>0.56314399375353341</v>
      </c>
      <c r="G19" s="6">
        <f t="shared" si="1"/>
        <v>1.8430167068297463</v>
      </c>
      <c r="H19" s="5">
        <f t="shared" si="2"/>
        <v>135.64716970473694</v>
      </c>
      <c r="I19" s="5">
        <f t="shared" si="3"/>
        <v>1.6182071892629073</v>
      </c>
      <c r="J19" s="8">
        <f t="shared" si="7"/>
        <v>137.26537689399984</v>
      </c>
      <c r="K19" s="5">
        <f t="shared" si="4"/>
        <v>2.1713060770909288E-4</v>
      </c>
      <c r="L19" s="8">
        <f t="shared" si="5"/>
        <v>59.831433875038805</v>
      </c>
      <c r="M19" s="32">
        <f t="shared" si="6"/>
        <v>1.0662243987009757E-6</v>
      </c>
    </row>
    <row r="20" spans="1:13" x14ac:dyDescent="0.2">
      <c r="A20" s="15" t="s">
        <v>181</v>
      </c>
      <c r="E20" s="5">
        <f t="shared" si="8"/>
        <v>3.4619172718904942E-3</v>
      </c>
      <c r="F20" s="5">
        <f t="shared" si="0"/>
        <v>0.79403303119248203</v>
      </c>
      <c r="G20" s="6">
        <f t="shared" si="1"/>
        <v>2.5986535566299418</v>
      </c>
      <c r="H20" s="5">
        <f t="shared" si="2"/>
        <v>96.203666457260255</v>
      </c>
      <c r="I20" s="5">
        <f t="shared" si="3"/>
        <v>1.5792088505342763</v>
      </c>
      <c r="J20" s="8">
        <f t="shared" si="7"/>
        <v>97.782875307794527</v>
      </c>
      <c r="K20" s="5">
        <f t="shared" si="4"/>
        <v>3.0751129335905607E-4</v>
      </c>
      <c r="L20" s="8">
        <f t="shared" si="5"/>
        <v>42.621743155285138</v>
      </c>
      <c r="M20" s="32">
        <f t="shared" si="6"/>
        <v>2.1291573155622013E-6</v>
      </c>
    </row>
    <row r="21" spans="1:13" x14ac:dyDescent="0.2">
      <c r="A21" s="17" t="s">
        <v>3</v>
      </c>
      <c r="B21" s="18" t="s">
        <v>4</v>
      </c>
      <c r="C21" s="18" t="s">
        <v>5</v>
      </c>
      <c r="E21" s="5">
        <f t="shared" si="8"/>
        <v>4.8813033533655964E-3</v>
      </c>
      <c r="F21" s="5">
        <f t="shared" si="0"/>
        <v>1.1195865739813995</v>
      </c>
      <c r="G21" s="6">
        <f t="shared" si="1"/>
        <v>3.6641015148482174</v>
      </c>
      <c r="H21" s="5">
        <f t="shared" si="2"/>
        <v>68.229550678907998</v>
      </c>
      <c r="I21" s="5">
        <f t="shared" si="3"/>
        <v>1.5411503608148969</v>
      </c>
      <c r="J21" s="8">
        <f t="shared" si="7"/>
        <v>69.770701039722894</v>
      </c>
      <c r="K21" s="5">
        <f t="shared" si="4"/>
        <v>4.3622402268277631E-4</v>
      </c>
      <c r="L21" s="8">
        <f t="shared" si="5"/>
        <v>30.411755536116964</v>
      </c>
      <c r="M21" s="32">
        <f t="shared" si="6"/>
        <v>4.2586835694801326E-6</v>
      </c>
    </row>
    <row r="22" spans="1:13" x14ac:dyDescent="0.2">
      <c r="A22" s="14" t="s">
        <v>15</v>
      </c>
      <c r="B22" s="13"/>
      <c r="C22" s="19">
        <v>1E-3</v>
      </c>
      <c r="E22" s="5">
        <f t="shared" si="8"/>
        <v>6.8826377282454904E-3</v>
      </c>
      <c r="F22" s="5">
        <f t="shared" si="0"/>
        <v>1.5786170693137731</v>
      </c>
      <c r="G22" s="6">
        <f t="shared" si="1"/>
        <v>5.1663831359359857</v>
      </c>
      <c r="H22" s="5">
        <f t="shared" si="2"/>
        <v>48.389752254544682</v>
      </c>
      <c r="I22" s="5">
        <f t="shared" si="3"/>
        <v>1.5040090700076374</v>
      </c>
      <c r="J22" s="8">
        <f t="shared" si="7"/>
        <v>49.893761324552322</v>
      </c>
      <c r="K22" s="5">
        <f t="shared" si="4"/>
        <v>6.2018457743991237E-4</v>
      </c>
      <c r="L22" s="8">
        <f t="shared" si="5"/>
        <v>21.747765889807642</v>
      </c>
      <c r="M22" s="32">
        <f t="shared" si="6"/>
        <v>8.5370115423278554E-6</v>
      </c>
    </row>
    <row r="23" spans="1:13" x14ac:dyDescent="0.2">
      <c r="A23" s="14" t="s">
        <v>19</v>
      </c>
      <c r="B23" s="13"/>
      <c r="C23" s="19">
        <v>5.0000000000000001E-3</v>
      </c>
      <c r="E23" s="5">
        <f t="shared" si="8"/>
        <v>9.7045191968261404E-3</v>
      </c>
      <c r="F23" s="5">
        <f t="shared" si="0"/>
        <v>2.22585006773242</v>
      </c>
      <c r="G23" s="6">
        <f t="shared" si="1"/>
        <v>7.2846002216697405</v>
      </c>
      <c r="H23" s="5">
        <f t="shared" si="2"/>
        <v>34.318973230173533</v>
      </c>
      <c r="I23" s="5">
        <f t="shared" si="3"/>
        <v>1.4677628738763446</v>
      </c>
      <c r="J23" s="8">
        <f t="shared" si="7"/>
        <v>35.786736104049879</v>
      </c>
      <c r="K23" s="5">
        <f t="shared" si="4"/>
        <v>8.8437209988518988E-4</v>
      </c>
      <c r="L23" s="8">
        <f t="shared" si="5"/>
        <v>15.598775038999069</v>
      </c>
      <c r="M23" s="32">
        <f t="shared" si="6"/>
        <v>1.716481204094654E-5</v>
      </c>
    </row>
    <row r="24" spans="1:13" x14ac:dyDescent="0.2">
      <c r="A24" s="14" t="s">
        <v>20</v>
      </c>
      <c r="B24" s="13"/>
      <c r="C24" s="19">
        <f>C22+C23</f>
        <v>6.0000000000000001E-3</v>
      </c>
      <c r="E24" s="5">
        <f t="shared" si="8"/>
        <v>1.3683372067524856E-2</v>
      </c>
      <c r="F24" s="5">
        <f t="shared" si="0"/>
        <v>3.1384485955027115</v>
      </c>
      <c r="G24" s="6">
        <f t="shared" si="1"/>
        <v>10.271286312554331</v>
      </c>
      <c r="H24" s="5">
        <f t="shared" si="2"/>
        <v>24.339697326364213</v>
      </c>
      <c r="I24" s="5">
        <f t="shared" si="3"/>
        <v>1.4323902008907476</v>
      </c>
      <c r="J24" s="8">
        <f t="shared" si="7"/>
        <v>25.772087527254961</v>
      </c>
      <c r="K24" s="5">
        <f t="shared" si="4"/>
        <v>1.2661954984549836E-3</v>
      </c>
      <c r="L24" s="8">
        <f t="shared" si="5"/>
        <v>11.233575323946608</v>
      </c>
      <c r="M24" s="32">
        <f t="shared" si="6"/>
        <v>3.4651648231169274E-5</v>
      </c>
    </row>
    <row r="25" spans="1:13" x14ac:dyDescent="0.2">
      <c r="A25" s="14" t="s">
        <v>21</v>
      </c>
      <c r="B25" s="13"/>
      <c r="C25" s="24">
        <f>1/C24</f>
        <v>166.66666666666666</v>
      </c>
      <c r="E25" s="5">
        <f t="shared" si="8"/>
        <v>1.9293554615210047E-2</v>
      </c>
      <c r="F25" s="5">
        <f t="shared" si="0"/>
        <v>4.4252125196588237</v>
      </c>
      <c r="G25" s="6">
        <f t="shared" si="1"/>
        <v>14.48251370070161</v>
      </c>
      <c r="H25" s="5">
        <f t="shared" si="2"/>
        <v>17.262196685364689</v>
      </c>
      <c r="I25" s="5">
        <f t="shared" si="3"/>
        <v>1.3978699993883961</v>
      </c>
      <c r="J25" s="8">
        <f t="shared" si="7"/>
        <v>18.660066684753083</v>
      </c>
      <c r="K25" s="5">
        <f t="shared" si="4"/>
        <v>1.8226470806654918E-3</v>
      </c>
      <c r="L25" s="8">
        <f t="shared" si="5"/>
        <v>8.1335772444261689</v>
      </c>
      <c r="M25" s="32">
        <f t="shared" si="6"/>
        <v>7.033068199014563E-5</v>
      </c>
    </row>
    <row r="26" spans="1:13" x14ac:dyDescent="0.2">
      <c r="A26" s="14" t="s">
        <v>22</v>
      </c>
      <c r="B26" s="13" t="s">
        <v>23</v>
      </c>
      <c r="C26" s="19">
        <f>(1-C22/C24)^2</f>
        <v>0.69444444444444453</v>
      </c>
      <c r="E26" s="5">
        <f t="shared" si="8"/>
        <v>2.7203912007446165E-2</v>
      </c>
      <c r="F26" s="5">
        <f t="shared" si="0"/>
        <v>6.2395496527189414</v>
      </c>
      <c r="G26" s="6">
        <f t="shared" si="1"/>
        <v>20.420344317989269</v>
      </c>
      <c r="H26" s="5">
        <f t="shared" si="2"/>
        <v>12.242692684655808</v>
      </c>
      <c r="I26" s="5">
        <f t="shared" si="3"/>
        <v>1.3641817250459913</v>
      </c>
      <c r="J26" s="8">
        <f t="shared" si="7"/>
        <v>13.606874409701799</v>
      </c>
      <c r="K26" s="5">
        <f t="shared" si="4"/>
        <v>2.642323543993083E-3</v>
      </c>
      <c r="L26" s="8">
        <f t="shared" si="5"/>
        <v>5.9309843815801884</v>
      </c>
      <c r="M26" s="32">
        <f t="shared" si="6"/>
        <v>1.437630743719823E-4</v>
      </c>
    </row>
    <row r="27" spans="1:13" x14ac:dyDescent="0.2">
      <c r="A27" s="14" t="s">
        <v>63</v>
      </c>
      <c r="B27" s="13" t="s">
        <v>64</v>
      </c>
      <c r="C27" s="19">
        <f>1-C26</f>
        <v>0.30555555555555547</v>
      </c>
      <c r="E27" s="5">
        <f t="shared" si="8"/>
        <v>3.8357515930499089E-2</v>
      </c>
      <c r="F27" s="5">
        <f t="shared" si="0"/>
        <v>8.7977650103337055</v>
      </c>
      <c r="G27" s="6">
        <f t="shared" si="1"/>
        <v>28.792685488364864</v>
      </c>
      <c r="H27" s="5">
        <f t="shared" si="2"/>
        <v>8.6827607692594402</v>
      </c>
      <c r="I27" s="5">
        <f t="shared" si="3"/>
        <v>1.3313053286526564</v>
      </c>
      <c r="J27" s="8">
        <f t="shared" si="7"/>
        <v>10.014066097912096</v>
      </c>
      <c r="K27" s="5">
        <f t="shared" si="4"/>
        <v>3.866128610294698E-3</v>
      </c>
      <c r="L27" s="8">
        <f t="shared" si="5"/>
        <v>4.3649458233024081</v>
      </c>
      <c r="M27" s="32">
        <f t="shared" si="6"/>
        <v>2.9659017951747435E-4</v>
      </c>
    </row>
    <row r="28" spans="1:13" x14ac:dyDescent="0.2">
      <c r="A28" s="14" t="s">
        <v>24</v>
      </c>
      <c r="B28" s="13" t="s">
        <v>6</v>
      </c>
      <c r="C28" s="19">
        <f>((1/C25^2)+C22^2)^0.5</f>
        <v>6.0827625302982205E-3</v>
      </c>
      <c r="E28" s="5">
        <f t="shared" si="8"/>
        <v>5.4084097462003711E-2</v>
      </c>
      <c r="F28" s="5">
        <f t="shared" si="0"/>
        <v>12.404848664570524</v>
      </c>
      <c r="G28" s="6">
        <f t="shared" si="1"/>
        <v>40.597686538594452</v>
      </c>
      <c r="H28" s="5">
        <f t="shared" si="2"/>
        <v>6.1579863611769081</v>
      </c>
      <c r="I28" s="5">
        <f t="shared" si="3"/>
        <v>1.2992212441778637</v>
      </c>
      <c r="J28" s="8">
        <f t="shared" si="7"/>
        <v>7.457207605354772</v>
      </c>
      <c r="K28" s="5">
        <f t="shared" si="4"/>
        <v>5.7237453357877437E-3</v>
      </c>
      <c r="L28" s="8">
        <f t="shared" si="5"/>
        <v>3.2504585921675613</v>
      </c>
      <c r="M28" s="32">
        <f t="shared" si="6"/>
        <v>6.1912720117686686E-4</v>
      </c>
    </row>
    <row r="29" spans="1:13" x14ac:dyDescent="0.2">
      <c r="A29" s="14" t="s">
        <v>25</v>
      </c>
      <c r="B29" s="13" t="s">
        <v>26</v>
      </c>
      <c r="C29" s="24">
        <f>PI()*C28*C25^2</f>
        <v>530.82116885322637</v>
      </c>
      <c r="E29" s="5">
        <f t="shared" si="8"/>
        <v>7.6258577421425222E-2</v>
      </c>
      <c r="F29" s="5">
        <f t="shared" si="0"/>
        <v>17.490836617044437</v>
      </c>
      <c r="G29" s="6">
        <f t="shared" si="1"/>
        <v>57.242738019418169</v>
      </c>
      <c r="H29" s="5">
        <f t="shared" si="2"/>
        <v>4.3673662136006444</v>
      </c>
      <c r="I29" s="5">
        <f t="shared" si="3"/>
        <v>1.2679103771269262</v>
      </c>
      <c r="J29" s="8">
        <f t="shared" si="7"/>
        <v>5.635276590727571</v>
      </c>
      <c r="K29" s="5">
        <f t="shared" si="4"/>
        <v>8.5991897274846525E-3</v>
      </c>
      <c r="L29" s="8">
        <f t="shared" si="5"/>
        <v>2.4563126283916472</v>
      </c>
      <c r="M29" s="32">
        <f t="shared" si="6"/>
        <v>1.3115239511898257E-3</v>
      </c>
    </row>
    <row r="30" spans="1:13" x14ac:dyDescent="0.2">
      <c r="A30" s="14" t="s">
        <v>27</v>
      </c>
      <c r="B30" s="13" t="s">
        <v>28</v>
      </c>
      <c r="C30" s="19">
        <f>6/C29</f>
        <v>1.1303241754586125E-2</v>
      </c>
      <c r="E30" s="20">
        <f t="shared" si="8"/>
        <v>0.10752459416420956</v>
      </c>
      <c r="F30" s="20">
        <f t="shared" si="0"/>
        <v>24.662079630032657</v>
      </c>
      <c r="G30" s="24">
        <f t="shared" si="1"/>
        <v>80.712260607379633</v>
      </c>
      <c r="H30" s="20">
        <f t="shared" si="2"/>
        <v>3.0974228465252795</v>
      </c>
      <c r="I30" s="20">
        <f t="shared" si="3"/>
        <v>1.2373540931771154</v>
      </c>
      <c r="J30" s="23">
        <f t="shared" si="7"/>
        <v>4.3347769397023947</v>
      </c>
      <c r="K30" s="20">
        <f t="shared" si="4"/>
        <v>1.315065164832442E-2</v>
      </c>
      <c r="L30" s="23">
        <f t="shared" si="5"/>
        <v>1.8894489324218211</v>
      </c>
      <c r="M30" s="33">
        <f t="shared" si="6"/>
        <v>2.8280369629619536E-3</v>
      </c>
    </row>
    <row r="31" spans="1:13" x14ac:dyDescent="0.2">
      <c r="A31" s="14" t="s">
        <v>38</v>
      </c>
      <c r="B31" s="13" t="s">
        <v>39</v>
      </c>
      <c r="C31" s="19">
        <f>C22*2.7</f>
        <v>2.7000000000000001E-3</v>
      </c>
      <c r="E31" s="5">
        <f t="shared" si="8"/>
        <v>0.15160967777153547</v>
      </c>
      <c r="F31" s="5">
        <f t="shared" si="0"/>
        <v>34.773532278346039</v>
      </c>
      <c r="G31" s="6">
        <f t="shared" si="1"/>
        <v>113.80428745640525</v>
      </c>
      <c r="H31" s="5">
        <f t="shared" si="2"/>
        <v>2.1967537918619011</v>
      </c>
      <c r="I31" s="5">
        <f t="shared" si="3"/>
        <v>1.2075342070876467</v>
      </c>
      <c r="J31" s="8">
        <f t="shared" si="7"/>
        <v>3.404287998949548</v>
      </c>
      <c r="K31" s="5">
        <f t="shared" si="4"/>
        <v>2.0532651622246059E-2</v>
      </c>
      <c r="L31" s="8">
        <f t="shared" si="5"/>
        <v>1.4838660477217651</v>
      </c>
      <c r="M31" s="32">
        <f t="shared" si="6"/>
        <v>6.225897392487841E-3</v>
      </c>
    </row>
    <row r="32" spans="1:13" x14ac:dyDescent="0.2">
      <c r="A32" s="14" t="s">
        <v>60</v>
      </c>
      <c r="B32" s="13" t="s">
        <v>61</v>
      </c>
      <c r="C32" s="14">
        <v>2</v>
      </c>
      <c r="E32" s="5">
        <f t="shared" si="8"/>
        <v>0.21376964565786499</v>
      </c>
      <c r="F32" s="5">
        <f t="shared" si="0"/>
        <v>49.030680512467917</v>
      </c>
      <c r="G32" s="6">
        <f t="shared" si="1"/>
        <v>160.46404531353141</v>
      </c>
      <c r="H32" s="5">
        <f t="shared" si="2"/>
        <v>1.5579814126680149</v>
      </c>
      <c r="I32" s="5">
        <f t="shared" si="3"/>
        <v>1.1784329718769297</v>
      </c>
      <c r="J32" s="8">
        <f t="shared" si="7"/>
        <v>2.7364143845449447</v>
      </c>
      <c r="K32" s="5">
        <f t="shared" si="4"/>
        <v>3.2812463282688761E-2</v>
      </c>
      <c r="L32" s="8">
        <f t="shared" si="5"/>
        <v>1.1927523167771419</v>
      </c>
      <c r="M32" s="32">
        <f t="shared" si="6"/>
        <v>1.4028617298204166E-2</v>
      </c>
    </row>
    <row r="33" spans="1:13" x14ac:dyDescent="0.2">
      <c r="E33" s="5">
        <f t="shared" si="8"/>
        <v>0.30141520037758962</v>
      </c>
      <c r="F33" s="5">
        <f t="shared" si="0"/>
        <v>69.133259522579763</v>
      </c>
      <c r="G33" s="6">
        <f t="shared" si="1"/>
        <v>226.25430389207929</v>
      </c>
      <c r="H33" s="5">
        <f t="shared" si="2"/>
        <v>1.1049513565021383</v>
      </c>
      <c r="I33" s="5">
        <f t="shared" si="3"/>
        <v>1.1500330682606459</v>
      </c>
      <c r="J33" s="8">
        <f t="shared" si="7"/>
        <v>2.2549844247627844</v>
      </c>
      <c r="K33" s="5">
        <f t="shared" si="4"/>
        <v>5.3757460181334232E-2</v>
      </c>
      <c r="L33" s="8">
        <f t="shared" si="5"/>
        <v>0.98290591955774198</v>
      </c>
      <c r="M33" s="32">
        <f t="shared" si="6"/>
        <v>3.2406631264694306E-2</v>
      </c>
    </row>
    <row r="34" spans="1:13" x14ac:dyDescent="0.2">
      <c r="A34" s="15" t="s">
        <v>31</v>
      </c>
      <c r="E34" s="5">
        <f t="shared" si="8"/>
        <v>0.42499543253240135</v>
      </c>
      <c r="F34" s="5">
        <f t="shared" si="0"/>
        <v>97.477895926837448</v>
      </c>
      <c r="G34" s="6">
        <f t="shared" si="1"/>
        <v>319.01856848783171</v>
      </c>
      <c r="H34" s="5">
        <f t="shared" si="2"/>
        <v>0.78365344432775774</v>
      </c>
      <c r="I34" s="5">
        <f t="shared" si="3"/>
        <v>1.1223175943443642</v>
      </c>
      <c r="J34" s="8">
        <f t="shared" si="7"/>
        <v>1.905971038672122</v>
      </c>
      <c r="K34" s="5">
        <f t="shared" si="4"/>
        <v>9.0333683137265017E-2</v>
      </c>
      <c r="L34" s="8">
        <f t="shared" si="5"/>
        <v>0.83077745275935566</v>
      </c>
      <c r="M34" s="32">
        <f t="shared" si="6"/>
        <v>7.6782805474333679E-2</v>
      </c>
    </row>
    <row r="35" spans="1:13" x14ac:dyDescent="0.2">
      <c r="A35" s="17" t="s">
        <v>3</v>
      </c>
      <c r="B35" s="18" t="s">
        <v>4</v>
      </c>
      <c r="C35" s="18" t="s">
        <v>5</v>
      </c>
      <c r="E35" s="5">
        <f t="shared" si="8"/>
        <v>0.59924355987068589</v>
      </c>
      <c r="F35" s="5">
        <f t="shared" si="0"/>
        <v>137.4438332568408</v>
      </c>
      <c r="G35" s="6">
        <f t="shared" si="1"/>
        <v>449.81618156784276</v>
      </c>
      <c r="H35" s="5">
        <f t="shared" si="2"/>
        <v>0.55578258462961538</v>
      </c>
      <c r="I35" s="5">
        <f t="shared" si="3"/>
        <v>1.0952700555645614</v>
      </c>
      <c r="J35" s="8">
        <f t="shared" si="7"/>
        <v>1.6510526401941767</v>
      </c>
      <c r="K35" s="5">
        <f t="shared" si="4"/>
        <v>0.15557240516370574</v>
      </c>
      <c r="L35" s="8">
        <f t="shared" si="5"/>
        <v>0.71966324721688957</v>
      </c>
      <c r="M35" s="32">
        <f t="shared" si="6"/>
        <v>0.18645152377588745</v>
      </c>
    </row>
    <row r="36" spans="1:13" x14ac:dyDescent="0.2">
      <c r="A36" s="14" t="s">
        <v>32</v>
      </c>
      <c r="B36" s="13" t="s">
        <v>33</v>
      </c>
      <c r="C36" s="14">
        <v>250</v>
      </c>
      <c r="E36" s="5">
        <f t="shared" si="8"/>
        <v>0.84493341941766709</v>
      </c>
      <c r="F36" s="5">
        <f t="shared" si="0"/>
        <v>193.79580489214553</v>
      </c>
      <c r="G36" s="6">
        <f t="shared" si="1"/>
        <v>634.24081601065825</v>
      </c>
      <c r="H36" s="5">
        <f t="shared" si="2"/>
        <v>0.3941720458366067</v>
      </c>
      <c r="I36" s="5">
        <f t="shared" si="3"/>
        <v>1.0688743548720625</v>
      </c>
      <c r="J36" s="8">
        <f t="shared" si="7"/>
        <v>1.4630464007086692</v>
      </c>
      <c r="K36" s="5">
        <f t="shared" si="4"/>
        <v>0.27407408402867905</v>
      </c>
      <c r="L36" s="8">
        <f t="shared" si="5"/>
        <v>0.63771481170894362</v>
      </c>
      <c r="M36" s="32">
        <f t="shared" si="6"/>
        <v>0.46314870598423363</v>
      </c>
    </row>
    <row r="37" spans="1:13" x14ac:dyDescent="0.2">
      <c r="A37" s="14" t="s">
        <v>34</v>
      </c>
      <c r="B37" s="13" t="s">
        <v>35</v>
      </c>
      <c r="C37" s="14">
        <v>1.69</v>
      </c>
      <c r="E37" s="5">
        <f t="shared" si="8"/>
        <v>1.1913561213789106</v>
      </c>
      <c r="F37" s="5">
        <f t="shared" si="0"/>
        <v>273.25208489792516</v>
      </c>
      <c r="G37" s="6">
        <f t="shared" si="1"/>
        <v>894.279550575028</v>
      </c>
      <c r="H37" s="5">
        <f t="shared" si="2"/>
        <v>0.27955464243730976</v>
      </c>
      <c r="I37" s="5">
        <f t="shared" si="3"/>
        <v>1.0431147831520562</v>
      </c>
      <c r="J37" s="8">
        <f t="shared" si="7"/>
        <v>1.3226694255893658</v>
      </c>
      <c r="K37" s="5">
        <f t="shared" si="4"/>
        <v>0.49260567555398777</v>
      </c>
      <c r="L37" s="8">
        <f t="shared" si="5"/>
        <v>0.57652708983415135</v>
      </c>
      <c r="M37" s="32">
        <f t="shared" si="6"/>
        <v>1.1737375739944738</v>
      </c>
    </row>
    <row r="38" spans="1:13" x14ac:dyDescent="0.2">
      <c r="A38" s="14" t="s">
        <v>36</v>
      </c>
      <c r="B38" s="13" t="s">
        <v>37</v>
      </c>
      <c r="C38" s="14">
        <v>7.0999999999999994E-2</v>
      </c>
      <c r="E38" s="5">
        <f t="shared" si="8"/>
        <v>1.6798121311442638</v>
      </c>
      <c r="F38" s="5">
        <f t="shared" si="0"/>
        <v>385.28543970607444</v>
      </c>
      <c r="G38" s="6">
        <f t="shared" si="1"/>
        <v>1260.9341663107894</v>
      </c>
      <c r="H38" s="5">
        <f t="shared" si="2"/>
        <v>0.19826570385624806</v>
      </c>
      <c r="I38" s="5">
        <f t="shared" si="3"/>
        <v>1.017976009874985</v>
      </c>
      <c r="J38" s="8">
        <f t="shared" si="7"/>
        <v>1.2162417137312331</v>
      </c>
      <c r="K38" s="5">
        <f t="shared" si="4"/>
        <v>0.9005466527912106</v>
      </c>
      <c r="L38" s="8">
        <f t="shared" si="5"/>
        <v>0.53013722263968144</v>
      </c>
      <c r="M38" s="32">
        <f t="shared" si="6"/>
        <v>3.0254983840400738</v>
      </c>
    </row>
    <row r="39" spans="1:13" x14ac:dyDescent="0.2">
      <c r="E39" s="5">
        <f t="shared" si="8"/>
        <v>2.3685351049134118</v>
      </c>
      <c r="F39" s="5">
        <f t="shared" si="0"/>
        <v>543.25246998556497</v>
      </c>
      <c r="G39" s="6">
        <f t="shared" si="1"/>
        <v>1777.9171744982132</v>
      </c>
      <c r="H39" s="5">
        <f t="shared" si="2"/>
        <v>0.14061397436613338</v>
      </c>
      <c r="I39" s="5">
        <f t="shared" si="3"/>
        <v>0.99344307397274878</v>
      </c>
      <c r="J39" s="8">
        <f t="shared" si="7"/>
        <v>1.1340570483388821</v>
      </c>
      <c r="K39" s="5">
        <f t="shared" si="4"/>
        <v>1.6693963105929319</v>
      </c>
      <c r="L39" s="8">
        <f t="shared" si="5"/>
        <v>0.49431445010788794</v>
      </c>
      <c r="M39" s="32">
        <f t="shared" si="6"/>
        <v>7.9080475313045859</v>
      </c>
    </row>
    <row r="40" spans="1:13" x14ac:dyDescent="0.2">
      <c r="A40" s="15" t="s">
        <v>182</v>
      </c>
      <c r="E40" s="5">
        <f t="shared" si="8"/>
        <v>3.3396344979279102</v>
      </c>
      <c r="F40" s="5">
        <f t="shared" si="0"/>
        <v>765.98598267964644</v>
      </c>
      <c r="G40" s="6">
        <f t="shared" si="1"/>
        <v>2506.86321604248</v>
      </c>
      <c r="H40" s="5">
        <f t="shared" si="2"/>
        <v>9.9726222954704541E-2</v>
      </c>
      <c r="I40" s="5">
        <f t="shared" si="3"/>
        <v>0.96950137493478483</v>
      </c>
      <c r="J40" s="8">
        <f t="shared" ref="J40:J50" si="9">H40+I40</f>
        <v>1.0692275978894894</v>
      </c>
      <c r="K40" s="5">
        <f t="shared" si="4"/>
        <v>3.1291971956571132</v>
      </c>
      <c r="L40" s="8">
        <f t="shared" si="5"/>
        <v>0.46605649412884104</v>
      </c>
      <c r="M40" s="32">
        <f t="shared" si="6"/>
        <v>20.900749810871538</v>
      </c>
    </row>
    <row r="41" spans="1:13" x14ac:dyDescent="0.2">
      <c r="A41" s="17" t="s">
        <v>3</v>
      </c>
      <c r="B41" s="18" t="s">
        <v>4</v>
      </c>
      <c r="C41" s="18" t="s">
        <v>5</v>
      </c>
      <c r="E41" s="5">
        <f t="shared" si="8"/>
        <v>4.7088846420783534</v>
      </c>
      <c r="F41" s="5">
        <f t="shared" si="0"/>
        <v>1080.0402355783017</v>
      </c>
      <c r="G41" s="6">
        <f t="shared" si="1"/>
        <v>3534.6771346198975</v>
      </c>
      <c r="H41" s="5">
        <f t="shared" si="2"/>
        <v>7.0727817698371998E-2</v>
      </c>
      <c r="I41" s="5">
        <f t="shared" si="3"/>
        <v>0.94613666411873509</v>
      </c>
      <c r="J41" s="8">
        <f t="shared" si="9"/>
        <v>1.0168644818171071</v>
      </c>
      <c r="K41" s="5">
        <f t="shared" si="4"/>
        <v>5.9164891977608356</v>
      </c>
      <c r="L41" s="8">
        <f t="shared" si="5"/>
        <v>0.44323238226853484</v>
      </c>
      <c r="M41" s="32">
        <f t="shared" si="6"/>
        <v>55.720130236716962</v>
      </c>
    </row>
    <row r="42" spans="1:13" x14ac:dyDescent="0.2">
      <c r="A42" s="14" t="s">
        <v>183</v>
      </c>
      <c r="B42" s="14" t="s">
        <v>0</v>
      </c>
      <c r="C42" s="5">
        <v>2.0000000000000002E-5</v>
      </c>
      <c r="E42" s="5">
        <f t="shared" si="8"/>
        <v>6.6395273453304782</v>
      </c>
      <c r="F42" s="5">
        <f t="shared" si="0"/>
        <v>1522.8567321654052</v>
      </c>
      <c r="G42" s="6">
        <f t="shared" si="1"/>
        <v>4983.8947598140549</v>
      </c>
      <c r="H42" s="5">
        <f t="shared" si="2"/>
        <v>5.0161572835724831E-2</v>
      </c>
      <c r="I42" s="5">
        <f t="shared" si="3"/>
        <v>0.92333503627051949</v>
      </c>
      <c r="J42" s="8">
        <f t="shared" si="9"/>
        <v>0.97349660910624436</v>
      </c>
      <c r="K42" s="5">
        <f t="shared" si="4"/>
        <v>11.260914635705126</v>
      </c>
      <c r="L42" s="8">
        <f t="shared" si="5"/>
        <v>0.42432913028238517</v>
      </c>
      <c r="M42" s="32">
        <f t="shared" si="6"/>
        <v>149.53430131439276</v>
      </c>
    </row>
    <row r="43" spans="1:13" x14ac:dyDescent="0.2">
      <c r="A43" s="14" t="s">
        <v>184</v>
      </c>
      <c r="B43" s="14" t="s">
        <v>7</v>
      </c>
      <c r="C43" s="21">
        <v>1.41</v>
      </c>
      <c r="E43" s="5">
        <f t="shared" si="8"/>
        <v>9.3617335569159739</v>
      </c>
      <c r="F43" s="5">
        <f t="shared" si="0"/>
        <v>2147.2279923532215</v>
      </c>
      <c r="G43" s="6">
        <f t="shared" si="1"/>
        <v>7027.2916113378178</v>
      </c>
      <c r="H43" s="5">
        <f t="shared" si="2"/>
        <v>3.5575583571436045E-2</v>
      </c>
      <c r="I43" s="5">
        <f t="shared" si="3"/>
        <v>0.90108292124877598</v>
      </c>
      <c r="J43" s="8">
        <f t="shared" si="9"/>
        <v>0.93665850482021207</v>
      </c>
      <c r="K43" s="5">
        <f t="shared" si="4"/>
        <v>21.540646285339186</v>
      </c>
      <c r="L43" s="8">
        <f t="shared" si="5"/>
        <v>0.40827208333766601</v>
      </c>
      <c r="M43" s="32">
        <f t="shared" si="6"/>
        <v>403.31558233423459</v>
      </c>
    </row>
    <row r="44" spans="1:13" x14ac:dyDescent="0.2">
      <c r="A44" s="17"/>
      <c r="B44" s="16"/>
      <c r="E44" s="5">
        <f t="shared" si="8"/>
        <v>13.200044315251523</v>
      </c>
      <c r="F44" s="5">
        <f t="shared" si="0"/>
        <v>3027.5914692180422</v>
      </c>
      <c r="G44" s="6">
        <f t="shared" si="1"/>
        <v>9908.4811719863228</v>
      </c>
      <c r="H44" s="5">
        <f t="shared" si="2"/>
        <v>2.5230910334351805E-2</v>
      </c>
      <c r="I44" s="5">
        <f t="shared" si="3"/>
        <v>0.87936707594873709</v>
      </c>
      <c r="J44" s="8">
        <f t="shared" si="9"/>
        <v>0.90459798628308885</v>
      </c>
      <c r="K44" s="5">
        <f t="shared" si="4"/>
        <v>41.359120069949043</v>
      </c>
      <c r="L44" s="8">
        <f t="shared" si="5"/>
        <v>0.3942974974788106</v>
      </c>
      <c r="M44" s="32">
        <f t="shared" si="6"/>
        <v>1091.8844355262722</v>
      </c>
    </row>
    <row r="45" spans="1:13" x14ac:dyDescent="0.2">
      <c r="B45" s="13"/>
      <c r="C45" s="19"/>
      <c r="E45" s="5">
        <f t="shared" si="8"/>
        <v>18.612062484504644</v>
      </c>
      <c r="F45" s="5">
        <f t="shared" si="0"/>
        <v>4268.9039715974386</v>
      </c>
      <c r="G45" s="6">
        <f t="shared" si="1"/>
        <v>13970.958452500712</v>
      </c>
      <c r="H45" s="5">
        <f t="shared" si="2"/>
        <v>1.7894262648476461E-2</v>
      </c>
      <c r="I45" s="5">
        <f t="shared" si="3"/>
        <v>0.85817457642074035</v>
      </c>
      <c r="J45" s="8">
        <f t="shared" si="9"/>
        <v>0.87606883906921684</v>
      </c>
      <c r="K45" s="5">
        <f t="shared" si="4"/>
        <v>79.632826746798912</v>
      </c>
      <c r="L45" s="8">
        <f t="shared" si="5"/>
        <v>0.38186217093352909</v>
      </c>
      <c r="M45" s="32">
        <f t="shared" si="6"/>
        <v>2964.2622944583081</v>
      </c>
    </row>
    <row r="46" spans="1:13" x14ac:dyDescent="0.2">
      <c r="B46" s="13"/>
      <c r="C46" s="19"/>
      <c r="E46" s="5">
        <f t="shared" si="8"/>
        <v>26.243008103151546</v>
      </c>
      <c r="F46" s="5">
        <f t="shared" si="0"/>
        <v>6019.1545999523878</v>
      </c>
      <c r="G46" s="6">
        <f t="shared" si="1"/>
        <v>19699.051418026003</v>
      </c>
      <c r="H46" s="5">
        <f t="shared" si="2"/>
        <v>1.2690966417359196E-2</v>
      </c>
      <c r="I46" s="5">
        <f t="shared" si="3"/>
        <v>0.83749281017868082</v>
      </c>
      <c r="J46" s="8">
        <f t="shared" si="9"/>
        <v>0.85018377659604005</v>
      </c>
      <c r="K46" s="5">
        <f t="shared" si="4"/>
        <v>153.64022616915827</v>
      </c>
      <c r="L46" s="8">
        <f t="shared" si="5"/>
        <v>0.37057935192439823</v>
      </c>
      <c r="M46" s="32">
        <f t="shared" si="6"/>
        <v>8063.963400654513</v>
      </c>
    </row>
    <row r="47" spans="1:13" x14ac:dyDescent="0.2">
      <c r="B47" s="13"/>
      <c r="C47" s="19"/>
      <c r="E47" s="5">
        <f t="shared" si="8"/>
        <v>37.002641425443677</v>
      </c>
      <c r="F47" s="5">
        <f t="shared" si="0"/>
        <v>8487.0079859328653</v>
      </c>
      <c r="G47" s="6">
        <f t="shared" si="1"/>
        <v>27775.66249941666</v>
      </c>
      <c r="H47" s="5">
        <f t="shared" si="2"/>
        <v>9.00068540238241E-3</v>
      </c>
      <c r="I47" s="5">
        <f t="shared" si="3"/>
        <v>0.81730946869382537</v>
      </c>
      <c r="J47" s="8">
        <f t="shared" si="9"/>
        <v>0.82631015409620778</v>
      </c>
      <c r="K47" s="5">
        <f t="shared" si="4"/>
        <v>296.87487172872022</v>
      </c>
      <c r="L47" s="8">
        <f t="shared" si="5"/>
        <v>0.3601732823220149</v>
      </c>
      <c r="M47" s="32">
        <f t="shared" si="6"/>
        <v>21970.308853604842</v>
      </c>
    </row>
    <row r="48" spans="1:13" x14ac:dyDescent="0.2">
      <c r="E48" s="5">
        <f t="shared" si="8"/>
        <v>52.173724409875582</v>
      </c>
      <c r="F48" s="5">
        <f t="shared" si="0"/>
        <v>11966.681260165342</v>
      </c>
      <c r="G48" s="6">
        <f t="shared" si="1"/>
        <v>39163.684124177496</v>
      </c>
      <c r="H48" s="5">
        <f t="shared" si="2"/>
        <v>6.3834648243846865E-3</v>
      </c>
      <c r="I48" s="5">
        <f t="shared" si="3"/>
        <v>0.79761254006952598</v>
      </c>
      <c r="J48" s="8">
        <f t="shared" si="9"/>
        <v>0.80399600489391065</v>
      </c>
      <c r="K48" s="5">
        <f t="shared" si="4"/>
        <v>574.27837886949089</v>
      </c>
      <c r="L48" s="8">
        <f t="shared" si="5"/>
        <v>0.35044695822860583</v>
      </c>
      <c r="M48" s="32">
        <f t="shared" si="6"/>
        <v>59924.483747373881</v>
      </c>
    </row>
    <row r="49" spans="1:13" x14ac:dyDescent="0.2">
      <c r="E49" s="5">
        <f t="shared" si="8"/>
        <v>73.564951417924561</v>
      </c>
      <c r="F49" s="5">
        <f t="shared" si="0"/>
        <v>16873.020576833129</v>
      </c>
      <c r="G49" s="6">
        <f t="shared" si="1"/>
        <v>55220.794615090257</v>
      </c>
      <c r="H49" s="5">
        <f t="shared" si="2"/>
        <v>4.5272800172941044E-3</v>
      </c>
      <c r="I49" s="5">
        <f t="shared" si="3"/>
        <v>0.77839030189247049</v>
      </c>
      <c r="J49" s="8">
        <f t="shared" si="9"/>
        <v>0.78291758190976457</v>
      </c>
      <c r="K49" s="5">
        <f t="shared" si="4"/>
        <v>1111.7902123908113</v>
      </c>
      <c r="L49" s="8">
        <f t="shared" si="5"/>
        <v>0.34125926429221043</v>
      </c>
      <c r="M49" s="32">
        <f t="shared" si="6"/>
        <v>163577.58592290813</v>
      </c>
    </row>
    <row r="50" spans="1:13" x14ac:dyDescent="0.2">
      <c r="E50" s="5">
        <f t="shared" si="8"/>
        <v>103.72658149927362</v>
      </c>
      <c r="F50" s="5">
        <f t="shared" si="0"/>
        <v>23790.959013334708</v>
      </c>
      <c r="G50" s="6">
        <f t="shared" si="1"/>
        <v>77861.32040727725</v>
      </c>
      <c r="H50" s="5">
        <f t="shared" si="2"/>
        <v>3.2108368916979471E-3</v>
      </c>
      <c r="I50" s="5">
        <f t="shared" si="3"/>
        <v>0.75963131425621411</v>
      </c>
      <c r="J50" s="8">
        <f t="shared" si="9"/>
        <v>0.7628421511479121</v>
      </c>
      <c r="K50" s="5">
        <f t="shared" si="4"/>
        <v>2153.6727239852917</v>
      </c>
      <c r="L50" s="8">
        <f t="shared" si="5"/>
        <v>0.33250875607724917</v>
      </c>
      <c r="M50" s="32">
        <f t="shared" si="6"/>
        <v>446786.21865444601</v>
      </c>
    </row>
    <row r="54" spans="1:13" x14ac:dyDescent="0.2">
      <c r="A54" s="15"/>
    </row>
    <row r="55" spans="1:13" x14ac:dyDescent="0.2">
      <c r="A55" s="17"/>
      <c r="B55" s="18"/>
      <c r="C55" s="18"/>
    </row>
    <row r="56" spans="1:13" x14ac:dyDescent="0.2">
      <c r="B56" s="13"/>
    </row>
    <row r="57" spans="1:13" x14ac:dyDescent="0.2">
      <c r="B57" s="13"/>
    </row>
    <row r="58" spans="1:13" x14ac:dyDescent="0.2">
      <c r="B58" s="13"/>
    </row>
    <row r="59" spans="1:13" x14ac:dyDescent="0.2">
      <c r="B59" s="13"/>
    </row>
    <row r="60" spans="1:13" x14ac:dyDescent="0.2">
      <c r="B60" s="13"/>
    </row>
    <row r="61" spans="1:13" x14ac:dyDescent="0.2">
      <c r="B61" s="13"/>
    </row>
    <row r="63" spans="1:13" x14ac:dyDescent="0.2">
      <c r="A63" s="10"/>
      <c r="B63" s="36"/>
      <c r="C63" s="42"/>
    </row>
    <row r="64" spans="1:13" x14ac:dyDescent="0.2">
      <c r="A64" s="17"/>
      <c r="B64" s="18"/>
      <c r="C64" s="18"/>
    </row>
    <row r="65" spans="1:3" x14ac:dyDescent="0.2">
      <c r="B65" s="13"/>
    </row>
    <row r="66" spans="1:3" x14ac:dyDescent="0.2">
      <c r="B66" s="13"/>
    </row>
    <row r="67" spans="1:3" x14ac:dyDescent="0.2">
      <c r="B67" s="13"/>
    </row>
    <row r="68" spans="1:3" x14ac:dyDescent="0.2">
      <c r="A68" s="53"/>
      <c r="B68" s="52"/>
      <c r="C68" s="45"/>
    </row>
    <row r="69" spans="1:3" x14ac:dyDescent="0.2">
      <c r="A69" s="15"/>
    </row>
    <row r="70" spans="1:3" x14ac:dyDescent="0.2">
      <c r="A70" s="17"/>
      <c r="B70" s="18"/>
      <c r="C70" s="18"/>
    </row>
    <row r="71" spans="1:3" x14ac:dyDescent="0.2">
      <c r="B71" s="13"/>
      <c r="C71" s="19"/>
    </row>
    <row r="72" spans="1:3" x14ac:dyDescent="0.2">
      <c r="B72" s="13"/>
      <c r="C72" s="19"/>
    </row>
    <row r="73" spans="1:3" x14ac:dyDescent="0.2">
      <c r="B73" s="13"/>
      <c r="C73" s="19"/>
    </row>
    <row r="74" spans="1:3" x14ac:dyDescent="0.2">
      <c r="B74" s="13"/>
      <c r="C74" s="24"/>
    </row>
    <row r="75" spans="1:3" x14ac:dyDescent="0.2">
      <c r="B75" s="13"/>
      <c r="C75" s="19"/>
    </row>
    <row r="76" spans="1:3" x14ac:dyDescent="0.2">
      <c r="B76" s="13"/>
      <c r="C76" s="19"/>
    </row>
    <row r="77" spans="1:3" x14ac:dyDescent="0.2">
      <c r="B77" s="13"/>
      <c r="C77" s="19"/>
    </row>
    <row r="78" spans="1:3" x14ac:dyDescent="0.2">
      <c r="B78" s="13"/>
      <c r="C78" s="24"/>
    </row>
    <row r="79" spans="1:3" x14ac:dyDescent="0.2">
      <c r="B79" s="13"/>
      <c r="C79" s="19"/>
    </row>
    <row r="80" spans="1:3" x14ac:dyDescent="0.2">
      <c r="B80" s="13"/>
      <c r="C80" s="19"/>
    </row>
    <row r="81" spans="1:3" x14ac:dyDescent="0.2">
      <c r="B81" s="13"/>
    </row>
    <row r="83" spans="1:3" x14ac:dyDescent="0.2">
      <c r="A83" s="15"/>
    </row>
    <row r="84" spans="1:3" x14ac:dyDescent="0.2">
      <c r="A84" s="17"/>
      <c r="B84" s="18"/>
      <c r="C84" s="18"/>
    </row>
    <row r="85" spans="1:3" x14ac:dyDescent="0.2">
      <c r="B85" s="13"/>
    </row>
    <row r="86" spans="1:3" x14ac:dyDescent="0.2">
      <c r="B86" s="13"/>
    </row>
    <row r="87" spans="1:3" x14ac:dyDescent="0.2">
      <c r="B87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12EE-CD9B-8E4E-8B20-A5BC17A63E7A}">
  <dimension ref="A1:U354"/>
  <sheetViews>
    <sheetView tabSelected="1" zoomScale="91" zoomScaleNormal="92" workbookViewId="0">
      <selection activeCell="F59" sqref="F59"/>
    </sheetView>
  </sheetViews>
  <sheetFormatPr baseColWidth="10" defaultRowHeight="16" x14ac:dyDescent="0.2"/>
  <cols>
    <col min="1" max="1" width="31.1640625" style="11" customWidth="1"/>
    <col min="2" max="2" width="11.83203125" style="36" customWidth="1"/>
    <col min="3" max="3" width="11.83203125" style="42" customWidth="1"/>
    <col min="4" max="4" width="12.33203125" style="11" bestFit="1" customWidth="1"/>
    <col min="5" max="5" width="12" style="11" bestFit="1" customWidth="1"/>
    <col min="6" max="13" width="10.83203125" style="11" customWidth="1"/>
    <col min="14" max="14" width="12.5" style="11" bestFit="1" customWidth="1"/>
    <col min="15" max="15" width="12.1640625" style="11" bestFit="1" customWidth="1"/>
    <col min="16" max="16" width="11.1640625" style="11" bestFit="1" customWidth="1"/>
    <col min="17" max="17" width="12.6640625" style="11" bestFit="1" customWidth="1"/>
    <col min="18" max="18" width="11" style="11" bestFit="1" customWidth="1"/>
    <col min="19" max="16384" width="10.83203125" style="11"/>
  </cols>
  <sheetData>
    <row r="1" spans="1:18" ht="26" x14ac:dyDescent="0.3">
      <c r="A1" s="90" t="s">
        <v>100</v>
      </c>
    </row>
    <row r="2" spans="1:18" ht="50" customHeight="1" x14ac:dyDescent="0.2">
      <c r="A2" s="100" t="s">
        <v>165</v>
      </c>
      <c r="B2" s="100"/>
      <c r="C2" s="100"/>
      <c r="D2" s="100"/>
      <c r="E2" s="100"/>
      <c r="F2" s="100"/>
      <c r="G2" s="100"/>
    </row>
    <row r="3" spans="1:18" ht="26" x14ac:dyDescent="0.3">
      <c r="A3" s="12"/>
    </row>
    <row r="4" spans="1:18" x14ac:dyDescent="0.2">
      <c r="B4" s="13"/>
      <c r="C4" s="21"/>
      <c r="D4" s="14"/>
      <c r="H4" s="10"/>
      <c r="J4" s="10"/>
    </row>
    <row r="5" spans="1:18" x14ac:dyDescent="0.2">
      <c r="A5" s="15" t="s">
        <v>77</v>
      </c>
      <c r="B5" s="14"/>
      <c r="C5" s="14"/>
      <c r="D5" s="14"/>
      <c r="F5" s="10" t="s">
        <v>156</v>
      </c>
      <c r="G5" s="82" t="s">
        <v>158</v>
      </c>
      <c r="H5" s="10" t="s">
        <v>157</v>
      </c>
      <c r="Q5" s="25"/>
      <c r="R5" s="25"/>
    </row>
    <row r="6" spans="1:18" x14ac:dyDescent="0.2">
      <c r="A6" s="17" t="s">
        <v>3</v>
      </c>
      <c r="B6" s="18" t="s">
        <v>4</v>
      </c>
      <c r="C6" s="18" t="s">
        <v>5</v>
      </c>
      <c r="D6" s="14"/>
      <c r="F6" s="9" t="s">
        <v>9</v>
      </c>
      <c r="G6" s="9" t="s">
        <v>90</v>
      </c>
      <c r="H6" s="9" t="s">
        <v>91</v>
      </c>
      <c r="I6" s="9" t="s">
        <v>92</v>
      </c>
      <c r="J6" s="9" t="s">
        <v>110</v>
      </c>
      <c r="K6" s="9" t="s">
        <v>93</v>
      </c>
      <c r="L6" s="9" t="s">
        <v>85</v>
      </c>
      <c r="M6" s="9" t="s">
        <v>40</v>
      </c>
      <c r="N6" s="9" t="s">
        <v>74</v>
      </c>
      <c r="O6" s="18" t="s">
        <v>10</v>
      </c>
      <c r="P6" s="18" t="s">
        <v>10</v>
      </c>
    </row>
    <row r="7" spans="1:18" x14ac:dyDescent="0.2">
      <c r="A7" s="14" t="s">
        <v>141</v>
      </c>
      <c r="B7" s="13" t="s">
        <v>13</v>
      </c>
      <c r="C7" s="14">
        <v>1.204</v>
      </c>
      <c r="D7" s="14"/>
      <c r="F7" s="9" t="s">
        <v>12</v>
      </c>
      <c r="G7" s="9" t="s">
        <v>58</v>
      </c>
      <c r="H7" s="9" t="s">
        <v>58</v>
      </c>
      <c r="I7" s="9" t="s">
        <v>58</v>
      </c>
      <c r="J7" s="9" t="s">
        <v>111</v>
      </c>
      <c r="K7" s="9" t="s">
        <v>58</v>
      </c>
      <c r="L7" s="9" t="s">
        <v>58</v>
      </c>
      <c r="M7" s="9" t="s">
        <v>59</v>
      </c>
      <c r="N7" s="9" t="s">
        <v>75</v>
      </c>
      <c r="O7" s="18" t="s">
        <v>11</v>
      </c>
      <c r="P7" s="18" t="s">
        <v>76</v>
      </c>
    </row>
    <row r="8" spans="1:18" x14ac:dyDescent="0.2">
      <c r="A8" s="14" t="s">
        <v>142</v>
      </c>
      <c r="B8" s="13" t="s">
        <v>78</v>
      </c>
      <c r="C8" s="14">
        <v>1.8130000000000001E-5</v>
      </c>
      <c r="D8" s="14"/>
      <c r="F8" s="46">
        <f t="shared" ref="F8:F29" si="0">F62</f>
        <v>0.05</v>
      </c>
      <c r="G8" s="46">
        <f t="shared" ref="G8:G29" si="1">F8*$C$52/$C$31</f>
        <v>11.231378549889737</v>
      </c>
      <c r="H8" s="30">
        <f t="shared" ref="H8:H29" si="2">$C$57*G8^$C$58*($C$33/$C$45)^$C$60</f>
        <v>1.1386661084408427E-2</v>
      </c>
      <c r="I8" s="30">
        <f t="shared" ref="I8:I29" si="3">$C$59*($C$33/$C$45)^$C$60</f>
        <v>8.276032863207607E-3</v>
      </c>
      <c r="J8" s="42" t="str">
        <f t="shared" ref="J8:J29" si="4">IF(G8&lt;$C$61, "too low", IF(G8&lt;$C$62, "factor 1", IF(G8&lt;$C$63, "factor 2", "too high")))</f>
        <v>too low</v>
      </c>
      <c r="K8" s="43">
        <f t="shared" ref="K8:K29" si="5">IF(G8&lt;=$C$62,H8,I8)</f>
        <v>1.1386661084408427E-2</v>
      </c>
      <c r="L8" s="43">
        <f t="shared" ref="L8:L29" si="6">K8 * ($C$56 + $C$42 / $C$45) * (1 / $C$48)^2 + ( 1 / $C$48 - 1)^2</f>
        <v>0.8244500238483421</v>
      </c>
      <c r="M8" s="43">
        <f t="shared" ref="M8:M29" si="7">L8*0.5*$C$29*F8^2</f>
        <v>1.0287075172567692</v>
      </c>
      <c r="N8" s="46">
        <f>M8/($C$29*$C$34)*$C$35</f>
        <v>0.10505224564836166</v>
      </c>
      <c r="O8" s="60">
        <f t="shared" ref="O8:O29" si="8">0.5*$C$29*L8*$C$41*F8^3</f>
        <v>5.1435375862838459E-2</v>
      </c>
      <c r="P8" s="69">
        <f>O8/1000</f>
        <v>5.1435375862838457E-5</v>
      </c>
    </row>
    <row r="9" spans="1:18" x14ac:dyDescent="0.2">
      <c r="A9" s="14" t="s">
        <v>143</v>
      </c>
      <c r="B9" s="13" t="s">
        <v>79</v>
      </c>
      <c r="C9" s="14">
        <f>C8/C7</f>
        <v>1.5058139534883723E-5</v>
      </c>
      <c r="D9" s="14"/>
      <c r="F9" s="46">
        <f t="shared" si="0"/>
        <v>0.1</v>
      </c>
      <c r="G9" s="46">
        <f t="shared" si="1"/>
        <v>22.462757099779473</v>
      </c>
      <c r="H9" s="30">
        <f t="shared" si="2"/>
        <v>1.0624130455201343E-2</v>
      </c>
      <c r="I9" s="30">
        <f t="shared" si="3"/>
        <v>8.276032863207607E-3</v>
      </c>
      <c r="J9" s="42" t="str">
        <f t="shared" si="4"/>
        <v>too low</v>
      </c>
      <c r="K9" s="43">
        <f t="shared" si="5"/>
        <v>1.0624130455201343E-2</v>
      </c>
      <c r="L9" s="43">
        <f t="shared" si="6"/>
        <v>0.78777917344213799</v>
      </c>
      <c r="M9" s="43">
        <f t="shared" si="7"/>
        <v>3.9318058546497117</v>
      </c>
      <c r="N9" s="46">
        <f t="shared" ref="N9:N29" si="9">M9/($C$29*$C$34)*$C$35</f>
        <v>0.40151843702453521</v>
      </c>
      <c r="O9" s="60">
        <f t="shared" si="8"/>
        <v>0.3931805854649712</v>
      </c>
      <c r="P9" s="69">
        <f t="shared" ref="P9:P29" si="10">O9/1000</f>
        <v>3.9318058546497118E-4</v>
      </c>
    </row>
    <row r="10" spans="1:18" x14ac:dyDescent="0.2">
      <c r="A10" s="14" t="s">
        <v>144</v>
      </c>
      <c r="B10" s="13" t="s">
        <v>13</v>
      </c>
      <c r="C10" s="14">
        <v>998.2</v>
      </c>
      <c r="D10" s="14"/>
      <c r="F10" s="71">
        <f t="shared" si="0"/>
        <v>0.2</v>
      </c>
      <c r="G10" s="71">
        <f t="shared" si="1"/>
        <v>44.925514199558947</v>
      </c>
      <c r="H10" s="79">
        <f t="shared" si="2"/>
        <v>9.9126642210938115E-3</v>
      </c>
      <c r="I10" s="79">
        <f t="shared" si="3"/>
        <v>8.276032863207607E-3</v>
      </c>
      <c r="J10" s="77" t="str">
        <f t="shared" si="4"/>
        <v>factor 1</v>
      </c>
      <c r="K10" s="76">
        <f t="shared" si="5"/>
        <v>9.9126642210938115E-3</v>
      </c>
      <c r="L10" s="76">
        <f t="shared" si="6"/>
        <v>0.75356406018543876</v>
      </c>
      <c r="M10" s="76">
        <f t="shared" si="7"/>
        <v>15.044152897542103</v>
      </c>
      <c r="N10" s="71">
        <f t="shared" si="9"/>
        <v>1.5363181655156757</v>
      </c>
      <c r="O10" s="80">
        <f t="shared" si="8"/>
        <v>3.0088305795084209</v>
      </c>
      <c r="P10" s="81">
        <f t="shared" si="10"/>
        <v>3.0088305795084209E-3</v>
      </c>
    </row>
    <row r="11" spans="1:18" x14ac:dyDescent="0.2">
      <c r="A11" s="14" t="s">
        <v>145</v>
      </c>
      <c r="B11" s="13" t="s">
        <v>78</v>
      </c>
      <c r="C11" s="14">
        <v>1.307E-3</v>
      </c>
      <c r="D11" s="14"/>
      <c r="F11" s="46">
        <f t="shared" si="0"/>
        <v>0.4</v>
      </c>
      <c r="G11" s="46">
        <f t="shared" si="1"/>
        <v>89.851028399117894</v>
      </c>
      <c r="H11" s="30">
        <f t="shared" si="2"/>
        <v>9.2488427523070363E-3</v>
      </c>
      <c r="I11" s="30">
        <f t="shared" si="3"/>
        <v>8.276032863207607E-3</v>
      </c>
      <c r="J11" s="42" t="str">
        <f t="shared" si="4"/>
        <v>factor 1</v>
      </c>
      <c r="K11" s="43">
        <f t="shared" si="5"/>
        <v>9.2488427523070363E-3</v>
      </c>
      <c r="L11" s="43">
        <f t="shared" si="6"/>
        <v>0.72164023070776995</v>
      </c>
      <c r="M11" s="43">
        <f t="shared" si="7"/>
        <v>57.627302263399692</v>
      </c>
      <c r="N11" s="46">
        <f t="shared" si="9"/>
        <v>5.8849356224894604</v>
      </c>
      <c r="O11" s="60">
        <f t="shared" si="8"/>
        <v>23.050920905359877</v>
      </c>
      <c r="P11" s="69">
        <f t="shared" si="10"/>
        <v>2.3050920905359876E-2</v>
      </c>
    </row>
    <row r="12" spans="1:18" x14ac:dyDescent="0.2">
      <c r="A12" s="14" t="s">
        <v>146</v>
      </c>
      <c r="B12" s="13" t="s">
        <v>79</v>
      </c>
      <c r="C12" s="14">
        <f>C11/C10</f>
        <v>1.3093568423161691E-6</v>
      </c>
      <c r="D12" s="14"/>
      <c r="F12" s="71">
        <f t="shared" si="0"/>
        <v>0.5</v>
      </c>
      <c r="G12" s="71">
        <f t="shared" si="1"/>
        <v>112.31378549889736</v>
      </c>
      <c r="H12" s="79">
        <f t="shared" si="2"/>
        <v>9.0447463985818179E-3</v>
      </c>
      <c r="I12" s="79">
        <f t="shared" si="3"/>
        <v>8.276032863207607E-3</v>
      </c>
      <c r="J12" s="77" t="str">
        <f t="shared" si="4"/>
        <v>factor 1</v>
      </c>
      <c r="K12" s="76">
        <f t="shared" si="5"/>
        <v>9.0447463985818179E-3</v>
      </c>
      <c r="L12" s="76">
        <f t="shared" si="6"/>
        <v>0.71182503565955024</v>
      </c>
      <c r="M12" s="76">
        <f t="shared" si="7"/>
        <v>88.81796882442039</v>
      </c>
      <c r="N12" s="71">
        <f t="shared" si="9"/>
        <v>9.0701457143163893</v>
      </c>
      <c r="O12" s="80">
        <f t="shared" si="8"/>
        <v>44.408984412210195</v>
      </c>
      <c r="P12" s="81">
        <f t="shared" si="10"/>
        <v>4.4408984412210195E-2</v>
      </c>
    </row>
    <row r="13" spans="1:18" x14ac:dyDescent="0.2">
      <c r="D13" s="14"/>
      <c r="F13" s="46">
        <f t="shared" si="0"/>
        <v>0.8</v>
      </c>
      <c r="G13" s="46">
        <f t="shared" si="1"/>
        <v>179.70205679823579</v>
      </c>
      <c r="H13" s="30">
        <f t="shared" si="2"/>
        <v>8.6294754214385535E-3</v>
      </c>
      <c r="I13" s="30">
        <f t="shared" si="3"/>
        <v>8.276032863207607E-3</v>
      </c>
      <c r="J13" s="42" t="str">
        <f t="shared" si="4"/>
        <v>factor 1</v>
      </c>
      <c r="K13" s="43">
        <f t="shared" si="5"/>
        <v>8.6294754214385535E-3</v>
      </c>
      <c r="L13" s="43">
        <f t="shared" si="6"/>
        <v>0.69185424458890965</v>
      </c>
      <c r="M13" s="43">
        <f t="shared" si="7"/>
        <v>220.99485022356794</v>
      </c>
      <c r="N13" s="46">
        <f t="shared" si="9"/>
        <v>22.568130302594408</v>
      </c>
      <c r="O13" s="60">
        <f t="shared" si="8"/>
        <v>176.79588017885436</v>
      </c>
      <c r="P13" s="69">
        <f t="shared" si="10"/>
        <v>0.17679588017885436</v>
      </c>
    </row>
    <row r="14" spans="1:18" x14ac:dyDescent="0.2">
      <c r="A14" s="15" t="s">
        <v>46</v>
      </c>
      <c r="B14" s="16"/>
      <c r="D14" s="14"/>
      <c r="F14" s="70">
        <f t="shared" si="0"/>
        <v>1</v>
      </c>
      <c r="G14" s="70">
        <f t="shared" si="1"/>
        <v>224.62757099779472</v>
      </c>
      <c r="H14" s="84">
        <f t="shared" si="2"/>
        <v>8.4390467899605609E-3</v>
      </c>
      <c r="I14" s="84">
        <f t="shared" si="3"/>
        <v>8.276032863207607E-3</v>
      </c>
      <c r="J14" s="85" t="str">
        <f t="shared" si="4"/>
        <v>factor 1</v>
      </c>
      <c r="K14" s="72">
        <f t="shared" si="5"/>
        <v>8.4390467899605609E-3</v>
      </c>
      <c r="L14" s="72">
        <f t="shared" si="6"/>
        <v>0.68269634379055211</v>
      </c>
      <c r="M14" s="72">
        <f t="shared" si="7"/>
        <v>340.73374518586456</v>
      </c>
      <c r="N14" s="70">
        <f t="shared" si="9"/>
        <v>34.795940050486855</v>
      </c>
      <c r="O14" s="86">
        <f t="shared" si="8"/>
        <v>340.73374518586456</v>
      </c>
      <c r="P14" s="69">
        <f t="shared" si="10"/>
        <v>0.34073374518586458</v>
      </c>
    </row>
    <row r="15" spans="1:18" x14ac:dyDescent="0.2">
      <c r="A15" s="17" t="s">
        <v>47</v>
      </c>
      <c r="B15" s="18" t="s">
        <v>4</v>
      </c>
      <c r="C15" s="18" t="s">
        <v>5</v>
      </c>
      <c r="D15" s="14"/>
      <c r="F15" s="46">
        <v>1.2</v>
      </c>
      <c r="G15" s="46">
        <f t="shared" si="1"/>
        <v>269.55308519735365</v>
      </c>
      <c r="H15" s="30">
        <f t="shared" si="2"/>
        <v>8.2865789076664084E-3</v>
      </c>
      <c r="I15" s="30">
        <f t="shared" si="3"/>
        <v>8.276032863207607E-3</v>
      </c>
      <c r="J15" s="42" t="str">
        <f t="shared" si="4"/>
        <v>factor 1</v>
      </c>
      <c r="K15" s="43">
        <f t="shared" si="5"/>
        <v>8.2865789076664084E-3</v>
      </c>
      <c r="L15" s="43">
        <f t="shared" si="6"/>
        <v>0.67536401287923709</v>
      </c>
      <c r="M15" s="43">
        <f t="shared" si="7"/>
        <v>485.38681751235919</v>
      </c>
      <c r="N15" s="46">
        <f t="shared" si="9"/>
        <v>49.568000945265105</v>
      </c>
      <c r="O15" s="60">
        <f t="shared" si="8"/>
        <v>582.46418101483107</v>
      </c>
      <c r="P15" s="69">
        <f t="shared" si="10"/>
        <v>0.58246418101483111</v>
      </c>
    </row>
    <row r="16" spans="1:18" x14ac:dyDescent="0.2">
      <c r="A16" s="14" t="s">
        <v>48</v>
      </c>
      <c r="B16" s="52" t="s">
        <v>41</v>
      </c>
      <c r="C16" s="22">
        <v>0.25</v>
      </c>
      <c r="F16" s="46">
        <v>1.4</v>
      </c>
      <c r="G16" s="46">
        <f t="shared" si="1"/>
        <v>314.47859939691256</v>
      </c>
      <c r="H16" s="30">
        <f t="shared" si="2"/>
        <v>8.1598202372897746E-3</v>
      </c>
      <c r="I16" s="30">
        <f t="shared" si="3"/>
        <v>8.276032863207607E-3</v>
      </c>
      <c r="J16" s="42" t="str">
        <f t="shared" si="4"/>
        <v>factor 2</v>
      </c>
      <c r="K16" s="43">
        <f t="shared" si="5"/>
        <v>8.276032863207607E-3</v>
      </c>
      <c r="L16" s="43">
        <f t="shared" si="6"/>
        <v>0.67485684319461992</v>
      </c>
      <c r="M16" s="43">
        <f t="shared" si="7"/>
        <v>660.16925885933222</v>
      </c>
      <c r="N16" s="46">
        <f t="shared" si="9"/>
        <v>67.41689157295896</v>
      </c>
      <c r="O16" s="60">
        <f t="shared" si="8"/>
        <v>924.23696240306492</v>
      </c>
      <c r="P16" s="69">
        <f t="shared" si="10"/>
        <v>0.92423696240306497</v>
      </c>
    </row>
    <row r="17" spans="1:16" x14ac:dyDescent="0.2">
      <c r="A17" s="14" t="s">
        <v>49</v>
      </c>
      <c r="B17" s="52" t="s">
        <v>41</v>
      </c>
      <c r="C17" s="22">
        <v>2.5000000000000001E-2</v>
      </c>
      <c r="F17" s="46">
        <v>1.8</v>
      </c>
      <c r="G17" s="46">
        <f t="shared" si="1"/>
        <v>404.32962779603048</v>
      </c>
      <c r="H17" s="30">
        <f t="shared" si="2"/>
        <v>7.9573075580456065E-3</v>
      </c>
      <c r="I17" s="30">
        <f t="shared" si="3"/>
        <v>8.276032863207607E-3</v>
      </c>
      <c r="J17" s="42" t="str">
        <f t="shared" si="4"/>
        <v>factor 2</v>
      </c>
      <c r="K17" s="43">
        <f t="shared" si="5"/>
        <v>8.276032863207607E-3</v>
      </c>
      <c r="L17" s="43">
        <f t="shared" si="6"/>
        <v>0.67485684319461992</v>
      </c>
      <c r="M17" s="43">
        <f t="shared" si="7"/>
        <v>1091.300203420529</v>
      </c>
      <c r="N17" s="46">
        <f t="shared" si="9"/>
        <v>111.44424933489137</v>
      </c>
      <c r="O17" s="60">
        <f t="shared" si="8"/>
        <v>1964.3403661569523</v>
      </c>
      <c r="P17" s="69">
        <f t="shared" si="10"/>
        <v>1.9643403661569523</v>
      </c>
    </row>
    <row r="18" spans="1:16" x14ac:dyDescent="0.2">
      <c r="A18" s="14" t="s">
        <v>50</v>
      </c>
      <c r="B18" s="52" t="s">
        <v>41</v>
      </c>
      <c r="C18" s="22">
        <v>2.5000000000000001E-3</v>
      </c>
      <c r="F18" s="46">
        <v>2</v>
      </c>
      <c r="G18" s="46">
        <f t="shared" si="1"/>
        <v>449.25514199558944</v>
      </c>
      <c r="H18" s="30">
        <f t="shared" si="2"/>
        <v>7.8739090721559931E-3</v>
      </c>
      <c r="I18" s="30">
        <f t="shared" si="3"/>
        <v>8.276032863207607E-3</v>
      </c>
      <c r="J18" s="42" t="str">
        <f t="shared" si="4"/>
        <v>factor 2</v>
      </c>
      <c r="K18" s="43">
        <f t="shared" si="5"/>
        <v>8.276032863207607E-3</v>
      </c>
      <c r="L18" s="43">
        <f t="shared" si="6"/>
        <v>0.67485684319461992</v>
      </c>
      <c r="M18" s="43">
        <f t="shared" si="7"/>
        <v>1347.2842017537394</v>
      </c>
      <c r="N18" s="46">
        <f t="shared" si="9"/>
        <v>137.58549300603872</v>
      </c>
      <c r="O18" s="60">
        <f t="shared" si="8"/>
        <v>2694.5684035074787</v>
      </c>
      <c r="P18" s="69">
        <f t="shared" si="10"/>
        <v>2.6945684035074788</v>
      </c>
    </row>
    <row r="19" spans="1:16" x14ac:dyDescent="0.2">
      <c r="A19" s="14" t="s">
        <v>51</v>
      </c>
      <c r="B19" s="52" t="s">
        <v>41</v>
      </c>
      <c r="C19" s="22">
        <v>2.5000000000000001E-3</v>
      </c>
      <c r="F19" s="46">
        <v>3</v>
      </c>
      <c r="G19" s="46">
        <f t="shared" si="1"/>
        <v>673.88271299338408</v>
      </c>
      <c r="H19" s="30">
        <f t="shared" si="2"/>
        <v>7.5610353644571899E-3</v>
      </c>
      <c r="I19" s="30">
        <f t="shared" si="3"/>
        <v>8.276032863207607E-3</v>
      </c>
      <c r="J19" s="42" t="str">
        <f t="shared" si="4"/>
        <v>too high</v>
      </c>
      <c r="K19" s="43">
        <f t="shared" si="5"/>
        <v>8.276032863207607E-3</v>
      </c>
      <c r="L19" s="43">
        <f t="shared" si="6"/>
        <v>0.67485684319461992</v>
      </c>
      <c r="M19" s="43">
        <f t="shared" si="7"/>
        <v>3031.3894539459134</v>
      </c>
      <c r="N19" s="46">
        <f t="shared" si="9"/>
        <v>309.56735926358715</v>
      </c>
      <c r="O19" s="60">
        <f t="shared" si="8"/>
        <v>9094.168361837741</v>
      </c>
      <c r="P19" s="69">
        <f t="shared" si="10"/>
        <v>9.0941683618377418</v>
      </c>
    </row>
    <row r="20" spans="1:16" x14ac:dyDescent="0.2">
      <c r="A20" s="14" t="s">
        <v>52</v>
      </c>
      <c r="B20" s="52" t="s">
        <v>41</v>
      </c>
      <c r="C20" s="22">
        <v>0.15</v>
      </c>
      <c r="F20" s="46">
        <v>5</v>
      </c>
      <c r="G20" s="46">
        <f t="shared" si="1"/>
        <v>1123.1378549889737</v>
      </c>
      <c r="H20" s="30">
        <f t="shared" si="2"/>
        <v>7.1844974403142987E-3</v>
      </c>
      <c r="I20" s="30">
        <f t="shared" si="3"/>
        <v>8.276032863207607E-3</v>
      </c>
      <c r="J20" s="42" t="str">
        <f t="shared" si="4"/>
        <v>too high</v>
      </c>
      <c r="K20" s="43">
        <f t="shared" si="5"/>
        <v>8.276032863207607E-3</v>
      </c>
      <c r="L20" s="91">
        <f t="shared" si="6"/>
        <v>0.67485684319461992</v>
      </c>
      <c r="M20" s="43">
        <f t="shared" si="7"/>
        <v>8420.5262609608708</v>
      </c>
      <c r="N20" s="46">
        <f t="shared" si="9"/>
        <v>859.90933128774202</v>
      </c>
      <c r="O20" s="60">
        <f t="shared" si="8"/>
        <v>42102.631304804352</v>
      </c>
      <c r="P20" s="69">
        <f t="shared" si="10"/>
        <v>42.102631304804355</v>
      </c>
    </row>
    <row r="21" spans="1:16" x14ac:dyDescent="0.2">
      <c r="A21" s="14" t="s">
        <v>53</v>
      </c>
      <c r="B21" s="52" t="s">
        <v>41</v>
      </c>
      <c r="C21" s="22">
        <v>3</v>
      </c>
      <c r="F21" s="46">
        <v>8</v>
      </c>
      <c r="G21" s="46">
        <f t="shared" si="1"/>
        <v>1797.0205679823578</v>
      </c>
      <c r="H21" s="30">
        <f t="shared" si="2"/>
        <v>6.8546359781078616E-3</v>
      </c>
      <c r="I21" s="30">
        <f t="shared" si="3"/>
        <v>8.276032863207607E-3</v>
      </c>
      <c r="J21" s="42" t="str">
        <f t="shared" si="4"/>
        <v>too high</v>
      </c>
      <c r="K21" s="43">
        <f t="shared" si="5"/>
        <v>8.276032863207607E-3</v>
      </c>
      <c r="L21" s="43">
        <f t="shared" si="6"/>
        <v>0.67485684319461992</v>
      </c>
      <c r="M21" s="43">
        <f t="shared" si="7"/>
        <v>21556.54722805983</v>
      </c>
      <c r="N21" s="46">
        <f t="shared" si="9"/>
        <v>2201.3678880966195</v>
      </c>
      <c r="O21" s="60">
        <f t="shared" si="8"/>
        <v>172452.37782447864</v>
      </c>
      <c r="P21" s="69">
        <f t="shared" si="10"/>
        <v>172.45237782447865</v>
      </c>
    </row>
    <row r="22" spans="1:16" x14ac:dyDescent="0.2">
      <c r="A22" s="14" t="s">
        <v>54</v>
      </c>
      <c r="B22" s="52" t="s">
        <v>41</v>
      </c>
      <c r="C22" s="22">
        <v>0.1</v>
      </c>
      <c r="F22" s="46">
        <v>10</v>
      </c>
      <c r="G22" s="46">
        <f t="shared" si="1"/>
        <v>2246.2757099779474</v>
      </c>
      <c r="H22" s="30">
        <f t="shared" si="2"/>
        <v>6.7033731394249849E-3</v>
      </c>
      <c r="I22" s="30">
        <f t="shared" si="3"/>
        <v>8.276032863207607E-3</v>
      </c>
      <c r="J22" s="42" t="str">
        <f t="shared" si="4"/>
        <v>too high</v>
      </c>
      <c r="K22" s="43">
        <f t="shared" si="5"/>
        <v>8.276032863207607E-3</v>
      </c>
      <c r="L22" s="43">
        <f t="shared" si="6"/>
        <v>0.67485684319461992</v>
      </c>
      <c r="M22" s="43">
        <f t="shared" si="7"/>
        <v>33682.105043843483</v>
      </c>
      <c r="N22" s="46">
        <f t="shared" si="9"/>
        <v>3439.6373251509681</v>
      </c>
      <c r="O22" s="60">
        <f t="shared" si="8"/>
        <v>336821.05043843482</v>
      </c>
      <c r="P22" s="69">
        <f t="shared" si="10"/>
        <v>336.82105043843484</v>
      </c>
    </row>
    <row r="23" spans="1:16" x14ac:dyDescent="0.2">
      <c r="A23" s="14" t="s">
        <v>55</v>
      </c>
      <c r="B23" s="52" t="s">
        <v>41</v>
      </c>
      <c r="C23" s="22">
        <v>0.5</v>
      </c>
      <c r="F23" s="46">
        <v>15</v>
      </c>
      <c r="G23" s="46">
        <f t="shared" si="1"/>
        <v>3369.4135649669211</v>
      </c>
      <c r="H23" s="30">
        <f t="shared" si="2"/>
        <v>6.4370112613538972E-3</v>
      </c>
      <c r="I23" s="30">
        <f t="shared" si="3"/>
        <v>8.276032863207607E-3</v>
      </c>
      <c r="J23" s="42" t="str">
        <f t="shared" si="4"/>
        <v>too high</v>
      </c>
      <c r="K23" s="43">
        <f t="shared" si="5"/>
        <v>8.276032863207607E-3</v>
      </c>
      <c r="L23" s="43">
        <f t="shared" si="6"/>
        <v>0.67485684319461992</v>
      </c>
      <c r="M23" s="43">
        <f t="shared" si="7"/>
        <v>75784.736348647843</v>
      </c>
      <c r="N23" s="46">
        <f t="shared" si="9"/>
        <v>7739.1839815896783</v>
      </c>
      <c r="O23" s="60">
        <f t="shared" si="8"/>
        <v>1136771.0452297176</v>
      </c>
      <c r="P23" s="69">
        <f t="shared" si="10"/>
        <v>1136.7710452297176</v>
      </c>
    </row>
    <row r="24" spans="1:16" x14ac:dyDescent="0.2">
      <c r="A24" s="14" t="s">
        <v>56</v>
      </c>
      <c r="B24" s="52" t="s">
        <v>41</v>
      </c>
      <c r="C24" s="22">
        <v>2.5000000000000001E-2</v>
      </c>
      <c r="F24" s="46">
        <f t="shared" si="0"/>
        <v>20</v>
      </c>
      <c r="G24" s="46">
        <f t="shared" si="1"/>
        <v>4492.5514199558947</v>
      </c>
      <c r="H24" s="30">
        <f t="shared" si="2"/>
        <v>6.2544682936651755E-3</v>
      </c>
      <c r="I24" s="30">
        <f t="shared" si="3"/>
        <v>8.276032863207607E-3</v>
      </c>
      <c r="J24" s="42" t="str">
        <f t="shared" si="4"/>
        <v>too high</v>
      </c>
      <c r="K24" s="43">
        <f t="shared" si="5"/>
        <v>8.276032863207607E-3</v>
      </c>
      <c r="L24" s="43">
        <f t="shared" si="6"/>
        <v>0.67485684319461992</v>
      </c>
      <c r="M24" s="43">
        <f t="shared" si="7"/>
        <v>134728.42017537393</v>
      </c>
      <c r="N24" s="46">
        <f t="shared" si="9"/>
        <v>13758.549300603872</v>
      </c>
      <c r="O24" s="60">
        <f t="shared" si="8"/>
        <v>2694568.4035074785</v>
      </c>
      <c r="P24" s="69">
        <f t="shared" si="10"/>
        <v>2694.5684035074787</v>
      </c>
    </row>
    <row r="25" spans="1:16" x14ac:dyDescent="0.2">
      <c r="A25" s="14" t="s">
        <v>57</v>
      </c>
      <c r="B25" s="52" t="s">
        <v>41</v>
      </c>
      <c r="C25" s="22">
        <v>1</v>
      </c>
      <c r="F25" s="46">
        <f t="shared" si="0"/>
        <v>22</v>
      </c>
      <c r="G25" s="46">
        <f t="shared" si="1"/>
        <v>4941.8065619514837</v>
      </c>
      <c r="H25" s="30">
        <f t="shared" si="2"/>
        <v>6.1951400224260055E-3</v>
      </c>
      <c r="I25" s="30">
        <f t="shared" si="3"/>
        <v>8.276032863207607E-3</v>
      </c>
      <c r="J25" s="42" t="str">
        <f t="shared" si="4"/>
        <v>too high</v>
      </c>
      <c r="K25" s="43">
        <f t="shared" si="5"/>
        <v>8.276032863207607E-3</v>
      </c>
      <c r="L25" s="43">
        <f t="shared" si="6"/>
        <v>0.67485684319461992</v>
      </c>
      <c r="M25" s="43">
        <f t="shared" si="7"/>
        <v>163021.38841220248</v>
      </c>
      <c r="N25" s="46">
        <f t="shared" si="9"/>
        <v>16647.844653730688</v>
      </c>
      <c r="O25" s="60">
        <f t="shared" si="8"/>
        <v>3586470.545068454</v>
      </c>
      <c r="P25" s="69">
        <f t="shared" si="10"/>
        <v>3586.4705450684542</v>
      </c>
    </row>
    <row r="26" spans="1:16" x14ac:dyDescent="0.2">
      <c r="F26" s="46">
        <f t="shared" si="0"/>
        <v>24</v>
      </c>
      <c r="G26" s="46">
        <f t="shared" si="1"/>
        <v>5391.0617039470726</v>
      </c>
      <c r="H26" s="30">
        <f t="shared" si="2"/>
        <v>6.1414690937145961E-3</v>
      </c>
      <c r="I26" s="30">
        <f t="shared" si="3"/>
        <v>8.276032863207607E-3</v>
      </c>
      <c r="J26" s="42" t="str">
        <f t="shared" si="4"/>
        <v>too high</v>
      </c>
      <c r="K26" s="43">
        <f t="shared" si="5"/>
        <v>8.276032863207607E-3</v>
      </c>
      <c r="L26" s="43">
        <f t="shared" si="6"/>
        <v>0.67485684319461992</v>
      </c>
      <c r="M26" s="43">
        <f t="shared" si="7"/>
        <v>194008.92505253846</v>
      </c>
      <c r="N26" s="46">
        <f t="shared" si="9"/>
        <v>19812.310992869578</v>
      </c>
      <c r="O26" s="60">
        <f t="shared" si="8"/>
        <v>4656214.2012609234</v>
      </c>
      <c r="P26" s="69">
        <f t="shared" si="10"/>
        <v>4656.2142012609238</v>
      </c>
    </row>
    <row r="27" spans="1:16" x14ac:dyDescent="0.2">
      <c r="A27" s="10" t="s">
        <v>84</v>
      </c>
      <c r="F27" s="46">
        <f t="shared" si="0"/>
        <v>25</v>
      </c>
      <c r="G27" s="46">
        <f t="shared" si="1"/>
        <v>5615.689274944868</v>
      </c>
      <c r="H27" s="30">
        <f t="shared" si="2"/>
        <v>6.1164494941879505E-3</v>
      </c>
      <c r="I27" s="30">
        <f t="shared" si="3"/>
        <v>8.276032863207607E-3</v>
      </c>
      <c r="J27" s="42" t="str">
        <f t="shared" si="4"/>
        <v>too high</v>
      </c>
      <c r="K27" s="43">
        <f t="shared" si="5"/>
        <v>8.276032863207607E-3</v>
      </c>
      <c r="L27" s="43">
        <f t="shared" si="6"/>
        <v>0.67485684319461992</v>
      </c>
      <c r="M27" s="43">
        <f t="shared" si="7"/>
        <v>210513.15652402176</v>
      </c>
      <c r="N27" s="46">
        <f t="shared" si="9"/>
        <v>21497.733282193549</v>
      </c>
      <c r="O27" s="60">
        <f t="shared" si="8"/>
        <v>5262828.9131005444</v>
      </c>
      <c r="P27" s="69">
        <f t="shared" si="10"/>
        <v>5262.828913100544</v>
      </c>
    </row>
    <row r="28" spans="1:16" x14ac:dyDescent="0.2">
      <c r="A28" s="17" t="s">
        <v>3</v>
      </c>
      <c r="B28" s="18" t="s">
        <v>4</v>
      </c>
      <c r="C28" s="18" t="s">
        <v>5</v>
      </c>
      <c r="F28" s="46">
        <f t="shared" si="0"/>
        <v>28</v>
      </c>
      <c r="G28" s="46">
        <f t="shared" si="1"/>
        <v>6289.5719879382514</v>
      </c>
      <c r="H28" s="30">
        <f t="shared" si="2"/>
        <v>6.04752387637548E-3</v>
      </c>
      <c r="I28" s="30">
        <f t="shared" si="3"/>
        <v>8.276032863207607E-3</v>
      </c>
      <c r="J28" s="42" t="str">
        <f t="shared" si="4"/>
        <v>too high</v>
      </c>
      <c r="K28" s="43">
        <f t="shared" si="5"/>
        <v>8.276032863207607E-3</v>
      </c>
      <c r="L28" s="43">
        <f t="shared" si="6"/>
        <v>0.67485684319461992</v>
      </c>
      <c r="M28" s="43">
        <f t="shared" si="7"/>
        <v>264067.70354373293</v>
      </c>
      <c r="N28" s="46">
        <f t="shared" si="9"/>
        <v>26966.756629183594</v>
      </c>
      <c r="O28" s="60">
        <f t="shared" si="8"/>
        <v>7393895.6992245214</v>
      </c>
      <c r="P28" s="69">
        <f t="shared" si="10"/>
        <v>7393.8956992245212</v>
      </c>
    </row>
    <row r="29" spans="1:16" x14ac:dyDescent="0.2">
      <c r="A29" s="14" t="s">
        <v>144</v>
      </c>
      <c r="B29" s="13" t="s">
        <v>13</v>
      </c>
      <c r="C29" s="14">
        <v>998.2</v>
      </c>
      <c r="F29" s="46">
        <f t="shared" si="0"/>
        <v>30</v>
      </c>
      <c r="G29" s="46">
        <f t="shared" si="1"/>
        <v>6738.8271299338421</v>
      </c>
      <c r="H29" s="30">
        <f t="shared" si="2"/>
        <v>6.005943873737144E-3</v>
      </c>
      <c r="I29" s="30">
        <f t="shared" si="3"/>
        <v>8.276032863207607E-3</v>
      </c>
      <c r="J29" s="42" t="str">
        <f t="shared" si="4"/>
        <v>too high</v>
      </c>
      <c r="K29" s="43">
        <f t="shared" si="5"/>
        <v>8.276032863207607E-3</v>
      </c>
      <c r="L29" s="43">
        <f t="shared" si="6"/>
        <v>0.67485684319461992</v>
      </c>
      <c r="M29" s="43">
        <f t="shared" si="7"/>
        <v>303138.94539459137</v>
      </c>
      <c r="N29" s="46">
        <f t="shared" si="9"/>
        <v>30956.735926358713</v>
      </c>
      <c r="O29" s="60">
        <f t="shared" si="8"/>
        <v>9094168.361837741</v>
      </c>
      <c r="P29" s="69">
        <f t="shared" si="10"/>
        <v>9094.168361837741</v>
      </c>
    </row>
    <row r="30" spans="1:16" x14ac:dyDescent="0.2">
      <c r="A30" s="14" t="s">
        <v>145</v>
      </c>
      <c r="B30" s="13" t="s">
        <v>78</v>
      </c>
      <c r="C30" s="14">
        <v>1.307E-3</v>
      </c>
      <c r="F30" s="31"/>
      <c r="G30" s="31"/>
    </row>
    <row r="31" spans="1:16" x14ac:dyDescent="0.2">
      <c r="A31" s="14" t="s">
        <v>146</v>
      </c>
      <c r="B31" s="13" t="s">
        <v>79</v>
      </c>
      <c r="C31" s="14">
        <f>C30/C29</f>
        <v>1.3093568423161691E-6</v>
      </c>
      <c r="F31" s="10"/>
    </row>
    <row r="32" spans="1:16" x14ac:dyDescent="0.2">
      <c r="A32" s="53" t="s">
        <v>67</v>
      </c>
      <c r="B32" s="52" t="s">
        <v>41</v>
      </c>
      <c r="C32" s="45">
        <f>C19</f>
        <v>2.5000000000000001E-3</v>
      </c>
      <c r="D32" s="14"/>
      <c r="F32" s="10" t="s">
        <v>159</v>
      </c>
      <c r="G32" s="10" t="s">
        <v>160</v>
      </c>
      <c r="H32" s="10" t="s">
        <v>161</v>
      </c>
    </row>
    <row r="33" spans="1:16" x14ac:dyDescent="0.2">
      <c r="A33" s="53" t="s">
        <v>67</v>
      </c>
      <c r="B33" s="52" t="s">
        <v>1</v>
      </c>
      <c r="C33" s="42">
        <f>C32/C35</f>
        <v>2.5000000000000002E-6</v>
      </c>
      <c r="F33" s="9" t="s">
        <v>9</v>
      </c>
      <c r="H33" s="9" t="s">
        <v>69</v>
      </c>
      <c r="I33" s="9" t="s">
        <v>80</v>
      </c>
      <c r="L33" s="9" t="s">
        <v>85</v>
      </c>
      <c r="M33" s="9" t="s">
        <v>40</v>
      </c>
      <c r="N33" s="9" t="s">
        <v>74</v>
      </c>
      <c r="O33" s="18" t="s">
        <v>10</v>
      </c>
      <c r="P33" s="18" t="s">
        <v>10</v>
      </c>
    </row>
    <row r="34" spans="1:16" x14ac:dyDescent="0.2">
      <c r="A34" s="54" t="s">
        <v>95</v>
      </c>
      <c r="B34" s="55" t="s">
        <v>96</v>
      </c>
      <c r="C34" s="42">
        <v>9.81</v>
      </c>
      <c r="F34" s="9" t="s">
        <v>12</v>
      </c>
      <c r="H34" s="9" t="s">
        <v>59</v>
      </c>
      <c r="I34" s="9" t="s">
        <v>59</v>
      </c>
      <c r="L34" s="9" t="s">
        <v>58</v>
      </c>
      <c r="M34" s="9" t="s">
        <v>59</v>
      </c>
      <c r="N34" s="9" t="s">
        <v>75</v>
      </c>
      <c r="O34" s="18" t="s">
        <v>11</v>
      </c>
      <c r="P34" s="18" t="s">
        <v>76</v>
      </c>
    </row>
    <row r="35" spans="1:16" x14ac:dyDescent="0.2">
      <c r="A35" s="54" t="s">
        <v>97</v>
      </c>
      <c r="B35" s="55" t="s">
        <v>7</v>
      </c>
      <c r="C35" s="42">
        <v>1000</v>
      </c>
      <c r="F35" s="46">
        <f t="shared" ref="F35:F56" si="11">F62</f>
        <v>0.05</v>
      </c>
      <c r="G35" s="42"/>
      <c r="H35" s="65">
        <f t="shared" ref="H35:H56" si="12">-$C$81*F35*$C$30</f>
        <v>-57.326173099775325</v>
      </c>
      <c r="I35" s="64">
        <f t="shared" ref="I35:I56" si="13">-$C$82*$C$29*F35^2</f>
        <v>-629.66244696365061</v>
      </c>
      <c r="J35" s="42"/>
      <c r="L35" s="64">
        <f t="shared" ref="L35:L56" si="14">-M35/(0.5*$C$29*F35^2)</f>
        <v>82.587291532369363</v>
      </c>
      <c r="M35" s="65">
        <f t="shared" ref="M35:M56" si="15">(H35+I35)*$C$42</f>
        <v>-103.0482930095139</v>
      </c>
      <c r="N35" s="65">
        <f t="shared" ref="N35:N56" si="16">M35/($C$29*9.81)*$C$35</f>
        <v>-10.523355190159197</v>
      </c>
      <c r="O35" s="75">
        <f t="shared" ref="O35:O56" si="17">0.5*$C$29*L35*$C$41*F35^3</f>
        <v>5.1524146504756949</v>
      </c>
      <c r="P35" s="75">
        <f t="shared" ref="P35:P56" si="18">O35/1000</f>
        <v>5.1524146504756951E-3</v>
      </c>
    </row>
    <row r="36" spans="1:16" x14ac:dyDescent="0.2">
      <c r="F36" s="46">
        <f t="shared" si="11"/>
        <v>0.1</v>
      </c>
      <c r="G36" s="42"/>
      <c r="H36" s="65">
        <f t="shared" si="12"/>
        <v>-114.65234619955065</v>
      </c>
      <c r="I36" s="64">
        <f t="shared" si="13"/>
        <v>-2518.6497878546024</v>
      </c>
      <c r="J36" s="42"/>
      <c r="L36" s="64">
        <f t="shared" si="14"/>
        <v>79.141518755384254</v>
      </c>
      <c r="M36" s="65">
        <f t="shared" si="15"/>
        <v>-394.99532010812294</v>
      </c>
      <c r="N36" s="65">
        <f t="shared" si="16"/>
        <v>-40.337165522621952</v>
      </c>
      <c r="O36" s="75">
        <f t="shared" si="17"/>
        <v>39.499532010812295</v>
      </c>
      <c r="P36" s="75">
        <f t="shared" si="18"/>
        <v>3.9499532010812292E-2</v>
      </c>
    </row>
    <row r="37" spans="1:16" x14ac:dyDescent="0.2">
      <c r="A37" s="10" t="s">
        <v>128</v>
      </c>
      <c r="F37" s="71">
        <f t="shared" si="11"/>
        <v>0.2</v>
      </c>
      <c r="G37" s="77"/>
      <c r="H37" s="74">
        <f t="shared" si="12"/>
        <v>-229.3046923991013</v>
      </c>
      <c r="I37" s="74">
        <f t="shared" si="13"/>
        <v>-10074.59915141841</v>
      </c>
      <c r="J37" s="77"/>
      <c r="L37" s="74">
        <f t="shared" si="14"/>
        <v>77.4186323668917</v>
      </c>
      <c r="M37" s="74">
        <f t="shared" si="15"/>
        <v>-1545.5855765726265</v>
      </c>
      <c r="N37" s="74">
        <f t="shared" si="16"/>
        <v>-157.83615161445815</v>
      </c>
      <c r="O37" s="78">
        <f t="shared" si="17"/>
        <v>309.11711531452528</v>
      </c>
      <c r="P37" s="78">
        <f t="shared" si="18"/>
        <v>0.30911711531452529</v>
      </c>
    </row>
    <row r="38" spans="1:16" x14ac:dyDescent="0.2">
      <c r="A38" s="17" t="s">
        <v>65</v>
      </c>
      <c r="B38" s="16" t="s">
        <v>4</v>
      </c>
      <c r="C38" s="18" t="s">
        <v>5</v>
      </c>
      <c r="F38" s="46">
        <f t="shared" si="11"/>
        <v>0.4</v>
      </c>
      <c r="G38" s="42"/>
      <c r="H38" s="65">
        <f t="shared" si="12"/>
        <v>-458.6093847982026</v>
      </c>
      <c r="I38" s="64">
        <f t="shared" si="13"/>
        <v>-40298.396605673639</v>
      </c>
      <c r="J38" s="42"/>
      <c r="L38" s="73">
        <f t="shared" si="14"/>
        <v>76.557189172645451</v>
      </c>
      <c r="M38" s="65">
        <f t="shared" si="15"/>
        <v>-6113.5508985707766</v>
      </c>
      <c r="N38" s="65">
        <f t="shared" si="16"/>
        <v>-624.31958550577338</v>
      </c>
      <c r="O38" s="75">
        <f t="shared" si="17"/>
        <v>2445.4203594283108</v>
      </c>
      <c r="P38" s="75">
        <f t="shared" si="18"/>
        <v>2.4454203594283106</v>
      </c>
    </row>
    <row r="39" spans="1:16" x14ac:dyDescent="0.2">
      <c r="A39" s="54" t="s">
        <v>129</v>
      </c>
      <c r="B39" s="36" t="s">
        <v>1</v>
      </c>
      <c r="C39" s="88">
        <v>1</v>
      </c>
      <c r="F39" s="71">
        <f t="shared" si="11"/>
        <v>0.5</v>
      </c>
      <c r="G39" s="77"/>
      <c r="H39" s="74">
        <f t="shared" si="12"/>
        <v>-573.26173099775326</v>
      </c>
      <c r="I39" s="74">
        <f t="shared" si="13"/>
        <v>-62966.244696365051</v>
      </c>
      <c r="J39" s="77"/>
      <c r="L39" s="74">
        <f t="shared" si="14"/>
        <v>76.384900533796184</v>
      </c>
      <c r="M39" s="74">
        <f t="shared" si="15"/>
        <v>-9530.9259641044191</v>
      </c>
      <c r="N39" s="74">
        <f t="shared" si="16"/>
        <v>-973.30403330525201</v>
      </c>
      <c r="O39" s="78">
        <f t="shared" si="17"/>
        <v>4765.4629820522096</v>
      </c>
      <c r="P39" s="78">
        <f t="shared" si="18"/>
        <v>4.7654629820522096</v>
      </c>
    </row>
    <row r="40" spans="1:16" x14ac:dyDescent="0.2">
      <c r="A40" s="54" t="s">
        <v>130</v>
      </c>
      <c r="B40" s="36" t="s">
        <v>1</v>
      </c>
      <c r="C40" s="88">
        <v>1</v>
      </c>
      <c r="F40" s="46">
        <f t="shared" si="11"/>
        <v>0.8</v>
      </c>
      <c r="G40" s="42"/>
      <c r="H40" s="65">
        <f t="shared" si="12"/>
        <v>-917.2187695964052</v>
      </c>
      <c r="I40" s="64">
        <f t="shared" si="13"/>
        <v>-161193.58642269456</v>
      </c>
      <c r="J40" s="42"/>
      <c r="L40" s="73">
        <f t="shared" si="14"/>
        <v>76.126467575522298</v>
      </c>
      <c r="M40" s="65">
        <f t="shared" si="15"/>
        <v>-24316.62077884364</v>
      </c>
      <c r="N40" s="65">
        <f t="shared" si="16"/>
        <v>-2483.2283001189744</v>
      </c>
      <c r="O40" s="75">
        <f t="shared" si="17"/>
        <v>19453.296623074912</v>
      </c>
      <c r="P40" s="75">
        <f t="shared" si="18"/>
        <v>19.453296623074912</v>
      </c>
    </row>
    <row r="41" spans="1:16" x14ac:dyDescent="0.2">
      <c r="A41" s="54" t="s">
        <v>131</v>
      </c>
      <c r="B41" s="36" t="s">
        <v>2</v>
      </c>
      <c r="C41" s="89">
        <f>C39*C40</f>
        <v>1</v>
      </c>
      <c r="F41" s="70">
        <f t="shared" si="11"/>
        <v>1</v>
      </c>
      <c r="G41" s="85"/>
      <c r="H41" s="73">
        <f t="shared" si="12"/>
        <v>-1146.5234619955065</v>
      </c>
      <c r="I41" s="73">
        <f t="shared" si="13"/>
        <v>-251864.9787854602</v>
      </c>
      <c r="J41" s="85"/>
      <c r="L41" s="73">
        <f t="shared" si="14"/>
        <v>76.040323256097679</v>
      </c>
      <c r="M41" s="73">
        <f t="shared" si="15"/>
        <v>-37951.725337118354</v>
      </c>
      <c r="N41" s="73">
        <f t="shared" si="16"/>
        <v>-3875.6535808408607</v>
      </c>
      <c r="O41" s="75">
        <f t="shared" si="17"/>
        <v>37951.725337118354</v>
      </c>
      <c r="P41" s="75">
        <f t="shared" si="18"/>
        <v>37.951725337118354</v>
      </c>
    </row>
    <row r="42" spans="1:16" x14ac:dyDescent="0.2">
      <c r="A42" s="54" t="s">
        <v>94</v>
      </c>
      <c r="B42" s="36" t="s">
        <v>1</v>
      </c>
      <c r="C42" s="11">
        <v>0.15</v>
      </c>
      <c r="D42" s="11">
        <v>0.15</v>
      </c>
      <c r="F42" s="46">
        <f t="shared" si="11"/>
        <v>2</v>
      </c>
      <c r="G42" s="42"/>
      <c r="H42" s="65">
        <f t="shared" si="12"/>
        <v>-2293.046923991013</v>
      </c>
      <c r="I42" s="64">
        <f t="shared" si="13"/>
        <v>-1007459.9151418408</v>
      </c>
      <c r="J42" s="42"/>
      <c r="L42" s="73">
        <f t="shared" si="14"/>
        <v>75.868034617248441</v>
      </c>
      <c r="M42" s="65">
        <f t="shared" si="15"/>
        <v>-151462.94430987479</v>
      </c>
      <c r="N42" s="65">
        <f t="shared" si="16"/>
        <v>-15467.489218603147</v>
      </c>
      <c r="O42" s="75">
        <f t="shared" si="17"/>
        <v>302925.88861974957</v>
      </c>
      <c r="P42" s="75">
        <f t="shared" si="18"/>
        <v>302.92588861974957</v>
      </c>
    </row>
    <row r="43" spans="1:16" x14ac:dyDescent="0.2">
      <c r="A43" s="54" t="s">
        <v>139</v>
      </c>
      <c r="B43" s="36" t="s">
        <v>1</v>
      </c>
      <c r="C43" s="27">
        <v>0.01</v>
      </c>
      <c r="D43" s="11">
        <v>0.01</v>
      </c>
      <c r="F43" s="46">
        <f t="shared" si="11"/>
        <v>4</v>
      </c>
      <c r="G43" s="42"/>
      <c r="H43" s="65">
        <f t="shared" si="12"/>
        <v>-4586.0938479820261</v>
      </c>
      <c r="I43" s="64">
        <f t="shared" si="13"/>
        <v>-4029839.6605673633</v>
      </c>
      <c r="J43" s="42"/>
      <c r="L43" s="73">
        <f t="shared" si="14"/>
        <v>75.781890297823807</v>
      </c>
      <c r="M43" s="65">
        <f t="shared" si="15"/>
        <v>-605163.86316230183</v>
      </c>
      <c r="N43" s="65">
        <f t="shared" si="16"/>
        <v>-61799.706664891994</v>
      </c>
      <c r="O43" s="75">
        <f t="shared" si="17"/>
        <v>2420655.4526492073</v>
      </c>
      <c r="P43" s="75">
        <f t="shared" si="18"/>
        <v>2420.6554526492073</v>
      </c>
    </row>
    <row r="44" spans="1:16" x14ac:dyDescent="0.2">
      <c r="A44" s="54" t="s">
        <v>72</v>
      </c>
      <c r="B44" s="36" t="s">
        <v>1</v>
      </c>
      <c r="C44" s="11">
        <v>1.5E-3</v>
      </c>
      <c r="D44" s="11">
        <v>1E-3</v>
      </c>
      <c r="F44" s="46">
        <f t="shared" si="11"/>
        <v>5</v>
      </c>
      <c r="G44" s="42"/>
      <c r="H44" s="65">
        <f t="shared" si="12"/>
        <v>-5732.6173099775324</v>
      </c>
      <c r="I44" s="64">
        <f t="shared" si="13"/>
        <v>-6296624.4696365055</v>
      </c>
      <c r="J44" s="42"/>
      <c r="L44" s="73">
        <f t="shared" si="14"/>
        <v>75.764661433938883</v>
      </c>
      <c r="M44" s="65">
        <f t="shared" si="15"/>
        <v>-945353.56304197235</v>
      </c>
      <c r="N44" s="65">
        <f t="shared" si="16"/>
        <v>-96540.088473418553</v>
      </c>
      <c r="O44" s="75">
        <f t="shared" si="17"/>
        <v>4726767.8152098628</v>
      </c>
      <c r="P44" s="75">
        <f t="shared" si="18"/>
        <v>4726.7678152098624</v>
      </c>
    </row>
    <row r="45" spans="1:16" x14ac:dyDescent="0.2">
      <c r="A45" s="67" t="s">
        <v>149</v>
      </c>
      <c r="B45" s="36" t="s">
        <v>1</v>
      </c>
      <c r="C45" s="92">
        <f>C43-C44</f>
        <v>8.5000000000000006E-3</v>
      </c>
      <c r="F45" s="46">
        <f t="shared" si="11"/>
        <v>8</v>
      </c>
      <c r="G45" s="42"/>
      <c r="H45" s="65">
        <f t="shared" si="12"/>
        <v>-9172.1876959640522</v>
      </c>
      <c r="I45" s="64">
        <f t="shared" si="13"/>
        <v>-16119358.642269453</v>
      </c>
      <c r="J45" s="42"/>
      <c r="L45" s="73">
        <f t="shared" si="14"/>
        <v>75.738818138111483</v>
      </c>
      <c r="M45" s="65">
        <f t="shared" si="15"/>
        <v>-2419279.6244948125</v>
      </c>
      <c r="N45" s="65">
        <f t="shared" si="16"/>
        <v>-247058.32624052675</v>
      </c>
      <c r="O45" s="75">
        <f t="shared" si="17"/>
        <v>19354236.9959585</v>
      </c>
      <c r="P45" s="75">
        <f t="shared" si="18"/>
        <v>19354.236995958501</v>
      </c>
    </row>
    <row r="46" spans="1:16" x14ac:dyDescent="0.2">
      <c r="A46" s="54" t="s">
        <v>66</v>
      </c>
      <c r="B46" s="36" t="s">
        <v>1</v>
      </c>
      <c r="C46" s="45">
        <f>C43</f>
        <v>0.01</v>
      </c>
      <c r="F46" s="46">
        <f t="shared" si="11"/>
        <v>10</v>
      </c>
      <c r="G46" s="42"/>
      <c r="H46" s="65">
        <f t="shared" si="12"/>
        <v>-11465.234619955065</v>
      </c>
      <c r="I46" s="64">
        <f t="shared" si="13"/>
        <v>-25186497.878546022</v>
      </c>
      <c r="J46" s="42"/>
      <c r="L46" s="64">
        <f t="shared" si="14"/>
        <v>75.730203706169036</v>
      </c>
      <c r="M46" s="65">
        <f t="shared" si="15"/>
        <v>-3779694.4669748964</v>
      </c>
      <c r="N46" s="65">
        <f t="shared" si="16"/>
        <v>-385984.72836987273</v>
      </c>
      <c r="O46" s="75">
        <f t="shared" si="17"/>
        <v>37796944.669748969</v>
      </c>
      <c r="P46" s="75">
        <f t="shared" si="18"/>
        <v>37796.944669748969</v>
      </c>
    </row>
    <row r="47" spans="1:16" x14ac:dyDescent="0.2">
      <c r="A47" s="54" t="s">
        <v>132</v>
      </c>
      <c r="B47" s="52" t="s">
        <v>83</v>
      </c>
      <c r="C47" s="30">
        <v>90.69</v>
      </c>
      <c r="F47" s="46">
        <f t="shared" si="11"/>
        <v>12</v>
      </c>
      <c r="G47" s="42"/>
      <c r="H47" s="65">
        <f t="shared" si="12"/>
        <v>-13758.281543946079</v>
      </c>
      <c r="I47" s="64">
        <f t="shared" si="13"/>
        <v>-36268556.945106268</v>
      </c>
      <c r="J47" s="42"/>
      <c r="L47" s="64">
        <f t="shared" si="14"/>
        <v>75.724460751540704</v>
      </c>
      <c r="M47" s="65">
        <f t="shared" si="15"/>
        <v>-5442347.283997532</v>
      </c>
      <c r="N47" s="65">
        <f t="shared" si="16"/>
        <v>-555775.85872690426</v>
      </c>
      <c r="O47" s="75">
        <f t="shared" si="17"/>
        <v>65308167.407970376</v>
      </c>
      <c r="P47" s="75">
        <f t="shared" si="18"/>
        <v>65308.167407970373</v>
      </c>
    </row>
    <row r="48" spans="1:16" x14ac:dyDescent="0.2">
      <c r="A48" s="54" t="s">
        <v>133</v>
      </c>
      <c r="B48" s="36" t="s">
        <v>7</v>
      </c>
      <c r="C48" s="68">
        <f>C47*C45^2/C46^2/100</f>
        <v>0.65523525000000005</v>
      </c>
      <c r="F48" s="46">
        <f t="shared" si="11"/>
        <v>14</v>
      </c>
      <c r="G48" s="42"/>
      <c r="H48" s="65">
        <f t="shared" si="12"/>
        <v>-16051.328467937092</v>
      </c>
      <c r="I48" s="64">
        <f t="shared" si="13"/>
        <v>-49365535.8419502</v>
      </c>
      <c r="J48" s="42"/>
      <c r="L48" s="64">
        <f t="shared" si="14"/>
        <v>75.72035864109192</v>
      </c>
      <c r="M48" s="65">
        <f t="shared" si="15"/>
        <v>-7407238.0755627202</v>
      </c>
      <c r="N48" s="65">
        <f t="shared" si="16"/>
        <v>-756431.71731162164</v>
      </c>
      <c r="O48" s="75">
        <f t="shared" si="17"/>
        <v>103701333.05787808</v>
      </c>
      <c r="P48" s="75">
        <f t="shared" si="18"/>
        <v>103701.33305787807</v>
      </c>
    </row>
    <row r="49" spans="1:20" x14ac:dyDescent="0.2">
      <c r="A49" s="54" t="s">
        <v>134</v>
      </c>
      <c r="B49" s="36" t="s">
        <v>7</v>
      </c>
      <c r="C49" s="68">
        <f>1-C48</f>
        <v>0.34476474999999995</v>
      </c>
      <c r="F49" s="46">
        <f t="shared" si="11"/>
        <v>15</v>
      </c>
      <c r="G49" s="42"/>
      <c r="H49" s="65">
        <f t="shared" si="12"/>
        <v>-17197.8519299326</v>
      </c>
      <c r="I49" s="64">
        <f t="shared" si="13"/>
        <v>-56669620.226728544</v>
      </c>
      <c r="J49" s="42"/>
      <c r="L49" s="73">
        <f t="shared" si="14"/>
        <v>75.718717796912401</v>
      </c>
      <c r="M49" s="65">
        <f t="shared" si="15"/>
        <v>-8503022.7117987704</v>
      </c>
      <c r="N49" s="65">
        <f t="shared" si="16"/>
        <v>-868333.9196893624</v>
      </c>
      <c r="O49" s="75">
        <f t="shared" si="17"/>
        <v>127545340.67698157</v>
      </c>
      <c r="P49" s="75">
        <f t="shared" si="18"/>
        <v>127545.34067698156</v>
      </c>
    </row>
    <row r="50" spans="1:20" x14ac:dyDescent="0.2">
      <c r="A50" s="54" t="s">
        <v>135</v>
      </c>
      <c r="B50" s="36" t="s">
        <v>7</v>
      </c>
      <c r="C50" s="63">
        <f>C45/C43</f>
        <v>0.85000000000000009</v>
      </c>
      <c r="F50" s="46">
        <f t="shared" si="11"/>
        <v>18</v>
      </c>
      <c r="G50" s="42"/>
      <c r="H50" s="65">
        <f t="shared" si="12"/>
        <v>-20637.422315919117</v>
      </c>
      <c r="I50" s="64">
        <f t="shared" si="13"/>
        <v>-81604253.126489103</v>
      </c>
      <c r="J50" s="42"/>
      <c r="L50" s="73">
        <f t="shared" si="14"/>
        <v>75.714889160493541</v>
      </c>
      <c r="M50" s="65">
        <f t="shared" si="15"/>
        <v>-12243733.582320753</v>
      </c>
      <c r="N50" s="65">
        <f t="shared" si="16"/>
        <v>-1250337.6191641134</v>
      </c>
      <c r="O50" s="75">
        <f t="shared" si="17"/>
        <v>220387204.48177359</v>
      </c>
      <c r="P50" s="75">
        <f t="shared" si="18"/>
        <v>220387.20448177357</v>
      </c>
    </row>
    <row r="51" spans="1:20" x14ac:dyDescent="0.2">
      <c r="A51" s="54" t="s">
        <v>136</v>
      </c>
      <c r="B51" s="36" t="s">
        <v>7</v>
      </c>
      <c r="C51" s="63">
        <f>1-C50</f>
        <v>0.14999999999999991</v>
      </c>
      <c r="F51" s="46">
        <f t="shared" si="11"/>
        <v>20</v>
      </c>
      <c r="G51" s="42"/>
      <c r="H51" s="65">
        <f t="shared" si="12"/>
        <v>-22930.46923991013</v>
      </c>
      <c r="I51" s="64">
        <f t="shared" si="13"/>
        <v>-100745991.51418409</v>
      </c>
      <c r="J51" s="42"/>
      <c r="L51" s="73">
        <f t="shared" si="14"/>
        <v>75.712974842284098</v>
      </c>
      <c r="M51" s="65">
        <f t="shared" si="15"/>
        <v>-15115338.297513599</v>
      </c>
      <c r="N51" s="65">
        <f t="shared" si="16"/>
        <v>-1543587.6624318878</v>
      </c>
      <c r="O51" s="75">
        <f t="shared" si="17"/>
        <v>302306765.95027196</v>
      </c>
      <c r="P51" s="75">
        <f t="shared" si="18"/>
        <v>302306.76595027198</v>
      </c>
    </row>
    <row r="52" spans="1:20" x14ac:dyDescent="0.2">
      <c r="A52" s="54" t="s">
        <v>68</v>
      </c>
      <c r="B52" s="52" t="s">
        <v>7</v>
      </c>
      <c r="C52" s="58">
        <f>C33/C45</f>
        <v>2.9411764705882356E-4</v>
      </c>
      <c r="F52" s="46">
        <f t="shared" si="11"/>
        <v>22</v>
      </c>
      <c r="G52" s="42"/>
      <c r="H52" s="65">
        <f t="shared" si="12"/>
        <v>-25223.516163901146</v>
      </c>
      <c r="I52" s="64">
        <f t="shared" si="13"/>
        <v>-121902649.73216274</v>
      </c>
      <c r="J52" s="42"/>
      <c r="L52" s="73">
        <f t="shared" si="14"/>
        <v>75.711408581930911</v>
      </c>
      <c r="M52" s="65">
        <f t="shared" si="15"/>
        <v>-18289180.987248994</v>
      </c>
      <c r="N52" s="65">
        <f t="shared" si="16"/>
        <v>-1867702.4339273479</v>
      </c>
      <c r="O52" s="75">
        <f t="shared" si="17"/>
        <v>402361981.71947783</v>
      </c>
      <c r="P52" s="75">
        <f t="shared" si="18"/>
        <v>402361.98171947786</v>
      </c>
    </row>
    <row r="53" spans="1:20" x14ac:dyDescent="0.2">
      <c r="F53" s="46">
        <f t="shared" si="11"/>
        <v>24</v>
      </c>
      <c r="G53" s="42"/>
      <c r="H53" s="65">
        <f t="shared" si="12"/>
        <v>-27516.563087892158</v>
      </c>
      <c r="I53" s="64">
        <f t="shared" si="13"/>
        <v>-145074227.78042507</v>
      </c>
      <c r="J53" s="42"/>
      <c r="L53" s="73">
        <f t="shared" si="14"/>
        <v>75.710103364969939</v>
      </c>
      <c r="M53" s="65">
        <f t="shared" si="15"/>
        <v>-21765261.651526943</v>
      </c>
      <c r="N53" s="65">
        <f t="shared" si="16"/>
        <v>-2222681.9336504936</v>
      </c>
      <c r="O53" s="75">
        <f t="shared" si="17"/>
        <v>522366279.63664669</v>
      </c>
      <c r="P53" s="75">
        <f t="shared" si="18"/>
        <v>522366.27963664668</v>
      </c>
    </row>
    <row r="54" spans="1:20" x14ac:dyDescent="0.2">
      <c r="A54" s="10" t="s">
        <v>101</v>
      </c>
      <c r="F54" s="46">
        <f t="shared" si="11"/>
        <v>25</v>
      </c>
      <c r="G54" s="42"/>
      <c r="H54" s="65">
        <f t="shared" si="12"/>
        <v>-28663.086549887666</v>
      </c>
      <c r="I54" s="64">
        <f t="shared" si="13"/>
        <v>-157415611.74091262</v>
      </c>
      <c r="J54" s="42"/>
      <c r="L54" s="73">
        <f t="shared" si="14"/>
        <v>75.709529069507099</v>
      </c>
      <c r="M54" s="65">
        <f t="shared" si="15"/>
        <v>-23616641.224119373</v>
      </c>
      <c r="N54" s="65">
        <f t="shared" si="16"/>
        <v>-2411745.9565974488</v>
      </c>
      <c r="O54" s="75">
        <f t="shared" si="17"/>
        <v>590416030.60298431</v>
      </c>
      <c r="P54" s="75">
        <f t="shared" si="18"/>
        <v>590416.03060298436</v>
      </c>
    </row>
    <row r="55" spans="1:20" x14ac:dyDescent="0.2">
      <c r="A55" s="17" t="s">
        <v>3</v>
      </c>
      <c r="B55" s="18" t="s">
        <v>4</v>
      </c>
      <c r="C55" s="18" t="s">
        <v>5</v>
      </c>
      <c r="F55" s="46">
        <f t="shared" si="11"/>
        <v>28</v>
      </c>
      <c r="G55" s="42"/>
      <c r="H55" s="65">
        <f t="shared" si="12"/>
        <v>-32102.656935874184</v>
      </c>
      <c r="I55" s="64">
        <f t="shared" si="13"/>
        <v>-197462143.3678008</v>
      </c>
      <c r="J55" s="42"/>
      <c r="L55" s="73">
        <f t="shared" si="14"/>
        <v>75.70805230974554</v>
      </c>
      <c r="M55" s="65">
        <f t="shared" si="15"/>
        <v>-29624136.903710499</v>
      </c>
      <c r="N55" s="65">
        <f t="shared" si="16"/>
        <v>-3025235.1177798421</v>
      </c>
      <c r="O55" s="75">
        <f t="shared" si="17"/>
        <v>829475833.30389392</v>
      </c>
      <c r="P55" s="75">
        <f t="shared" si="18"/>
        <v>829475.83330389392</v>
      </c>
    </row>
    <row r="56" spans="1:20" x14ac:dyDescent="0.2">
      <c r="A56" s="54" t="s">
        <v>155</v>
      </c>
      <c r="B56" s="52" t="s">
        <v>83</v>
      </c>
      <c r="C56" s="42">
        <v>3</v>
      </c>
      <c r="F56" s="46">
        <f t="shared" si="11"/>
        <v>30</v>
      </c>
      <c r="G56" s="42"/>
      <c r="H56" s="65">
        <f t="shared" si="12"/>
        <v>-34395.7038598652</v>
      </c>
      <c r="I56" s="64">
        <f t="shared" si="13"/>
        <v>-226678480.90691417</v>
      </c>
      <c r="J56" s="42"/>
      <c r="L56" s="64">
        <f t="shared" si="14"/>
        <v>75.707231887655794</v>
      </c>
      <c r="M56" s="65">
        <f t="shared" si="15"/>
        <v>-34006931.491616108</v>
      </c>
      <c r="N56" s="65">
        <f t="shared" si="16"/>
        <v>-3472808.8021860453</v>
      </c>
      <c r="O56" s="75">
        <f t="shared" si="17"/>
        <v>1020207944.7484833</v>
      </c>
      <c r="P56" s="75">
        <f t="shared" si="18"/>
        <v>1020207.9447484832</v>
      </c>
    </row>
    <row r="57" spans="1:20" x14ac:dyDescent="0.2">
      <c r="A57" s="54" t="s">
        <v>107</v>
      </c>
      <c r="B57" s="52" t="s">
        <v>83</v>
      </c>
      <c r="C57" s="59">
        <v>0.375</v>
      </c>
      <c r="S57" s="25"/>
    </row>
    <row r="58" spans="1:20" x14ac:dyDescent="0.2">
      <c r="A58" s="54" t="s">
        <v>108</v>
      </c>
      <c r="B58" s="52" t="s">
        <v>83</v>
      </c>
      <c r="C58" s="42">
        <v>-0.1</v>
      </c>
      <c r="S58" s="25"/>
    </row>
    <row r="59" spans="1:20" x14ac:dyDescent="0.2">
      <c r="A59" s="54" t="s">
        <v>106</v>
      </c>
      <c r="B59" s="52" t="s">
        <v>83</v>
      </c>
      <c r="C59" s="59">
        <v>0.214</v>
      </c>
      <c r="F59" s="10" t="s">
        <v>166</v>
      </c>
      <c r="H59" s="10"/>
      <c r="S59" s="25"/>
    </row>
    <row r="60" spans="1:20" x14ac:dyDescent="0.2">
      <c r="A60" s="54" t="s">
        <v>109</v>
      </c>
      <c r="B60" s="52" t="s">
        <v>83</v>
      </c>
      <c r="C60" s="42">
        <v>0.4</v>
      </c>
      <c r="F60" s="9" t="s">
        <v>9</v>
      </c>
      <c r="H60" s="9" t="s">
        <v>69</v>
      </c>
      <c r="I60" s="9" t="s">
        <v>80</v>
      </c>
      <c r="L60" s="9" t="s">
        <v>85</v>
      </c>
      <c r="M60" s="9" t="s">
        <v>40</v>
      </c>
      <c r="N60" s="9" t="s">
        <v>74</v>
      </c>
      <c r="O60" s="18" t="s">
        <v>10</v>
      </c>
      <c r="P60" s="18" t="s">
        <v>10</v>
      </c>
    </row>
    <row r="61" spans="1:20" x14ac:dyDescent="0.2">
      <c r="A61" s="54" t="s">
        <v>113</v>
      </c>
      <c r="B61" s="55" t="s">
        <v>7</v>
      </c>
      <c r="C61" s="42">
        <v>35</v>
      </c>
      <c r="F61" s="9" t="s">
        <v>12</v>
      </c>
      <c r="H61" s="9" t="s">
        <v>59</v>
      </c>
      <c r="I61" s="9" t="s">
        <v>59</v>
      </c>
      <c r="L61" s="9" t="s">
        <v>58</v>
      </c>
      <c r="M61" s="9" t="s">
        <v>59</v>
      </c>
      <c r="N61" s="9" t="s">
        <v>75</v>
      </c>
      <c r="O61" s="18" t="s">
        <v>11</v>
      </c>
      <c r="P61" s="18" t="s">
        <v>76</v>
      </c>
    </row>
    <row r="62" spans="1:20" x14ac:dyDescent="0.2">
      <c r="A62" s="54" t="s">
        <v>112</v>
      </c>
      <c r="B62" s="55" t="s">
        <v>7</v>
      </c>
      <c r="C62" s="42">
        <v>275</v>
      </c>
      <c r="F62" s="46">
        <v>0.05</v>
      </c>
      <c r="H62" s="65">
        <f t="shared" ref="H62:H83" si="19">-$C$101*F62*$C$30</f>
        <v>-3.5942500000000002</v>
      </c>
      <c r="I62" s="64">
        <f t="shared" ref="I62:I83" si="20">-$C$102*F62^2</f>
        <v>-6.5000000000000009</v>
      </c>
      <c r="J62" s="42"/>
      <c r="L62" s="50">
        <f t="shared" ref="L62:L83" si="21">-M62/(0.5*$C$29*F62^2)</f>
        <v>1.2134942897214984</v>
      </c>
      <c r="M62" s="65">
        <f t="shared" ref="M62:M83" si="22">(H62+I62)*$C$42</f>
        <v>-1.5141375000000001</v>
      </c>
      <c r="N62" s="65">
        <f t="shared" ref="N62:N83" si="23">M62/($C$29*9.81)*1000</f>
        <v>-0.15462465465360586</v>
      </c>
      <c r="O62" s="69">
        <f t="shared" ref="O62:O83" si="24">0.5*$C$29*L62*$C$41*F62^3</f>
        <v>7.5706875000000007E-2</v>
      </c>
      <c r="P62" s="69">
        <f t="shared" ref="P62:P83" si="25">O62/1000</f>
        <v>7.570687500000001E-5</v>
      </c>
    </row>
    <row r="63" spans="1:20" x14ac:dyDescent="0.2">
      <c r="A63" s="54" t="s">
        <v>114</v>
      </c>
      <c r="B63" s="55" t="s">
        <v>7</v>
      </c>
      <c r="C63" s="42">
        <v>500</v>
      </c>
      <c r="F63" s="46">
        <v>0.1</v>
      </c>
      <c r="H63" s="65">
        <f t="shared" si="19"/>
        <v>-7.1885000000000003</v>
      </c>
      <c r="I63" s="64">
        <f t="shared" si="20"/>
        <v>-26.000000000000004</v>
      </c>
      <c r="J63" s="42"/>
      <c r="L63" s="70">
        <f t="shared" si="21"/>
        <v>0.99745041073933072</v>
      </c>
      <c r="M63" s="65">
        <f t="shared" si="22"/>
        <v>-4.9782750000000009</v>
      </c>
      <c r="N63" s="73">
        <f t="shared" si="23"/>
        <v>-0.50838451108018912</v>
      </c>
      <c r="O63" s="69">
        <f t="shared" si="24"/>
        <v>0.49782750000000009</v>
      </c>
      <c r="P63" s="69">
        <f t="shared" si="25"/>
        <v>4.9782750000000012E-4</v>
      </c>
      <c r="T63" s="25"/>
    </row>
    <row r="64" spans="1:20" x14ac:dyDescent="0.2">
      <c r="F64" s="71">
        <v>0.2</v>
      </c>
      <c r="G64" s="83"/>
      <c r="H64" s="74">
        <f t="shared" si="19"/>
        <v>-14.377000000000001</v>
      </c>
      <c r="I64" s="74">
        <f t="shared" si="20"/>
        <v>-104.00000000000001</v>
      </c>
      <c r="J64" s="77"/>
      <c r="K64" s="83"/>
      <c r="L64" s="71">
        <f t="shared" si="21"/>
        <v>0.88942847124824664</v>
      </c>
      <c r="M64" s="74">
        <f t="shared" si="22"/>
        <v>-17.756550000000001</v>
      </c>
      <c r="N64" s="74">
        <f t="shared" si="23"/>
        <v>-1.8133098292522871</v>
      </c>
      <c r="O64" s="81">
        <f t="shared" si="24"/>
        <v>3.5513100000000004</v>
      </c>
      <c r="P64" s="81">
        <f t="shared" si="25"/>
        <v>3.5513100000000002E-3</v>
      </c>
      <c r="T64" s="25"/>
    </row>
    <row r="65" spans="1:20" x14ac:dyDescent="0.2">
      <c r="A65" s="10" t="s">
        <v>88</v>
      </c>
      <c r="F65" s="70">
        <v>0.4</v>
      </c>
      <c r="H65" s="65">
        <f t="shared" si="19"/>
        <v>-28.754000000000001</v>
      </c>
      <c r="I65" s="64">
        <f t="shared" si="20"/>
        <v>-416.00000000000006</v>
      </c>
      <c r="J65" s="42"/>
      <c r="L65" s="70">
        <f t="shared" si="21"/>
        <v>0.83541750150270477</v>
      </c>
      <c r="M65" s="65">
        <f t="shared" si="22"/>
        <v>-66.713100000000011</v>
      </c>
      <c r="N65" s="73">
        <f t="shared" si="23"/>
        <v>-6.8127828868722116</v>
      </c>
      <c r="O65" s="69">
        <f t="shared" si="24"/>
        <v>26.685240000000004</v>
      </c>
      <c r="P65" s="69">
        <f t="shared" si="25"/>
        <v>2.6685240000000002E-2</v>
      </c>
      <c r="T65" s="25"/>
    </row>
    <row r="66" spans="1:20" x14ac:dyDescent="0.2">
      <c r="A66" s="17" t="s">
        <v>3</v>
      </c>
      <c r="B66" s="18" t="s">
        <v>4</v>
      </c>
      <c r="C66" s="18" t="s">
        <v>5</v>
      </c>
      <c r="F66" s="71">
        <v>0.5</v>
      </c>
      <c r="G66" s="83"/>
      <c r="H66" s="74">
        <f t="shared" si="19"/>
        <v>-35.942500000000003</v>
      </c>
      <c r="I66" s="74">
        <f t="shared" si="20"/>
        <v>-650</v>
      </c>
      <c r="J66" s="77"/>
      <c r="K66" s="83"/>
      <c r="L66" s="71">
        <f t="shared" si="21"/>
        <v>0.82461530755359636</v>
      </c>
      <c r="M66" s="74">
        <f t="shared" si="22"/>
        <v>-102.891375</v>
      </c>
      <c r="N66" s="74">
        <f t="shared" si="23"/>
        <v>-10.507330626320035</v>
      </c>
      <c r="O66" s="81">
        <f t="shared" si="24"/>
        <v>51.445687499999998</v>
      </c>
      <c r="P66" s="81">
        <f t="shared" si="25"/>
        <v>5.1445687499999997E-2</v>
      </c>
      <c r="T66" s="25"/>
    </row>
    <row r="67" spans="1:20" x14ac:dyDescent="0.2">
      <c r="A67" s="54" t="s">
        <v>138</v>
      </c>
      <c r="B67" s="55" t="s">
        <v>7</v>
      </c>
      <c r="C67" s="42">
        <v>4</v>
      </c>
      <c r="F67" s="70">
        <v>0.8</v>
      </c>
      <c r="H67" s="65">
        <f t="shared" si="19"/>
        <v>-57.508000000000003</v>
      </c>
      <c r="I67" s="64">
        <f t="shared" si="20"/>
        <v>-1664.0000000000002</v>
      </c>
      <c r="J67" s="42"/>
      <c r="L67" s="70">
        <f t="shared" si="21"/>
        <v>0.80841201662993367</v>
      </c>
      <c r="M67" s="65">
        <f t="shared" si="22"/>
        <v>-258.22620000000001</v>
      </c>
      <c r="N67" s="73">
        <f t="shared" si="23"/>
        <v>-26.370218687214965</v>
      </c>
      <c r="O67" s="69">
        <f t="shared" si="24"/>
        <v>206.58096</v>
      </c>
      <c r="P67" s="69">
        <f t="shared" si="25"/>
        <v>0.20658096000000001</v>
      </c>
      <c r="T67" s="25"/>
    </row>
    <row r="68" spans="1:20" x14ac:dyDescent="0.2">
      <c r="A68" s="54" t="s">
        <v>104</v>
      </c>
      <c r="B68" s="55" t="s">
        <v>7</v>
      </c>
      <c r="C68" s="42">
        <v>6</v>
      </c>
      <c r="F68" s="70">
        <v>1</v>
      </c>
      <c r="G68" s="87"/>
      <c r="H68" s="73">
        <f t="shared" si="19"/>
        <v>-71.885000000000005</v>
      </c>
      <c r="I68" s="73">
        <f t="shared" si="20"/>
        <v>-2600</v>
      </c>
      <c r="J68" s="85"/>
      <c r="K68" s="87"/>
      <c r="L68" s="70">
        <f t="shared" si="21"/>
        <v>0.80301091965537974</v>
      </c>
      <c r="M68" s="73">
        <f t="shared" si="22"/>
        <v>-400.78275000000002</v>
      </c>
      <c r="N68" s="73">
        <f t="shared" si="23"/>
        <v>-40.928181429937801</v>
      </c>
      <c r="O68" s="69">
        <f t="shared" si="24"/>
        <v>400.78275000000002</v>
      </c>
      <c r="P68" s="69">
        <f t="shared" si="25"/>
        <v>0.40078275000000002</v>
      </c>
      <c r="T68" s="25"/>
    </row>
    <row r="69" spans="1:20" x14ac:dyDescent="0.2">
      <c r="A69" s="54" t="s">
        <v>105</v>
      </c>
      <c r="B69" s="55" t="s">
        <v>7</v>
      </c>
      <c r="C69" s="42">
        <v>1.5</v>
      </c>
      <c r="F69" s="70">
        <v>2</v>
      </c>
      <c r="H69" s="65">
        <f t="shared" si="19"/>
        <v>-143.77000000000001</v>
      </c>
      <c r="I69" s="64">
        <f t="shared" si="20"/>
        <v>-10400</v>
      </c>
      <c r="J69" s="42"/>
      <c r="L69" s="70">
        <f t="shared" si="21"/>
        <v>0.79220872570627121</v>
      </c>
      <c r="M69" s="65">
        <f t="shared" si="22"/>
        <v>-1581.5654999999999</v>
      </c>
      <c r="N69" s="73">
        <f t="shared" si="23"/>
        <v>-161.5104435690665</v>
      </c>
      <c r="O69" s="69">
        <f t="shared" si="24"/>
        <v>3163.1309999999999</v>
      </c>
      <c r="P69" s="69">
        <f t="shared" si="25"/>
        <v>3.1631309999999999</v>
      </c>
      <c r="T69" s="25"/>
    </row>
    <row r="70" spans="1:20" x14ac:dyDescent="0.2">
      <c r="A70" s="54" t="s">
        <v>102</v>
      </c>
      <c r="B70" s="55" t="s">
        <v>7</v>
      </c>
      <c r="C70" s="42">
        <v>150</v>
      </c>
      <c r="D70" s="54" t="s">
        <v>154</v>
      </c>
      <c r="F70" s="70">
        <v>4</v>
      </c>
      <c r="H70" s="65">
        <f t="shared" si="19"/>
        <v>-287.54000000000002</v>
      </c>
      <c r="I70" s="64">
        <f t="shared" si="20"/>
        <v>-41600</v>
      </c>
      <c r="J70" s="42"/>
      <c r="L70" s="70">
        <f t="shared" si="21"/>
        <v>0.78680762873171706</v>
      </c>
      <c r="M70" s="65">
        <f t="shared" si="22"/>
        <v>-6283.1310000000003</v>
      </c>
      <c r="N70" s="73">
        <f t="shared" si="23"/>
        <v>-641.63720997489668</v>
      </c>
      <c r="O70" s="69">
        <f t="shared" si="24"/>
        <v>25132.524000000001</v>
      </c>
      <c r="P70" s="69">
        <f t="shared" si="25"/>
        <v>25.132524</v>
      </c>
      <c r="T70" s="25"/>
    </row>
    <row r="71" spans="1:20" x14ac:dyDescent="0.2">
      <c r="A71" s="54" t="s">
        <v>103</v>
      </c>
      <c r="B71" s="55" t="s">
        <v>7</v>
      </c>
      <c r="C71" s="42">
        <v>1.75</v>
      </c>
      <c r="F71" s="70">
        <v>5</v>
      </c>
      <c r="H71" s="65">
        <f t="shared" si="19"/>
        <v>-359.42500000000001</v>
      </c>
      <c r="I71" s="64">
        <f t="shared" si="20"/>
        <v>-65000</v>
      </c>
      <c r="J71" s="42"/>
      <c r="L71" s="50">
        <f t="shared" si="21"/>
        <v>0.78572740933680618</v>
      </c>
      <c r="M71" s="65">
        <f t="shared" si="22"/>
        <v>-9803.9137499999997</v>
      </c>
      <c r="N71" s="65">
        <f t="shared" si="23"/>
        <v>-1001.1817142415982</v>
      </c>
      <c r="O71" s="69">
        <f t="shared" si="24"/>
        <v>49019.568749999999</v>
      </c>
      <c r="P71" s="69">
        <f t="shared" si="25"/>
        <v>49.019568749999998</v>
      </c>
      <c r="T71" s="25"/>
    </row>
    <row r="72" spans="1:20" x14ac:dyDescent="0.2">
      <c r="F72" s="70">
        <v>8</v>
      </c>
      <c r="H72" s="65">
        <f t="shared" si="19"/>
        <v>-575.08000000000004</v>
      </c>
      <c r="I72" s="64">
        <f t="shared" si="20"/>
        <v>-166400</v>
      </c>
      <c r="J72" s="42"/>
      <c r="L72" s="50">
        <f t="shared" si="21"/>
        <v>0.78410708024443987</v>
      </c>
      <c r="M72" s="65">
        <f t="shared" si="22"/>
        <v>-25046.261999999999</v>
      </c>
      <c r="N72" s="65">
        <f t="shared" si="23"/>
        <v>-2557.7397112968479</v>
      </c>
      <c r="O72" s="69">
        <f t="shared" si="24"/>
        <v>200370.09599999999</v>
      </c>
      <c r="P72" s="69">
        <f t="shared" si="25"/>
        <v>200.37009599999999</v>
      </c>
      <c r="T72" s="25"/>
    </row>
    <row r="73" spans="1:20" x14ac:dyDescent="0.2">
      <c r="A73" s="10" t="s">
        <v>127</v>
      </c>
      <c r="F73" s="70">
        <v>10</v>
      </c>
      <c r="H73" s="65">
        <f t="shared" si="19"/>
        <v>-718.85</v>
      </c>
      <c r="I73" s="64">
        <f t="shared" si="20"/>
        <v>-260000</v>
      </c>
      <c r="J73" s="42"/>
      <c r="L73" s="50">
        <f t="shared" si="21"/>
        <v>0.78356697054698454</v>
      </c>
      <c r="M73" s="65">
        <f t="shared" si="22"/>
        <v>-39107.827499999999</v>
      </c>
      <c r="N73" s="65">
        <f t="shared" si="23"/>
        <v>-3993.7154462129693</v>
      </c>
      <c r="O73" s="69">
        <f t="shared" si="24"/>
        <v>391078.27500000002</v>
      </c>
      <c r="P73" s="69">
        <f t="shared" si="25"/>
        <v>391.07827500000002</v>
      </c>
      <c r="T73" s="25"/>
    </row>
    <row r="74" spans="1:20" x14ac:dyDescent="0.2">
      <c r="A74" s="17" t="s">
        <v>3</v>
      </c>
      <c r="B74" s="18" t="s">
        <v>4</v>
      </c>
      <c r="C74" s="18" t="s">
        <v>5</v>
      </c>
      <c r="F74" s="70">
        <v>12</v>
      </c>
      <c r="H74" s="65">
        <f t="shared" si="19"/>
        <v>-862.62</v>
      </c>
      <c r="I74" s="64">
        <f t="shared" si="20"/>
        <v>-374400</v>
      </c>
      <c r="J74" s="42"/>
      <c r="L74" s="50">
        <f t="shared" si="21"/>
        <v>0.78320689741534744</v>
      </c>
      <c r="M74" s="65">
        <f t="shared" si="22"/>
        <v>-56289.392999999996</v>
      </c>
      <c r="N74" s="65">
        <f t="shared" si="23"/>
        <v>-5748.3075039658534</v>
      </c>
      <c r="O74" s="69">
        <f t="shared" si="24"/>
        <v>675472.7159999999</v>
      </c>
      <c r="P74" s="69">
        <f t="shared" si="25"/>
        <v>675.47271599999988</v>
      </c>
      <c r="T74" s="25"/>
    </row>
    <row r="75" spans="1:20" x14ac:dyDescent="0.2">
      <c r="A75" s="54" t="s">
        <v>119</v>
      </c>
      <c r="B75" s="41" t="s">
        <v>1</v>
      </c>
      <c r="C75" s="47">
        <f>PI()*C45</f>
        <v>2.6703537555513242E-2</v>
      </c>
      <c r="F75" s="70">
        <v>14</v>
      </c>
      <c r="H75" s="65">
        <f t="shared" si="19"/>
        <v>-1006.39</v>
      </c>
      <c r="I75" s="64">
        <f t="shared" si="20"/>
        <v>-509600</v>
      </c>
      <c r="J75" s="42"/>
      <c r="L75" s="50">
        <f t="shared" si="21"/>
        <v>0.78294970232132111</v>
      </c>
      <c r="M75" s="65">
        <f t="shared" si="22"/>
        <v>-76590.958499999993</v>
      </c>
      <c r="N75" s="65">
        <f t="shared" si="23"/>
        <v>-7821.5158845555015</v>
      </c>
      <c r="O75" s="69">
        <f t="shared" si="24"/>
        <v>1072273.419</v>
      </c>
      <c r="P75" s="69">
        <f t="shared" si="25"/>
        <v>1072.2734190000001</v>
      </c>
      <c r="T75" s="25"/>
    </row>
    <row r="76" spans="1:20" x14ac:dyDescent="0.2">
      <c r="A76" s="54" t="s">
        <v>120</v>
      </c>
      <c r="B76" s="52" t="s">
        <v>2</v>
      </c>
      <c r="C76" s="47">
        <f>C75*C42</f>
        <v>4.0055306333269865E-3</v>
      </c>
      <c r="F76" s="70">
        <v>15</v>
      </c>
      <c r="H76" s="65">
        <f t="shared" si="19"/>
        <v>-1078.2750000000001</v>
      </c>
      <c r="I76" s="64">
        <f t="shared" si="20"/>
        <v>-585000</v>
      </c>
      <c r="J76" s="42"/>
      <c r="L76" s="50">
        <f t="shared" si="21"/>
        <v>0.78284682428371077</v>
      </c>
      <c r="M76" s="65">
        <f t="shared" si="22"/>
        <v>-87911.741250000006</v>
      </c>
      <c r="N76" s="65">
        <f t="shared" si="23"/>
        <v>-8977.6011959141142</v>
      </c>
      <c r="O76" s="69">
        <f t="shared" si="24"/>
        <v>1318676.1187500004</v>
      </c>
      <c r="P76" s="69">
        <f t="shared" si="25"/>
        <v>1318.6761187500003</v>
      </c>
      <c r="T76" s="25"/>
    </row>
    <row r="77" spans="1:20" x14ac:dyDescent="0.2">
      <c r="A77" s="54" t="s">
        <v>122</v>
      </c>
      <c r="B77" s="52" t="s">
        <v>2</v>
      </c>
      <c r="C77" s="62">
        <f>(C45/2)^2*PI()</f>
        <v>5.6745017305465647E-5</v>
      </c>
      <c r="F77" s="70">
        <v>18</v>
      </c>
      <c r="H77" s="65">
        <f t="shared" si="19"/>
        <v>-1293.93</v>
      </c>
      <c r="I77" s="64">
        <f t="shared" si="20"/>
        <v>-842400</v>
      </c>
      <c r="J77" s="42"/>
      <c r="L77" s="50">
        <f t="shared" si="21"/>
        <v>0.78260677552928604</v>
      </c>
      <c r="M77" s="65">
        <f t="shared" si="22"/>
        <v>-126554.0895</v>
      </c>
      <c r="N77" s="65">
        <f t="shared" si="23"/>
        <v>-12923.78161424509</v>
      </c>
      <c r="O77" s="69">
        <f t="shared" si="24"/>
        <v>2277973.611</v>
      </c>
      <c r="P77" s="69">
        <f t="shared" si="25"/>
        <v>2277.9736109999999</v>
      </c>
      <c r="T77" s="25"/>
    </row>
    <row r="78" spans="1:20" x14ac:dyDescent="0.2">
      <c r="A78" s="54" t="s">
        <v>121</v>
      </c>
      <c r="B78" s="52" t="s">
        <v>86</v>
      </c>
      <c r="C78" s="47">
        <f>C42*C77</f>
        <v>8.5117525958198471E-6</v>
      </c>
      <c r="F78" s="70">
        <v>20</v>
      </c>
      <c r="H78" s="65">
        <f t="shared" si="19"/>
        <v>-1437.7</v>
      </c>
      <c r="I78" s="64">
        <f t="shared" si="20"/>
        <v>-1040000</v>
      </c>
      <c r="J78" s="42"/>
      <c r="L78" s="50">
        <f t="shared" si="21"/>
        <v>0.78248675115207378</v>
      </c>
      <c r="M78" s="65">
        <f t="shared" si="22"/>
        <v>-156215.655</v>
      </c>
      <c r="N78" s="65">
        <f t="shared" si="23"/>
        <v>-15952.838963345028</v>
      </c>
      <c r="O78" s="69">
        <f t="shared" si="24"/>
        <v>3124313.1</v>
      </c>
      <c r="P78" s="69">
        <f t="shared" si="25"/>
        <v>3124.3131000000003</v>
      </c>
      <c r="T78" s="25"/>
    </row>
    <row r="79" spans="1:20" x14ac:dyDescent="0.2">
      <c r="A79" s="54" t="s">
        <v>140</v>
      </c>
      <c r="B79" s="55" t="s">
        <v>1</v>
      </c>
      <c r="C79" s="47">
        <f>$C$67 * C77 / C75</f>
        <v>8.5000000000000006E-3</v>
      </c>
      <c r="F79" s="70">
        <v>22</v>
      </c>
      <c r="H79" s="65">
        <f t="shared" si="19"/>
        <v>-1581.47</v>
      </c>
      <c r="I79" s="64">
        <f t="shared" si="20"/>
        <v>-1258400</v>
      </c>
      <c r="J79" s="42"/>
      <c r="L79" s="50">
        <f t="shared" si="21"/>
        <v>0.7823885493888999</v>
      </c>
      <c r="M79" s="65">
        <f t="shared" si="22"/>
        <v>-188997.2205</v>
      </c>
      <c r="N79" s="65">
        <f t="shared" si="23"/>
        <v>-19300.512635281731</v>
      </c>
      <c r="O79" s="69">
        <f t="shared" si="24"/>
        <v>4157938.8509999998</v>
      </c>
      <c r="P79" s="69">
        <f t="shared" si="25"/>
        <v>4157.9388509999999</v>
      </c>
      <c r="T79" s="25"/>
    </row>
    <row r="80" spans="1:20" x14ac:dyDescent="0.2">
      <c r="A80" s="66" t="s">
        <v>147</v>
      </c>
      <c r="B80" s="41" t="s">
        <v>7</v>
      </c>
      <c r="C80" s="57">
        <f>$C$69 * ((1-$C$48)/$C$48) * C79</f>
        <v>6.7086600766671197E-3</v>
      </c>
      <c r="F80" s="70">
        <v>24</v>
      </c>
      <c r="H80" s="65">
        <f t="shared" si="19"/>
        <v>-1725.24</v>
      </c>
      <c r="I80" s="64">
        <f t="shared" si="20"/>
        <v>-1497600</v>
      </c>
      <c r="J80" s="42"/>
      <c r="L80" s="50">
        <f t="shared" si="21"/>
        <v>0.78230671458625511</v>
      </c>
      <c r="M80" s="65">
        <f t="shared" si="22"/>
        <v>-224898.78599999999</v>
      </c>
      <c r="N80" s="65">
        <f t="shared" si="23"/>
        <v>-22966.802630055197</v>
      </c>
      <c r="O80" s="69">
        <f t="shared" si="24"/>
        <v>5397570.8639999991</v>
      </c>
      <c r="P80" s="69">
        <f t="shared" si="25"/>
        <v>5397.5708639999993</v>
      </c>
      <c r="T80" s="25"/>
    </row>
    <row r="81" spans="1:20" x14ac:dyDescent="0.2">
      <c r="A81" s="56" t="s">
        <v>152</v>
      </c>
      <c r="B81" s="52" t="s">
        <v>7</v>
      </c>
      <c r="C81" s="44">
        <f>($C$70 / C79^2) * (($C$49)^2 / $C$48^3)</f>
        <v>877217.64498508535</v>
      </c>
      <c r="F81" s="70">
        <v>25</v>
      </c>
      <c r="H81" s="65">
        <f t="shared" si="19"/>
        <v>-1797.125</v>
      </c>
      <c r="I81" s="64">
        <f t="shared" si="20"/>
        <v>-1625000</v>
      </c>
      <c r="J81" s="42"/>
      <c r="L81" s="50">
        <f t="shared" si="21"/>
        <v>0.78227070727309145</v>
      </c>
      <c r="M81" s="65">
        <f t="shared" si="22"/>
        <v>-244019.56874999998</v>
      </c>
      <c r="N81" s="65">
        <f t="shared" si="23"/>
        <v>-24919.428748505718</v>
      </c>
      <c r="O81" s="69">
        <f t="shared" si="24"/>
        <v>6100489.2187499991</v>
      </c>
      <c r="P81" s="69">
        <f t="shared" si="25"/>
        <v>6100.4892187499991</v>
      </c>
      <c r="T81" s="25"/>
    </row>
    <row r="82" spans="1:20" x14ac:dyDescent="0.2">
      <c r="A82" s="56" t="s">
        <v>153</v>
      </c>
      <c r="B82" s="52" t="s">
        <v>7</v>
      </c>
      <c r="C82" s="61">
        <f>($C$71 / C79) * (($C$49) / $C$48^3)</f>
        <v>252.3191532613306</v>
      </c>
      <c r="F82" s="70">
        <v>28</v>
      </c>
      <c r="H82" s="65">
        <f t="shared" si="19"/>
        <v>-2012.78</v>
      </c>
      <c r="I82" s="64">
        <f t="shared" si="20"/>
        <v>-2038400</v>
      </c>
      <c r="J82" s="42"/>
      <c r="L82" s="50">
        <f t="shared" si="21"/>
        <v>0.782178117039242</v>
      </c>
      <c r="M82" s="65">
        <f t="shared" si="22"/>
        <v>-306061.91700000002</v>
      </c>
      <c r="N82" s="65">
        <f t="shared" si="23"/>
        <v>-31255.231588112427</v>
      </c>
      <c r="O82" s="69">
        <f t="shared" si="24"/>
        <v>8569733.675999999</v>
      </c>
      <c r="P82" s="69">
        <f t="shared" si="25"/>
        <v>8569.7336759999998</v>
      </c>
      <c r="T82" s="25"/>
    </row>
    <row r="83" spans="1:20" x14ac:dyDescent="0.2">
      <c r="A83" s="56" t="s">
        <v>151</v>
      </c>
      <c r="B83" s="41" t="s">
        <v>7</v>
      </c>
      <c r="C83" s="60">
        <f>C81*$C$30</f>
        <v>1146.5234619955065</v>
      </c>
      <c r="F83" s="70">
        <v>30</v>
      </c>
      <c r="H83" s="65">
        <f t="shared" si="19"/>
        <v>-2156.5500000000002</v>
      </c>
      <c r="I83" s="64">
        <f t="shared" si="20"/>
        <v>-2340000</v>
      </c>
      <c r="J83" s="42"/>
      <c r="L83" s="50">
        <f t="shared" si="21"/>
        <v>0.78212667802043678</v>
      </c>
      <c r="M83" s="65">
        <f t="shared" si="22"/>
        <v>-351323.48249999998</v>
      </c>
      <c r="N83" s="65">
        <f t="shared" si="23"/>
        <v>-35877.370551396176</v>
      </c>
      <c r="O83" s="69">
        <f t="shared" si="24"/>
        <v>10539704.475000001</v>
      </c>
      <c r="P83" s="69">
        <f t="shared" si="25"/>
        <v>10539.704475000002</v>
      </c>
    </row>
    <row r="84" spans="1:20" x14ac:dyDescent="0.2">
      <c r="A84" s="56" t="s">
        <v>150</v>
      </c>
      <c r="B84" s="41" t="s">
        <v>7</v>
      </c>
      <c r="C84" s="61">
        <f>C82*$C$29</f>
        <v>251864.9787854602</v>
      </c>
    </row>
    <row r="86" spans="1:20" x14ac:dyDescent="0.2">
      <c r="A86" s="10" t="s">
        <v>137</v>
      </c>
      <c r="E86" s="28"/>
      <c r="F86" s="10" t="s">
        <v>167</v>
      </c>
      <c r="H86" s="10"/>
    </row>
    <row r="87" spans="1:20" x14ac:dyDescent="0.2">
      <c r="A87" s="17" t="s">
        <v>3</v>
      </c>
      <c r="B87" s="18" t="s">
        <v>4</v>
      </c>
      <c r="C87" s="18" t="s">
        <v>5</v>
      </c>
      <c r="E87" s="28"/>
      <c r="F87" s="9" t="s">
        <v>9</v>
      </c>
      <c r="H87" s="9" t="s">
        <v>69</v>
      </c>
      <c r="I87" s="9" t="s">
        <v>80</v>
      </c>
      <c r="L87" s="9" t="s">
        <v>85</v>
      </c>
      <c r="M87" s="9" t="s">
        <v>40</v>
      </c>
      <c r="N87" s="9" t="s">
        <v>74</v>
      </c>
      <c r="O87" s="18" t="s">
        <v>10</v>
      </c>
      <c r="P87" s="18" t="s">
        <v>10</v>
      </c>
    </row>
    <row r="88" spans="1:20" x14ac:dyDescent="0.2">
      <c r="A88" s="54" t="s">
        <v>123</v>
      </c>
      <c r="B88" s="55" t="s">
        <v>1</v>
      </c>
      <c r="C88" s="47">
        <f>C43 / SQRT(3) * 6</f>
        <v>3.4641016151377546E-2</v>
      </c>
      <c r="F88" s="9" t="s">
        <v>12</v>
      </c>
      <c r="H88" s="9" t="s">
        <v>59</v>
      </c>
      <c r="I88" s="9" t="s">
        <v>59</v>
      </c>
      <c r="L88" s="9" t="s">
        <v>58</v>
      </c>
      <c r="M88" s="9" t="s">
        <v>59</v>
      </c>
      <c r="N88" s="9" t="s">
        <v>75</v>
      </c>
      <c r="O88" s="18" t="s">
        <v>11</v>
      </c>
      <c r="P88" s="18" t="s">
        <v>76</v>
      </c>
    </row>
    <row r="89" spans="1:20" x14ac:dyDescent="0.2">
      <c r="A89" s="54" t="s">
        <v>124</v>
      </c>
      <c r="B89" s="41" t="s">
        <v>2</v>
      </c>
      <c r="C89" s="47">
        <f>C42*C88</f>
        <v>5.1961524227066317E-3</v>
      </c>
      <c r="F89" s="46">
        <v>0.05</v>
      </c>
      <c r="H89" s="65">
        <f>-$C$106*F89*$C$30</f>
        <v>-3.5942500000000002</v>
      </c>
      <c r="I89" s="64">
        <f>-$C$107*F89^2</f>
        <v>-6.7500000000000009</v>
      </c>
      <c r="J89" s="42"/>
      <c r="L89" s="50">
        <f t="shared" ref="L89:L110" si="26">-M89/(0.5*$C$29*F89^2)</f>
        <v>1.2435483870967738</v>
      </c>
      <c r="M89" s="65">
        <f t="shared" ref="M89:M110" si="27">(H89+I89)*$C$42</f>
        <v>-1.5516375</v>
      </c>
      <c r="N89" s="65">
        <f t="shared" ref="N89:N110" si="28">M89/($C$29*9.81)*1000</f>
        <v>-0.15845417776462464</v>
      </c>
      <c r="O89" s="69">
        <f t="shared" ref="O89:O110" si="29">0.5*$C$29*L89*$C$41*F89^3</f>
        <v>7.7581874999999995E-2</v>
      </c>
      <c r="P89" s="69">
        <f t="shared" ref="P89:P110" si="30">O89/1000</f>
        <v>7.7581874999999988E-5</v>
      </c>
    </row>
    <row r="90" spans="1:20" x14ac:dyDescent="0.2">
      <c r="A90" s="54" t="s">
        <v>125</v>
      </c>
      <c r="B90" s="52" t="s">
        <v>2</v>
      </c>
      <c r="C90" s="47">
        <f>2*SQRT(3)*(C43/2)^2</f>
        <v>8.6602540378443864E-5</v>
      </c>
      <c r="E90" s="54"/>
      <c r="F90" s="46">
        <v>0.1</v>
      </c>
      <c r="H90" s="65">
        <f t="shared" ref="H90:H110" si="31">-$C$106*F90*$C$30</f>
        <v>-7.1885000000000003</v>
      </c>
      <c r="I90" s="64">
        <f t="shared" ref="I90:I110" si="32">-$C$107*F90^2</f>
        <v>-27.000000000000004</v>
      </c>
      <c r="J90" s="42"/>
      <c r="L90" s="70">
        <f t="shared" si="26"/>
        <v>1.0275045081146061</v>
      </c>
      <c r="M90" s="65">
        <f t="shared" si="27"/>
        <v>-5.1282750000000004</v>
      </c>
      <c r="N90" s="73">
        <f t="shared" si="28"/>
        <v>-0.52370260352426423</v>
      </c>
      <c r="O90" s="69">
        <f t="shared" si="29"/>
        <v>0.5128275000000001</v>
      </c>
      <c r="P90" s="69">
        <f t="shared" si="30"/>
        <v>5.1282750000000005E-4</v>
      </c>
    </row>
    <row r="91" spans="1:20" x14ac:dyDescent="0.2">
      <c r="A91" s="54" t="s">
        <v>126</v>
      </c>
      <c r="B91" s="52" t="s">
        <v>86</v>
      </c>
      <c r="C91" s="47">
        <f>C90*C42</f>
        <v>1.2990381056766579E-5</v>
      </c>
      <c r="E91" s="54"/>
      <c r="F91" s="71">
        <v>0.2</v>
      </c>
      <c r="G91" s="83"/>
      <c r="H91" s="65">
        <f t="shared" si="31"/>
        <v>-14.377000000000001</v>
      </c>
      <c r="I91" s="64">
        <f t="shared" si="32"/>
        <v>-108.00000000000001</v>
      </c>
      <c r="J91" s="77"/>
      <c r="K91" s="83"/>
      <c r="L91" s="71">
        <f t="shared" si="26"/>
        <v>0.91948256862352218</v>
      </c>
      <c r="M91" s="74">
        <f t="shared" si="27"/>
        <v>-18.356550000000002</v>
      </c>
      <c r="N91" s="74">
        <f t="shared" si="28"/>
        <v>-1.874582199028588</v>
      </c>
      <c r="O91" s="81">
        <f t="shared" si="29"/>
        <v>3.6713100000000005</v>
      </c>
      <c r="P91" s="81">
        <f t="shared" si="30"/>
        <v>3.6713100000000005E-3</v>
      </c>
    </row>
    <row r="92" spans="1:20" x14ac:dyDescent="0.2">
      <c r="A92" s="53" t="s">
        <v>87</v>
      </c>
      <c r="B92" s="52" t="s">
        <v>1</v>
      </c>
      <c r="C92" s="47">
        <f>$C$67 * C91 / C89</f>
        <v>0.01</v>
      </c>
      <c r="F92" s="70">
        <v>0.4</v>
      </c>
      <c r="H92" s="65">
        <f t="shared" si="31"/>
        <v>-28.754000000000001</v>
      </c>
      <c r="I92" s="64">
        <f t="shared" si="32"/>
        <v>-432.00000000000006</v>
      </c>
      <c r="J92" s="42"/>
      <c r="L92" s="70">
        <f t="shared" si="26"/>
        <v>0.8654715988779802</v>
      </c>
      <c r="M92" s="65">
        <f t="shared" si="27"/>
        <v>-69.113100000000003</v>
      </c>
      <c r="N92" s="73">
        <f t="shared" si="28"/>
        <v>-7.0578723659774143</v>
      </c>
      <c r="O92" s="69">
        <f t="shared" si="29"/>
        <v>27.645240000000001</v>
      </c>
      <c r="P92" s="69">
        <f t="shared" si="30"/>
        <v>2.7645240000000001E-2</v>
      </c>
    </row>
    <row r="93" spans="1:20" x14ac:dyDescent="0.2">
      <c r="A93" s="66" t="s">
        <v>147</v>
      </c>
      <c r="B93" s="41" t="s">
        <v>7</v>
      </c>
      <c r="C93" s="57">
        <f>$C$69 * ((1-$C$48)/$C$48) * C92</f>
        <v>7.8925412666671999E-3</v>
      </c>
      <c r="F93" s="71">
        <v>0.5</v>
      </c>
      <c r="G93" s="83"/>
      <c r="H93" s="65">
        <f t="shared" si="31"/>
        <v>-35.942500000000003</v>
      </c>
      <c r="I93" s="64">
        <f t="shared" si="32"/>
        <v>-675</v>
      </c>
      <c r="J93" s="77"/>
      <c r="K93" s="83"/>
      <c r="L93" s="71">
        <f t="shared" si="26"/>
        <v>0.85466940492887189</v>
      </c>
      <c r="M93" s="74">
        <f t="shared" si="27"/>
        <v>-106.641375</v>
      </c>
      <c r="N93" s="74">
        <f t="shared" si="28"/>
        <v>-10.890282937421915</v>
      </c>
      <c r="O93" s="81">
        <f t="shared" si="29"/>
        <v>53.320687499999998</v>
      </c>
      <c r="P93" s="81">
        <f t="shared" si="30"/>
        <v>5.3320687499999998E-2</v>
      </c>
    </row>
    <row r="94" spans="1:20" x14ac:dyDescent="0.2">
      <c r="A94" s="56" t="s">
        <v>152</v>
      </c>
      <c r="B94" s="52" t="s">
        <v>7</v>
      </c>
      <c r="C94" s="44">
        <f>($C$70 / C92^2) * (($C$49)^2 / $C$48^3)</f>
        <v>633789.74850172433</v>
      </c>
      <c r="E94" s="54"/>
      <c r="F94" s="70">
        <v>0.8</v>
      </c>
      <c r="H94" s="65">
        <f t="shared" si="31"/>
        <v>-57.508000000000003</v>
      </c>
      <c r="I94" s="64">
        <f t="shared" si="32"/>
        <v>-1728.0000000000002</v>
      </c>
      <c r="J94" s="42"/>
      <c r="L94" s="70">
        <f t="shared" si="26"/>
        <v>0.83846611400520921</v>
      </c>
      <c r="M94" s="65">
        <f t="shared" si="27"/>
        <v>-267.82620000000003</v>
      </c>
      <c r="N94" s="73">
        <f t="shared" si="28"/>
        <v>-27.350576603635783</v>
      </c>
      <c r="O94" s="69">
        <f t="shared" si="29"/>
        <v>214.26096000000001</v>
      </c>
      <c r="P94" s="69">
        <f t="shared" si="30"/>
        <v>0.21426096</v>
      </c>
    </row>
    <row r="95" spans="1:20" x14ac:dyDescent="0.2">
      <c r="A95" s="56" t="s">
        <v>153</v>
      </c>
      <c r="B95" s="52" t="s">
        <v>7</v>
      </c>
      <c r="C95" s="61">
        <f>($C$71 / C92) * (($C$49) / $C$48^3)</f>
        <v>214.47128027213103</v>
      </c>
      <c r="F95" s="70">
        <v>1</v>
      </c>
      <c r="G95" s="87"/>
      <c r="H95" s="65">
        <f t="shared" si="31"/>
        <v>-71.885000000000005</v>
      </c>
      <c r="I95" s="64">
        <f t="shared" si="32"/>
        <v>-2700</v>
      </c>
      <c r="J95" s="85"/>
      <c r="K95" s="87"/>
      <c r="L95" s="70">
        <f t="shared" si="26"/>
        <v>0.83306501703065516</v>
      </c>
      <c r="M95" s="73">
        <f t="shared" si="27"/>
        <v>-415.78275000000002</v>
      </c>
      <c r="N95" s="73">
        <f t="shared" si="28"/>
        <v>-42.45999067434532</v>
      </c>
      <c r="O95" s="69">
        <f t="shared" si="29"/>
        <v>415.78275000000002</v>
      </c>
      <c r="P95" s="69">
        <f t="shared" si="30"/>
        <v>0.41578275000000003</v>
      </c>
    </row>
    <row r="96" spans="1:20" x14ac:dyDescent="0.2">
      <c r="A96" s="56" t="s">
        <v>151</v>
      </c>
      <c r="B96" s="41" t="s">
        <v>7</v>
      </c>
      <c r="C96" s="60">
        <f>C94*$C$30</f>
        <v>828.36320129175374</v>
      </c>
      <c r="F96" s="70">
        <v>2</v>
      </c>
      <c r="H96" s="65">
        <f t="shared" si="31"/>
        <v>-143.77000000000001</v>
      </c>
      <c r="I96" s="64">
        <f t="shared" si="32"/>
        <v>-10800</v>
      </c>
      <c r="J96" s="42"/>
      <c r="L96" s="70">
        <f t="shared" si="26"/>
        <v>0.82226282308154675</v>
      </c>
      <c r="M96" s="65">
        <f t="shared" si="27"/>
        <v>-1641.5654999999999</v>
      </c>
      <c r="N96" s="73">
        <f t="shared" si="28"/>
        <v>-167.6376805466966</v>
      </c>
      <c r="O96" s="69">
        <f t="shared" si="29"/>
        <v>3283.1309999999999</v>
      </c>
      <c r="P96" s="69">
        <f t="shared" si="30"/>
        <v>3.283131</v>
      </c>
    </row>
    <row r="97" spans="1:16" x14ac:dyDescent="0.2">
      <c r="A97" s="56" t="s">
        <v>150</v>
      </c>
      <c r="B97" s="41" t="s">
        <v>7</v>
      </c>
      <c r="C97" s="61">
        <f>C95*$C$29</f>
        <v>214085.23196764119</v>
      </c>
      <c r="F97" s="70">
        <v>4</v>
      </c>
      <c r="H97" s="65">
        <f t="shared" si="31"/>
        <v>-287.54000000000002</v>
      </c>
      <c r="I97" s="64">
        <f t="shared" si="32"/>
        <v>-43200</v>
      </c>
      <c r="J97" s="42"/>
      <c r="L97" s="70">
        <f t="shared" si="26"/>
        <v>0.81686172610699259</v>
      </c>
      <c r="M97" s="65">
        <f t="shared" si="27"/>
        <v>-6523.1310000000003</v>
      </c>
      <c r="N97" s="73">
        <f t="shared" si="28"/>
        <v>-666.14615788541698</v>
      </c>
      <c r="O97" s="69">
        <f t="shared" si="29"/>
        <v>26092.524000000001</v>
      </c>
      <c r="P97" s="69">
        <f t="shared" si="30"/>
        <v>26.092524000000001</v>
      </c>
    </row>
    <row r="98" spans="1:16" x14ac:dyDescent="0.2">
      <c r="F98" s="70">
        <v>5</v>
      </c>
      <c r="H98" s="65">
        <f t="shared" si="31"/>
        <v>-359.42500000000001</v>
      </c>
      <c r="I98" s="64">
        <f t="shared" si="32"/>
        <v>-67500</v>
      </c>
      <c r="J98" s="42"/>
      <c r="L98" s="50">
        <f t="shared" si="26"/>
        <v>0.81578150671208172</v>
      </c>
      <c r="M98" s="65">
        <f t="shared" si="27"/>
        <v>-10178.91375</v>
      </c>
      <c r="N98" s="65">
        <f t="shared" si="28"/>
        <v>-1039.4769453517861</v>
      </c>
      <c r="O98" s="69">
        <f t="shared" si="29"/>
        <v>50894.568749999999</v>
      </c>
      <c r="P98" s="69">
        <f t="shared" si="30"/>
        <v>50.894568749999998</v>
      </c>
    </row>
    <row r="99" spans="1:16" x14ac:dyDescent="0.2">
      <c r="A99" s="10" t="s">
        <v>166</v>
      </c>
      <c r="B99" s="9"/>
      <c r="D99" s="10"/>
      <c r="F99" s="70">
        <v>8</v>
      </c>
      <c r="H99" s="65">
        <f t="shared" si="31"/>
        <v>-575.08000000000004</v>
      </c>
      <c r="I99" s="64">
        <f t="shared" si="32"/>
        <v>-172800</v>
      </c>
      <c r="J99" s="42"/>
      <c r="L99" s="50">
        <f t="shared" si="26"/>
        <v>0.8141611776197154</v>
      </c>
      <c r="M99" s="65">
        <f t="shared" si="27"/>
        <v>-26006.261999999999</v>
      </c>
      <c r="N99" s="65">
        <f t="shared" si="28"/>
        <v>-2655.7755029389291</v>
      </c>
      <c r="O99" s="69">
        <f t="shared" si="29"/>
        <v>208050.09599999999</v>
      </c>
      <c r="P99" s="69">
        <f t="shared" si="30"/>
        <v>208.050096</v>
      </c>
    </row>
    <row r="100" spans="1:16" x14ac:dyDescent="0.2">
      <c r="A100" s="17" t="s">
        <v>3</v>
      </c>
      <c r="B100" s="18" t="s">
        <v>4</v>
      </c>
      <c r="C100" s="18" t="s">
        <v>5</v>
      </c>
      <c r="F100" s="70">
        <v>10</v>
      </c>
      <c r="H100" s="65">
        <f t="shared" si="31"/>
        <v>-718.85</v>
      </c>
      <c r="I100" s="64">
        <f t="shared" si="32"/>
        <v>-270000</v>
      </c>
      <c r="J100" s="42"/>
      <c r="L100" s="50">
        <f t="shared" si="26"/>
        <v>0.81362106792225997</v>
      </c>
      <c r="M100" s="65">
        <f t="shared" si="27"/>
        <v>-40607.827499999992</v>
      </c>
      <c r="N100" s="65">
        <f t="shared" si="28"/>
        <v>-4146.8963706537197</v>
      </c>
      <c r="O100" s="69">
        <f t="shared" si="29"/>
        <v>406078.27499999997</v>
      </c>
      <c r="P100" s="69">
        <f t="shared" si="30"/>
        <v>406.07827499999996</v>
      </c>
    </row>
    <row r="101" spans="1:16" x14ac:dyDescent="0.2">
      <c r="A101" s="40" t="s">
        <v>70</v>
      </c>
      <c r="B101" s="41" t="s">
        <v>7</v>
      </c>
      <c r="C101" s="51">
        <v>55000</v>
      </c>
      <c r="F101" s="70">
        <v>12</v>
      </c>
      <c r="H101" s="65">
        <f t="shared" si="31"/>
        <v>-862.62</v>
      </c>
      <c r="I101" s="64">
        <f t="shared" si="32"/>
        <v>-388800</v>
      </c>
      <c r="J101" s="42"/>
      <c r="L101" s="50">
        <f t="shared" si="26"/>
        <v>0.81326099479062297</v>
      </c>
      <c r="M101" s="65">
        <f t="shared" si="27"/>
        <v>-58449.392999999996</v>
      </c>
      <c r="N101" s="65">
        <f t="shared" si="28"/>
        <v>-5968.8880351605358</v>
      </c>
      <c r="O101" s="69">
        <f t="shared" si="29"/>
        <v>701392.7159999999</v>
      </c>
      <c r="P101" s="69">
        <f t="shared" si="30"/>
        <v>701.39271599999995</v>
      </c>
    </row>
    <row r="102" spans="1:16" x14ac:dyDescent="0.2">
      <c r="A102" s="40" t="s">
        <v>71</v>
      </c>
      <c r="B102" s="41" t="s">
        <v>7</v>
      </c>
      <c r="C102" s="51">
        <v>2600</v>
      </c>
      <c r="F102" s="70">
        <v>14</v>
      </c>
      <c r="H102" s="65">
        <f t="shared" si="31"/>
        <v>-1006.39</v>
      </c>
      <c r="I102" s="64">
        <f t="shared" si="32"/>
        <v>-529200</v>
      </c>
      <c r="J102" s="42"/>
      <c r="L102" s="50">
        <f t="shared" si="26"/>
        <v>0.81300379969659664</v>
      </c>
      <c r="M102" s="65">
        <f t="shared" si="27"/>
        <v>-79530.958499999993</v>
      </c>
      <c r="N102" s="65">
        <f t="shared" si="28"/>
        <v>-8121.7504964593754</v>
      </c>
      <c r="O102" s="69">
        <f t="shared" si="29"/>
        <v>1113433.419</v>
      </c>
      <c r="P102" s="69">
        <f t="shared" si="30"/>
        <v>1113.433419</v>
      </c>
    </row>
    <row r="103" spans="1:16" x14ac:dyDescent="0.2">
      <c r="F103" s="70">
        <v>15</v>
      </c>
      <c r="H103" s="65">
        <f t="shared" si="31"/>
        <v>-1078.2750000000001</v>
      </c>
      <c r="I103" s="64">
        <f t="shared" si="32"/>
        <v>-607500</v>
      </c>
      <c r="J103" s="42"/>
      <c r="L103" s="50">
        <f t="shared" si="26"/>
        <v>0.8129009216589862</v>
      </c>
      <c r="M103" s="65">
        <f t="shared" si="27"/>
        <v>-91286.741250000006</v>
      </c>
      <c r="N103" s="65">
        <f t="shared" si="28"/>
        <v>-9322.2582759058041</v>
      </c>
      <c r="O103" s="69">
        <f t="shared" si="29"/>
        <v>1369301.1187500001</v>
      </c>
      <c r="P103" s="69">
        <f t="shared" si="30"/>
        <v>1369.3011187500001</v>
      </c>
    </row>
    <row r="104" spans="1:16" x14ac:dyDescent="0.2">
      <c r="A104" s="10" t="s">
        <v>167</v>
      </c>
      <c r="B104" s="9"/>
      <c r="F104" s="70">
        <v>18</v>
      </c>
      <c r="H104" s="65">
        <f t="shared" si="31"/>
        <v>-1293.93</v>
      </c>
      <c r="I104" s="64">
        <f t="shared" si="32"/>
        <v>-874800</v>
      </c>
      <c r="J104" s="42"/>
      <c r="L104" s="50">
        <f t="shared" si="26"/>
        <v>0.81266087290456157</v>
      </c>
      <c r="M104" s="65">
        <f t="shared" si="27"/>
        <v>-131414.0895</v>
      </c>
      <c r="N104" s="65">
        <f t="shared" si="28"/>
        <v>-13420.087809433126</v>
      </c>
      <c r="O104" s="69">
        <f t="shared" si="29"/>
        <v>2365453.6110000005</v>
      </c>
      <c r="P104" s="69">
        <f t="shared" si="30"/>
        <v>2365.4536110000004</v>
      </c>
    </row>
    <row r="105" spans="1:16" x14ac:dyDescent="0.2">
      <c r="A105" s="17" t="s">
        <v>3</v>
      </c>
      <c r="B105" s="18" t="s">
        <v>4</v>
      </c>
      <c r="C105" s="18" t="s">
        <v>5</v>
      </c>
      <c r="F105" s="70">
        <v>20</v>
      </c>
      <c r="H105" s="65">
        <f t="shared" si="31"/>
        <v>-1437.7</v>
      </c>
      <c r="I105" s="64">
        <f t="shared" si="32"/>
        <v>-1080000</v>
      </c>
      <c r="J105" s="42"/>
      <c r="L105" s="50">
        <f t="shared" si="26"/>
        <v>0.8125408485273492</v>
      </c>
      <c r="M105" s="65">
        <f t="shared" si="27"/>
        <v>-162215.655</v>
      </c>
      <c r="N105" s="65">
        <f t="shared" si="28"/>
        <v>-16565.562661108037</v>
      </c>
      <c r="O105" s="69">
        <f t="shared" si="29"/>
        <v>3244313.0999999996</v>
      </c>
      <c r="P105" s="69">
        <f t="shared" si="30"/>
        <v>3244.3130999999998</v>
      </c>
    </row>
    <row r="106" spans="1:16" x14ac:dyDescent="0.2">
      <c r="A106" s="40" t="s">
        <v>70</v>
      </c>
      <c r="B106" s="41" t="s">
        <v>7</v>
      </c>
      <c r="C106" s="51">
        <v>55000</v>
      </c>
      <c r="F106" s="70">
        <v>22</v>
      </c>
      <c r="H106" s="65">
        <f t="shared" si="31"/>
        <v>-1581.47</v>
      </c>
      <c r="I106" s="64">
        <f t="shared" si="32"/>
        <v>-1306800</v>
      </c>
      <c r="J106" s="42"/>
      <c r="L106" s="50">
        <f t="shared" si="26"/>
        <v>0.81244264676417544</v>
      </c>
      <c r="M106" s="65">
        <f t="shared" si="27"/>
        <v>-196257.2205</v>
      </c>
      <c r="N106" s="65">
        <f t="shared" si="28"/>
        <v>-20041.90830957497</v>
      </c>
      <c r="O106" s="69">
        <f t="shared" si="29"/>
        <v>4317658.8509999998</v>
      </c>
      <c r="P106" s="69">
        <f t="shared" si="30"/>
        <v>4317.6588510000001</v>
      </c>
    </row>
    <row r="107" spans="1:16" x14ac:dyDescent="0.2">
      <c r="A107" s="40" t="s">
        <v>71</v>
      </c>
      <c r="B107" s="41" t="s">
        <v>7</v>
      </c>
      <c r="C107" s="51">
        <v>2700</v>
      </c>
      <c r="F107" s="70">
        <v>24</v>
      </c>
      <c r="H107" s="65">
        <f t="shared" si="31"/>
        <v>-1725.24</v>
      </c>
      <c r="I107" s="64">
        <f t="shared" si="32"/>
        <v>-1555200</v>
      </c>
      <c r="J107" s="42"/>
      <c r="L107" s="50">
        <f t="shared" si="26"/>
        <v>0.81236081196153065</v>
      </c>
      <c r="M107" s="65">
        <f t="shared" si="27"/>
        <v>-233538.78599999999</v>
      </c>
      <c r="N107" s="65">
        <f t="shared" si="28"/>
        <v>-23849.124754833927</v>
      </c>
      <c r="O107" s="69">
        <f t="shared" si="29"/>
        <v>5604930.8639999991</v>
      </c>
      <c r="P107" s="69">
        <f t="shared" si="30"/>
        <v>5604.930863999999</v>
      </c>
    </row>
    <row r="108" spans="1:16" x14ac:dyDescent="0.2">
      <c r="F108" s="70">
        <v>25</v>
      </c>
      <c r="H108" s="65">
        <f t="shared" si="31"/>
        <v>-1797.125</v>
      </c>
      <c r="I108" s="64">
        <f t="shared" si="32"/>
        <v>-1687500</v>
      </c>
      <c r="J108" s="42"/>
      <c r="L108" s="50">
        <f t="shared" si="26"/>
        <v>0.81232480464836698</v>
      </c>
      <c r="M108" s="65">
        <f t="shared" si="27"/>
        <v>-253394.56874999998</v>
      </c>
      <c r="N108" s="65">
        <f t="shared" si="28"/>
        <v>-25876.809526260415</v>
      </c>
      <c r="O108" s="69">
        <f t="shared" si="29"/>
        <v>6334864.21875</v>
      </c>
      <c r="P108" s="69">
        <f t="shared" si="30"/>
        <v>6334.86421875</v>
      </c>
    </row>
    <row r="109" spans="1:16" x14ac:dyDescent="0.2">
      <c r="A109" s="10" t="s">
        <v>89</v>
      </c>
      <c r="B109" s="9"/>
      <c r="F109" s="70">
        <v>28</v>
      </c>
      <c r="H109" s="65">
        <f t="shared" si="31"/>
        <v>-2012.78</v>
      </c>
      <c r="I109" s="64">
        <f t="shared" si="32"/>
        <v>-2116800</v>
      </c>
      <c r="J109" s="42"/>
      <c r="L109" s="50">
        <f t="shared" si="26"/>
        <v>0.81223221441451743</v>
      </c>
      <c r="M109" s="65">
        <f t="shared" si="27"/>
        <v>-317821.91699999996</v>
      </c>
      <c r="N109" s="65">
        <f t="shared" si="28"/>
        <v>-32456.170035727915</v>
      </c>
      <c r="O109" s="69">
        <f t="shared" si="29"/>
        <v>8899013.675999999</v>
      </c>
      <c r="P109" s="69">
        <f t="shared" si="30"/>
        <v>8899.0136759999987</v>
      </c>
    </row>
    <row r="110" spans="1:16" x14ac:dyDescent="0.2">
      <c r="A110" s="17" t="s">
        <v>3</v>
      </c>
      <c r="B110" s="18" t="s">
        <v>4</v>
      </c>
      <c r="C110" s="18" t="s">
        <v>5</v>
      </c>
      <c r="F110" s="70">
        <v>30</v>
      </c>
      <c r="H110" s="65">
        <f t="shared" si="31"/>
        <v>-2156.5500000000002</v>
      </c>
      <c r="I110" s="64">
        <f t="shared" si="32"/>
        <v>-2430000</v>
      </c>
      <c r="J110" s="42"/>
      <c r="L110" s="50">
        <f t="shared" si="26"/>
        <v>0.81218077539571221</v>
      </c>
      <c r="M110" s="65">
        <f t="shared" si="27"/>
        <v>-364823.48249999998</v>
      </c>
      <c r="N110" s="65">
        <f t="shared" si="28"/>
        <v>-37255.99887136295</v>
      </c>
      <c r="O110" s="69">
        <f t="shared" si="29"/>
        <v>10944704.475</v>
      </c>
      <c r="P110" s="69">
        <f t="shared" si="30"/>
        <v>10944.704475</v>
      </c>
    </row>
    <row r="111" spans="1:16" x14ac:dyDescent="0.2">
      <c r="A111" s="40" t="s">
        <v>70</v>
      </c>
      <c r="B111" s="41" t="s">
        <v>7</v>
      </c>
      <c r="C111" s="51">
        <v>700000</v>
      </c>
    </row>
    <row r="112" spans="1:16" x14ac:dyDescent="0.2">
      <c r="A112" s="40" t="s">
        <v>71</v>
      </c>
      <c r="B112" s="41" t="s">
        <v>7</v>
      </c>
      <c r="C112" s="51">
        <v>5</v>
      </c>
    </row>
    <row r="113" spans="1:21" x14ac:dyDescent="0.2">
      <c r="F113" s="10" t="s">
        <v>163</v>
      </c>
      <c r="H113" s="10" t="s">
        <v>162</v>
      </c>
    </row>
    <row r="114" spans="1:21" x14ac:dyDescent="0.2">
      <c r="A114" s="10" t="s">
        <v>118</v>
      </c>
      <c r="B114" s="9"/>
      <c r="C114" s="46"/>
      <c r="F114" s="9" t="s">
        <v>9</v>
      </c>
      <c r="H114" s="9" t="s">
        <v>69</v>
      </c>
      <c r="I114" s="9" t="s">
        <v>80</v>
      </c>
      <c r="L114" s="9" t="s">
        <v>85</v>
      </c>
      <c r="M114" s="9" t="s">
        <v>40</v>
      </c>
      <c r="N114" s="9" t="s">
        <v>74</v>
      </c>
      <c r="O114" s="18" t="s">
        <v>10</v>
      </c>
      <c r="P114" s="18" t="s">
        <v>10</v>
      </c>
    </row>
    <row r="115" spans="1:21" x14ac:dyDescent="0.2">
      <c r="A115" s="17" t="s">
        <v>3</v>
      </c>
      <c r="B115" s="18" t="s">
        <v>4</v>
      </c>
      <c r="C115" s="18" t="s">
        <v>5</v>
      </c>
      <c r="F115" s="9" t="s">
        <v>12</v>
      </c>
      <c r="H115" s="9" t="s">
        <v>59</v>
      </c>
      <c r="I115" s="9" t="s">
        <v>59</v>
      </c>
      <c r="L115" s="9" t="s">
        <v>58</v>
      </c>
      <c r="M115" s="9" t="s">
        <v>59</v>
      </c>
      <c r="N115" s="9" t="s">
        <v>75</v>
      </c>
      <c r="O115" s="18" t="s">
        <v>11</v>
      </c>
      <c r="P115" s="18" t="s">
        <v>76</v>
      </c>
    </row>
    <row r="116" spans="1:21" x14ac:dyDescent="0.2">
      <c r="A116" s="67" t="s">
        <v>149</v>
      </c>
      <c r="B116" s="41" t="s">
        <v>41</v>
      </c>
      <c r="C116" s="45">
        <v>2.5000000000000001E-3</v>
      </c>
      <c r="F116" s="46">
        <v>0.05</v>
      </c>
      <c r="H116" s="65">
        <f t="shared" ref="H116:H137" si="33">-$C$111*F116*$C$30</f>
        <v>-45.744999999999997</v>
      </c>
      <c r="I116" s="64">
        <f t="shared" ref="I116:I137" si="34">-$C$112*F116^2</f>
        <v>-1.2500000000000002E-2</v>
      </c>
      <c r="J116" s="42"/>
      <c r="L116" s="50">
        <f t="shared" ref="L116:L137" si="35">-M116/(0.5*$C$29*F116^2)</f>
        <v>5.5008014425966723</v>
      </c>
      <c r="M116" s="65">
        <f t="shared" ref="M116:M137" si="36">(H116+I116)*$C$42</f>
        <v>-6.8636249999999999</v>
      </c>
      <c r="N116" s="65">
        <f t="shared" ref="N116:N137" si="37">M116/($C$29*9.81)*1000</f>
        <v>-0.70091761500976979</v>
      </c>
      <c r="O116" s="69">
        <f t="shared" ref="O116:O137" si="38">0.5*$C$29*L116*$C$41*F116^3</f>
        <v>0.34318124999999999</v>
      </c>
      <c r="P116" s="69">
        <f t="shared" ref="P116:P137" si="39">O116/1000</f>
        <v>3.4318125E-4</v>
      </c>
    </row>
    <row r="117" spans="1:21" x14ac:dyDescent="0.2">
      <c r="A117" s="38" t="s">
        <v>72</v>
      </c>
      <c r="B117" s="41" t="s">
        <v>41</v>
      </c>
      <c r="C117" s="48">
        <v>2.0000000000000001E-4</v>
      </c>
      <c r="F117" s="46">
        <v>0.1</v>
      </c>
      <c r="H117" s="65">
        <f t="shared" si="33"/>
        <v>-91.49</v>
      </c>
      <c r="I117" s="64">
        <f t="shared" si="34"/>
        <v>-5.000000000000001E-2</v>
      </c>
      <c r="J117" s="42"/>
      <c r="L117" s="70">
        <f t="shared" si="35"/>
        <v>2.7511520737327175</v>
      </c>
      <c r="M117" s="65">
        <f t="shared" si="36"/>
        <v>-13.730999999999998</v>
      </c>
      <c r="N117" s="73">
        <f t="shared" si="37"/>
        <v>-1.4022181823306414</v>
      </c>
      <c r="O117" s="69">
        <f t="shared" si="38"/>
        <v>1.3730999999999998</v>
      </c>
      <c r="P117" s="69">
        <f t="shared" si="39"/>
        <v>1.3730999999999997E-3</v>
      </c>
    </row>
    <row r="118" spans="1:21" x14ac:dyDescent="0.2">
      <c r="A118" s="38" t="s">
        <v>73</v>
      </c>
      <c r="B118" s="41" t="s">
        <v>41</v>
      </c>
      <c r="C118" s="45">
        <f>C117+C116</f>
        <v>2.7000000000000001E-3</v>
      </c>
      <c r="F118" s="71">
        <v>0.2</v>
      </c>
      <c r="G118" s="83"/>
      <c r="H118" s="74">
        <f t="shared" si="33"/>
        <v>-182.98</v>
      </c>
      <c r="I118" s="74">
        <f t="shared" si="34"/>
        <v>-0.20000000000000004</v>
      </c>
      <c r="J118" s="77"/>
      <c r="K118" s="83"/>
      <c r="L118" s="71">
        <f t="shared" si="35"/>
        <v>1.3763273893007408</v>
      </c>
      <c r="M118" s="74">
        <f t="shared" si="36"/>
        <v>-27.476999999999997</v>
      </c>
      <c r="N118" s="74">
        <f t="shared" si="37"/>
        <v>-2.8059681739056903</v>
      </c>
      <c r="O118" s="81">
        <f t="shared" si="38"/>
        <v>5.4953999999999992</v>
      </c>
      <c r="P118" s="81">
        <f t="shared" si="39"/>
        <v>5.4953999999999992E-3</v>
      </c>
    </row>
    <row r="119" spans="1:21" x14ac:dyDescent="0.2">
      <c r="A119" s="54" t="s">
        <v>115</v>
      </c>
      <c r="B119" s="41" t="s">
        <v>7</v>
      </c>
      <c r="C119" s="45">
        <f>C116/C118</f>
        <v>0.92592592592592593</v>
      </c>
      <c r="F119" s="70">
        <v>0.4</v>
      </c>
      <c r="H119" s="65">
        <f t="shared" si="33"/>
        <v>-365.96</v>
      </c>
      <c r="I119" s="64">
        <f t="shared" si="34"/>
        <v>-0.80000000000000016</v>
      </c>
      <c r="J119" s="42"/>
      <c r="L119" s="70">
        <f t="shared" si="35"/>
        <v>0.68891504708475226</v>
      </c>
      <c r="M119" s="65">
        <f t="shared" si="36"/>
        <v>-55.013999999999996</v>
      </c>
      <c r="N119" s="73">
        <f t="shared" si="37"/>
        <v>-5.6180635847890112</v>
      </c>
      <c r="O119" s="69">
        <f t="shared" si="38"/>
        <v>22.005599999999998</v>
      </c>
      <c r="P119" s="69">
        <f t="shared" si="39"/>
        <v>2.2005599999999997E-2</v>
      </c>
    </row>
    <row r="120" spans="1:21" x14ac:dyDescent="0.2">
      <c r="A120" s="66" t="s">
        <v>148</v>
      </c>
      <c r="B120" s="41" t="s">
        <v>7</v>
      </c>
      <c r="C120" s="45">
        <f>$C$69 * ((1 - C119) / C119) * C116</f>
        <v>2.9999999999999997E-4</v>
      </c>
      <c r="F120" s="71">
        <v>0.5</v>
      </c>
      <c r="G120" s="83"/>
      <c r="H120" s="74">
        <f t="shared" si="33"/>
        <v>-457.45</v>
      </c>
      <c r="I120" s="74">
        <f t="shared" si="34"/>
        <v>-1.25</v>
      </c>
      <c r="J120" s="77"/>
      <c r="K120" s="83"/>
      <c r="L120" s="71">
        <f t="shared" si="35"/>
        <v>0.5514325786415547</v>
      </c>
      <c r="M120" s="74">
        <f t="shared" si="36"/>
        <v>-68.804999999999993</v>
      </c>
      <c r="N120" s="74">
        <f t="shared" si="37"/>
        <v>-7.0264090040972826</v>
      </c>
      <c r="O120" s="81">
        <f t="shared" si="38"/>
        <v>34.402499999999996</v>
      </c>
      <c r="P120" s="81">
        <f t="shared" si="39"/>
        <v>3.4402499999999996E-2</v>
      </c>
    </row>
    <row r="121" spans="1:21" x14ac:dyDescent="0.2">
      <c r="A121" s="54" t="s">
        <v>116</v>
      </c>
      <c r="B121" s="41" t="s">
        <v>7</v>
      </c>
      <c r="C121" s="47">
        <f>($C$70 / C116^2) * ((1 - C119)^2 / C119^3 )</f>
        <v>165888</v>
      </c>
      <c r="F121" s="70">
        <v>0.8</v>
      </c>
      <c r="H121" s="65">
        <f t="shared" si="33"/>
        <v>-731.92</v>
      </c>
      <c r="I121" s="64">
        <f t="shared" si="34"/>
        <v>-3.2000000000000006</v>
      </c>
      <c r="J121" s="42"/>
      <c r="L121" s="70">
        <f t="shared" si="35"/>
        <v>0.34520887597675809</v>
      </c>
      <c r="M121" s="65">
        <f t="shared" si="36"/>
        <v>-110.268</v>
      </c>
      <c r="N121" s="73">
        <f t="shared" si="37"/>
        <v>-11.260636117488543</v>
      </c>
      <c r="O121" s="69">
        <f t="shared" si="38"/>
        <v>88.214399999999998</v>
      </c>
      <c r="P121" s="69">
        <f t="shared" si="39"/>
        <v>8.8214399999999998E-2</v>
      </c>
    </row>
    <row r="122" spans="1:21" x14ac:dyDescent="0.2">
      <c r="A122" s="54" t="s">
        <v>117</v>
      </c>
      <c r="B122" s="41" t="s">
        <v>7</v>
      </c>
      <c r="C122" s="65">
        <f xml:space="preserve"> ($C$71 / C116) * ((1 - C119) / C119^3)</f>
        <v>65.318399999999997</v>
      </c>
      <c r="F122" s="70">
        <v>1</v>
      </c>
      <c r="G122" s="87"/>
      <c r="H122" s="73">
        <f t="shared" si="33"/>
        <v>-914.9</v>
      </c>
      <c r="I122" s="73">
        <f t="shared" si="34"/>
        <v>-5</v>
      </c>
      <c r="J122" s="85"/>
      <c r="K122" s="87"/>
      <c r="L122" s="70">
        <f t="shared" si="35"/>
        <v>0.27646764175515925</v>
      </c>
      <c r="M122" s="73">
        <f t="shared" si="36"/>
        <v>-137.98499999999999</v>
      </c>
      <c r="N122" s="73">
        <f t="shared" si="37"/>
        <v>-14.091113239304752</v>
      </c>
      <c r="O122" s="69">
        <f t="shared" si="38"/>
        <v>137.98499999999999</v>
      </c>
      <c r="P122" s="69">
        <f t="shared" si="39"/>
        <v>0.137985</v>
      </c>
    </row>
    <row r="123" spans="1:21" x14ac:dyDescent="0.2">
      <c r="F123" s="70">
        <v>2</v>
      </c>
      <c r="H123" s="65">
        <f t="shared" si="33"/>
        <v>-1829.8</v>
      </c>
      <c r="I123" s="64">
        <f t="shared" si="34"/>
        <v>-20</v>
      </c>
      <c r="J123" s="42"/>
      <c r="L123" s="70">
        <f t="shared" si="35"/>
        <v>0.1389851733119615</v>
      </c>
      <c r="M123" s="65">
        <f t="shared" si="36"/>
        <v>-277.46999999999997</v>
      </c>
      <c r="N123" s="73">
        <f t="shared" si="37"/>
        <v>-28.335407403050258</v>
      </c>
      <c r="O123" s="69">
        <f t="shared" si="38"/>
        <v>554.93999999999994</v>
      </c>
      <c r="P123" s="69">
        <f t="shared" si="39"/>
        <v>0.55493999999999999</v>
      </c>
    </row>
    <row r="124" spans="1:21" x14ac:dyDescent="0.2">
      <c r="A124" s="10" t="s">
        <v>99</v>
      </c>
      <c r="F124" s="70">
        <v>4</v>
      </c>
      <c r="H124" s="65">
        <f t="shared" si="33"/>
        <v>-3659.6</v>
      </c>
      <c r="I124" s="64">
        <f t="shared" si="34"/>
        <v>-80</v>
      </c>
      <c r="J124" s="42"/>
      <c r="L124" s="70">
        <f t="shared" si="35"/>
        <v>7.0243939090362639E-2</v>
      </c>
      <c r="M124" s="65">
        <f t="shared" si="36"/>
        <v>-560.93999999999994</v>
      </c>
      <c r="N124" s="73">
        <f t="shared" si="37"/>
        <v>-57.283538503863525</v>
      </c>
      <c r="O124" s="69">
        <f t="shared" si="38"/>
        <v>2243.7599999999998</v>
      </c>
      <c r="P124" s="69">
        <f t="shared" si="39"/>
        <v>2.24376</v>
      </c>
      <c r="U124" s="25"/>
    </row>
    <row r="125" spans="1:21" x14ac:dyDescent="0.2">
      <c r="A125" s="17" t="s">
        <v>3</v>
      </c>
      <c r="B125" s="18" t="s">
        <v>4</v>
      </c>
      <c r="C125" s="18" t="s">
        <v>5</v>
      </c>
      <c r="F125" s="70">
        <v>5</v>
      </c>
      <c r="H125" s="65">
        <f t="shared" si="33"/>
        <v>-4574.5</v>
      </c>
      <c r="I125" s="64">
        <f t="shared" si="34"/>
        <v>-125</v>
      </c>
      <c r="J125" s="42"/>
      <c r="L125" s="50">
        <f t="shared" si="35"/>
        <v>5.6495692246042874E-2</v>
      </c>
      <c r="M125" s="65">
        <f t="shared" si="36"/>
        <v>-704.92499999999995</v>
      </c>
      <c r="N125" s="65">
        <f t="shared" si="37"/>
        <v>-71.987375440931288</v>
      </c>
      <c r="O125" s="69">
        <f t="shared" si="38"/>
        <v>3524.625</v>
      </c>
      <c r="P125" s="69">
        <f t="shared" si="39"/>
        <v>3.5246249999999999</v>
      </c>
      <c r="S125" s="25"/>
      <c r="T125" s="25"/>
    </row>
    <row r="126" spans="1:21" x14ac:dyDescent="0.2">
      <c r="A126" s="67" t="s">
        <v>149</v>
      </c>
      <c r="B126" s="41" t="s">
        <v>41</v>
      </c>
      <c r="C126" s="45">
        <v>4.0000000000000001E-3</v>
      </c>
      <c r="D126" s="29"/>
      <c r="F126" s="70">
        <v>8</v>
      </c>
      <c r="H126" s="65">
        <f t="shared" si="33"/>
        <v>-7319.2</v>
      </c>
      <c r="I126" s="64">
        <f t="shared" si="34"/>
        <v>-320</v>
      </c>
      <c r="J126" s="42"/>
      <c r="L126" s="50">
        <f t="shared" si="35"/>
        <v>3.5873321979563208E-2</v>
      </c>
      <c r="M126" s="65">
        <f t="shared" si="36"/>
        <v>-1145.8799999999999</v>
      </c>
      <c r="N126" s="65">
        <f t="shared" si="37"/>
        <v>-117.01797179877907</v>
      </c>
      <c r="O126" s="69">
        <f t="shared" si="38"/>
        <v>9167.0399999999991</v>
      </c>
      <c r="P126" s="69">
        <f t="shared" si="39"/>
        <v>9.1670399999999983</v>
      </c>
      <c r="S126" s="25"/>
      <c r="T126" s="25"/>
    </row>
    <row r="127" spans="1:21" x14ac:dyDescent="0.2">
      <c r="A127" s="38" t="s">
        <v>72</v>
      </c>
      <c r="B127" s="41" t="s">
        <v>41</v>
      </c>
      <c r="C127" s="48">
        <v>8.0000000000000004E-4</v>
      </c>
      <c r="D127" s="29"/>
      <c r="F127" s="70">
        <v>10</v>
      </c>
      <c r="H127" s="65">
        <f t="shared" si="33"/>
        <v>-9149</v>
      </c>
      <c r="I127" s="64">
        <f t="shared" si="34"/>
        <v>-500</v>
      </c>
      <c r="J127" s="42"/>
      <c r="L127" s="50">
        <f t="shared" si="35"/>
        <v>2.8999198557403325E-2</v>
      </c>
      <c r="M127" s="65">
        <f t="shared" si="36"/>
        <v>-1447.35</v>
      </c>
      <c r="N127" s="65">
        <f t="shared" si="37"/>
        <v>-147.80427399288135</v>
      </c>
      <c r="O127" s="69">
        <f t="shared" si="38"/>
        <v>14473.5</v>
      </c>
      <c r="P127" s="69">
        <f t="shared" si="39"/>
        <v>14.4735</v>
      </c>
      <c r="S127" s="25"/>
      <c r="T127" s="25"/>
    </row>
    <row r="128" spans="1:21" x14ac:dyDescent="0.2">
      <c r="A128" s="38" t="s">
        <v>73</v>
      </c>
      <c r="B128" s="41" t="s">
        <v>41</v>
      </c>
      <c r="C128" s="45">
        <f>C127+C126</f>
        <v>4.8000000000000004E-3</v>
      </c>
      <c r="D128" s="29"/>
      <c r="F128" s="70">
        <v>12</v>
      </c>
      <c r="H128" s="65">
        <f t="shared" si="33"/>
        <v>-10978.8</v>
      </c>
      <c r="I128" s="64">
        <f t="shared" si="34"/>
        <v>-720</v>
      </c>
      <c r="J128" s="42"/>
      <c r="L128" s="50">
        <f t="shared" si="35"/>
        <v>2.4416449609296731E-2</v>
      </c>
      <c r="M128" s="65">
        <f t="shared" si="36"/>
        <v>-1754.82</v>
      </c>
      <c r="N128" s="65">
        <f t="shared" si="37"/>
        <v>-179.20329988474666</v>
      </c>
      <c r="O128" s="69">
        <f t="shared" si="38"/>
        <v>21057.84</v>
      </c>
      <c r="P128" s="69">
        <f t="shared" si="39"/>
        <v>21.057839999999999</v>
      </c>
      <c r="S128" s="25"/>
      <c r="T128" s="25"/>
    </row>
    <row r="129" spans="1:20" x14ac:dyDescent="0.2">
      <c r="A129" s="54" t="s">
        <v>115</v>
      </c>
      <c r="B129" s="41" t="s">
        <v>7</v>
      </c>
      <c r="C129" s="45">
        <f>C126/C128</f>
        <v>0.83333333333333326</v>
      </c>
      <c r="F129" s="70">
        <v>14</v>
      </c>
      <c r="H129" s="65">
        <f t="shared" si="33"/>
        <v>-12808.6</v>
      </c>
      <c r="I129" s="64">
        <f t="shared" si="34"/>
        <v>-980</v>
      </c>
      <c r="J129" s="42"/>
      <c r="L129" s="50">
        <f t="shared" si="35"/>
        <v>2.1143057503506309E-2</v>
      </c>
      <c r="M129" s="65">
        <f t="shared" si="36"/>
        <v>-2068.29</v>
      </c>
      <c r="N129" s="65">
        <f t="shared" si="37"/>
        <v>-211.21504947437498</v>
      </c>
      <c r="O129" s="69">
        <f t="shared" si="38"/>
        <v>28956.06</v>
      </c>
      <c r="P129" s="69">
        <f t="shared" si="39"/>
        <v>28.956060000000001</v>
      </c>
      <c r="S129" s="25"/>
      <c r="T129" s="25"/>
    </row>
    <row r="130" spans="1:20" x14ac:dyDescent="0.2">
      <c r="A130" s="66" t="s">
        <v>148</v>
      </c>
      <c r="B130" s="41" t="s">
        <v>7</v>
      </c>
      <c r="C130" s="45">
        <f>$C$69 * ((1 - C129) / C129) * C126</f>
        <v>1.2000000000000005E-3</v>
      </c>
      <c r="F130" s="70">
        <v>15</v>
      </c>
      <c r="H130" s="65">
        <f t="shared" si="33"/>
        <v>-13723.5</v>
      </c>
      <c r="I130" s="64">
        <f t="shared" si="34"/>
        <v>-1125</v>
      </c>
      <c r="J130" s="42"/>
      <c r="L130" s="50">
        <f t="shared" si="35"/>
        <v>1.9833700661190144E-2</v>
      </c>
      <c r="M130" s="65">
        <f t="shared" si="36"/>
        <v>-2227.2750000000001</v>
      </c>
      <c r="N130" s="65">
        <f t="shared" si="37"/>
        <v>-227.45069565585024</v>
      </c>
      <c r="O130" s="69">
        <f t="shared" si="38"/>
        <v>33409.125</v>
      </c>
      <c r="P130" s="69">
        <f t="shared" si="39"/>
        <v>33.409125000000003</v>
      </c>
    </row>
    <row r="131" spans="1:20" x14ac:dyDescent="0.2">
      <c r="A131" s="54" t="s">
        <v>116</v>
      </c>
      <c r="B131" s="41" t="s">
        <v>7</v>
      </c>
      <c r="C131" s="47">
        <f>($C$70 / C126^2) * ((1 - C129)^2 / C129^3 )</f>
        <v>450000.00000000058</v>
      </c>
      <c r="F131" s="70">
        <v>18</v>
      </c>
      <c r="H131" s="65">
        <f t="shared" si="33"/>
        <v>-16468.2</v>
      </c>
      <c r="I131" s="64">
        <f t="shared" si="34"/>
        <v>-1620</v>
      </c>
      <c r="J131" s="42"/>
      <c r="L131" s="50">
        <f t="shared" si="35"/>
        <v>1.677853469578575E-2</v>
      </c>
      <c r="M131" s="65">
        <f t="shared" si="36"/>
        <v>-2713.23</v>
      </c>
      <c r="N131" s="65">
        <f t="shared" si="37"/>
        <v>-277.07671974692062</v>
      </c>
      <c r="O131" s="69">
        <f t="shared" si="38"/>
        <v>48838.140000000007</v>
      </c>
      <c r="P131" s="69">
        <f t="shared" si="39"/>
        <v>48.83814000000001</v>
      </c>
    </row>
    <row r="132" spans="1:20" x14ac:dyDescent="0.2">
      <c r="A132" s="54" t="s">
        <v>117</v>
      </c>
      <c r="B132" s="41" t="s">
        <v>7</v>
      </c>
      <c r="C132" s="65">
        <f xml:space="preserve"> ($C$71 / C126) * ((1 - C129) / C129^3)</f>
        <v>126.00000000000011</v>
      </c>
      <c r="F132" s="70">
        <v>20</v>
      </c>
      <c r="H132" s="65">
        <f t="shared" si="33"/>
        <v>-18298</v>
      </c>
      <c r="I132" s="64">
        <f t="shared" si="34"/>
        <v>-2000</v>
      </c>
      <c r="J132" s="42"/>
      <c r="L132" s="50">
        <f t="shared" si="35"/>
        <v>1.5250951713083549E-2</v>
      </c>
      <c r="M132" s="65">
        <f t="shared" si="36"/>
        <v>-3044.7</v>
      </c>
      <c r="N132" s="65">
        <f t="shared" si="37"/>
        <v>-310.9266404298379</v>
      </c>
      <c r="O132" s="69">
        <f t="shared" si="38"/>
        <v>60894</v>
      </c>
      <c r="P132" s="69">
        <f t="shared" si="39"/>
        <v>60.893999999999998</v>
      </c>
    </row>
    <row r="133" spans="1:20" x14ac:dyDescent="0.2">
      <c r="F133" s="70">
        <v>22</v>
      </c>
      <c r="H133" s="65">
        <f t="shared" si="33"/>
        <v>-20127.8</v>
      </c>
      <c r="I133" s="64">
        <f t="shared" si="34"/>
        <v>-2420</v>
      </c>
      <c r="J133" s="42"/>
      <c r="L133" s="50">
        <f t="shared" si="35"/>
        <v>1.4001111090872658E-2</v>
      </c>
      <c r="M133" s="65">
        <f t="shared" si="36"/>
        <v>-3382.1699999999996</v>
      </c>
      <c r="N133" s="65">
        <f t="shared" si="37"/>
        <v>-345.38928481051823</v>
      </c>
      <c r="O133" s="69">
        <f t="shared" si="38"/>
        <v>74407.739999999991</v>
      </c>
      <c r="P133" s="69">
        <f t="shared" si="39"/>
        <v>74.40773999999999</v>
      </c>
    </row>
    <row r="134" spans="1:20" x14ac:dyDescent="0.2">
      <c r="A134" s="10" t="s">
        <v>98</v>
      </c>
      <c r="B134" s="9"/>
      <c r="C134" s="46"/>
      <c r="F134" s="70">
        <v>24</v>
      </c>
      <c r="H134" s="65">
        <f t="shared" si="33"/>
        <v>-21957.599999999999</v>
      </c>
      <c r="I134" s="64">
        <f t="shared" si="34"/>
        <v>-2880</v>
      </c>
      <c r="J134" s="42"/>
      <c r="L134" s="50">
        <f t="shared" si="35"/>
        <v>1.295957723903025E-2</v>
      </c>
      <c r="M134" s="65">
        <f t="shared" si="36"/>
        <v>-3725.6399999999994</v>
      </c>
      <c r="N134" s="65">
        <f t="shared" si="37"/>
        <v>-380.46465288896155</v>
      </c>
      <c r="O134" s="69">
        <f t="shared" si="38"/>
        <v>89415.359999999971</v>
      </c>
      <c r="P134" s="69">
        <f t="shared" si="39"/>
        <v>89.415359999999978</v>
      </c>
    </row>
    <row r="135" spans="1:20" x14ac:dyDescent="0.2">
      <c r="A135" s="17" t="s">
        <v>3</v>
      </c>
      <c r="B135" s="18" t="s">
        <v>4</v>
      </c>
      <c r="C135" s="18" t="s">
        <v>5</v>
      </c>
      <c r="F135" s="70">
        <v>25</v>
      </c>
      <c r="H135" s="65">
        <f t="shared" si="33"/>
        <v>-22872.5</v>
      </c>
      <c r="I135" s="64">
        <f t="shared" si="34"/>
        <v>-3125</v>
      </c>
      <c r="J135" s="42"/>
      <c r="L135" s="50">
        <f t="shared" si="35"/>
        <v>1.2501302344219596E-2</v>
      </c>
      <c r="M135" s="65">
        <f t="shared" si="36"/>
        <v>-3899.625</v>
      </c>
      <c r="N135" s="65">
        <f t="shared" si="37"/>
        <v>-398.23210831484437</v>
      </c>
      <c r="O135" s="69">
        <f t="shared" si="38"/>
        <v>97490.625000000015</v>
      </c>
      <c r="P135" s="69">
        <f t="shared" si="39"/>
        <v>97.490625000000009</v>
      </c>
    </row>
    <row r="136" spans="1:20" x14ac:dyDescent="0.2">
      <c r="A136" s="67" t="s">
        <v>149</v>
      </c>
      <c r="B136" s="41" t="s">
        <v>41</v>
      </c>
      <c r="C136" s="45">
        <v>5.0000000000000001E-3</v>
      </c>
      <c r="F136" s="70">
        <v>28</v>
      </c>
      <c r="H136" s="65">
        <f t="shared" si="33"/>
        <v>-25617.200000000001</v>
      </c>
      <c r="I136" s="64">
        <f t="shared" si="34"/>
        <v>-3920</v>
      </c>
      <c r="J136" s="42"/>
      <c r="L136" s="50">
        <f t="shared" si="35"/>
        <v>1.1322881186135043E-2</v>
      </c>
      <c r="M136" s="65">
        <f t="shared" si="36"/>
        <v>-4430.58</v>
      </c>
      <c r="N136" s="65">
        <f t="shared" si="37"/>
        <v>-452.45356013913727</v>
      </c>
      <c r="O136" s="69">
        <f t="shared" si="38"/>
        <v>124056.24</v>
      </c>
      <c r="P136" s="69">
        <f t="shared" si="39"/>
        <v>124.05624</v>
      </c>
    </row>
    <row r="137" spans="1:20" x14ac:dyDescent="0.2">
      <c r="A137" s="38" t="s">
        <v>72</v>
      </c>
      <c r="B137" s="41" t="s">
        <v>41</v>
      </c>
      <c r="C137" s="48">
        <v>2.0000000000000001E-4</v>
      </c>
      <c r="F137" s="70">
        <v>30</v>
      </c>
      <c r="H137" s="65">
        <f t="shared" si="33"/>
        <v>-27447</v>
      </c>
      <c r="I137" s="64">
        <f t="shared" si="34"/>
        <v>-4500</v>
      </c>
      <c r="J137" s="42"/>
      <c r="L137" s="50">
        <f t="shared" si="35"/>
        <v>1.0668202764976958E-2</v>
      </c>
      <c r="M137" s="65">
        <f t="shared" si="36"/>
        <v>-4792.05</v>
      </c>
      <c r="N137" s="65">
        <f t="shared" si="37"/>
        <v>-489.36709931086966</v>
      </c>
      <c r="O137" s="69">
        <f t="shared" si="38"/>
        <v>143761.5</v>
      </c>
      <c r="P137" s="69">
        <f t="shared" si="39"/>
        <v>143.76150000000001</v>
      </c>
    </row>
    <row r="138" spans="1:20" x14ac:dyDescent="0.2">
      <c r="A138" s="38" t="s">
        <v>73</v>
      </c>
      <c r="B138" s="41" t="s">
        <v>41</v>
      </c>
      <c r="C138" s="45">
        <f>C137+C136</f>
        <v>5.1999999999999998E-3</v>
      </c>
      <c r="G138" s="31"/>
      <c r="H138" s="31"/>
      <c r="I138" s="31"/>
      <c r="J138" s="31"/>
      <c r="N138" s="26"/>
    </row>
    <row r="139" spans="1:20" x14ac:dyDescent="0.2">
      <c r="A139" s="54" t="s">
        <v>115</v>
      </c>
      <c r="B139" s="41" t="s">
        <v>7</v>
      </c>
      <c r="C139" s="45">
        <f>C136/C138</f>
        <v>0.96153846153846156</v>
      </c>
      <c r="G139" s="31"/>
      <c r="H139" s="31"/>
      <c r="I139" s="31"/>
      <c r="J139" s="31"/>
      <c r="N139" s="26"/>
    </row>
    <row r="140" spans="1:20" x14ac:dyDescent="0.2">
      <c r="A140" s="66" t="s">
        <v>148</v>
      </c>
      <c r="B140" s="41" t="s">
        <v>7</v>
      </c>
      <c r="C140" s="45">
        <f>$C$69 * ((1 - C139) / C139) * C136</f>
        <v>2.9999999999999981E-4</v>
      </c>
      <c r="G140" s="31"/>
      <c r="H140" s="31"/>
      <c r="I140" s="31"/>
      <c r="J140" s="31"/>
      <c r="N140" s="26"/>
    </row>
    <row r="141" spans="1:20" x14ac:dyDescent="0.2">
      <c r="A141" s="54" t="s">
        <v>116</v>
      </c>
      <c r="B141" s="41" t="s">
        <v>7</v>
      </c>
      <c r="C141" s="47">
        <f>($C$70 / C136^2) * ((1 - C139)^2 / C139^3 )</f>
        <v>9983.9999999999873</v>
      </c>
      <c r="G141" s="31"/>
      <c r="H141" s="31"/>
      <c r="I141" s="31"/>
      <c r="J141" s="31"/>
    </row>
    <row r="142" spans="1:20" x14ac:dyDescent="0.2">
      <c r="A142" s="54" t="s">
        <v>117</v>
      </c>
      <c r="B142" s="41" t="s">
        <v>7</v>
      </c>
      <c r="C142" s="65">
        <f xml:space="preserve"> ($C$71 / C136) * ((1 - C139) / C139^3)</f>
        <v>15.14239999999999</v>
      </c>
      <c r="G142" s="31"/>
      <c r="H142" s="31"/>
      <c r="I142" s="31"/>
      <c r="J142" s="31"/>
    </row>
    <row r="143" spans="1:20" x14ac:dyDescent="0.2">
      <c r="G143" s="31"/>
      <c r="H143" s="31"/>
      <c r="I143" s="31"/>
      <c r="J143" s="31"/>
    </row>
    <row r="144" spans="1:20" x14ac:dyDescent="0.2">
      <c r="G144" s="31"/>
      <c r="H144" s="31"/>
      <c r="I144" s="31"/>
      <c r="J144" s="31"/>
    </row>
    <row r="145" spans="7:14" x14ac:dyDescent="0.2">
      <c r="G145" s="31"/>
      <c r="H145" s="31"/>
      <c r="I145" s="31"/>
      <c r="J145" s="31"/>
    </row>
    <row r="146" spans="7:14" x14ac:dyDescent="0.2">
      <c r="G146" s="31"/>
      <c r="H146" s="31"/>
      <c r="I146" s="31"/>
      <c r="J146" s="31"/>
    </row>
    <row r="147" spans="7:14" x14ac:dyDescent="0.2">
      <c r="G147" s="31"/>
      <c r="H147" s="31"/>
      <c r="I147" s="31"/>
      <c r="J147" s="31"/>
    </row>
    <row r="148" spans="7:14" x14ac:dyDescent="0.2">
      <c r="G148" s="31"/>
      <c r="H148" s="31"/>
      <c r="I148" s="31"/>
      <c r="J148" s="31"/>
      <c r="N148" s="31"/>
    </row>
    <row r="149" spans="7:14" x14ac:dyDescent="0.2">
      <c r="G149" s="31"/>
      <c r="H149" s="31"/>
      <c r="I149" s="31"/>
      <c r="J149" s="31"/>
      <c r="N149" s="31"/>
    </row>
    <row r="150" spans="7:14" x14ac:dyDescent="0.2">
      <c r="G150" s="31"/>
      <c r="H150" s="31"/>
      <c r="I150" s="31"/>
      <c r="J150" s="31"/>
      <c r="N150" s="31"/>
    </row>
    <row r="151" spans="7:14" x14ac:dyDescent="0.2">
      <c r="G151" s="31"/>
      <c r="H151" s="31"/>
      <c r="I151" s="31"/>
      <c r="J151" s="31"/>
      <c r="N151" s="31"/>
    </row>
    <row r="152" spans="7:14" x14ac:dyDescent="0.2">
      <c r="G152" s="31"/>
      <c r="H152" s="31"/>
      <c r="I152" s="31"/>
      <c r="J152" s="31"/>
      <c r="N152" s="31"/>
    </row>
    <row r="153" spans="7:14" x14ac:dyDescent="0.2">
      <c r="G153" s="31"/>
      <c r="H153" s="31"/>
      <c r="I153" s="31"/>
      <c r="J153" s="31"/>
      <c r="N153" s="31"/>
    </row>
    <row r="154" spans="7:14" x14ac:dyDescent="0.2">
      <c r="G154" s="31"/>
      <c r="H154" s="31"/>
      <c r="I154" s="31"/>
      <c r="J154" s="31"/>
      <c r="N154" s="31"/>
    </row>
    <row r="155" spans="7:14" x14ac:dyDescent="0.2">
      <c r="G155" s="31"/>
      <c r="H155" s="31"/>
      <c r="I155" s="31"/>
      <c r="J155" s="31"/>
      <c r="N155" s="31"/>
    </row>
    <row r="156" spans="7:14" x14ac:dyDescent="0.2">
      <c r="G156" s="31"/>
      <c r="H156" s="31"/>
      <c r="I156" s="31"/>
      <c r="J156" s="31"/>
    </row>
    <row r="157" spans="7:14" x14ac:dyDescent="0.2">
      <c r="G157" s="31"/>
      <c r="H157" s="31"/>
      <c r="I157" s="31"/>
      <c r="J157" s="31"/>
    </row>
    <row r="158" spans="7:14" x14ac:dyDescent="0.2">
      <c r="G158" s="31"/>
      <c r="H158" s="31"/>
      <c r="I158" s="31"/>
      <c r="J158" s="31"/>
    </row>
    <row r="159" spans="7:14" x14ac:dyDescent="0.2">
      <c r="G159" s="31"/>
      <c r="H159" s="31"/>
      <c r="I159" s="31"/>
      <c r="J159" s="31"/>
    </row>
    <row r="160" spans="7:14" x14ac:dyDescent="0.2">
      <c r="G160" s="31"/>
      <c r="H160" s="31"/>
      <c r="I160" s="31"/>
      <c r="J160" s="31"/>
    </row>
    <row r="161" spans="1:10" x14ac:dyDescent="0.2">
      <c r="G161" s="31"/>
      <c r="H161" s="31"/>
      <c r="I161" s="31"/>
      <c r="J161" s="31"/>
    </row>
    <row r="162" spans="1:10" x14ac:dyDescent="0.2">
      <c r="G162" s="31"/>
      <c r="H162" s="31"/>
      <c r="I162" s="31"/>
      <c r="J162" s="31"/>
    </row>
    <row r="163" spans="1:10" x14ac:dyDescent="0.2">
      <c r="G163" s="31"/>
      <c r="H163" s="31"/>
      <c r="I163" s="31"/>
      <c r="J163" s="31"/>
    </row>
    <row r="164" spans="1:10" x14ac:dyDescent="0.2">
      <c r="G164" s="31"/>
      <c r="H164" s="31"/>
      <c r="I164" s="31"/>
      <c r="J164" s="31"/>
    </row>
    <row r="165" spans="1:10" x14ac:dyDescent="0.2">
      <c r="A165" s="35"/>
      <c r="C165" s="49"/>
      <c r="G165" s="31"/>
      <c r="H165" s="31"/>
      <c r="I165" s="31"/>
      <c r="J165" s="31"/>
    </row>
    <row r="166" spans="1:10" x14ac:dyDescent="0.2">
      <c r="A166" s="35"/>
      <c r="C166" s="49"/>
      <c r="G166" s="31"/>
      <c r="H166" s="31"/>
      <c r="I166" s="31"/>
      <c r="J166" s="31"/>
    </row>
    <row r="167" spans="1:10" x14ac:dyDescent="0.2">
      <c r="A167" s="35"/>
      <c r="C167" s="49"/>
      <c r="G167" s="31"/>
      <c r="H167" s="31"/>
      <c r="I167" s="31"/>
      <c r="J167" s="31"/>
    </row>
    <row r="168" spans="1:10" x14ac:dyDescent="0.2">
      <c r="A168" s="35"/>
    </row>
    <row r="169" spans="1:10" x14ac:dyDescent="0.2">
      <c r="A169" s="35"/>
    </row>
    <row r="170" spans="1:10" x14ac:dyDescent="0.2">
      <c r="A170" s="35"/>
    </row>
    <row r="171" spans="1:10" x14ac:dyDescent="0.2">
      <c r="A171" s="35"/>
    </row>
    <row r="172" spans="1:10" x14ac:dyDescent="0.2">
      <c r="A172" s="35"/>
    </row>
    <row r="173" spans="1:10" x14ac:dyDescent="0.2">
      <c r="A173" s="35"/>
    </row>
    <row r="174" spans="1:10" x14ac:dyDescent="0.2">
      <c r="A174" s="35"/>
    </row>
    <row r="175" spans="1:10" x14ac:dyDescent="0.2">
      <c r="A175" s="35"/>
    </row>
    <row r="176" spans="1:10" x14ac:dyDescent="0.2">
      <c r="A176" s="35"/>
      <c r="E176" s="30"/>
      <c r="F176" s="30"/>
    </row>
    <row r="177" spans="1:6" x14ac:dyDescent="0.2">
      <c r="A177" s="35"/>
      <c r="E177" s="30"/>
      <c r="F177" s="30"/>
    </row>
    <row r="178" spans="1:6" x14ac:dyDescent="0.2">
      <c r="A178" s="35"/>
      <c r="E178" s="30"/>
      <c r="F178" s="30"/>
    </row>
    <row r="179" spans="1:6" x14ac:dyDescent="0.2">
      <c r="A179" s="35"/>
      <c r="E179" s="30"/>
      <c r="F179" s="30"/>
    </row>
    <row r="180" spans="1:6" x14ac:dyDescent="0.2">
      <c r="A180" s="35"/>
      <c r="E180" s="30"/>
      <c r="F180" s="30"/>
    </row>
    <row r="181" spans="1:6" x14ac:dyDescent="0.2">
      <c r="A181" s="35"/>
      <c r="E181" s="30"/>
      <c r="F181" s="30"/>
    </row>
    <row r="182" spans="1:6" x14ac:dyDescent="0.2">
      <c r="A182" s="35"/>
      <c r="E182" s="30"/>
      <c r="F182" s="30"/>
    </row>
    <row r="183" spans="1:6" x14ac:dyDescent="0.2">
      <c r="A183" s="35"/>
      <c r="E183" s="30"/>
      <c r="F183" s="30"/>
    </row>
    <row r="184" spans="1:6" x14ac:dyDescent="0.2">
      <c r="A184" s="35"/>
      <c r="E184" s="30"/>
      <c r="F184" s="30"/>
    </row>
    <row r="185" spans="1:6" x14ac:dyDescent="0.2">
      <c r="A185" s="35"/>
      <c r="E185" s="30"/>
      <c r="F185" s="30"/>
    </row>
    <row r="186" spans="1:6" x14ac:dyDescent="0.2">
      <c r="A186" s="35"/>
      <c r="E186" s="30"/>
      <c r="F186" s="30"/>
    </row>
    <row r="187" spans="1:6" x14ac:dyDescent="0.2">
      <c r="A187" s="35"/>
      <c r="E187" s="30"/>
      <c r="F187" s="30"/>
    </row>
    <row r="188" spans="1:6" x14ac:dyDescent="0.2">
      <c r="A188" s="35"/>
      <c r="E188" s="30"/>
      <c r="F188" s="30"/>
    </row>
    <row r="189" spans="1:6" x14ac:dyDescent="0.2">
      <c r="A189" s="35"/>
      <c r="E189" s="30"/>
      <c r="F189" s="30"/>
    </row>
    <row r="190" spans="1:6" x14ac:dyDescent="0.2">
      <c r="A190" s="35"/>
      <c r="E190" s="30"/>
      <c r="F190" s="30"/>
    </row>
    <row r="191" spans="1:6" x14ac:dyDescent="0.2">
      <c r="A191" s="35"/>
      <c r="E191" s="30"/>
      <c r="F191" s="30"/>
    </row>
    <row r="192" spans="1:6" x14ac:dyDescent="0.2">
      <c r="A192" s="35"/>
      <c r="E192" s="30"/>
      <c r="F192" s="30"/>
    </row>
    <row r="193" spans="1:11" x14ac:dyDescent="0.2">
      <c r="A193" s="35"/>
      <c r="E193" s="30"/>
      <c r="F193" s="30"/>
    </row>
    <row r="194" spans="1:11" x14ac:dyDescent="0.2">
      <c r="A194" s="35"/>
      <c r="E194" s="30"/>
      <c r="F194" s="30"/>
    </row>
    <row r="195" spans="1:11" x14ac:dyDescent="0.2">
      <c r="A195" s="35"/>
      <c r="E195" s="30"/>
      <c r="F195" s="30"/>
    </row>
    <row r="196" spans="1:11" x14ac:dyDescent="0.2">
      <c r="A196" s="35"/>
      <c r="E196" s="30"/>
      <c r="F196" s="30"/>
    </row>
    <row r="197" spans="1:11" x14ac:dyDescent="0.2">
      <c r="A197" s="35"/>
      <c r="E197" s="30"/>
      <c r="F197" s="30"/>
      <c r="G197" s="31"/>
      <c r="H197" s="31"/>
      <c r="I197" s="31"/>
      <c r="J197" s="31"/>
      <c r="K197" s="31"/>
    </row>
    <row r="198" spans="1:11" x14ac:dyDescent="0.2">
      <c r="A198" s="35"/>
      <c r="E198" s="30"/>
      <c r="F198" s="30"/>
      <c r="G198" s="31"/>
      <c r="H198" s="31"/>
      <c r="I198" s="31"/>
      <c r="J198" s="31"/>
      <c r="K198" s="31"/>
    </row>
    <row r="199" spans="1:11" x14ac:dyDescent="0.2">
      <c r="A199" s="35"/>
      <c r="E199" s="30"/>
      <c r="F199" s="30"/>
      <c r="G199" s="31"/>
      <c r="H199" s="31"/>
      <c r="I199" s="31"/>
      <c r="J199" s="31"/>
      <c r="K199" s="31"/>
    </row>
    <row r="200" spans="1:11" x14ac:dyDescent="0.2">
      <c r="A200" s="35"/>
      <c r="E200" s="30"/>
      <c r="F200" s="30"/>
      <c r="G200" s="31"/>
      <c r="H200" s="31"/>
      <c r="I200" s="31"/>
      <c r="J200" s="31"/>
      <c r="K200" s="31"/>
    </row>
    <row r="201" spans="1:11" x14ac:dyDescent="0.2">
      <c r="A201" s="35"/>
      <c r="E201" s="30"/>
      <c r="F201" s="30"/>
      <c r="G201" s="31"/>
      <c r="H201" s="31"/>
      <c r="I201" s="31"/>
      <c r="J201" s="31"/>
      <c r="K201" s="31"/>
    </row>
    <row r="202" spans="1:11" x14ac:dyDescent="0.2">
      <c r="A202" s="35"/>
      <c r="E202" s="30"/>
      <c r="F202" s="30"/>
      <c r="G202" s="31"/>
      <c r="H202" s="31"/>
      <c r="I202" s="31"/>
      <c r="J202" s="31"/>
      <c r="K202" s="31"/>
    </row>
    <row r="203" spans="1:11" x14ac:dyDescent="0.2">
      <c r="A203" s="35"/>
      <c r="E203" s="30"/>
      <c r="F203" s="30"/>
      <c r="G203" s="31"/>
      <c r="H203" s="31"/>
      <c r="I203" s="31"/>
      <c r="J203" s="31"/>
      <c r="K203" s="31"/>
    </row>
    <row r="204" spans="1:11" x14ac:dyDescent="0.2">
      <c r="A204" s="35"/>
      <c r="D204" s="30"/>
      <c r="E204" s="30"/>
      <c r="F204" s="30"/>
      <c r="G204" s="31"/>
      <c r="H204" s="31"/>
      <c r="I204" s="31"/>
      <c r="J204" s="31"/>
      <c r="K204" s="31"/>
    </row>
    <row r="205" spans="1:11" x14ac:dyDescent="0.2">
      <c r="A205" s="35"/>
      <c r="D205" s="30"/>
      <c r="E205" s="30"/>
      <c r="F205" s="30"/>
      <c r="G205" s="31"/>
      <c r="H205" s="31"/>
      <c r="I205" s="31"/>
      <c r="J205" s="31"/>
      <c r="K205" s="31"/>
    </row>
    <row r="206" spans="1:11" x14ac:dyDescent="0.2">
      <c r="A206" s="35"/>
      <c r="D206" s="30"/>
      <c r="E206" s="30"/>
      <c r="F206" s="30"/>
      <c r="G206" s="31"/>
      <c r="H206" s="31"/>
      <c r="I206" s="31"/>
      <c r="J206" s="31"/>
      <c r="K206" s="31"/>
    </row>
    <row r="207" spans="1:11" x14ac:dyDescent="0.2">
      <c r="A207" s="35"/>
      <c r="D207" s="30"/>
      <c r="E207" s="30"/>
      <c r="F207" s="30"/>
      <c r="G207" s="31"/>
      <c r="H207" s="31"/>
      <c r="I207" s="31"/>
      <c r="J207" s="31"/>
      <c r="K207" s="31"/>
    </row>
    <row r="208" spans="1:11" x14ac:dyDescent="0.2">
      <c r="A208" s="35"/>
      <c r="D208" s="30"/>
      <c r="E208" s="30"/>
      <c r="F208" s="30"/>
      <c r="G208" s="31"/>
      <c r="H208" s="31"/>
      <c r="I208" s="31"/>
      <c r="J208" s="31"/>
      <c r="K208" s="31"/>
    </row>
    <row r="209" spans="1:11" x14ac:dyDescent="0.2">
      <c r="A209" s="35"/>
      <c r="D209" s="30"/>
      <c r="E209" s="30"/>
      <c r="F209" s="30"/>
      <c r="G209" s="31"/>
      <c r="H209" s="31"/>
      <c r="I209" s="31"/>
      <c r="J209" s="31"/>
      <c r="K209" s="31"/>
    </row>
    <row r="210" spans="1:11" x14ac:dyDescent="0.2">
      <c r="A210" s="35"/>
      <c r="D210" s="30"/>
      <c r="E210" s="30"/>
      <c r="F210" s="30"/>
      <c r="G210" s="31"/>
      <c r="H210" s="31"/>
      <c r="I210" s="31"/>
      <c r="J210" s="31"/>
      <c r="K210" s="31"/>
    </row>
    <row r="211" spans="1:11" x14ac:dyDescent="0.2">
      <c r="A211" s="35"/>
      <c r="D211" s="30"/>
      <c r="E211" s="30"/>
      <c r="F211" s="30"/>
      <c r="G211" s="31"/>
      <c r="H211" s="31"/>
      <c r="I211" s="31"/>
      <c r="J211" s="31"/>
      <c r="K211" s="31"/>
    </row>
    <row r="212" spans="1:11" x14ac:dyDescent="0.2">
      <c r="A212" s="35"/>
      <c r="D212" s="30"/>
      <c r="E212" s="30"/>
      <c r="F212" s="30"/>
      <c r="G212" s="31"/>
      <c r="H212" s="31"/>
      <c r="I212" s="31"/>
      <c r="J212" s="31"/>
      <c r="K212" s="31"/>
    </row>
    <row r="213" spans="1:11" x14ac:dyDescent="0.2">
      <c r="A213" s="37"/>
      <c r="B213" s="39"/>
      <c r="C213" s="46"/>
      <c r="D213" s="30"/>
      <c r="E213" s="30"/>
      <c r="F213" s="30"/>
      <c r="G213" s="31"/>
      <c r="H213" s="31"/>
      <c r="I213" s="31"/>
      <c r="J213" s="31"/>
      <c r="K213" s="31"/>
    </row>
    <row r="214" spans="1:11" x14ac:dyDescent="0.2">
      <c r="A214" s="37"/>
      <c r="B214" s="39"/>
      <c r="C214" s="46"/>
      <c r="D214" s="30"/>
      <c r="E214" s="30"/>
      <c r="F214" s="30"/>
      <c r="G214" s="31"/>
      <c r="H214" s="31"/>
      <c r="I214" s="31"/>
      <c r="J214" s="31"/>
      <c r="K214" s="31"/>
    </row>
    <row r="215" spans="1:11" x14ac:dyDescent="0.2">
      <c r="A215" s="37"/>
      <c r="B215" s="39"/>
      <c r="C215" s="46"/>
      <c r="D215" s="30"/>
      <c r="E215" s="30"/>
      <c r="F215" s="30"/>
    </row>
    <row r="216" spans="1:11" x14ac:dyDescent="0.2">
      <c r="A216" s="37"/>
      <c r="B216" s="39"/>
      <c r="C216" s="46"/>
      <c r="D216" s="30"/>
      <c r="E216" s="30"/>
      <c r="F216" s="30"/>
    </row>
    <row r="217" spans="1:11" x14ac:dyDescent="0.2">
      <c r="A217" s="37"/>
      <c r="B217" s="39"/>
      <c r="C217" s="46"/>
      <c r="D217" s="30"/>
      <c r="E217" s="30"/>
      <c r="F217" s="30"/>
    </row>
    <row r="218" spans="1:11" x14ac:dyDescent="0.2">
      <c r="A218" s="37"/>
      <c r="B218" s="39"/>
      <c r="C218" s="46"/>
      <c r="D218" s="30"/>
      <c r="E218" s="30"/>
      <c r="F218" s="30"/>
    </row>
    <row r="219" spans="1:11" x14ac:dyDescent="0.2">
      <c r="A219" s="37"/>
      <c r="B219" s="39"/>
      <c r="C219" s="46"/>
      <c r="D219" s="30"/>
      <c r="E219" s="30"/>
      <c r="F219" s="30"/>
    </row>
    <row r="220" spans="1:11" x14ac:dyDescent="0.2">
      <c r="A220" s="37"/>
      <c r="B220" s="39"/>
      <c r="C220" s="46"/>
      <c r="D220" s="30"/>
      <c r="E220" s="30"/>
      <c r="F220" s="30"/>
    </row>
    <row r="221" spans="1:11" x14ac:dyDescent="0.2">
      <c r="A221" s="37"/>
      <c r="B221" s="39"/>
      <c r="C221" s="46"/>
      <c r="D221" s="30"/>
      <c r="E221" s="30"/>
      <c r="F221" s="30"/>
    </row>
    <row r="222" spans="1:11" x14ac:dyDescent="0.2">
      <c r="A222" s="37"/>
      <c r="B222" s="39"/>
      <c r="C222" s="46"/>
      <c r="D222" s="30"/>
      <c r="E222" s="30"/>
      <c r="F222" s="30"/>
    </row>
    <row r="223" spans="1:11" x14ac:dyDescent="0.2">
      <c r="A223" s="37"/>
      <c r="B223" s="39"/>
      <c r="C223" s="46"/>
      <c r="D223" s="30"/>
      <c r="E223" s="30"/>
      <c r="F223" s="30"/>
    </row>
    <row r="224" spans="1:11" x14ac:dyDescent="0.2">
      <c r="A224" s="37"/>
      <c r="B224" s="39"/>
      <c r="C224" s="46"/>
      <c r="D224" s="30"/>
      <c r="E224" s="30"/>
      <c r="F224" s="30"/>
    </row>
    <row r="225" spans="1:6" x14ac:dyDescent="0.2">
      <c r="A225" s="37"/>
      <c r="B225" s="39"/>
      <c r="C225" s="46"/>
      <c r="D225" s="30"/>
      <c r="E225" s="30"/>
      <c r="F225" s="30"/>
    </row>
    <row r="226" spans="1:6" x14ac:dyDescent="0.2">
      <c r="A226" s="37"/>
      <c r="B226" s="39"/>
      <c r="C226" s="46"/>
      <c r="D226" s="30"/>
      <c r="E226" s="30"/>
      <c r="F226" s="30"/>
    </row>
    <row r="227" spans="1:6" x14ac:dyDescent="0.2">
      <c r="A227" s="37"/>
      <c r="B227" s="39"/>
      <c r="C227" s="46"/>
      <c r="D227" s="30"/>
      <c r="E227" s="30"/>
      <c r="F227" s="30"/>
    </row>
    <row r="228" spans="1:6" x14ac:dyDescent="0.2">
      <c r="A228" s="37"/>
      <c r="B228" s="39"/>
      <c r="C228" s="46"/>
      <c r="D228" s="30"/>
      <c r="E228" s="30"/>
      <c r="F228" s="30"/>
    </row>
    <row r="229" spans="1:6" x14ac:dyDescent="0.2">
      <c r="A229" s="37"/>
      <c r="B229" s="39"/>
      <c r="C229" s="46"/>
      <c r="D229" s="30"/>
      <c r="E229" s="30"/>
      <c r="F229" s="30"/>
    </row>
    <row r="230" spans="1:6" x14ac:dyDescent="0.2">
      <c r="A230" s="37"/>
      <c r="B230" s="39"/>
      <c r="C230" s="46"/>
      <c r="D230" s="30"/>
      <c r="E230" s="30"/>
      <c r="F230" s="30"/>
    </row>
    <row r="231" spans="1:6" x14ac:dyDescent="0.2">
      <c r="A231" s="37"/>
      <c r="B231" s="39"/>
      <c r="C231" s="46"/>
      <c r="D231" s="30"/>
      <c r="E231" s="30"/>
      <c r="F231" s="30"/>
    </row>
    <row r="232" spans="1:6" x14ac:dyDescent="0.2">
      <c r="A232" s="37"/>
      <c r="B232" s="39"/>
      <c r="C232" s="46"/>
      <c r="D232" s="30"/>
      <c r="E232" s="30"/>
      <c r="F232" s="30"/>
    </row>
    <row r="233" spans="1:6" x14ac:dyDescent="0.2">
      <c r="A233" s="37"/>
      <c r="B233" s="39"/>
      <c r="C233" s="46"/>
      <c r="D233" s="30"/>
      <c r="E233" s="30"/>
      <c r="F233" s="30"/>
    </row>
    <row r="234" spans="1:6" x14ac:dyDescent="0.2">
      <c r="A234" s="37"/>
      <c r="B234" s="39"/>
      <c r="C234" s="46"/>
      <c r="D234" s="30"/>
      <c r="E234" s="30"/>
      <c r="F234" s="30"/>
    </row>
    <row r="235" spans="1:6" x14ac:dyDescent="0.2">
      <c r="A235" s="37"/>
      <c r="B235" s="39"/>
      <c r="C235" s="46"/>
      <c r="D235" s="30"/>
      <c r="E235" s="30"/>
      <c r="F235" s="30"/>
    </row>
    <row r="236" spans="1:6" x14ac:dyDescent="0.2">
      <c r="A236" s="37"/>
      <c r="B236" s="39"/>
      <c r="C236" s="46"/>
      <c r="D236" s="30"/>
      <c r="E236" s="30"/>
      <c r="F236" s="30"/>
    </row>
    <row r="237" spans="1:6" x14ac:dyDescent="0.2">
      <c r="A237" s="37"/>
      <c r="B237" s="39"/>
      <c r="C237" s="46"/>
      <c r="D237" s="30"/>
      <c r="E237" s="30"/>
      <c r="F237" s="30"/>
    </row>
    <row r="238" spans="1:6" x14ac:dyDescent="0.2">
      <c r="A238" s="37"/>
      <c r="B238" s="39"/>
      <c r="C238" s="46"/>
      <c r="D238" s="30"/>
      <c r="E238" s="30"/>
      <c r="F238" s="30"/>
    </row>
    <row r="239" spans="1:6" x14ac:dyDescent="0.2">
      <c r="A239" s="37"/>
      <c r="B239" s="39"/>
      <c r="C239" s="46"/>
      <c r="D239" s="30"/>
      <c r="E239" s="30"/>
      <c r="F239" s="30"/>
    </row>
    <row r="240" spans="1:6" x14ac:dyDescent="0.2">
      <c r="A240" s="37"/>
      <c r="B240" s="39"/>
      <c r="C240" s="46"/>
      <c r="D240" s="30"/>
      <c r="E240" s="30"/>
      <c r="F240" s="30"/>
    </row>
    <row r="241" spans="1:6" x14ac:dyDescent="0.2">
      <c r="A241" s="37"/>
      <c r="B241" s="39"/>
      <c r="C241" s="46"/>
      <c r="D241" s="30"/>
      <c r="E241" s="30"/>
      <c r="F241" s="30"/>
    </row>
    <row r="242" spans="1:6" x14ac:dyDescent="0.2">
      <c r="A242" s="37"/>
      <c r="B242" s="39"/>
      <c r="C242" s="46"/>
      <c r="D242" s="30"/>
      <c r="E242" s="30"/>
      <c r="F242" s="30"/>
    </row>
    <row r="243" spans="1:6" x14ac:dyDescent="0.2">
      <c r="A243" s="37"/>
      <c r="B243" s="39"/>
      <c r="C243" s="46"/>
      <c r="D243" s="30"/>
      <c r="E243" s="30"/>
      <c r="F243" s="30"/>
    </row>
    <row r="244" spans="1:6" x14ac:dyDescent="0.2">
      <c r="A244" s="37"/>
      <c r="B244" s="39"/>
      <c r="C244" s="46"/>
      <c r="D244" s="30"/>
      <c r="E244" s="30"/>
      <c r="F244" s="30"/>
    </row>
    <row r="245" spans="1:6" x14ac:dyDescent="0.2">
      <c r="A245" s="37"/>
      <c r="B245" s="39"/>
      <c r="C245" s="46"/>
      <c r="D245" s="30"/>
      <c r="E245" s="30"/>
      <c r="F245" s="30"/>
    </row>
    <row r="246" spans="1:6" x14ac:dyDescent="0.2">
      <c r="A246" s="37"/>
      <c r="B246" s="39"/>
      <c r="C246" s="46"/>
      <c r="D246" s="30"/>
      <c r="E246" s="30"/>
      <c r="F246" s="30"/>
    </row>
    <row r="247" spans="1:6" x14ac:dyDescent="0.2">
      <c r="A247" s="37"/>
      <c r="B247" s="39"/>
      <c r="C247" s="46"/>
      <c r="D247" s="30"/>
      <c r="E247" s="30"/>
      <c r="F247" s="30"/>
    </row>
    <row r="248" spans="1:6" x14ac:dyDescent="0.2">
      <c r="A248" s="37"/>
      <c r="B248" s="39"/>
      <c r="C248" s="46"/>
      <c r="D248" s="30"/>
      <c r="E248" s="30"/>
      <c r="F248" s="30"/>
    </row>
    <row r="249" spans="1:6" x14ac:dyDescent="0.2">
      <c r="A249" s="37"/>
      <c r="B249" s="39"/>
      <c r="C249" s="46"/>
      <c r="D249" s="30"/>
      <c r="E249" s="30"/>
      <c r="F249" s="30"/>
    </row>
    <row r="250" spans="1:6" x14ac:dyDescent="0.2">
      <c r="A250" s="37"/>
      <c r="B250" s="39"/>
      <c r="C250" s="46"/>
      <c r="D250" s="30"/>
      <c r="E250" s="30"/>
      <c r="F250" s="30"/>
    </row>
    <row r="251" spans="1:6" x14ac:dyDescent="0.2">
      <c r="A251" s="37"/>
      <c r="B251" s="39"/>
      <c r="C251" s="46"/>
      <c r="D251" s="30"/>
      <c r="E251" s="30"/>
      <c r="F251" s="30"/>
    </row>
    <row r="252" spans="1:6" x14ac:dyDescent="0.2">
      <c r="A252" s="37"/>
      <c r="B252" s="39"/>
      <c r="C252" s="46"/>
      <c r="D252" s="30"/>
      <c r="E252" s="30"/>
      <c r="F252" s="30"/>
    </row>
    <row r="253" spans="1:6" x14ac:dyDescent="0.2">
      <c r="A253" s="37"/>
      <c r="B253" s="39"/>
      <c r="C253" s="46"/>
      <c r="D253" s="30"/>
      <c r="E253" s="30"/>
      <c r="F253" s="30"/>
    </row>
    <row r="254" spans="1:6" x14ac:dyDescent="0.2">
      <c r="A254" s="37"/>
      <c r="B254" s="39"/>
      <c r="C254" s="46"/>
      <c r="D254" s="30"/>
      <c r="E254" s="30"/>
      <c r="F254" s="30"/>
    </row>
    <row r="255" spans="1:6" x14ac:dyDescent="0.2">
      <c r="A255" s="37"/>
      <c r="B255" s="39"/>
      <c r="C255" s="46"/>
      <c r="D255" s="30"/>
      <c r="E255" s="30"/>
      <c r="F255" s="30"/>
    </row>
    <row r="256" spans="1:6" x14ac:dyDescent="0.2">
      <c r="A256" s="37"/>
      <c r="B256" s="39"/>
      <c r="C256" s="46"/>
      <c r="D256" s="30"/>
      <c r="E256" s="30"/>
      <c r="F256" s="30"/>
    </row>
    <row r="257" spans="1:11" x14ac:dyDescent="0.2">
      <c r="A257" s="37"/>
      <c r="B257" s="39"/>
      <c r="C257" s="46"/>
      <c r="D257" s="30"/>
      <c r="E257" s="30"/>
      <c r="F257" s="30"/>
    </row>
    <row r="258" spans="1:11" x14ac:dyDescent="0.2">
      <c r="A258" s="37"/>
      <c r="B258" s="39"/>
      <c r="C258" s="46"/>
      <c r="D258" s="30"/>
      <c r="E258" s="30"/>
      <c r="F258" s="30"/>
      <c r="G258" s="31"/>
      <c r="H258" s="31"/>
      <c r="I258" s="31"/>
      <c r="J258" s="31"/>
      <c r="K258" s="31"/>
    </row>
    <row r="259" spans="1:11" x14ac:dyDescent="0.2">
      <c r="A259" s="37"/>
      <c r="B259" s="39"/>
      <c r="C259" s="46"/>
      <c r="D259" s="30"/>
      <c r="E259" s="30"/>
      <c r="F259" s="30"/>
      <c r="G259" s="31"/>
      <c r="H259" s="31"/>
      <c r="I259" s="31"/>
      <c r="J259" s="31"/>
      <c r="K259" s="31"/>
    </row>
    <row r="260" spans="1:11" x14ac:dyDescent="0.2">
      <c r="A260" s="31"/>
      <c r="B260" s="39"/>
      <c r="C260" s="46"/>
      <c r="D260" s="30"/>
      <c r="E260" s="30"/>
      <c r="F260" s="30"/>
      <c r="G260" s="31"/>
      <c r="H260" s="31"/>
      <c r="I260" s="31"/>
      <c r="J260" s="31"/>
      <c r="K260" s="31"/>
    </row>
    <row r="261" spans="1:11" x14ac:dyDescent="0.2">
      <c r="A261" s="31"/>
      <c r="B261" s="39"/>
      <c r="C261" s="46"/>
      <c r="D261" s="30"/>
      <c r="E261" s="30"/>
      <c r="F261" s="30"/>
      <c r="G261" s="31"/>
      <c r="H261" s="31"/>
      <c r="I261" s="31"/>
      <c r="J261" s="31"/>
      <c r="K261" s="31"/>
    </row>
    <row r="262" spans="1:11" x14ac:dyDescent="0.2">
      <c r="A262" s="31"/>
      <c r="B262" s="39"/>
      <c r="C262" s="46"/>
      <c r="D262" s="30"/>
      <c r="E262" s="30"/>
      <c r="F262" s="30"/>
      <c r="G262" s="31"/>
      <c r="H262" s="31"/>
      <c r="I262" s="31"/>
      <c r="J262" s="31"/>
      <c r="K262" s="31"/>
    </row>
    <row r="263" spans="1:11" x14ac:dyDescent="0.2">
      <c r="A263" s="31"/>
      <c r="B263" s="39"/>
      <c r="C263" s="46"/>
      <c r="D263" s="30"/>
      <c r="E263" s="30"/>
      <c r="F263" s="30"/>
      <c r="G263" s="31"/>
      <c r="H263" s="31"/>
      <c r="I263" s="31"/>
      <c r="J263" s="31"/>
      <c r="K263" s="31"/>
    </row>
    <row r="264" spans="1:11" x14ac:dyDescent="0.2">
      <c r="A264" s="31"/>
      <c r="B264" s="39"/>
      <c r="C264" s="46"/>
      <c r="D264" s="30"/>
      <c r="E264" s="30"/>
      <c r="F264" s="30"/>
      <c r="G264" s="31"/>
      <c r="H264" s="31"/>
      <c r="I264" s="31"/>
      <c r="J264" s="31"/>
      <c r="K264" s="31"/>
    </row>
    <row r="265" spans="1:11" x14ac:dyDescent="0.2">
      <c r="A265" s="31"/>
      <c r="B265" s="39"/>
      <c r="C265" s="46"/>
      <c r="D265" s="30"/>
      <c r="E265" s="30"/>
      <c r="F265" s="30"/>
      <c r="G265" s="31"/>
      <c r="H265" s="31"/>
      <c r="I265" s="31"/>
      <c r="J265" s="31"/>
      <c r="K265" s="31"/>
    </row>
    <row r="266" spans="1:11" x14ac:dyDescent="0.2">
      <c r="A266" s="31"/>
      <c r="B266" s="39"/>
      <c r="C266" s="46"/>
      <c r="D266" s="30"/>
      <c r="E266" s="30"/>
      <c r="F266" s="30"/>
      <c r="G266" s="31"/>
      <c r="H266" s="31"/>
      <c r="I266" s="31"/>
      <c r="J266" s="31"/>
      <c r="K266" s="31"/>
    </row>
    <row r="267" spans="1:11" x14ac:dyDescent="0.2">
      <c r="A267" s="31"/>
      <c r="B267" s="39"/>
      <c r="C267" s="46"/>
      <c r="D267" s="30"/>
      <c r="E267" s="30"/>
      <c r="F267" s="30"/>
      <c r="G267" s="31"/>
      <c r="H267" s="31"/>
      <c r="I267" s="31"/>
      <c r="J267" s="31"/>
      <c r="K267" s="31"/>
    </row>
    <row r="268" spans="1:11" x14ac:dyDescent="0.2">
      <c r="A268" s="31"/>
      <c r="B268" s="39"/>
      <c r="C268" s="46"/>
      <c r="D268" s="30"/>
      <c r="E268" s="30"/>
      <c r="F268" s="30"/>
      <c r="G268" s="31"/>
      <c r="H268" s="31"/>
      <c r="I268" s="31"/>
      <c r="J268" s="31"/>
      <c r="K268" s="31"/>
    </row>
    <row r="269" spans="1:11" x14ac:dyDescent="0.2">
      <c r="A269" s="31"/>
      <c r="B269" s="39"/>
      <c r="C269" s="46"/>
      <c r="D269" s="30"/>
      <c r="E269" s="30"/>
      <c r="F269" s="30"/>
      <c r="G269" s="31"/>
      <c r="H269" s="31"/>
      <c r="I269" s="31"/>
      <c r="J269" s="31"/>
      <c r="K269" s="31"/>
    </row>
    <row r="270" spans="1:11" x14ac:dyDescent="0.2">
      <c r="A270" s="31"/>
      <c r="B270" s="39"/>
      <c r="C270" s="46"/>
      <c r="D270" s="30"/>
      <c r="E270" s="30"/>
      <c r="F270" s="30"/>
      <c r="G270" s="31"/>
      <c r="H270" s="31"/>
      <c r="I270" s="31"/>
      <c r="J270" s="31"/>
      <c r="K270" s="31"/>
    </row>
    <row r="271" spans="1:11" x14ac:dyDescent="0.2">
      <c r="A271" s="31"/>
      <c r="B271" s="39"/>
      <c r="C271" s="46"/>
      <c r="D271" s="30"/>
      <c r="E271" s="30"/>
      <c r="F271" s="30"/>
      <c r="G271" s="31"/>
      <c r="H271" s="31"/>
      <c r="I271" s="31"/>
      <c r="J271" s="31"/>
      <c r="K271" s="31"/>
    </row>
    <row r="272" spans="1:11" x14ac:dyDescent="0.2">
      <c r="A272" s="31"/>
      <c r="B272" s="39"/>
      <c r="C272" s="46"/>
      <c r="D272" s="30"/>
      <c r="E272" s="30"/>
      <c r="F272" s="30"/>
      <c r="G272" s="31"/>
      <c r="H272" s="31"/>
      <c r="I272" s="31"/>
      <c r="J272" s="31"/>
      <c r="K272" s="31"/>
    </row>
    <row r="273" spans="1:11" x14ac:dyDescent="0.2">
      <c r="A273" s="31"/>
      <c r="B273" s="39"/>
      <c r="C273" s="46"/>
      <c r="D273" s="30"/>
      <c r="E273" s="30"/>
      <c r="F273" s="30"/>
      <c r="G273" s="31"/>
      <c r="H273" s="31"/>
      <c r="I273" s="31"/>
      <c r="J273" s="31"/>
      <c r="K273" s="31"/>
    </row>
    <row r="274" spans="1:11" x14ac:dyDescent="0.2">
      <c r="A274" s="31"/>
      <c r="B274" s="39"/>
      <c r="C274" s="46"/>
      <c r="D274" s="30"/>
      <c r="E274" s="30"/>
      <c r="F274" s="30"/>
      <c r="G274" s="31"/>
      <c r="H274" s="31"/>
      <c r="I274" s="31"/>
      <c r="J274" s="31"/>
      <c r="K274" s="31"/>
    </row>
    <row r="275" spans="1:11" x14ac:dyDescent="0.2">
      <c r="A275" s="31"/>
      <c r="B275" s="39"/>
      <c r="C275" s="46"/>
      <c r="D275" s="30"/>
      <c r="E275" s="30"/>
      <c r="F275" s="30"/>
      <c r="G275" s="31"/>
      <c r="H275" s="31"/>
      <c r="I275" s="31"/>
      <c r="J275" s="31"/>
      <c r="K275" s="31"/>
    </row>
    <row r="276" spans="1:11" x14ac:dyDescent="0.2">
      <c r="A276" s="31"/>
      <c r="B276" s="39"/>
      <c r="C276" s="46"/>
      <c r="D276" s="30"/>
      <c r="E276" s="30"/>
      <c r="F276" s="30"/>
      <c r="G276" s="31"/>
      <c r="H276" s="31"/>
      <c r="I276" s="31"/>
      <c r="J276" s="31"/>
      <c r="K276" s="31"/>
    </row>
    <row r="277" spans="1:11" x14ac:dyDescent="0.2">
      <c r="A277" s="31"/>
      <c r="B277" s="39"/>
      <c r="C277" s="46"/>
      <c r="D277" s="30"/>
      <c r="E277" s="30"/>
      <c r="F277" s="30"/>
      <c r="G277" s="31"/>
      <c r="H277" s="31"/>
      <c r="I277" s="31"/>
      <c r="J277" s="31"/>
      <c r="K277" s="31"/>
    </row>
    <row r="278" spans="1:11" x14ac:dyDescent="0.2">
      <c r="A278" s="31"/>
      <c r="B278" s="39"/>
      <c r="C278" s="46"/>
      <c r="D278" s="30"/>
      <c r="E278" s="30"/>
      <c r="F278" s="30"/>
      <c r="G278" s="31"/>
      <c r="H278" s="31"/>
      <c r="I278" s="31"/>
      <c r="J278" s="31"/>
      <c r="K278" s="31"/>
    </row>
    <row r="279" spans="1:11" x14ac:dyDescent="0.2">
      <c r="A279" s="31"/>
      <c r="B279" s="39"/>
      <c r="C279" s="46"/>
      <c r="D279" s="30"/>
      <c r="E279" s="30"/>
      <c r="F279" s="30"/>
      <c r="G279" s="31"/>
      <c r="H279" s="31"/>
      <c r="I279" s="31"/>
      <c r="J279" s="31"/>
      <c r="K279" s="31"/>
    </row>
    <row r="280" spans="1:11" x14ac:dyDescent="0.2">
      <c r="A280" s="31"/>
      <c r="B280" s="39"/>
      <c r="C280" s="46"/>
      <c r="D280" s="30"/>
      <c r="E280" s="30"/>
      <c r="F280" s="30"/>
      <c r="G280" s="31"/>
      <c r="H280" s="31"/>
      <c r="I280" s="31"/>
      <c r="J280" s="31"/>
      <c r="K280" s="31"/>
    </row>
    <row r="281" spans="1:11" x14ac:dyDescent="0.2">
      <c r="A281" s="31"/>
      <c r="B281" s="39"/>
      <c r="C281" s="46"/>
      <c r="D281" s="30"/>
      <c r="E281" s="30"/>
      <c r="F281" s="30"/>
      <c r="G281" s="31"/>
      <c r="H281" s="31"/>
      <c r="I281" s="31"/>
      <c r="J281" s="31"/>
      <c r="K281" s="31"/>
    </row>
    <row r="282" spans="1:11" x14ac:dyDescent="0.2">
      <c r="A282" s="31"/>
      <c r="B282" s="39"/>
      <c r="C282" s="46"/>
      <c r="D282" s="30"/>
      <c r="E282" s="30"/>
      <c r="F282" s="30"/>
      <c r="G282" s="31"/>
      <c r="H282" s="31"/>
      <c r="I282" s="31"/>
      <c r="J282" s="31"/>
      <c r="K282" s="31"/>
    </row>
    <row r="283" spans="1:11" x14ac:dyDescent="0.2">
      <c r="A283" s="31"/>
      <c r="B283" s="39"/>
      <c r="C283" s="46"/>
      <c r="D283" s="30"/>
      <c r="E283" s="30"/>
      <c r="F283" s="30"/>
      <c r="G283" s="31"/>
      <c r="H283" s="31"/>
      <c r="I283" s="31"/>
      <c r="J283" s="31"/>
      <c r="K283" s="31"/>
    </row>
    <row r="284" spans="1:11" x14ac:dyDescent="0.2">
      <c r="A284" s="31"/>
      <c r="B284" s="39"/>
      <c r="C284" s="46"/>
      <c r="D284" s="30"/>
      <c r="E284" s="30"/>
      <c r="F284" s="30"/>
      <c r="G284" s="31"/>
      <c r="H284" s="31"/>
      <c r="I284" s="31"/>
      <c r="J284" s="31"/>
      <c r="K284" s="31"/>
    </row>
    <row r="285" spans="1:11" x14ac:dyDescent="0.2">
      <c r="A285" s="31"/>
      <c r="B285" s="39"/>
      <c r="C285" s="46"/>
      <c r="D285" s="30"/>
      <c r="E285" s="30"/>
      <c r="F285" s="30"/>
      <c r="G285" s="31"/>
      <c r="H285" s="31"/>
      <c r="I285" s="31"/>
      <c r="J285" s="31"/>
      <c r="K285" s="31"/>
    </row>
    <row r="286" spans="1:11" x14ac:dyDescent="0.2">
      <c r="A286" s="31"/>
      <c r="B286" s="39"/>
      <c r="C286" s="46"/>
      <c r="D286" s="30"/>
      <c r="E286" s="30"/>
      <c r="F286" s="30"/>
      <c r="G286" s="31"/>
      <c r="H286" s="31"/>
      <c r="I286" s="31"/>
      <c r="J286" s="31"/>
      <c r="K286" s="31"/>
    </row>
    <row r="287" spans="1:11" x14ac:dyDescent="0.2">
      <c r="A287" s="31"/>
      <c r="B287" s="39"/>
      <c r="C287" s="46"/>
      <c r="D287" s="30"/>
      <c r="E287" s="30"/>
      <c r="F287" s="30"/>
      <c r="G287" s="31"/>
      <c r="H287" s="31"/>
      <c r="I287" s="31"/>
      <c r="J287" s="31"/>
      <c r="K287" s="31"/>
    </row>
    <row r="288" spans="1:11" x14ac:dyDescent="0.2">
      <c r="A288" s="31"/>
      <c r="B288" s="39"/>
      <c r="C288" s="46"/>
      <c r="D288" s="30"/>
      <c r="E288" s="30"/>
      <c r="F288" s="30"/>
      <c r="G288" s="31"/>
      <c r="H288" s="31"/>
      <c r="I288" s="31"/>
      <c r="J288" s="31"/>
      <c r="K288" s="31"/>
    </row>
    <row r="289" spans="1:11" x14ac:dyDescent="0.2">
      <c r="A289" s="31"/>
      <c r="B289" s="39"/>
      <c r="C289" s="46"/>
      <c r="D289" s="30"/>
      <c r="E289" s="30"/>
      <c r="F289" s="30"/>
      <c r="G289" s="31"/>
      <c r="H289" s="31"/>
      <c r="I289" s="31"/>
      <c r="J289" s="31"/>
      <c r="K289" s="31"/>
    </row>
    <row r="290" spans="1:11" x14ac:dyDescent="0.2">
      <c r="A290" s="31"/>
      <c r="B290" s="39"/>
      <c r="C290" s="46"/>
      <c r="D290" s="30"/>
      <c r="E290" s="30"/>
      <c r="F290" s="30"/>
      <c r="G290" s="31"/>
      <c r="H290" s="31"/>
      <c r="I290" s="31"/>
      <c r="J290" s="31"/>
      <c r="K290" s="31"/>
    </row>
    <row r="291" spans="1:11" x14ac:dyDescent="0.2">
      <c r="A291" s="31"/>
      <c r="B291" s="39"/>
      <c r="C291" s="46"/>
      <c r="D291" s="30"/>
      <c r="E291" s="30"/>
      <c r="F291" s="30"/>
      <c r="G291" s="31"/>
      <c r="H291" s="31"/>
      <c r="I291" s="31"/>
      <c r="J291" s="31"/>
      <c r="K291" s="31"/>
    </row>
    <row r="292" spans="1:11" x14ac:dyDescent="0.2">
      <c r="A292" s="31"/>
      <c r="B292" s="39"/>
      <c r="C292" s="46"/>
      <c r="D292" s="30"/>
      <c r="E292" s="30"/>
      <c r="F292" s="30"/>
      <c r="G292" s="31"/>
      <c r="H292" s="31"/>
      <c r="I292" s="31"/>
      <c r="J292" s="31"/>
      <c r="K292" s="31"/>
    </row>
    <row r="293" spans="1:11" x14ac:dyDescent="0.2">
      <c r="A293" s="31"/>
      <c r="B293" s="39"/>
      <c r="C293" s="46"/>
      <c r="D293" s="30"/>
      <c r="E293" s="30"/>
      <c r="F293" s="30"/>
      <c r="G293" s="31"/>
      <c r="H293" s="31"/>
      <c r="I293" s="31"/>
      <c r="J293" s="31"/>
      <c r="K293" s="31"/>
    </row>
    <row r="294" spans="1:11" x14ac:dyDescent="0.2">
      <c r="A294" s="31"/>
      <c r="B294" s="39"/>
      <c r="C294" s="46"/>
      <c r="D294" s="30"/>
      <c r="E294" s="30"/>
      <c r="F294" s="30"/>
      <c r="G294" s="31"/>
      <c r="H294" s="31"/>
      <c r="I294" s="31"/>
      <c r="J294" s="31"/>
      <c r="K294" s="31"/>
    </row>
    <row r="295" spans="1:11" x14ac:dyDescent="0.2">
      <c r="D295" s="30"/>
      <c r="E295" s="30"/>
      <c r="F295" s="30"/>
      <c r="G295" s="31"/>
      <c r="H295" s="31"/>
      <c r="I295" s="31"/>
      <c r="J295" s="31"/>
      <c r="K295" s="31"/>
    </row>
    <row r="296" spans="1:11" x14ac:dyDescent="0.2">
      <c r="D296" s="30"/>
      <c r="E296" s="30"/>
      <c r="F296" s="30"/>
      <c r="G296" s="31"/>
      <c r="H296" s="31"/>
      <c r="I296" s="31"/>
      <c r="J296" s="31"/>
      <c r="K296" s="31"/>
    </row>
    <row r="297" spans="1:11" x14ac:dyDescent="0.2">
      <c r="A297" s="31"/>
      <c r="B297" s="39"/>
      <c r="C297" s="46"/>
      <c r="D297" s="30"/>
      <c r="E297" s="30"/>
      <c r="F297" s="30"/>
      <c r="G297" s="31"/>
      <c r="H297" s="31"/>
      <c r="I297" s="31"/>
      <c r="J297" s="31"/>
      <c r="K297" s="31"/>
    </row>
    <row r="298" spans="1:11" x14ac:dyDescent="0.2">
      <c r="A298" s="31"/>
      <c r="B298" s="39"/>
      <c r="C298" s="46"/>
      <c r="D298" s="30"/>
      <c r="E298" s="30"/>
      <c r="F298" s="30"/>
      <c r="G298" s="31"/>
      <c r="H298" s="31"/>
      <c r="I298" s="31"/>
      <c r="J298" s="31"/>
      <c r="K298" s="31"/>
    </row>
    <row r="299" spans="1:11" x14ac:dyDescent="0.2">
      <c r="A299" s="31"/>
      <c r="B299" s="39"/>
      <c r="C299" s="46"/>
      <c r="D299" s="30"/>
      <c r="E299" s="30"/>
      <c r="F299" s="30"/>
      <c r="G299" s="31"/>
      <c r="H299" s="31"/>
      <c r="I299" s="31"/>
      <c r="J299" s="31"/>
      <c r="K299" s="31"/>
    </row>
    <row r="300" spans="1:11" x14ac:dyDescent="0.2">
      <c r="A300" s="31"/>
      <c r="B300" s="39"/>
      <c r="C300" s="46"/>
      <c r="D300" s="30"/>
      <c r="E300" s="30"/>
      <c r="F300" s="30"/>
      <c r="G300" s="31"/>
      <c r="H300" s="31"/>
      <c r="I300" s="31"/>
      <c r="J300" s="31"/>
      <c r="K300" s="31"/>
    </row>
    <row r="301" spans="1:11" x14ac:dyDescent="0.2">
      <c r="A301" s="31"/>
      <c r="B301" s="39"/>
      <c r="C301" s="46"/>
      <c r="D301" s="30"/>
      <c r="E301" s="30"/>
      <c r="F301" s="30"/>
      <c r="G301" s="31"/>
      <c r="H301" s="31"/>
      <c r="I301" s="31"/>
      <c r="J301" s="31"/>
      <c r="K301" s="31"/>
    </row>
    <row r="302" spans="1:11" x14ac:dyDescent="0.2">
      <c r="A302" s="31"/>
      <c r="B302" s="39"/>
      <c r="C302" s="46"/>
      <c r="D302" s="30"/>
      <c r="E302" s="30"/>
      <c r="F302" s="30"/>
      <c r="G302" s="31"/>
      <c r="H302" s="31"/>
      <c r="I302" s="31"/>
      <c r="J302" s="31"/>
      <c r="K302" s="31"/>
    </row>
    <row r="303" spans="1:11" x14ac:dyDescent="0.2">
      <c r="A303" s="31"/>
      <c r="B303" s="39"/>
      <c r="C303" s="46"/>
      <c r="D303" s="30"/>
      <c r="E303" s="30"/>
      <c r="F303" s="30"/>
      <c r="G303" s="31"/>
      <c r="H303" s="31"/>
      <c r="I303" s="31"/>
      <c r="J303" s="31"/>
      <c r="K303" s="31"/>
    </row>
    <row r="304" spans="1:11" x14ac:dyDescent="0.2">
      <c r="A304" s="31"/>
      <c r="B304" s="39"/>
      <c r="C304" s="46"/>
      <c r="D304" s="30"/>
      <c r="E304" s="30"/>
      <c r="F304" s="30"/>
      <c r="G304" s="31"/>
      <c r="H304" s="31"/>
      <c r="I304" s="31"/>
      <c r="J304" s="31"/>
      <c r="K304" s="31"/>
    </row>
    <row r="305" spans="1:11" x14ac:dyDescent="0.2">
      <c r="A305" s="31"/>
      <c r="B305" s="39"/>
      <c r="C305" s="46"/>
      <c r="D305" s="30"/>
      <c r="E305" s="30"/>
      <c r="F305" s="30"/>
      <c r="G305" s="31"/>
      <c r="H305" s="31"/>
      <c r="I305" s="31"/>
      <c r="J305" s="31"/>
      <c r="K305" s="31"/>
    </row>
    <row r="306" spans="1:11" x14ac:dyDescent="0.2">
      <c r="A306" s="31"/>
      <c r="B306" s="39"/>
      <c r="C306" s="46"/>
      <c r="D306" s="30"/>
      <c r="E306" s="30"/>
      <c r="F306" s="30"/>
      <c r="G306" s="31"/>
      <c r="H306" s="31"/>
      <c r="I306" s="31"/>
      <c r="J306" s="31"/>
      <c r="K306" s="31"/>
    </row>
    <row r="307" spans="1:11" x14ac:dyDescent="0.2">
      <c r="A307" s="31"/>
      <c r="B307" s="39"/>
      <c r="C307" s="46"/>
      <c r="D307" s="30"/>
      <c r="E307" s="30"/>
      <c r="F307" s="30"/>
      <c r="G307" s="31"/>
      <c r="H307" s="31"/>
      <c r="I307" s="31"/>
      <c r="J307" s="31"/>
      <c r="K307" s="31"/>
    </row>
    <row r="308" spans="1:11" x14ac:dyDescent="0.2">
      <c r="A308" s="31"/>
      <c r="B308" s="39"/>
      <c r="C308" s="46"/>
      <c r="D308" s="30"/>
      <c r="E308" s="30"/>
      <c r="F308" s="30"/>
      <c r="G308" s="31"/>
      <c r="H308" s="31"/>
      <c r="I308" s="31"/>
      <c r="J308" s="31"/>
      <c r="K308" s="31"/>
    </row>
    <row r="309" spans="1:11" x14ac:dyDescent="0.2">
      <c r="A309" s="31"/>
      <c r="B309" s="39"/>
      <c r="C309" s="46"/>
      <c r="D309" s="30"/>
      <c r="E309" s="30"/>
      <c r="F309" s="30"/>
      <c r="G309" s="31"/>
      <c r="H309" s="31"/>
      <c r="I309" s="31"/>
      <c r="J309" s="31"/>
      <c r="K309" s="31"/>
    </row>
    <row r="310" spans="1:11" x14ac:dyDescent="0.2">
      <c r="A310" s="31"/>
      <c r="B310" s="39"/>
      <c r="C310" s="46"/>
      <c r="D310" s="30"/>
      <c r="E310" s="30"/>
      <c r="F310" s="30"/>
      <c r="G310" s="31"/>
      <c r="H310" s="31"/>
      <c r="I310" s="31"/>
      <c r="J310" s="31"/>
      <c r="K310" s="31"/>
    </row>
    <row r="311" spans="1:11" x14ac:dyDescent="0.2">
      <c r="A311" s="31"/>
      <c r="B311" s="39"/>
      <c r="C311" s="46"/>
      <c r="D311" s="30"/>
      <c r="E311" s="30"/>
      <c r="F311" s="30"/>
      <c r="G311" s="31"/>
      <c r="H311" s="31"/>
      <c r="I311" s="31"/>
      <c r="J311" s="31"/>
      <c r="K311" s="31"/>
    </row>
    <row r="312" spans="1:11" x14ac:dyDescent="0.2">
      <c r="A312" s="31"/>
      <c r="B312" s="39"/>
      <c r="C312" s="46"/>
      <c r="D312" s="30"/>
      <c r="E312" s="30"/>
      <c r="F312" s="30"/>
      <c r="G312" s="31"/>
      <c r="H312" s="31"/>
      <c r="I312" s="31"/>
      <c r="J312" s="31"/>
      <c r="K312" s="31"/>
    </row>
    <row r="313" spans="1:11" x14ac:dyDescent="0.2">
      <c r="A313" s="31"/>
      <c r="B313" s="39"/>
      <c r="C313" s="46"/>
      <c r="D313" s="30"/>
      <c r="E313" s="30"/>
      <c r="F313" s="30"/>
      <c r="G313" s="31"/>
      <c r="H313" s="31"/>
      <c r="I313" s="31"/>
      <c r="J313" s="31"/>
      <c r="K313" s="31"/>
    </row>
    <row r="314" spans="1:11" x14ac:dyDescent="0.2">
      <c r="A314" s="31"/>
      <c r="B314" s="39"/>
      <c r="C314" s="46"/>
      <c r="D314" s="30"/>
      <c r="E314" s="30"/>
      <c r="F314" s="30"/>
      <c r="G314" s="31"/>
      <c r="H314" s="31"/>
      <c r="I314" s="31"/>
      <c r="J314" s="31"/>
      <c r="K314" s="31"/>
    </row>
    <row r="315" spans="1:11" x14ac:dyDescent="0.2">
      <c r="A315" s="31"/>
      <c r="B315" s="39"/>
      <c r="C315" s="46"/>
      <c r="D315" s="30"/>
      <c r="E315" s="30"/>
      <c r="F315" s="30"/>
      <c r="G315" s="31"/>
      <c r="H315" s="31"/>
      <c r="I315" s="31"/>
      <c r="J315" s="31"/>
      <c r="K315" s="31"/>
    </row>
    <row r="316" spans="1:11" x14ac:dyDescent="0.2">
      <c r="A316" s="31"/>
      <c r="B316" s="39"/>
      <c r="C316" s="46"/>
      <c r="D316" s="30"/>
      <c r="E316" s="30"/>
      <c r="F316" s="30"/>
      <c r="G316" s="31"/>
      <c r="H316" s="31"/>
      <c r="I316" s="31"/>
      <c r="J316" s="31"/>
      <c r="K316" s="31"/>
    </row>
    <row r="317" spans="1:11" x14ac:dyDescent="0.2">
      <c r="A317" s="31"/>
      <c r="B317" s="39"/>
      <c r="C317" s="46"/>
      <c r="D317" s="30"/>
      <c r="E317" s="30"/>
      <c r="F317" s="30"/>
      <c r="G317" s="31"/>
      <c r="H317" s="31"/>
      <c r="I317" s="31"/>
      <c r="J317" s="31"/>
      <c r="K317" s="31"/>
    </row>
    <row r="318" spans="1:11" x14ac:dyDescent="0.2">
      <c r="A318" s="31"/>
      <c r="B318" s="39"/>
      <c r="C318" s="46"/>
      <c r="D318" s="30"/>
      <c r="E318" s="30"/>
      <c r="F318" s="30"/>
      <c r="G318" s="31"/>
      <c r="H318" s="31"/>
      <c r="I318" s="31"/>
      <c r="J318" s="31"/>
      <c r="K318" s="31"/>
    </row>
    <row r="319" spans="1:11" x14ac:dyDescent="0.2">
      <c r="A319" s="31"/>
      <c r="B319" s="39"/>
      <c r="C319" s="46"/>
      <c r="D319" s="30"/>
      <c r="E319" s="30"/>
      <c r="F319" s="30"/>
      <c r="G319" s="31"/>
      <c r="H319" s="31"/>
      <c r="I319" s="31"/>
      <c r="J319" s="31"/>
      <c r="K319" s="31"/>
    </row>
    <row r="320" spans="1:11" x14ac:dyDescent="0.2">
      <c r="A320" s="31"/>
      <c r="B320" s="39"/>
      <c r="C320" s="46"/>
      <c r="D320" s="30"/>
      <c r="E320" s="30"/>
      <c r="F320" s="30"/>
      <c r="G320" s="31"/>
      <c r="H320" s="31"/>
      <c r="I320" s="31"/>
      <c r="J320" s="31"/>
      <c r="K320" s="31"/>
    </row>
    <row r="321" spans="1:11" x14ac:dyDescent="0.2">
      <c r="A321" s="31"/>
      <c r="B321" s="39"/>
      <c r="C321" s="46"/>
      <c r="D321" s="30"/>
      <c r="E321" s="30"/>
      <c r="F321" s="30"/>
      <c r="G321" s="31"/>
      <c r="H321" s="31"/>
      <c r="I321" s="31"/>
      <c r="J321" s="31"/>
      <c r="K321" s="31"/>
    </row>
    <row r="322" spans="1:11" x14ac:dyDescent="0.2">
      <c r="A322" s="31"/>
      <c r="B322" s="39"/>
      <c r="C322" s="46"/>
      <c r="D322" s="30"/>
      <c r="E322" s="30"/>
      <c r="F322" s="30"/>
      <c r="G322" s="31"/>
      <c r="H322" s="31"/>
      <c r="I322" s="31"/>
      <c r="J322" s="31"/>
      <c r="K322" s="31"/>
    </row>
    <row r="323" spans="1:11" x14ac:dyDescent="0.2">
      <c r="A323" s="31"/>
      <c r="B323" s="39"/>
      <c r="C323" s="46"/>
      <c r="D323" s="30"/>
      <c r="E323" s="30"/>
      <c r="F323" s="30"/>
      <c r="G323" s="31"/>
      <c r="H323" s="31"/>
      <c r="I323" s="31"/>
      <c r="J323" s="31"/>
      <c r="K323" s="31"/>
    </row>
    <row r="324" spans="1:11" x14ac:dyDescent="0.2">
      <c r="A324" s="31"/>
      <c r="B324" s="39"/>
      <c r="C324" s="46"/>
      <c r="D324" s="30"/>
      <c r="E324" s="30"/>
      <c r="F324" s="30"/>
      <c r="G324" s="31"/>
      <c r="H324" s="31"/>
      <c r="I324" s="31"/>
      <c r="J324" s="31"/>
      <c r="K324" s="31"/>
    </row>
    <row r="325" spans="1:11" x14ac:dyDescent="0.2">
      <c r="A325" s="31"/>
      <c r="B325" s="39"/>
      <c r="C325" s="46"/>
      <c r="D325" s="30"/>
      <c r="E325" s="30"/>
      <c r="F325" s="30"/>
      <c r="G325" s="31"/>
      <c r="H325" s="31"/>
      <c r="I325" s="31"/>
      <c r="J325" s="31"/>
      <c r="K325" s="31"/>
    </row>
    <row r="326" spans="1:11" x14ac:dyDescent="0.2">
      <c r="A326" s="31"/>
      <c r="B326" s="39"/>
      <c r="C326" s="46"/>
      <c r="D326" s="30"/>
      <c r="E326" s="30"/>
      <c r="F326" s="30"/>
      <c r="G326" s="31"/>
      <c r="H326" s="31"/>
      <c r="I326" s="31"/>
      <c r="J326" s="31"/>
      <c r="K326" s="31"/>
    </row>
    <row r="327" spans="1:11" x14ac:dyDescent="0.2">
      <c r="A327" s="31"/>
      <c r="B327" s="39"/>
      <c r="C327" s="46"/>
      <c r="D327" s="30"/>
      <c r="E327" s="30"/>
      <c r="F327" s="30"/>
      <c r="G327" s="31"/>
      <c r="H327" s="31"/>
      <c r="I327" s="31"/>
      <c r="J327" s="31"/>
      <c r="K327" s="31"/>
    </row>
    <row r="328" spans="1:11" x14ac:dyDescent="0.2">
      <c r="A328" s="31"/>
      <c r="B328" s="39"/>
      <c r="C328" s="46"/>
      <c r="D328" s="30"/>
      <c r="E328" s="30"/>
      <c r="F328" s="30"/>
      <c r="G328" s="31"/>
      <c r="H328" s="31"/>
      <c r="I328" s="31"/>
      <c r="J328" s="31"/>
      <c r="K328" s="31"/>
    </row>
    <row r="329" spans="1:11" x14ac:dyDescent="0.2">
      <c r="A329" s="31"/>
      <c r="B329" s="39"/>
      <c r="C329" s="46"/>
      <c r="D329" s="30"/>
      <c r="E329" s="30"/>
      <c r="F329" s="30"/>
      <c r="G329" s="31"/>
      <c r="H329" s="31"/>
      <c r="I329" s="31"/>
      <c r="J329" s="31"/>
      <c r="K329" s="31"/>
    </row>
    <row r="330" spans="1:11" x14ac:dyDescent="0.2">
      <c r="A330" s="31"/>
      <c r="B330" s="39"/>
      <c r="C330" s="46"/>
      <c r="D330" s="30"/>
      <c r="E330" s="30"/>
      <c r="F330" s="30"/>
      <c r="G330" s="31"/>
      <c r="H330" s="31"/>
      <c r="I330" s="31"/>
      <c r="J330" s="31"/>
      <c r="K330" s="31"/>
    </row>
    <row r="331" spans="1:11" x14ac:dyDescent="0.2">
      <c r="A331" s="31"/>
      <c r="B331" s="39"/>
      <c r="C331" s="46"/>
      <c r="D331" s="30"/>
      <c r="E331" s="30"/>
      <c r="F331" s="30"/>
      <c r="G331" s="31"/>
      <c r="H331" s="31"/>
      <c r="I331" s="31"/>
      <c r="J331" s="31"/>
      <c r="K331" s="31"/>
    </row>
    <row r="332" spans="1:11" x14ac:dyDescent="0.2">
      <c r="A332" s="31"/>
      <c r="B332" s="39"/>
      <c r="C332" s="46"/>
      <c r="D332" s="30"/>
      <c r="E332" s="30"/>
      <c r="F332" s="30"/>
      <c r="G332" s="31"/>
      <c r="H332" s="31"/>
      <c r="I332" s="31"/>
      <c r="J332" s="31"/>
      <c r="K332" s="31"/>
    </row>
    <row r="333" spans="1:11" x14ac:dyDescent="0.2">
      <c r="A333" s="31"/>
      <c r="B333" s="39"/>
      <c r="C333" s="46"/>
      <c r="D333" s="30"/>
      <c r="E333" s="30"/>
      <c r="F333" s="30"/>
      <c r="G333" s="31"/>
      <c r="H333" s="31"/>
      <c r="I333" s="31"/>
      <c r="J333" s="31"/>
      <c r="K333" s="31"/>
    </row>
    <row r="334" spans="1:11" x14ac:dyDescent="0.2">
      <c r="A334" s="31"/>
      <c r="B334" s="39"/>
      <c r="C334" s="46"/>
      <c r="D334" s="30"/>
      <c r="E334" s="30"/>
      <c r="F334" s="30"/>
      <c r="G334" s="31"/>
      <c r="H334" s="31"/>
      <c r="I334" s="31"/>
      <c r="J334" s="31"/>
      <c r="K334" s="31"/>
    </row>
    <row r="335" spans="1:11" x14ac:dyDescent="0.2">
      <c r="A335" s="31"/>
      <c r="B335" s="39"/>
      <c r="C335" s="46"/>
      <c r="D335" s="30"/>
      <c r="E335" s="30"/>
      <c r="F335" s="30"/>
      <c r="G335" s="31"/>
      <c r="H335" s="31"/>
      <c r="I335" s="31"/>
      <c r="J335" s="31"/>
      <c r="K335" s="31"/>
    </row>
    <row r="336" spans="1:11" x14ac:dyDescent="0.2">
      <c r="A336" s="31"/>
      <c r="B336" s="39"/>
      <c r="C336" s="46"/>
      <c r="D336" s="30"/>
      <c r="E336" s="30"/>
      <c r="F336" s="30"/>
      <c r="G336" s="31"/>
      <c r="H336" s="31"/>
      <c r="I336" s="31"/>
      <c r="J336" s="31"/>
      <c r="K336" s="31"/>
    </row>
    <row r="337" spans="1:11" x14ac:dyDescent="0.2">
      <c r="A337" s="31"/>
      <c r="B337" s="39"/>
      <c r="C337" s="46"/>
      <c r="D337" s="30"/>
      <c r="E337" s="30"/>
      <c r="F337" s="30"/>
      <c r="G337" s="31"/>
      <c r="H337" s="31"/>
      <c r="I337" s="31"/>
      <c r="J337" s="31"/>
      <c r="K337" s="31"/>
    </row>
    <row r="338" spans="1:11" x14ac:dyDescent="0.2">
      <c r="A338" s="31"/>
      <c r="B338" s="39"/>
      <c r="C338" s="46"/>
      <c r="D338" s="30"/>
      <c r="E338" s="30"/>
      <c r="F338" s="30"/>
      <c r="G338" s="31"/>
      <c r="H338" s="31"/>
      <c r="I338" s="31"/>
      <c r="J338" s="31"/>
      <c r="K338" s="31"/>
    </row>
    <row r="339" spans="1:11" x14ac:dyDescent="0.2">
      <c r="A339" s="31"/>
      <c r="B339" s="39"/>
      <c r="C339" s="46"/>
      <c r="D339" s="30"/>
      <c r="E339" s="30"/>
      <c r="F339" s="30"/>
      <c r="G339" s="31"/>
      <c r="H339" s="31"/>
      <c r="I339" s="31"/>
      <c r="J339" s="31"/>
      <c r="K339" s="31"/>
    </row>
    <row r="340" spans="1:11" x14ac:dyDescent="0.2">
      <c r="A340" s="31"/>
      <c r="B340" s="39"/>
      <c r="C340" s="46"/>
      <c r="D340" s="30"/>
      <c r="E340" s="30"/>
      <c r="F340" s="30"/>
      <c r="G340" s="31"/>
      <c r="H340" s="31"/>
      <c r="I340" s="31"/>
      <c r="J340" s="31"/>
      <c r="K340" s="31"/>
    </row>
    <row r="341" spans="1:11" x14ac:dyDescent="0.2">
      <c r="A341" s="31"/>
      <c r="B341" s="39"/>
      <c r="C341" s="46"/>
      <c r="D341" s="30"/>
      <c r="E341" s="30"/>
      <c r="F341" s="30"/>
      <c r="G341" s="31"/>
      <c r="H341" s="31"/>
      <c r="I341" s="31"/>
      <c r="J341" s="31"/>
      <c r="K341" s="31"/>
    </row>
    <row r="342" spans="1:11" x14ac:dyDescent="0.2">
      <c r="A342" s="31"/>
      <c r="B342" s="39"/>
      <c r="C342" s="46"/>
      <c r="D342" s="30"/>
      <c r="E342" s="30"/>
      <c r="F342" s="30"/>
      <c r="G342" s="31"/>
      <c r="H342" s="31"/>
      <c r="I342" s="31"/>
      <c r="J342" s="31"/>
      <c r="K342" s="31"/>
    </row>
    <row r="343" spans="1:11" x14ac:dyDescent="0.2">
      <c r="A343" s="31"/>
      <c r="B343" s="39"/>
      <c r="C343" s="46"/>
      <c r="D343" s="30"/>
    </row>
    <row r="344" spans="1:11" x14ac:dyDescent="0.2">
      <c r="A344" s="31"/>
      <c r="B344" s="39"/>
      <c r="C344" s="46"/>
      <c r="D344" s="30"/>
    </row>
    <row r="345" spans="1:11" x14ac:dyDescent="0.2">
      <c r="A345" s="31"/>
      <c r="B345" s="39"/>
      <c r="C345" s="46"/>
      <c r="D345" s="30"/>
    </row>
    <row r="346" spans="1:11" x14ac:dyDescent="0.2">
      <c r="A346" s="31"/>
      <c r="B346" s="39"/>
      <c r="C346" s="46"/>
      <c r="D346" s="30"/>
    </row>
    <row r="347" spans="1:11" x14ac:dyDescent="0.2">
      <c r="A347" s="31"/>
      <c r="B347" s="39"/>
      <c r="C347" s="46"/>
      <c r="D347" s="30"/>
    </row>
    <row r="348" spans="1:11" x14ac:dyDescent="0.2">
      <c r="D348" s="30"/>
    </row>
    <row r="349" spans="1:11" x14ac:dyDescent="0.2">
      <c r="D349" s="30"/>
    </row>
    <row r="350" spans="1:11" x14ac:dyDescent="0.2">
      <c r="D350" s="30"/>
    </row>
    <row r="351" spans="1:11" x14ac:dyDescent="0.2">
      <c r="A351" s="31"/>
      <c r="B351" s="39"/>
      <c r="C351" s="46"/>
      <c r="D351" s="30"/>
    </row>
    <row r="352" spans="1:11" x14ac:dyDescent="0.2">
      <c r="A352" s="31"/>
      <c r="B352" s="39"/>
      <c r="C352" s="46"/>
      <c r="D352" s="30"/>
    </row>
    <row r="353" spans="1:4" x14ac:dyDescent="0.2">
      <c r="A353" s="31"/>
      <c r="B353" s="39"/>
      <c r="C353" s="46"/>
      <c r="D353" s="30"/>
    </row>
    <row r="354" spans="1:4" x14ac:dyDescent="0.2">
      <c r="A354" s="31"/>
      <c r="B354" s="39"/>
      <c r="C354" s="46"/>
      <c r="D354" s="30"/>
    </row>
  </sheetData>
  <mergeCells count="1">
    <mergeCell ref="A2:G2"/>
  </mergeCells>
  <phoneticPr fontId="16" type="noConversion"/>
  <conditionalFormatting sqref="J8:J29">
    <cfRule type="containsText" dxfId="3" priority="1" operator="containsText" text="factor 2">
      <formula>NOT(ISERROR(SEARCH("factor 2",J8)))</formula>
    </cfRule>
    <cfRule type="containsText" dxfId="2" priority="2" operator="containsText" text="factor 1">
      <formula>NOT(ISERROR(SEARCH("factor 1",J8)))</formula>
    </cfRule>
    <cfRule type="containsText" dxfId="1" priority="3" operator="containsText" text="too high">
      <formula>NOT(ISERROR(SEARCH("too high",J8)))</formula>
    </cfRule>
    <cfRule type="containsText" dxfId="0" priority="4" operator="containsText" text="too low">
      <formula>NOT(ISERROR(SEARCH("too low",J8)))</formula>
    </cfRule>
  </conditionalFormatting>
  <pageMargins left="0.7" right="0.7" top="0.75" bottom="0.75" header="0.3" footer="0.3"/>
  <ignoredErrors>
    <ignoredError sqref="C5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ΔP screen</vt:lpstr>
      <vt:lpstr>ΔP screen (Wu) proof</vt:lpstr>
      <vt:lpstr>ΔP honeycomb</vt:lpstr>
    </vt:vector>
  </TitlesOfParts>
  <Company>Edesign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Alexander H</cp:lastModifiedBy>
  <dcterms:created xsi:type="dcterms:W3CDTF">2002-09-23T13:14:33Z</dcterms:created>
  <dcterms:modified xsi:type="dcterms:W3CDTF">2025-03-08T09:21:21Z</dcterms:modified>
</cp:coreProperties>
</file>