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alters\Dropbox\Backups\Assessments\Georgia\ECVI Cunningham fits\"/>
    </mc:Choice>
  </mc:AlternateContent>
  <xr:revisionPtr revIDLastSave="0" documentId="13_ncr:1_{E4736DDC-90D9-4548-BA0C-541D28F2F634}" xr6:coauthVersionLast="36" xr6:coauthVersionMax="36" xr10:uidLastSave="{00000000-0000-0000-0000-000000000000}"/>
  <bookViews>
    <workbookView xWindow="0" yWindow="0" windowWidth="13488" windowHeight="8190" xr2:uid="{5BDD4177-B277-4AF7-96A1-89DE0A24CE4E}"/>
  </bookViews>
  <sheets>
    <sheet name="Model" sheetId="1" r:id="rId1"/>
    <sheet name="Esc" sheetId="2" r:id="rId2"/>
    <sheet name="stressors" sheetId="4" r:id="rId3"/>
    <sheet name="ER" sheetId="3" r:id="rId4"/>
  </sheets>
  <definedNames>
    <definedName name="age">Model!$I$3:$N$3</definedName>
    <definedName name="CR">Model!$B$5</definedName>
    <definedName name="Ehalf">Model!#REF!</definedName>
    <definedName name="Eo">Model!$B$10</definedName>
    <definedName name="EPRhist">Model!$B$20</definedName>
    <definedName name="EPRo">Model!$B$3</definedName>
    <definedName name="fanom">Model!$AS$14:$AS$54</definedName>
    <definedName name="fec">Model!$I$7:$N$7</definedName>
    <definedName name="Ffuture">Model!$B$21</definedName>
    <definedName name="Fhist">Model!$B$19</definedName>
    <definedName name="Ftest">Model!$B$13</definedName>
    <definedName name="HistS">Model!$E$7</definedName>
    <definedName name="Lhist">Model!$I$10:$N$10</definedName>
    <definedName name="LHT">Model!$E$9</definedName>
    <definedName name="Lo">Model!$I$8:$N$8</definedName>
    <definedName name="mat" localSheetId="0">Model!$I$6:$N$6</definedName>
    <definedName name="Mden">Model!$B$11</definedName>
    <definedName name="MeMin">Model!$B$6</definedName>
    <definedName name="MeUnf">Model!$B$4</definedName>
    <definedName name="Mhatch">Model!$B$23</definedName>
    <definedName name="Mo">Model!$I$4:$N$4</definedName>
    <definedName name="Mobase">Model!#REF!</definedName>
    <definedName name="Mseal">Model!$B$22</definedName>
    <definedName name="MSSLNRKWq">Model!$B$25</definedName>
    <definedName name="Mtemp">Model!$B$24</definedName>
    <definedName name="Ninit">Model!#REF!</definedName>
    <definedName name="RelmYr">Model!$O$14:$O$55</definedName>
    <definedName name="RetroF">Model!$E$3</definedName>
    <definedName name="Rhist">Model!$F$13</definedName>
    <definedName name="RhistSobs">Model!$F$12</definedName>
    <definedName name="Rinit">Model!$B$14</definedName>
    <definedName name="Ro">Model!$B$9</definedName>
    <definedName name="Smolt0">Model!$B$8</definedName>
    <definedName name="So">Model!$B$8</definedName>
    <definedName name="solver_adj" localSheetId="0" hidden="1">Model!$O$14:$O$55,Model!$B$5,Model!$E$8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Model!$B$5</definedName>
    <definedName name="solver_lhs2" localSheetId="0" hidden="1">Model!$B$5</definedName>
    <definedName name="solver_lhs3" localSheetId="0" hidden="1">Model!$E$8</definedName>
    <definedName name="solver_lhs4" localSheetId="0" hidden="1">Model!$E$8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Model!$B$51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hs1" localSheetId="0" hidden="1">2.5</definedName>
    <definedName name="solver_rhs2" localSheetId="0" hidden="1">0.5</definedName>
    <definedName name="solver_rhs3" localSheetId="0" hidden="1">40</definedName>
    <definedName name="solver_rhs4" localSheetId="0" hidden="1">40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Sosearch">Model!$E$8</definedName>
    <definedName name="SPRhist">Model!$I$9:$N$9</definedName>
    <definedName name="SPRo">Model!$B$7</definedName>
    <definedName name="Ssfanom">Model!$B$47</definedName>
    <definedName name="Ssrecanom">Model!$B$46</definedName>
    <definedName name="Ssspawn">Model!$B$45</definedName>
    <definedName name="Sstotal">Model!$B$51</definedName>
    <definedName name="Ssum">Model!$B$12</definedName>
    <definedName name="stockcode">Model!$B$27</definedName>
    <definedName name="UseRetro">Model!$E$2</definedName>
    <definedName name="varanom">Model!$B$49</definedName>
    <definedName name="varfanom">Model!$B$50</definedName>
    <definedName name="varlnS">Model!$B$48</definedName>
    <definedName name="vul">Model!$I$5:$N$5</definedName>
    <definedName name="YPR">Model!$B$28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B19" i="1" l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14" i="1"/>
  <c r="P73" i="2"/>
  <c r="Y16" i="1" l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15" i="1"/>
  <c r="O73" i="2" l="1"/>
  <c r="O56" i="1" l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AQ56" i="1" l="1"/>
  <c r="AQ57" i="1" s="1"/>
  <c r="AQ55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14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14" i="1"/>
  <c r="T57" i="1" l="1"/>
  <c r="AQ58" i="1"/>
  <c r="U57" i="1"/>
  <c r="BW75" i="1"/>
  <c r="BV76" i="1"/>
  <c r="BW76" i="1"/>
  <c r="BU77" i="1"/>
  <c r="BV77" i="1"/>
  <c r="BW77" i="1"/>
  <c r="BT78" i="1"/>
  <c r="BU78" i="1"/>
  <c r="BV78" i="1"/>
  <c r="BW78" i="1"/>
  <c r="BS79" i="1"/>
  <c r="BT79" i="1"/>
  <c r="BU79" i="1"/>
  <c r="BV79" i="1"/>
  <c r="BW79" i="1"/>
  <c r="BR75" i="1"/>
  <c r="CB75" i="1" s="1"/>
  <c r="BQ76" i="1"/>
  <c r="BR76" i="1"/>
  <c r="CB76" i="1" s="1"/>
  <c r="CA76" i="1" s="1"/>
  <c r="BP77" i="1"/>
  <c r="BQ77" i="1"/>
  <c r="BR77" i="1"/>
  <c r="BO78" i="1"/>
  <c r="BP78" i="1"/>
  <c r="BQ78" i="1"/>
  <c r="BR78" i="1"/>
  <c r="BN79" i="1"/>
  <c r="BO79" i="1"/>
  <c r="BP79" i="1"/>
  <c r="BQ79" i="1"/>
  <c r="BR79" i="1"/>
  <c r="CB79" i="1" s="1"/>
  <c r="CA79" i="1" s="1"/>
  <c r="BZ79" i="1" s="1"/>
  <c r="BY79" i="1" s="1"/>
  <c r="BX79" i="1" s="1"/>
  <c r="CC79" i="1" s="1"/>
  <c r="AQ59" i="1" l="1"/>
  <c r="T58" i="1"/>
  <c r="U58" i="1"/>
  <c r="CB78" i="1"/>
  <c r="CA78" i="1" s="1"/>
  <c r="BZ78" i="1" s="1"/>
  <c r="BY78" i="1" s="1"/>
  <c r="CB77" i="1"/>
  <c r="CA77" i="1" s="1"/>
  <c r="BZ77" i="1" s="1"/>
  <c r="S67" i="1"/>
  <c r="V67" i="1"/>
  <c r="W67" i="1"/>
  <c r="Y67" i="1"/>
  <c r="AJ67" i="1"/>
  <c r="AT67" i="1"/>
  <c r="BM67" i="1" s="1"/>
  <c r="S68" i="1"/>
  <c r="V68" i="1"/>
  <c r="W68" i="1"/>
  <c r="Y68" i="1"/>
  <c r="AJ68" i="1"/>
  <c r="AT68" i="1" s="1"/>
  <c r="S69" i="1"/>
  <c r="V69" i="1"/>
  <c r="W69" i="1"/>
  <c r="Y69" i="1"/>
  <c r="AJ69" i="1"/>
  <c r="AT69" i="1" s="1"/>
  <c r="S70" i="1"/>
  <c r="V70" i="1"/>
  <c r="W70" i="1"/>
  <c r="Y70" i="1"/>
  <c r="AJ70" i="1"/>
  <c r="AT70" i="1" s="1"/>
  <c r="S71" i="1"/>
  <c r="V71" i="1"/>
  <c r="W71" i="1"/>
  <c r="Y71" i="1"/>
  <c r="AJ71" i="1"/>
  <c r="AT71" i="1" s="1"/>
  <c r="S72" i="1"/>
  <c r="V72" i="1"/>
  <c r="W72" i="1"/>
  <c r="Y72" i="1"/>
  <c r="AJ72" i="1"/>
  <c r="AT72" i="1" s="1"/>
  <c r="S73" i="1"/>
  <c r="V73" i="1"/>
  <c r="W73" i="1"/>
  <c r="Y73" i="1"/>
  <c r="AJ73" i="1"/>
  <c r="AT73" i="1" s="1"/>
  <c r="S74" i="1"/>
  <c r="V74" i="1"/>
  <c r="W74" i="1"/>
  <c r="Y74" i="1"/>
  <c r="AJ74" i="1"/>
  <c r="AT74" i="1" s="1"/>
  <c r="S75" i="1"/>
  <c r="V75" i="1"/>
  <c r="W75" i="1"/>
  <c r="Y75" i="1"/>
  <c r="AJ75" i="1"/>
  <c r="AT75" i="1" s="1"/>
  <c r="S76" i="1"/>
  <c r="V76" i="1"/>
  <c r="W76" i="1"/>
  <c r="Y76" i="1"/>
  <c r="AJ76" i="1"/>
  <c r="AT76" i="1" s="1"/>
  <c r="S77" i="1"/>
  <c r="V77" i="1"/>
  <c r="W77" i="1"/>
  <c r="Y77" i="1"/>
  <c r="AJ77" i="1"/>
  <c r="AT77" i="1" s="1"/>
  <c r="S78" i="1"/>
  <c r="V78" i="1"/>
  <c r="W78" i="1"/>
  <c r="Y78" i="1"/>
  <c r="AJ78" i="1"/>
  <c r="AT78" i="1"/>
  <c r="S79" i="1"/>
  <c r="V79" i="1"/>
  <c r="W79" i="1"/>
  <c r="Y79" i="1"/>
  <c r="AJ79" i="1"/>
  <c r="AT79" i="1" s="1"/>
  <c r="BM69" i="1" l="1"/>
  <c r="BK69" i="1"/>
  <c r="BK67" i="1"/>
  <c r="U59" i="1"/>
  <c r="AQ60" i="1"/>
  <c r="T59" i="1"/>
  <c r="BM79" i="1"/>
  <c r="BK79" i="1"/>
  <c r="BK74" i="1"/>
  <c r="BM74" i="1"/>
  <c r="BK76" i="1"/>
  <c r="BM76" i="1"/>
  <c r="BK71" i="1"/>
  <c r="BM71" i="1"/>
  <c r="BK73" i="1"/>
  <c r="BM73" i="1"/>
  <c r="BK75" i="1"/>
  <c r="BM75" i="1"/>
  <c r="BK72" i="1"/>
  <c r="BM72" i="1"/>
  <c r="BK78" i="1"/>
  <c r="BM78" i="1"/>
  <c r="BK77" i="1"/>
  <c r="BM77" i="1"/>
  <c r="BK70" i="1"/>
  <c r="BM70" i="1"/>
  <c r="BK68" i="1"/>
  <c r="BM68" i="1"/>
  <c r="P67" i="1"/>
  <c r="Y59" i="1"/>
  <c r="Y60" i="1"/>
  <c r="Y61" i="1"/>
  <c r="Y62" i="1"/>
  <c r="Y63" i="1"/>
  <c r="Y64" i="1"/>
  <c r="Y65" i="1"/>
  <c r="Y66" i="1"/>
  <c r="AQ61" i="1" l="1"/>
  <c r="U60" i="1"/>
  <c r="T60" i="1"/>
  <c r="P68" i="1"/>
  <c r="AQ62" i="1" l="1"/>
  <c r="T61" i="1"/>
  <c r="U61" i="1"/>
  <c r="P69" i="1"/>
  <c r="Y14" i="1"/>
  <c r="I9" i="1"/>
  <c r="AQ63" i="1" l="1"/>
  <c r="T62" i="1"/>
  <c r="U62" i="1"/>
  <c r="P70" i="1"/>
  <c r="B47" i="1"/>
  <c r="D63" i="3"/>
  <c r="D64" i="3"/>
  <c r="D65" i="3"/>
  <c r="C63" i="3"/>
  <c r="C64" i="3"/>
  <c r="C65" i="3"/>
  <c r="AQ64" i="1" l="1"/>
  <c r="T63" i="1"/>
  <c r="U63" i="1"/>
  <c r="P71" i="1"/>
  <c r="F5" i="1"/>
  <c r="AQ65" i="1" l="1"/>
  <c r="T64" i="1"/>
  <c r="U64" i="1"/>
  <c r="P72" i="1"/>
  <c r="AQ66" i="1" l="1"/>
  <c r="T65" i="1"/>
  <c r="U65" i="1"/>
  <c r="P73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14" i="1"/>
  <c r="AQ67" i="1" l="1"/>
  <c r="T66" i="1"/>
  <c r="U66" i="1"/>
  <c r="P74" i="1"/>
  <c r="S2" i="1"/>
  <c r="B46" i="1"/>
  <c r="U67" i="1" l="1"/>
  <c r="AQ68" i="1"/>
  <c r="T67" i="1"/>
  <c r="P75" i="1"/>
  <c r="J10" i="1"/>
  <c r="J8" i="1"/>
  <c r="U68" i="1" l="1"/>
  <c r="T68" i="1"/>
  <c r="AQ69" i="1"/>
  <c r="P76" i="1"/>
  <c r="J9" i="1"/>
  <c r="K10" i="1"/>
  <c r="B8" i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2" i="2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20" i="3"/>
  <c r="T69" i="1" l="1"/>
  <c r="U69" i="1"/>
  <c r="AQ70" i="1"/>
  <c r="P77" i="1"/>
  <c r="L10" i="1"/>
  <c r="K9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14" i="1"/>
  <c r="T70" i="1" l="1"/>
  <c r="U70" i="1"/>
  <c r="AQ71" i="1"/>
  <c r="P78" i="1"/>
  <c r="P79" i="1"/>
  <c r="M10" i="1"/>
  <c r="L9" i="1"/>
  <c r="AN50" i="1"/>
  <c r="R50" i="1" s="1"/>
  <c r="AP52" i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P72" i="1" s="1"/>
  <c r="AP73" i="1" s="1"/>
  <c r="AP74" i="1" s="1"/>
  <c r="AP75" i="1" s="1"/>
  <c r="AP76" i="1" s="1"/>
  <c r="AP77" i="1" s="1"/>
  <c r="AP78" i="1" s="1"/>
  <c r="AP79" i="1" s="1"/>
  <c r="AQ72" i="1" l="1"/>
  <c r="T71" i="1"/>
  <c r="U71" i="1"/>
  <c r="N10" i="1"/>
  <c r="B20" i="1" s="1"/>
  <c r="E20" i="1" s="1"/>
  <c r="M9" i="1"/>
  <c r="AN51" i="1"/>
  <c r="B17" i="1"/>
  <c r="B18" i="1" s="1"/>
  <c r="AJ15" i="1"/>
  <c r="AT15" i="1" s="1"/>
  <c r="AJ16" i="1"/>
  <c r="AT16" i="1" s="1"/>
  <c r="AJ17" i="1"/>
  <c r="AT17" i="1" s="1"/>
  <c r="AJ18" i="1"/>
  <c r="AT18" i="1" s="1"/>
  <c r="AJ19" i="1"/>
  <c r="AT19" i="1" s="1"/>
  <c r="AJ20" i="1"/>
  <c r="AT20" i="1" s="1"/>
  <c r="AJ21" i="1"/>
  <c r="AT21" i="1" s="1"/>
  <c r="AJ22" i="1"/>
  <c r="AT22" i="1" s="1"/>
  <c r="AJ23" i="1"/>
  <c r="AT23" i="1" s="1"/>
  <c r="AJ24" i="1"/>
  <c r="AT24" i="1" s="1"/>
  <c r="AJ25" i="1"/>
  <c r="AT25" i="1" s="1"/>
  <c r="AJ26" i="1"/>
  <c r="AT26" i="1" s="1"/>
  <c r="AJ27" i="1"/>
  <c r="AT27" i="1" s="1"/>
  <c r="AJ28" i="1"/>
  <c r="AT28" i="1" s="1"/>
  <c r="AJ29" i="1"/>
  <c r="AT29" i="1" s="1"/>
  <c r="AJ30" i="1"/>
  <c r="AT30" i="1" s="1"/>
  <c r="AJ31" i="1"/>
  <c r="AT31" i="1" s="1"/>
  <c r="AJ32" i="1"/>
  <c r="AT32" i="1" s="1"/>
  <c r="AJ33" i="1"/>
  <c r="AT33" i="1" s="1"/>
  <c r="AJ34" i="1"/>
  <c r="AT34" i="1" s="1"/>
  <c r="AJ35" i="1"/>
  <c r="AT35" i="1" s="1"/>
  <c r="AJ36" i="1"/>
  <c r="AT36" i="1" s="1"/>
  <c r="AJ37" i="1"/>
  <c r="AT37" i="1" s="1"/>
  <c r="AJ38" i="1"/>
  <c r="AT38" i="1" s="1"/>
  <c r="AJ39" i="1"/>
  <c r="AT39" i="1" s="1"/>
  <c r="AJ40" i="1"/>
  <c r="AT40" i="1" s="1"/>
  <c r="AJ41" i="1"/>
  <c r="AT41" i="1" s="1"/>
  <c r="AJ42" i="1"/>
  <c r="AT42" i="1" s="1"/>
  <c r="AJ43" i="1"/>
  <c r="AT43" i="1" s="1"/>
  <c r="AJ44" i="1"/>
  <c r="AT44" i="1" s="1"/>
  <c r="AJ45" i="1"/>
  <c r="AT45" i="1" s="1"/>
  <c r="AJ46" i="1"/>
  <c r="AT46" i="1" s="1"/>
  <c r="AJ47" i="1"/>
  <c r="AT47" i="1" s="1"/>
  <c r="AJ48" i="1"/>
  <c r="AT48" i="1" s="1"/>
  <c r="AJ49" i="1"/>
  <c r="AT49" i="1" s="1"/>
  <c r="AJ50" i="1"/>
  <c r="AT50" i="1" s="1"/>
  <c r="AJ51" i="1"/>
  <c r="AT51" i="1" s="1"/>
  <c r="AJ52" i="1"/>
  <c r="AT52" i="1" s="1"/>
  <c r="AJ53" i="1"/>
  <c r="AT53" i="1" s="1"/>
  <c r="AJ54" i="1"/>
  <c r="AT54" i="1" s="1"/>
  <c r="AJ55" i="1"/>
  <c r="AT55" i="1" s="1"/>
  <c r="AJ56" i="1"/>
  <c r="AT56" i="1" s="1"/>
  <c r="AJ57" i="1"/>
  <c r="AT57" i="1" s="1"/>
  <c r="AJ58" i="1"/>
  <c r="AT58" i="1" s="1"/>
  <c r="AJ59" i="1"/>
  <c r="AT59" i="1" s="1"/>
  <c r="AJ60" i="1"/>
  <c r="AT60" i="1" s="1"/>
  <c r="AJ61" i="1"/>
  <c r="AT61" i="1" s="1"/>
  <c r="AJ62" i="1"/>
  <c r="AT62" i="1" s="1"/>
  <c r="AJ63" i="1"/>
  <c r="AT63" i="1" s="1"/>
  <c r="AJ64" i="1"/>
  <c r="AT64" i="1" s="1"/>
  <c r="AJ65" i="1"/>
  <c r="AT65" i="1" s="1"/>
  <c r="AJ66" i="1"/>
  <c r="AT66" i="1" s="1"/>
  <c r="AJ14" i="1"/>
  <c r="AT14" i="1" s="1"/>
  <c r="AQ73" i="1" l="1"/>
  <c r="T72" i="1"/>
  <c r="U72" i="1"/>
  <c r="BK57" i="1"/>
  <c r="BM57" i="1"/>
  <c r="BK56" i="1"/>
  <c r="BM56" i="1"/>
  <c r="BK52" i="1"/>
  <c r="BM52" i="1"/>
  <c r="BK23" i="1"/>
  <c r="BM23" i="1"/>
  <c r="BK19" i="1"/>
  <c r="BM19" i="1"/>
  <c r="BK25" i="1"/>
  <c r="BM25" i="1"/>
  <c r="BK37" i="1"/>
  <c r="BM37" i="1"/>
  <c r="BK18" i="1"/>
  <c r="BM18" i="1"/>
  <c r="BK38" i="1"/>
  <c r="BM38" i="1"/>
  <c r="BK17" i="1"/>
  <c r="BM17" i="1"/>
  <c r="BK55" i="1"/>
  <c r="BM55" i="1"/>
  <c r="BK36" i="1"/>
  <c r="BM36" i="1"/>
  <c r="BK50" i="1"/>
  <c r="BM50" i="1"/>
  <c r="BK48" i="1"/>
  <c r="BM48" i="1"/>
  <c r="BK32" i="1"/>
  <c r="BM32" i="1"/>
  <c r="BK16" i="1"/>
  <c r="BM16" i="1"/>
  <c r="BK22" i="1"/>
  <c r="BM22" i="1"/>
  <c r="BK35" i="1"/>
  <c r="BM35" i="1"/>
  <c r="BK47" i="1"/>
  <c r="BM47" i="1"/>
  <c r="BK31" i="1"/>
  <c r="BM31" i="1"/>
  <c r="BK15" i="1"/>
  <c r="BM15" i="1"/>
  <c r="BK40" i="1"/>
  <c r="BM40" i="1"/>
  <c r="BK20" i="1"/>
  <c r="BM20" i="1"/>
  <c r="BK34" i="1"/>
  <c r="BM34" i="1"/>
  <c r="BK30" i="1"/>
  <c r="BM30" i="1"/>
  <c r="BK21" i="1"/>
  <c r="BM21" i="1"/>
  <c r="BK66" i="1"/>
  <c r="BM66" i="1"/>
  <c r="BK49" i="1"/>
  <c r="BM49" i="1"/>
  <c r="BK63" i="1"/>
  <c r="BM63" i="1"/>
  <c r="BK62" i="1"/>
  <c r="BM62" i="1"/>
  <c r="BK46" i="1"/>
  <c r="BM46" i="1"/>
  <c r="BK61" i="1"/>
  <c r="BM61" i="1"/>
  <c r="BK45" i="1"/>
  <c r="BM45" i="1"/>
  <c r="BK29" i="1"/>
  <c r="BM29" i="1"/>
  <c r="BK39" i="1"/>
  <c r="BM39" i="1"/>
  <c r="BK24" i="1"/>
  <c r="BM24" i="1"/>
  <c r="BK53" i="1"/>
  <c r="BM53" i="1"/>
  <c r="BK14" i="1"/>
  <c r="BM14" i="1"/>
  <c r="BK33" i="1"/>
  <c r="BM33" i="1"/>
  <c r="BK60" i="1"/>
  <c r="BM60" i="1"/>
  <c r="BK44" i="1"/>
  <c r="BM44" i="1"/>
  <c r="BK59" i="1"/>
  <c r="BM59" i="1"/>
  <c r="BK43" i="1"/>
  <c r="BM43" i="1"/>
  <c r="BK27" i="1"/>
  <c r="BM27" i="1"/>
  <c r="BK41" i="1"/>
  <c r="BM41" i="1"/>
  <c r="BK54" i="1"/>
  <c r="BM54" i="1"/>
  <c r="BK51" i="1"/>
  <c r="BM51" i="1"/>
  <c r="BK65" i="1"/>
  <c r="BM65" i="1"/>
  <c r="BK64" i="1"/>
  <c r="BM64" i="1"/>
  <c r="BK28" i="1"/>
  <c r="BM28" i="1"/>
  <c r="BK58" i="1"/>
  <c r="BM58" i="1"/>
  <c r="BK42" i="1"/>
  <c r="BM42" i="1"/>
  <c r="BK26" i="1"/>
  <c r="BM26" i="1"/>
  <c r="N9" i="1"/>
  <c r="F12" i="1" s="1"/>
  <c r="I14" i="1" s="1"/>
  <c r="H14" i="1" s="1"/>
  <c r="B28" i="1"/>
  <c r="R51" i="1"/>
  <c r="AN52" i="1"/>
  <c r="S15" i="1"/>
  <c r="V15" i="1"/>
  <c r="W15" i="1"/>
  <c r="S16" i="1"/>
  <c r="V16" i="1"/>
  <c r="W16" i="1"/>
  <c r="S17" i="1"/>
  <c r="V17" i="1"/>
  <c r="W17" i="1"/>
  <c r="S18" i="1"/>
  <c r="V18" i="1"/>
  <c r="W18" i="1"/>
  <c r="S19" i="1"/>
  <c r="V19" i="1"/>
  <c r="W19" i="1"/>
  <c r="S20" i="1"/>
  <c r="V20" i="1"/>
  <c r="W20" i="1"/>
  <c r="S21" i="1"/>
  <c r="V21" i="1"/>
  <c r="W21" i="1"/>
  <c r="S22" i="1"/>
  <c r="V22" i="1"/>
  <c r="W22" i="1"/>
  <c r="S23" i="1"/>
  <c r="V23" i="1"/>
  <c r="W23" i="1"/>
  <c r="S24" i="1"/>
  <c r="V24" i="1"/>
  <c r="W24" i="1"/>
  <c r="S25" i="1"/>
  <c r="V25" i="1"/>
  <c r="W25" i="1"/>
  <c r="S26" i="1"/>
  <c r="V26" i="1"/>
  <c r="W26" i="1"/>
  <c r="S27" i="1"/>
  <c r="V27" i="1"/>
  <c r="W27" i="1"/>
  <c r="S28" i="1"/>
  <c r="V28" i="1"/>
  <c r="W28" i="1"/>
  <c r="S29" i="1"/>
  <c r="V29" i="1"/>
  <c r="W29" i="1"/>
  <c r="S30" i="1"/>
  <c r="V30" i="1"/>
  <c r="W30" i="1"/>
  <c r="S31" i="1"/>
  <c r="V31" i="1"/>
  <c r="W31" i="1"/>
  <c r="S32" i="1"/>
  <c r="V32" i="1"/>
  <c r="W32" i="1"/>
  <c r="S33" i="1"/>
  <c r="V33" i="1"/>
  <c r="W33" i="1"/>
  <c r="S34" i="1"/>
  <c r="V34" i="1"/>
  <c r="W34" i="1"/>
  <c r="S35" i="1"/>
  <c r="V35" i="1"/>
  <c r="W35" i="1"/>
  <c r="S36" i="1"/>
  <c r="V36" i="1"/>
  <c r="W36" i="1"/>
  <c r="S37" i="1"/>
  <c r="V37" i="1"/>
  <c r="W37" i="1"/>
  <c r="S38" i="1"/>
  <c r="V38" i="1"/>
  <c r="W38" i="1"/>
  <c r="S39" i="1"/>
  <c r="V39" i="1"/>
  <c r="W39" i="1"/>
  <c r="S40" i="1"/>
  <c r="V40" i="1"/>
  <c r="W40" i="1"/>
  <c r="S41" i="1"/>
  <c r="V41" i="1"/>
  <c r="W41" i="1"/>
  <c r="S42" i="1"/>
  <c r="V42" i="1"/>
  <c r="W42" i="1"/>
  <c r="S43" i="1"/>
  <c r="V43" i="1"/>
  <c r="W43" i="1"/>
  <c r="S44" i="1"/>
  <c r="V44" i="1"/>
  <c r="W44" i="1"/>
  <c r="S45" i="1"/>
  <c r="V45" i="1"/>
  <c r="W45" i="1"/>
  <c r="S46" i="1"/>
  <c r="V46" i="1"/>
  <c r="W46" i="1"/>
  <c r="S47" i="1"/>
  <c r="V47" i="1"/>
  <c r="W47" i="1"/>
  <c r="S48" i="1"/>
  <c r="V48" i="1"/>
  <c r="W48" i="1"/>
  <c r="S49" i="1"/>
  <c r="V49" i="1"/>
  <c r="W49" i="1"/>
  <c r="S50" i="1"/>
  <c r="V50" i="1"/>
  <c r="W50" i="1"/>
  <c r="S51" i="1"/>
  <c r="V51" i="1"/>
  <c r="W51" i="1"/>
  <c r="S52" i="1"/>
  <c r="V52" i="1"/>
  <c r="W52" i="1"/>
  <c r="S53" i="1"/>
  <c r="V53" i="1"/>
  <c r="W53" i="1"/>
  <c r="S54" i="1"/>
  <c r="V54" i="1"/>
  <c r="W54" i="1"/>
  <c r="S55" i="1"/>
  <c r="V55" i="1"/>
  <c r="W55" i="1"/>
  <c r="S56" i="1"/>
  <c r="V56" i="1"/>
  <c r="W56" i="1"/>
  <c r="S57" i="1"/>
  <c r="V57" i="1"/>
  <c r="W57" i="1"/>
  <c r="S58" i="1"/>
  <c r="V58" i="1"/>
  <c r="W58" i="1"/>
  <c r="S59" i="1"/>
  <c r="V59" i="1"/>
  <c r="W59" i="1"/>
  <c r="S60" i="1"/>
  <c r="V60" i="1"/>
  <c r="W60" i="1"/>
  <c r="S61" i="1"/>
  <c r="V61" i="1"/>
  <c r="W61" i="1"/>
  <c r="S62" i="1"/>
  <c r="V62" i="1"/>
  <c r="W62" i="1"/>
  <c r="S63" i="1"/>
  <c r="V63" i="1"/>
  <c r="W63" i="1"/>
  <c r="S64" i="1"/>
  <c r="V64" i="1"/>
  <c r="W64" i="1"/>
  <c r="S65" i="1"/>
  <c r="V65" i="1"/>
  <c r="W65" i="1"/>
  <c r="S66" i="1"/>
  <c r="V66" i="1"/>
  <c r="W66" i="1"/>
  <c r="S14" i="1"/>
  <c r="V14" i="1"/>
  <c r="W14" i="1"/>
  <c r="AQ74" i="1" l="1"/>
  <c r="T73" i="1"/>
  <c r="U73" i="1"/>
  <c r="AN53" i="1"/>
  <c r="R52" i="1"/>
  <c r="U74" i="1" l="1"/>
  <c r="AQ75" i="1"/>
  <c r="T74" i="1"/>
  <c r="AN54" i="1"/>
  <c r="R53" i="1"/>
  <c r="K8" i="1"/>
  <c r="AQ76" i="1" l="1"/>
  <c r="U75" i="1"/>
  <c r="T75" i="1"/>
  <c r="AN55" i="1"/>
  <c r="R54" i="1"/>
  <c r="L8" i="1"/>
  <c r="U76" i="1" l="1"/>
  <c r="AQ77" i="1"/>
  <c r="T76" i="1"/>
  <c r="AN56" i="1"/>
  <c r="R55" i="1"/>
  <c r="M8" i="1"/>
  <c r="T77" i="1" l="1"/>
  <c r="AQ78" i="1"/>
  <c r="U77" i="1"/>
  <c r="N8" i="1"/>
  <c r="AN57" i="1"/>
  <c r="R56" i="1"/>
  <c r="B3" i="1"/>
  <c r="E21" i="1" s="1"/>
  <c r="B7" i="1"/>
  <c r="B9" i="1" s="1"/>
  <c r="T78" i="1" l="1"/>
  <c r="AQ79" i="1"/>
  <c r="U78" i="1"/>
  <c r="AN58" i="1"/>
  <c r="R57" i="1"/>
  <c r="B15" i="1"/>
  <c r="B10" i="1"/>
  <c r="B4" i="1"/>
  <c r="T79" i="1" l="1"/>
  <c r="U79" i="1"/>
  <c r="AN59" i="1"/>
  <c r="R58" i="1"/>
  <c r="B6" i="1"/>
  <c r="B16" i="1"/>
  <c r="AN60" i="1" l="1"/>
  <c r="R59" i="1"/>
  <c r="B11" i="1"/>
  <c r="F13" i="1" s="1"/>
  <c r="C54" i="1" s="1"/>
  <c r="E6" i="1"/>
  <c r="F14" i="1" l="1"/>
  <c r="B54" i="1" s="1"/>
  <c r="AN61" i="1"/>
  <c r="R60" i="1"/>
  <c r="AN62" i="1" l="1"/>
  <c r="R61" i="1"/>
  <c r="AN63" i="1" l="1"/>
  <c r="R62" i="1"/>
  <c r="AN64" i="1" l="1"/>
  <c r="R63" i="1"/>
  <c r="AN65" i="1" l="1"/>
  <c r="R64" i="1"/>
  <c r="AN66" i="1" l="1"/>
  <c r="R65" i="1"/>
  <c r="R66" i="1" l="1"/>
  <c r="AN67" i="1"/>
  <c r="R67" i="1" l="1"/>
  <c r="AN68" i="1"/>
  <c r="R68" i="1" l="1"/>
  <c r="AN69" i="1"/>
  <c r="AN70" i="1" l="1"/>
  <c r="R69" i="1"/>
  <c r="AN71" i="1" l="1"/>
  <c r="R70" i="1"/>
  <c r="AN72" i="1" l="1"/>
  <c r="R71" i="1"/>
  <c r="R72" i="1" l="1"/>
  <c r="AN73" i="1"/>
  <c r="R73" i="1" l="1"/>
  <c r="AN74" i="1"/>
  <c r="AN75" i="1" l="1"/>
  <c r="R74" i="1"/>
  <c r="AN76" i="1" l="1"/>
  <c r="R75" i="1"/>
  <c r="R76" i="1" l="1"/>
  <c r="AN77" i="1"/>
  <c r="AN78" i="1" l="1"/>
  <c r="R77" i="1"/>
  <c r="R78" i="1" l="1"/>
  <c r="AN79" i="1"/>
  <c r="R79" i="1" s="1"/>
  <c r="J15" i="1" l="1"/>
  <c r="J14" i="1"/>
  <c r="Z14" i="1" s="1"/>
  <c r="K14" i="1"/>
  <c r="L14" i="1"/>
  <c r="N14" i="1"/>
  <c r="M14" i="1"/>
  <c r="AB14" i="1" l="1"/>
  <c r="BC14" i="1" s="1"/>
  <c r="M15" i="1"/>
  <c r="AG14" i="1"/>
  <c r="BH14" i="1" s="1"/>
  <c r="N15" i="1"/>
  <c r="AC14" i="1"/>
  <c r="BD14" i="1" s="1"/>
  <c r="AH14" i="1"/>
  <c r="BI14" i="1" s="1"/>
  <c r="AF14" i="1"/>
  <c r="BG14" i="1" s="1"/>
  <c r="L15" i="1"/>
  <c r="AA14" i="1"/>
  <c r="BB14" i="1" s="1"/>
  <c r="Q14" i="1"/>
  <c r="X14" i="1" s="1"/>
  <c r="AI14" i="1"/>
  <c r="BJ14" i="1" s="1"/>
  <c r="AD14" i="1"/>
  <c r="BE14" i="1" s="1"/>
  <c r="K15" i="1"/>
  <c r="AE14" i="1"/>
  <c r="K16" i="1"/>
  <c r="Z15" i="1"/>
  <c r="AE15" i="1"/>
  <c r="AV15" i="1"/>
  <c r="AL14" i="1" l="1"/>
  <c r="BA14" i="1"/>
  <c r="I15" i="1"/>
  <c r="J16" i="1" s="1"/>
  <c r="AD15" i="1"/>
  <c r="AI15" i="1"/>
  <c r="AZ15" i="1"/>
  <c r="AF15" i="1"/>
  <c r="AA15" i="1"/>
  <c r="AW15" i="1"/>
  <c r="L16" i="1"/>
  <c r="AX15" i="1"/>
  <c r="AG15" i="1"/>
  <c r="AB15" i="1"/>
  <c r="M16" i="1"/>
  <c r="BF14" i="1"/>
  <c r="AK14" i="1"/>
  <c r="BF15" i="1"/>
  <c r="BN14" i="1" s="1"/>
  <c r="BA15" i="1"/>
  <c r="BS14" i="1" s="1"/>
  <c r="AW16" i="1"/>
  <c r="N16" i="1"/>
  <c r="AH15" i="1"/>
  <c r="AC15" i="1"/>
  <c r="AY15" i="1"/>
  <c r="AF16" i="1"/>
  <c r="AA16" i="1"/>
  <c r="L17" i="1"/>
  <c r="AM14" i="1" l="1"/>
  <c r="AK15" i="1"/>
  <c r="AL15" i="1"/>
  <c r="M18" i="1"/>
  <c r="AB17" i="1"/>
  <c r="AG17" i="1"/>
  <c r="N17" i="1"/>
  <c r="AC16" i="1"/>
  <c r="AH16" i="1"/>
  <c r="M17" i="1"/>
  <c r="AG16" i="1"/>
  <c r="AB16" i="1"/>
  <c r="H15" i="1"/>
  <c r="AZ16" i="1"/>
  <c r="BD15" i="1"/>
  <c r="BI15" i="1"/>
  <c r="BB15" i="1"/>
  <c r="AX16" i="1"/>
  <c r="BG15" i="1"/>
  <c r="AD16" i="1"/>
  <c r="AI16" i="1"/>
  <c r="BB16" i="1"/>
  <c r="BT14" i="1" s="1"/>
  <c r="BG16" i="1"/>
  <c r="BO14" i="1" s="1"/>
  <c r="AX17" i="1"/>
  <c r="Z16" i="1"/>
  <c r="K17" i="1"/>
  <c r="AE16" i="1"/>
  <c r="AV16" i="1"/>
  <c r="BH15" i="1"/>
  <c r="BC15" i="1"/>
  <c r="AY16" i="1"/>
  <c r="BE15" i="1"/>
  <c r="BJ15" i="1"/>
  <c r="AM15" i="1" l="1"/>
  <c r="Q15" i="1"/>
  <c r="X15" i="1" s="1"/>
  <c r="AA17" i="1"/>
  <c r="AF17" i="1"/>
  <c r="L18" i="1"/>
  <c r="BJ16" i="1"/>
  <c r="BE16" i="1"/>
  <c r="BF16" i="1"/>
  <c r="BN15" i="1" s="1"/>
  <c r="BA16" i="1"/>
  <c r="BS15" i="1" s="1"/>
  <c r="AW17" i="1"/>
  <c r="AK16" i="1"/>
  <c r="AL16" i="1"/>
  <c r="H16" i="1"/>
  <c r="AD17" i="1"/>
  <c r="AI17" i="1"/>
  <c r="N18" i="1"/>
  <c r="AH17" i="1"/>
  <c r="AC17" i="1"/>
  <c r="BC17" i="1"/>
  <c r="BU14" i="1" s="1"/>
  <c r="BH17" i="1"/>
  <c r="BP14" i="1" s="1"/>
  <c r="AY18" i="1"/>
  <c r="N19" i="1"/>
  <c r="AH18" i="1"/>
  <c r="AC18" i="1"/>
  <c r="AZ17" i="1"/>
  <c r="BI16" i="1"/>
  <c r="BD16" i="1"/>
  <c r="BH16" i="1"/>
  <c r="BC16" i="1"/>
  <c r="AY17" i="1"/>
  <c r="I16" i="1" l="1"/>
  <c r="J17" i="1" s="1"/>
  <c r="AE17" i="1" s="1"/>
  <c r="Q16" i="1"/>
  <c r="X16" i="1" s="1"/>
  <c r="BD18" i="1"/>
  <c r="BV14" i="1" s="1"/>
  <c r="BI18" i="1"/>
  <c r="BQ14" i="1" s="1"/>
  <c r="AZ19" i="1"/>
  <c r="AM16" i="1"/>
  <c r="BB17" i="1"/>
  <c r="BT15" i="1" s="1"/>
  <c r="BG17" i="1"/>
  <c r="BO15" i="1" s="1"/>
  <c r="AX18" i="1"/>
  <c r="AI19" i="1"/>
  <c r="AD19" i="1"/>
  <c r="BJ17" i="1"/>
  <c r="BE17" i="1"/>
  <c r="AG18" i="1"/>
  <c r="AB18" i="1"/>
  <c r="M19" i="1"/>
  <c r="AI18" i="1"/>
  <c r="AD18" i="1"/>
  <c r="BI17" i="1"/>
  <c r="BD17" i="1"/>
  <c r="AZ18" i="1"/>
  <c r="I17" i="1" l="1"/>
  <c r="J18" i="1" s="1"/>
  <c r="Z18" i="1" s="1"/>
  <c r="Z17" i="1"/>
  <c r="AL17" i="1" s="1"/>
  <c r="K18" i="1"/>
  <c r="AA18" i="1" s="1"/>
  <c r="AV17" i="1"/>
  <c r="BL15" i="1"/>
  <c r="BL14" i="1"/>
  <c r="BJ18" i="1"/>
  <c r="BE18" i="1"/>
  <c r="BC18" i="1"/>
  <c r="BU15" i="1" s="1"/>
  <c r="AY19" i="1"/>
  <c r="BH18" i="1"/>
  <c r="BP15" i="1" s="1"/>
  <c r="BE19" i="1"/>
  <c r="BJ19" i="1"/>
  <c r="AK17" i="1"/>
  <c r="N20" i="1"/>
  <c r="AH19" i="1"/>
  <c r="AC19" i="1"/>
  <c r="BA17" i="1" l="1"/>
  <c r="BS16" i="1" s="1"/>
  <c r="H17" i="1"/>
  <c r="Q17" i="1" s="1"/>
  <c r="X17" i="1" s="1"/>
  <c r="AW18" i="1"/>
  <c r="BB18" i="1" s="1"/>
  <c r="BT16" i="1" s="1"/>
  <c r="BF17" i="1"/>
  <c r="BN16" i="1" s="1"/>
  <c r="L19" i="1"/>
  <c r="M20" i="1" s="1"/>
  <c r="AF18" i="1"/>
  <c r="AV18" i="1"/>
  <c r="BA18" i="1" s="1"/>
  <c r="BS17" i="1" s="1"/>
  <c r="AE18" i="1"/>
  <c r="K19" i="1"/>
  <c r="AF19" i="1" s="1"/>
  <c r="AM17" i="1"/>
  <c r="AI20" i="1"/>
  <c r="AD20" i="1"/>
  <c r="AL18" i="1"/>
  <c r="H18" i="1"/>
  <c r="BW14" i="1"/>
  <c r="BR14" i="1"/>
  <c r="BD19" i="1"/>
  <c r="BI19" i="1"/>
  <c r="AZ20" i="1"/>
  <c r="AW19" i="1" l="1"/>
  <c r="BG19" i="1" s="1"/>
  <c r="AK18" i="1"/>
  <c r="AM18" i="1" s="1"/>
  <c r="BF18" i="1"/>
  <c r="BN17" i="1" s="1"/>
  <c r="BG18" i="1"/>
  <c r="BO16" i="1" s="1"/>
  <c r="AX19" i="1"/>
  <c r="AY20" i="1" s="1"/>
  <c r="AG19" i="1"/>
  <c r="AB19" i="1"/>
  <c r="AA19" i="1"/>
  <c r="L20" i="1"/>
  <c r="AB20" i="1" s="1"/>
  <c r="I18" i="1"/>
  <c r="J19" i="1" s="1"/>
  <c r="Z19" i="1" s="1"/>
  <c r="BL16" i="1"/>
  <c r="Q18" i="1"/>
  <c r="X18" i="1" s="1"/>
  <c r="BQ15" i="1"/>
  <c r="CB14" i="1"/>
  <c r="CA14" i="1" s="1"/>
  <c r="BZ14" i="1" s="1"/>
  <c r="BY14" i="1" s="1"/>
  <c r="BX14" i="1" s="1"/>
  <c r="CC14" i="1" s="1"/>
  <c r="AC20" i="1"/>
  <c r="N21" i="1"/>
  <c r="AH20" i="1"/>
  <c r="BJ20" i="1"/>
  <c r="BE20" i="1"/>
  <c r="BV15" i="1"/>
  <c r="BC19" i="1" l="1"/>
  <c r="BU16" i="1" s="1"/>
  <c r="BB19" i="1"/>
  <c r="BT17" i="1" s="1"/>
  <c r="BH19" i="1"/>
  <c r="BP16" i="1" s="1"/>
  <c r="AX20" i="1"/>
  <c r="BC20" i="1" s="1"/>
  <c r="BU17" i="1" s="1"/>
  <c r="AG20" i="1"/>
  <c r="M21" i="1"/>
  <c r="AC21" i="1" s="1"/>
  <c r="I19" i="1"/>
  <c r="J20" i="1" s="1"/>
  <c r="AE19" i="1"/>
  <c r="AK19" i="1" s="1"/>
  <c r="AV19" i="1"/>
  <c r="BA19" i="1" s="1"/>
  <c r="K20" i="1"/>
  <c r="BW15" i="1"/>
  <c r="BO17" i="1"/>
  <c r="AI21" i="1"/>
  <c r="AD21" i="1"/>
  <c r="BI20" i="1"/>
  <c r="BD20" i="1"/>
  <c r="AZ21" i="1"/>
  <c r="BR15" i="1"/>
  <c r="AL19" i="1"/>
  <c r="H19" i="1"/>
  <c r="AW20" i="1" l="1"/>
  <c r="AA20" i="1"/>
  <c r="AF20" i="1"/>
  <c r="BH20" i="1"/>
  <c r="BP17" i="1" s="1"/>
  <c r="BF19" i="1"/>
  <c r="BN18" i="1" s="1"/>
  <c r="AY21" i="1"/>
  <c r="N22" i="1"/>
  <c r="AI22" i="1" s="1"/>
  <c r="AH21" i="1"/>
  <c r="L21" i="1"/>
  <c r="CB15" i="1"/>
  <c r="CA15" i="1" s="1"/>
  <c r="BZ15" i="1" s="1"/>
  <c r="BY15" i="1" s="1"/>
  <c r="BX15" i="1" s="1"/>
  <c r="CC15" i="1" s="1"/>
  <c r="BL17" i="1"/>
  <c r="BE21" i="1"/>
  <c r="BJ21" i="1"/>
  <c r="BV16" i="1"/>
  <c r="Z20" i="1"/>
  <c r="K21" i="1"/>
  <c r="AE20" i="1"/>
  <c r="AV20" i="1"/>
  <c r="BQ16" i="1"/>
  <c r="AM19" i="1"/>
  <c r="BS18" i="1"/>
  <c r="Q19" i="1"/>
  <c r="X19" i="1" s="1"/>
  <c r="AX21" i="1" l="1"/>
  <c r="BG20" i="1"/>
  <c r="BO18" i="1" s="1"/>
  <c r="BB20" i="1"/>
  <c r="BT18" i="1" s="1"/>
  <c r="AB21" i="1"/>
  <c r="AG21" i="1"/>
  <c r="M22" i="1"/>
  <c r="AH22" i="1" s="1"/>
  <c r="BI21" i="1"/>
  <c r="BQ17" i="1" s="1"/>
  <c r="AZ22" i="1"/>
  <c r="BJ22" i="1" s="1"/>
  <c r="BR17" i="1" s="1"/>
  <c r="BD21" i="1"/>
  <c r="BV17" i="1" s="1"/>
  <c r="AD22" i="1"/>
  <c r="BL18" i="1" s="1"/>
  <c r="I20" i="1"/>
  <c r="J21" i="1" s="1"/>
  <c r="BR16" i="1"/>
  <c r="BF20" i="1"/>
  <c r="AW21" i="1"/>
  <c r="BA20" i="1"/>
  <c r="BW16" i="1"/>
  <c r="L22" i="1"/>
  <c r="AA21" i="1"/>
  <c r="AF21" i="1"/>
  <c r="AK20" i="1"/>
  <c r="AL20" i="1"/>
  <c r="H20" i="1"/>
  <c r="BH21" i="1" l="1"/>
  <c r="BP18" i="1" s="1"/>
  <c r="BC21" i="1"/>
  <c r="BU18" i="1" s="1"/>
  <c r="AY22" i="1"/>
  <c r="BI22" i="1" s="1"/>
  <c r="N23" i="1"/>
  <c r="AD23" i="1" s="1"/>
  <c r="AC22" i="1"/>
  <c r="BE22" i="1"/>
  <c r="BW17" i="1" s="1"/>
  <c r="CB17" i="1" s="1"/>
  <c r="CA17" i="1" s="1"/>
  <c r="BZ17" i="1" s="1"/>
  <c r="BY17" i="1" s="1"/>
  <c r="BX17" i="1" s="1"/>
  <c r="CC17" i="1" s="1"/>
  <c r="AM20" i="1"/>
  <c r="K22" i="1"/>
  <c r="AE21" i="1"/>
  <c r="Z21" i="1"/>
  <c r="AV21" i="1"/>
  <c r="BG21" i="1"/>
  <c r="AX22" i="1"/>
  <c r="BB21" i="1"/>
  <c r="Q20" i="1"/>
  <c r="X20" i="1" s="1"/>
  <c r="CB16" i="1"/>
  <c r="CA16" i="1" s="1"/>
  <c r="BZ16" i="1" s="1"/>
  <c r="BY16" i="1" s="1"/>
  <c r="BX16" i="1" s="1"/>
  <c r="CC16" i="1" s="1"/>
  <c r="BS19" i="1"/>
  <c r="BN19" i="1"/>
  <c r="M23" i="1"/>
  <c r="AG22" i="1"/>
  <c r="AB22" i="1"/>
  <c r="AI23" i="1" l="1"/>
  <c r="BL19" i="1" s="1"/>
  <c r="BD22" i="1"/>
  <c r="BV18" i="1" s="1"/>
  <c r="AZ23" i="1"/>
  <c r="BE23" i="1" s="1"/>
  <c r="I21" i="1"/>
  <c r="J22" i="1" s="1"/>
  <c r="BT19" i="1"/>
  <c r="BO19" i="1"/>
  <c r="BQ18" i="1"/>
  <c r="N24" i="1"/>
  <c r="AH23" i="1"/>
  <c r="AC23" i="1"/>
  <c r="AL21" i="1"/>
  <c r="H21" i="1"/>
  <c r="L23" i="1"/>
  <c r="AF22" i="1"/>
  <c r="AA22" i="1"/>
  <c r="BC22" i="1"/>
  <c r="BH22" i="1"/>
  <c r="AY23" i="1"/>
  <c r="BA21" i="1"/>
  <c r="AW22" i="1"/>
  <c r="BF21" i="1"/>
  <c r="AK21" i="1"/>
  <c r="BJ23" i="1" l="1"/>
  <c r="BR18" i="1" s="1"/>
  <c r="AV22" i="1"/>
  <c r="AE22" i="1"/>
  <c r="AK22" i="1" s="1"/>
  <c r="K23" i="1"/>
  <c r="AF23" i="1" s="1"/>
  <c r="Z22" i="1"/>
  <c r="AL22" i="1" s="1"/>
  <c r="Q21" i="1"/>
  <c r="X21" i="1" s="1"/>
  <c r="AD24" i="1"/>
  <c r="AI24" i="1"/>
  <c r="BW18" i="1"/>
  <c r="AM21" i="1"/>
  <c r="BN20" i="1"/>
  <c r="BD23" i="1"/>
  <c r="BI23" i="1"/>
  <c r="AZ24" i="1"/>
  <c r="BG22" i="1"/>
  <c r="BB22" i="1"/>
  <c r="AX23" i="1"/>
  <c r="BS20" i="1"/>
  <c r="BP19" i="1"/>
  <c r="BU19" i="1"/>
  <c r="M24" i="1"/>
  <c r="AG23" i="1"/>
  <c r="AB23" i="1"/>
  <c r="H22" i="1" l="1"/>
  <c r="Q22" i="1" s="1"/>
  <c r="X22" i="1" s="1"/>
  <c r="BF22" i="1"/>
  <c r="BN21" i="1" s="1"/>
  <c r="AW23" i="1"/>
  <c r="BG23" i="1" s="1"/>
  <c r="BO21" i="1" s="1"/>
  <c r="L24" i="1"/>
  <c r="AB24" i="1" s="1"/>
  <c r="AA23" i="1"/>
  <c r="BA22" i="1"/>
  <c r="BS21" i="1" s="1"/>
  <c r="I22" i="1"/>
  <c r="J23" i="1" s="1"/>
  <c r="AV23" i="1" s="1"/>
  <c r="BL20" i="1"/>
  <c r="AM22" i="1"/>
  <c r="BH23" i="1"/>
  <c r="BC23" i="1"/>
  <c r="AY24" i="1"/>
  <c r="BT20" i="1"/>
  <c r="BV19" i="1"/>
  <c r="BO20" i="1"/>
  <c r="BE24" i="1"/>
  <c r="BJ24" i="1"/>
  <c r="BR19" i="1" s="1"/>
  <c r="CB18" i="1"/>
  <c r="CA18" i="1" s="1"/>
  <c r="BZ18" i="1" s="1"/>
  <c r="BY18" i="1" s="1"/>
  <c r="BX18" i="1" s="1"/>
  <c r="CC18" i="1" s="1"/>
  <c r="AH24" i="1"/>
  <c r="AC24" i="1"/>
  <c r="N25" i="1"/>
  <c r="BQ19" i="1"/>
  <c r="M25" i="1" l="1"/>
  <c r="N26" i="1" s="1"/>
  <c r="AG24" i="1"/>
  <c r="BB23" i="1"/>
  <c r="BT21" i="1" s="1"/>
  <c r="AX24" i="1"/>
  <c r="I23" i="1"/>
  <c r="J24" i="1" s="1"/>
  <c r="K25" i="1" s="1"/>
  <c r="K24" i="1"/>
  <c r="AW24" i="1" s="1"/>
  <c r="Z23" i="1"/>
  <c r="BA23" i="1" s="1"/>
  <c r="AE23" i="1"/>
  <c r="BF23" i="1" s="1"/>
  <c r="BP20" i="1"/>
  <c r="AD25" i="1"/>
  <c r="AI25" i="1"/>
  <c r="BU20" i="1"/>
  <c r="BW19" i="1"/>
  <c r="CB19" i="1" s="1"/>
  <c r="CA19" i="1" s="1"/>
  <c r="BZ19" i="1" s="1"/>
  <c r="BY19" i="1" s="1"/>
  <c r="BX19" i="1" s="1"/>
  <c r="CC19" i="1" s="1"/>
  <c r="BD24" i="1"/>
  <c r="BI24" i="1"/>
  <c r="AZ25" i="1"/>
  <c r="BH24" i="1" l="1"/>
  <c r="BP21" i="1" s="1"/>
  <c r="AC25" i="1"/>
  <c r="AH25" i="1"/>
  <c r="AK23" i="1"/>
  <c r="AY25" i="1"/>
  <c r="BC24" i="1"/>
  <c r="BU21" i="1" s="1"/>
  <c r="AA24" i="1"/>
  <c r="BB24" i="1" s="1"/>
  <c r="BT22" i="1" s="1"/>
  <c r="L25" i="1"/>
  <c r="AG25" i="1" s="1"/>
  <c r="AF24" i="1"/>
  <c r="BG24" i="1" s="1"/>
  <c r="BO22" i="1" s="1"/>
  <c r="AL23" i="1"/>
  <c r="H23" i="1"/>
  <c r="Z24" i="1"/>
  <c r="AV24" i="1"/>
  <c r="AW25" i="1" s="1"/>
  <c r="AE24" i="1"/>
  <c r="BL21" i="1"/>
  <c r="BN22" i="1"/>
  <c r="BQ20" i="1"/>
  <c r="BJ25" i="1"/>
  <c r="BR20" i="1" s="1"/>
  <c r="BE25" i="1"/>
  <c r="BW20" i="1" s="1"/>
  <c r="AI26" i="1"/>
  <c r="AD26" i="1"/>
  <c r="BS22" i="1"/>
  <c r="BV20" i="1"/>
  <c r="AF25" i="1"/>
  <c r="L26" i="1"/>
  <c r="AA25" i="1"/>
  <c r="BD25" i="1" l="1"/>
  <c r="BV21" i="1" s="1"/>
  <c r="AL24" i="1"/>
  <c r="AZ26" i="1"/>
  <c r="BE26" i="1" s="1"/>
  <c r="BW21" i="1" s="1"/>
  <c r="BI25" i="1"/>
  <c r="BQ21" i="1" s="1"/>
  <c r="AM23" i="1"/>
  <c r="M26" i="1"/>
  <c r="N27" i="1" s="1"/>
  <c r="AX25" i="1"/>
  <c r="AB25" i="1"/>
  <c r="AK24" i="1"/>
  <c r="Q23" i="1"/>
  <c r="X23" i="1" s="1"/>
  <c r="BA24" i="1"/>
  <c r="BS23" i="1" s="1"/>
  <c r="BF24" i="1"/>
  <c r="BN23" i="1" s="1"/>
  <c r="H24" i="1"/>
  <c r="BL22" i="1"/>
  <c r="CB20" i="1"/>
  <c r="CA20" i="1" s="1"/>
  <c r="BZ20" i="1" s="1"/>
  <c r="BY20" i="1" s="1"/>
  <c r="BX20" i="1" s="1"/>
  <c r="CC20" i="1" s="1"/>
  <c r="AB26" i="1"/>
  <c r="AG26" i="1"/>
  <c r="M27" i="1"/>
  <c r="BB25" i="1"/>
  <c r="BT23" i="1" s="1"/>
  <c r="BG25" i="1"/>
  <c r="BO23" i="1" s="1"/>
  <c r="AX26" i="1"/>
  <c r="AM24" i="1" l="1"/>
  <c r="BJ26" i="1"/>
  <c r="BR21" i="1" s="1"/>
  <c r="CB21" i="1" s="1"/>
  <c r="CA21" i="1" s="1"/>
  <c r="BZ21" i="1" s="1"/>
  <c r="BY21" i="1" s="1"/>
  <c r="BX21" i="1" s="1"/>
  <c r="CC21" i="1" s="1"/>
  <c r="AH26" i="1"/>
  <c r="BC25" i="1"/>
  <c r="BU22" i="1" s="1"/>
  <c r="AY26" i="1"/>
  <c r="BH25" i="1"/>
  <c r="BP22" i="1" s="1"/>
  <c r="AC26" i="1"/>
  <c r="I24" i="1"/>
  <c r="J25" i="1" s="1"/>
  <c r="Q24" i="1"/>
  <c r="X24" i="1" s="1"/>
  <c r="N28" i="1"/>
  <c r="AC27" i="1"/>
  <c r="AH27" i="1"/>
  <c r="BC26" i="1"/>
  <c r="BU23" i="1" s="1"/>
  <c r="BH26" i="1"/>
  <c r="BP23" i="1" s="1"/>
  <c r="AY27" i="1"/>
  <c r="AD27" i="1"/>
  <c r="AI27" i="1"/>
  <c r="BI26" i="1" l="1"/>
  <c r="BQ22" i="1" s="1"/>
  <c r="BD26" i="1"/>
  <c r="BV22" i="1" s="1"/>
  <c r="AZ27" i="1"/>
  <c r="BE27" i="1" s="1"/>
  <c r="BW22" i="1" s="1"/>
  <c r="K26" i="1"/>
  <c r="AA26" i="1" s="1"/>
  <c r="AV25" i="1"/>
  <c r="AE25" i="1"/>
  <c r="AK25" i="1" s="1"/>
  <c r="Z25" i="1"/>
  <c r="H25" i="1" s="1"/>
  <c r="I25" i="1"/>
  <c r="J26" i="1" s="1"/>
  <c r="BL23" i="1"/>
  <c r="BD27" i="1"/>
  <c r="BV23" i="1" s="1"/>
  <c r="BI27" i="1"/>
  <c r="BQ23" i="1" s="1"/>
  <c r="AZ28" i="1"/>
  <c r="AD28" i="1"/>
  <c r="AI28" i="1"/>
  <c r="BJ27" i="1" l="1"/>
  <c r="BR22" i="1" s="1"/>
  <c r="CB22" i="1" s="1"/>
  <c r="CA22" i="1" s="1"/>
  <c r="BZ22" i="1" s="1"/>
  <c r="BY22" i="1" s="1"/>
  <c r="BX22" i="1" s="1"/>
  <c r="CC22" i="1" s="1"/>
  <c r="BF25" i="1"/>
  <c r="BN24" i="1" s="1"/>
  <c r="AW26" i="1"/>
  <c r="BB26" i="1" s="1"/>
  <c r="BT24" i="1" s="1"/>
  <c r="AF26" i="1"/>
  <c r="L27" i="1"/>
  <c r="AG27" i="1" s="1"/>
  <c r="AL25" i="1"/>
  <c r="AM25" i="1" s="1"/>
  <c r="BA25" i="1"/>
  <c r="BS24" i="1" s="1"/>
  <c r="AE26" i="1"/>
  <c r="AV26" i="1"/>
  <c r="K27" i="1"/>
  <c r="Z26" i="1"/>
  <c r="H26" i="1" s="1"/>
  <c r="BL24" i="1"/>
  <c r="BE28" i="1"/>
  <c r="BW23" i="1" s="1"/>
  <c r="BJ28" i="1"/>
  <c r="BR23" i="1" s="1"/>
  <c r="Q25" i="1"/>
  <c r="X25" i="1" s="1"/>
  <c r="AK26" i="1" l="1"/>
  <c r="AB27" i="1"/>
  <c r="BG26" i="1"/>
  <c r="BO24" i="1" s="1"/>
  <c r="BF26" i="1"/>
  <c r="BN25" i="1" s="1"/>
  <c r="AX27" i="1"/>
  <c r="M28" i="1"/>
  <c r="N29" i="1" s="1"/>
  <c r="AW27" i="1"/>
  <c r="BA26" i="1"/>
  <c r="BS25" i="1" s="1"/>
  <c r="AL26" i="1"/>
  <c r="I26" i="1"/>
  <c r="J27" i="1" s="1"/>
  <c r="Q26" i="1"/>
  <c r="X26" i="1" s="1"/>
  <c r="AF27" i="1"/>
  <c r="BG27" i="1" s="1"/>
  <c r="BO25" i="1" s="1"/>
  <c r="L28" i="1"/>
  <c r="AA27" i="1"/>
  <c r="BB27" i="1" s="1"/>
  <c r="BT25" i="1" s="1"/>
  <c r="CB23" i="1"/>
  <c r="CA23" i="1" s="1"/>
  <c r="BZ23" i="1" s="1"/>
  <c r="BY23" i="1" s="1"/>
  <c r="BX23" i="1" s="1"/>
  <c r="CC23" i="1" s="1"/>
  <c r="AC28" i="1" l="1"/>
  <c r="AM26" i="1"/>
  <c r="AY28" i="1"/>
  <c r="BC27" i="1"/>
  <c r="BU24" i="1" s="1"/>
  <c r="BH27" i="1"/>
  <c r="BP24" i="1" s="1"/>
  <c r="AH28" i="1"/>
  <c r="I27" i="1"/>
  <c r="J28" i="1" s="1"/>
  <c r="M29" i="1"/>
  <c r="AB28" i="1"/>
  <c r="AG28" i="1"/>
  <c r="AX28" i="1"/>
  <c r="Z27" i="1"/>
  <c r="K28" i="1"/>
  <c r="AE27" i="1"/>
  <c r="AV27" i="1"/>
  <c r="AI29" i="1"/>
  <c r="AD29" i="1"/>
  <c r="BD28" i="1" l="1"/>
  <c r="BV24" i="1" s="1"/>
  <c r="AZ29" i="1"/>
  <c r="BJ29" i="1" s="1"/>
  <c r="BR24" i="1" s="1"/>
  <c r="BI28" i="1"/>
  <c r="BQ24" i="1" s="1"/>
  <c r="AY29" i="1"/>
  <c r="BH28" i="1"/>
  <c r="BP25" i="1" s="1"/>
  <c r="K29" i="1"/>
  <c r="L30" i="1" s="1"/>
  <c r="AE28" i="1"/>
  <c r="BC28" i="1"/>
  <c r="BU25" i="1" s="1"/>
  <c r="AV28" i="1"/>
  <c r="Z28" i="1"/>
  <c r="N30" i="1"/>
  <c r="AC29" i="1"/>
  <c r="AH29" i="1"/>
  <c r="BL25" i="1"/>
  <c r="AK27" i="1"/>
  <c r="AL27" i="1"/>
  <c r="H27" i="1"/>
  <c r="BF27" i="1"/>
  <c r="BA27" i="1"/>
  <c r="BS26" i="1" s="1"/>
  <c r="AW28" i="1"/>
  <c r="AF28" i="1"/>
  <c r="AA28" i="1"/>
  <c r="L29" i="1"/>
  <c r="BE29" i="1" l="1"/>
  <c r="BW24" i="1" s="1"/>
  <c r="CB24" i="1" s="1"/>
  <c r="CA24" i="1" s="1"/>
  <c r="BZ24" i="1" s="1"/>
  <c r="BY24" i="1" s="1"/>
  <c r="BX24" i="1" s="1"/>
  <c r="CC24" i="1" s="1"/>
  <c r="AA29" i="1"/>
  <c r="AW29" i="1"/>
  <c r="AX30" i="1" s="1"/>
  <c r="AF29" i="1"/>
  <c r="BI29" i="1"/>
  <c r="BQ25" i="1" s="1"/>
  <c r="BD29" i="1"/>
  <c r="BV25" i="1" s="1"/>
  <c r="AZ30" i="1"/>
  <c r="BF28" i="1"/>
  <c r="BN27" i="1" s="1"/>
  <c r="BA28" i="1"/>
  <c r="BS27" i="1" s="1"/>
  <c r="AK28" i="1"/>
  <c r="AL28" i="1"/>
  <c r="AI30" i="1"/>
  <c r="AD30" i="1"/>
  <c r="Q27" i="1"/>
  <c r="X27" i="1" s="1"/>
  <c r="AM27" i="1"/>
  <c r="AG30" i="1"/>
  <c r="AB30" i="1"/>
  <c r="M31" i="1"/>
  <c r="M30" i="1"/>
  <c r="AB29" i="1"/>
  <c r="AG29" i="1"/>
  <c r="H28" i="1"/>
  <c r="BG28" i="1"/>
  <c r="BO26" i="1" s="1"/>
  <c r="BB28" i="1"/>
  <c r="BT26" i="1" s="1"/>
  <c r="AX29" i="1"/>
  <c r="BN26" i="1"/>
  <c r="BA5" i="1"/>
  <c r="BE30" i="1" l="1"/>
  <c r="BW25" i="1" s="1"/>
  <c r="BJ30" i="1"/>
  <c r="BR25" i="1" s="1"/>
  <c r="BG29" i="1"/>
  <c r="BO27" i="1" s="1"/>
  <c r="BB29" i="1"/>
  <c r="BT27" i="1" s="1"/>
  <c r="AM28" i="1"/>
  <c r="I28" i="1"/>
  <c r="J29" i="1" s="1"/>
  <c r="Z29" i="1" s="1"/>
  <c r="BL26" i="1"/>
  <c r="Q28" i="1"/>
  <c r="X28" i="1" s="1"/>
  <c r="N32" i="1"/>
  <c r="AC31" i="1"/>
  <c r="AH31" i="1"/>
  <c r="N31" i="1"/>
  <c r="AH30" i="1"/>
  <c r="AC30" i="1"/>
  <c r="BC30" i="1"/>
  <c r="BU27" i="1" s="1"/>
  <c r="AY31" i="1"/>
  <c r="BH30" i="1"/>
  <c r="BP27" i="1" s="1"/>
  <c r="BH29" i="1"/>
  <c r="BP26" i="1" s="1"/>
  <c r="BC29" i="1"/>
  <c r="BU26" i="1" s="1"/>
  <c r="AY30" i="1"/>
  <c r="CB25" i="1" l="1"/>
  <c r="CA25" i="1" s="1"/>
  <c r="BZ25" i="1" s="1"/>
  <c r="BY25" i="1" s="1"/>
  <c r="BX25" i="1" s="1"/>
  <c r="CC25" i="1" s="1"/>
  <c r="I29" i="1"/>
  <c r="J30" i="1" s="1"/>
  <c r="AV29" i="1"/>
  <c r="BA29" i="1" s="1"/>
  <c r="BS28" i="1" s="1"/>
  <c r="AE29" i="1"/>
  <c r="AK29" i="1" s="1"/>
  <c r="K30" i="1"/>
  <c r="AF30" i="1" s="1"/>
  <c r="BI31" i="1"/>
  <c r="BQ27" i="1" s="1"/>
  <c r="BD31" i="1"/>
  <c r="BV27" i="1" s="1"/>
  <c r="AZ32" i="1"/>
  <c r="AL29" i="1"/>
  <c r="H29" i="1"/>
  <c r="AI31" i="1"/>
  <c r="AD31" i="1"/>
  <c r="BD30" i="1"/>
  <c r="BV26" i="1" s="1"/>
  <c r="BI30" i="1"/>
  <c r="BQ26" i="1" s="1"/>
  <c r="AZ31" i="1"/>
  <c r="AI32" i="1"/>
  <c r="AD32" i="1"/>
  <c r="AM29" i="1" l="1"/>
  <c r="AW30" i="1"/>
  <c r="BG30" i="1" s="1"/>
  <c r="BO28" i="1" s="1"/>
  <c r="BF29" i="1"/>
  <c r="BN28" i="1" s="1"/>
  <c r="L31" i="1"/>
  <c r="AA30" i="1"/>
  <c r="BL27" i="1"/>
  <c r="BL28" i="1"/>
  <c r="K31" i="1"/>
  <c r="Z30" i="1"/>
  <c r="AE30" i="1"/>
  <c r="AV30" i="1"/>
  <c r="Q29" i="1"/>
  <c r="X29" i="1" s="1"/>
  <c r="BE31" i="1"/>
  <c r="BW26" i="1" s="1"/>
  <c r="BJ31" i="1"/>
  <c r="BR26" i="1" s="1"/>
  <c r="BE32" i="1"/>
  <c r="BW27" i="1" s="1"/>
  <c r="BJ32" i="1"/>
  <c r="BR27" i="1" s="1"/>
  <c r="BB30" i="1" l="1"/>
  <c r="BT28" i="1" s="1"/>
  <c r="I30" i="1"/>
  <c r="J31" i="1" s="1"/>
  <c r="AX31" i="1"/>
  <c r="AG31" i="1"/>
  <c r="AB31" i="1"/>
  <c r="M32" i="1"/>
  <c r="AL30" i="1"/>
  <c r="H30" i="1"/>
  <c r="CB26" i="1"/>
  <c r="CA26" i="1" s="1"/>
  <c r="BZ26" i="1" s="1"/>
  <c r="BY26" i="1" s="1"/>
  <c r="BX26" i="1" s="1"/>
  <c r="CC26" i="1" s="1"/>
  <c r="BA30" i="1"/>
  <c r="BS29" i="1" s="1"/>
  <c r="BF30" i="1"/>
  <c r="BN29" i="1" s="1"/>
  <c r="AW31" i="1"/>
  <c r="AK30" i="1"/>
  <c r="AF31" i="1"/>
  <c r="AA31" i="1"/>
  <c r="L32" i="1"/>
  <c r="CB27" i="1"/>
  <c r="CA27" i="1" s="1"/>
  <c r="BZ27" i="1" s="1"/>
  <c r="BY27" i="1" s="1"/>
  <c r="BX27" i="1" s="1"/>
  <c r="CC27" i="1" s="1"/>
  <c r="BC31" i="1" l="1"/>
  <c r="BU28" i="1" s="1"/>
  <c r="AY32" i="1"/>
  <c r="AH32" i="1"/>
  <c r="AC32" i="1"/>
  <c r="N33" i="1"/>
  <c r="AD33" i="1" s="1"/>
  <c r="BH31" i="1"/>
  <c r="BP28" i="1" s="1"/>
  <c r="AM30" i="1"/>
  <c r="BB31" i="1"/>
  <c r="BT29" i="1" s="1"/>
  <c r="BG31" i="1"/>
  <c r="BO29" i="1" s="1"/>
  <c r="AX32" i="1"/>
  <c r="Z31" i="1"/>
  <c r="K32" i="1"/>
  <c r="AE31" i="1"/>
  <c r="AV31" i="1"/>
  <c r="Q30" i="1"/>
  <c r="X30" i="1" s="1"/>
  <c r="M33" i="1"/>
  <c r="AG32" i="1"/>
  <c r="AB32" i="1"/>
  <c r="BD32" i="1" l="1"/>
  <c r="BV28" i="1" s="1"/>
  <c r="BI32" i="1"/>
  <c r="BQ28" i="1" s="1"/>
  <c r="AZ33" i="1"/>
  <c r="AI33" i="1"/>
  <c r="BL29" i="1" s="1"/>
  <c r="I31" i="1"/>
  <c r="J32" i="1" s="1"/>
  <c r="BF31" i="1"/>
  <c r="BN30" i="1" s="1"/>
  <c r="AW32" i="1"/>
  <c r="BA31" i="1"/>
  <c r="BS30" i="1" s="1"/>
  <c r="AF32" i="1"/>
  <c r="AA32" i="1"/>
  <c r="L33" i="1"/>
  <c r="AK31" i="1"/>
  <c r="AL31" i="1"/>
  <c r="H31" i="1"/>
  <c r="BH32" i="1"/>
  <c r="BP29" i="1" s="1"/>
  <c r="BC32" i="1"/>
  <c r="BU29" i="1" s="1"/>
  <c r="AY33" i="1"/>
  <c r="AH33" i="1"/>
  <c r="AC33" i="1"/>
  <c r="N34" i="1"/>
  <c r="BJ33" i="1" l="1"/>
  <c r="BR28" i="1" s="1"/>
  <c r="BE33" i="1"/>
  <c r="BW28" i="1" s="1"/>
  <c r="Z32" i="1"/>
  <c r="AE32" i="1"/>
  <c r="K33" i="1"/>
  <c r="AV32" i="1"/>
  <c r="AM31" i="1"/>
  <c r="BB32" i="1"/>
  <c r="BT30" i="1" s="1"/>
  <c r="AX33" i="1"/>
  <c r="BG32" i="1"/>
  <c r="BO30" i="1" s="1"/>
  <c r="Q31" i="1"/>
  <c r="X31" i="1" s="1"/>
  <c r="AB33" i="1"/>
  <c r="AG33" i="1"/>
  <c r="M34" i="1"/>
  <c r="AD34" i="1"/>
  <c r="AI34" i="1"/>
  <c r="BI33" i="1"/>
  <c r="BQ29" i="1" s="1"/>
  <c r="BD33" i="1"/>
  <c r="BV29" i="1" s="1"/>
  <c r="AZ34" i="1"/>
  <c r="CB28" i="1" l="1"/>
  <c r="CA28" i="1" s="1"/>
  <c r="BZ28" i="1" s="1"/>
  <c r="BY28" i="1" s="1"/>
  <c r="BX28" i="1" s="1"/>
  <c r="CC28" i="1" s="1"/>
  <c r="I32" i="1"/>
  <c r="J33" i="1" s="1"/>
  <c r="BL30" i="1"/>
  <c r="AF33" i="1"/>
  <c r="AA33" i="1"/>
  <c r="L34" i="1"/>
  <c r="N35" i="1"/>
  <c r="AC34" i="1"/>
  <c r="AH34" i="1"/>
  <c r="AY34" i="1"/>
  <c r="BC33" i="1"/>
  <c r="BU30" i="1" s="1"/>
  <c r="BH33" i="1"/>
  <c r="BP30" i="1" s="1"/>
  <c r="AK32" i="1"/>
  <c r="BF32" i="1"/>
  <c r="BN31" i="1" s="1"/>
  <c r="BA32" i="1"/>
  <c r="BS31" i="1" s="1"/>
  <c r="AW33" i="1"/>
  <c r="BE34" i="1"/>
  <c r="BW29" i="1" s="1"/>
  <c r="BJ34" i="1"/>
  <c r="AL32" i="1"/>
  <c r="H32" i="1"/>
  <c r="AM32" i="1" l="1"/>
  <c r="BB33" i="1"/>
  <c r="BT31" i="1" s="1"/>
  <c r="BG33" i="1"/>
  <c r="BO31" i="1" s="1"/>
  <c r="AX34" i="1"/>
  <c r="Z33" i="1"/>
  <c r="AE33" i="1"/>
  <c r="K34" i="1"/>
  <c r="AV33" i="1"/>
  <c r="AB34" i="1"/>
  <c r="AG34" i="1"/>
  <c r="M35" i="1"/>
  <c r="BD34" i="1"/>
  <c r="BV30" i="1" s="1"/>
  <c r="BI34" i="1"/>
  <c r="AZ35" i="1"/>
  <c r="AD35" i="1"/>
  <c r="AI35" i="1"/>
  <c r="BR29" i="1"/>
  <c r="CB29" i="1" s="1"/>
  <c r="CA29" i="1" s="1"/>
  <c r="BZ29" i="1" s="1"/>
  <c r="BY29" i="1" s="1"/>
  <c r="BX29" i="1" s="1"/>
  <c r="CC29" i="1" s="1"/>
  <c r="Q32" i="1"/>
  <c r="X32" i="1" s="1"/>
  <c r="I33" i="1" l="1"/>
  <c r="J34" i="1" s="1"/>
  <c r="BL31" i="1"/>
  <c r="BQ30" i="1"/>
  <c r="BE35" i="1"/>
  <c r="BW30" i="1" s="1"/>
  <c r="BJ35" i="1"/>
  <c r="AC35" i="1"/>
  <c r="AH35" i="1"/>
  <c r="N36" i="1"/>
  <c r="AL33" i="1"/>
  <c r="H33" i="1"/>
  <c r="BA33" i="1"/>
  <c r="BS32" i="1" s="1"/>
  <c r="BF33" i="1"/>
  <c r="BN32" i="1" s="1"/>
  <c r="AW34" i="1"/>
  <c r="BH34" i="1"/>
  <c r="AY35" i="1"/>
  <c r="BC34" i="1"/>
  <c r="BU31" i="1" s="1"/>
  <c r="L35" i="1"/>
  <c r="AF34" i="1"/>
  <c r="AA34" i="1"/>
  <c r="AK33" i="1"/>
  <c r="AV34" i="1" l="1"/>
  <c r="AE34" i="1"/>
  <c r="AK34" i="1" s="1"/>
  <c r="Z34" i="1"/>
  <c r="AL34" i="1" s="1"/>
  <c r="K35" i="1"/>
  <c r="AA35" i="1" s="1"/>
  <c r="AM33" i="1"/>
  <c r="BG34" i="1"/>
  <c r="BB34" i="1"/>
  <c r="BT32" i="1" s="1"/>
  <c r="AX35" i="1"/>
  <c r="Q33" i="1"/>
  <c r="X33" i="1" s="1"/>
  <c r="AD36" i="1"/>
  <c r="AI36" i="1"/>
  <c r="BR30" i="1"/>
  <c r="CB30" i="1" s="1"/>
  <c r="CA30" i="1" s="1"/>
  <c r="BZ30" i="1" s="1"/>
  <c r="BY30" i="1" s="1"/>
  <c r="BX30" i="1" s="1"/>
  <c r="CC30" i="1" s="1"/>
  <c r="BD35" i="1"/>
  <c r="BV31" i="1" s="1"/>
  <c r="BI35" i="1"/>
  <c r="AZ36" i="1"/>
  <c r="M36" i="1"/>
  <c r="AG35" i="1"/>
  <c r="AB35" i="1"/>
  <c r="BP31" i="1"/>
  <c r="BA34" i="1" l="1"/>
  <c r="BS33" i="1" s="1"/>
  <c r="BF34" i="1"/>
  <c r="BN33" i="1" s="1"/>
  <c r="H34" i="1"/>
  <c r="Q34" i="1" s="1"/>
  <c r="X34" i="1" s="1"/>
  <c r="I34" i="1"/>
  <c r="J35" i="1" s="1"/>
  <c r="AW35" i="1"/>
  <c r="BB35" i="1" s="1"/>
  <c r="BT33" i="1" s="1"/>
  <c r="AF35" i="1"/>
  <c r="L36" i="1"/>
  <c r="M37" i="1" s="1"/>
  <c r="BL32" i="1"/>
  <c r="BO32" i="1"/>
  <c r="BH35" i="1"/>
  <c r="BC35" i="1"/>
  <c r="BU32" i="1" s="1"/>
  <c r="AY36" i="1"/>
  <c r="AM34" i="1"/>
  <c r="BQ31" i="1"/>
  <c r="N37" i="1"/>
  <c r="AH36" i="1"/>
  <c r="AC36" i="1"/>
  <c r="BE36" i="1"/>
  <c r="BW31" i="1" s="1"/>
  <c r="BJ36" i="1"/>
  <c r="BG35" i="1" l="1"/>
  <c r="BO33" i="1" s="1"/>
  <c r="AX36" i="1"/>
  <c r="I35" i="1"/>
  <c r="J36" i="1" s="1"/>
  <c r="AG36" i="1"/>
  <c r="AB36" i="1"/>
  <c r="BR31" i="1"/>
  <c r="CB31" i="1" s="1"/>
  <c r="CA31" i="1" s="1"/>
  <c r="BZ31" i="1" s="1"/>
  <c r="BY31" i="1" s="1"/>
  <c r="BX31" i="1" s="1"/>
  <c r="CC31" i="1" s="1"/>
  <c r="AE35" i="1"/>
  <c r="K36" i="1"/>
  <c r="Z35" i="1"/>
  <c r="AV35" i="1"/>
  <c r="AH37" i="1"/>
  <c r="N38" i="1"/>
  <c r="AC37" i="1"/>
  <c r="BD36" i="1"/>
  <c r="BV32" i="1" s="1"/>
  <c r="AZ37" i="1"/>
  <c r="BI36" i="1"/>
  <c r="BP32" i="1"/>
  <c r="AI37" i="1"/>
  <c r="AD37" i="1"/>
  <c r="BH36" i="1" l="1"/>
  <c r="BP33" i="1" s="1"/>
  <c r="AY37" i="1"/>
  <c r="BD37" i="1" s="1"/>
  <c r="BV33" i="1" s="1"/>
  <c r="BC36" i="1"/>
  <c r="BU33" i="1" s="1"/>
  <c r="BL33" i="1"/>
  <c r="L37" i="1"/>
  <c r="AF36" i="1"/>
  <c r="AA36" i="1"/>
  <c r="BA35" i="1"/>
  <c r="BS34" i="1" s="1"/>
  <c r="BF35" i="1"/>
  <c r="AW36" i="1"/>
  <c r="AE36" i="1"/>
  <c r="Z36" i="1"/>
  <c r="K37" i="1"/>
  <c r="AV36" i="1"/>
  <c r="AL35" i="1"/>
  <c r="H35" i="1"/>
  <c r="AK35" i="1"/>
  <c r="AD38" i="1"/>
  <c r="AI38" i="1"/>
  <c r="BQ32" i="1"/>
  <c r="BE37" i="1"/>
  <c r="BW32" i="1" s="1"/>
  <c r="BJ37" i="1"/>
  <c r="BI37" i="1" l="1"/>
  <c r="BQ33" i="1" s="1"/>
  <c r="AZ38" i="1"/>
  <c r="BJ38" i="1" s="1"/>
  <c r="BR33" i="1" s="1"/>
  <c r="BL34" i="1"/>
  <c r="AL36" i="1"/>
  <c r="H36" i="1"/>
  <c r="BN34" i="1"/>
  <c r="Q35" i="1"/>
  <c r="X35" i="1" s="1"/>
  <c r="BA36" i="1"/>
  <c r="BS35" i="1" s="1"/>
  <c r="AW37" i="1"/>
  <c r="BF36" i="1"/>
  <c r="BN35" i="1" s="1"/>
  <c r="BR32" i="1"/>
  <c r="CB32" i="1" s="1"/>
  <c r="CA32" i="1" s="1"/>
  <c r="BZ32" i="1" s="1"/>
  <c r="BY32" i="1" s="1"/>
  <c r="BX32" i="1" s="1"/>
  <c r="CC32" i="1" s="1"/>
  <c r="AF37" i="1"/>
  <c r="AA37" i="1"/>
  <c r="L38" i="1"/>
  <c r="BG36" i="1"/>
  <c r="AX37" i="1"/>
  <c r="BB36" i="1"/>
  <c r="BT34" i="1" s="1"/>
  <c r="AG37" i="1"/>
  <c r="M38" i="1"/>
  <c r="AB37" i="1"/>
  <c r="AK36" i="1"/>
  <c r="AM35" i="1"/>
  <c r="BE38" i="1" l="1"/>
  <c r="BW33" i="1" s="1"/>
  <c r="CB33" i="1" s="1"/>
  <c r="CA33" i="1" s="1"/>
  <c r="BZ33" i="1" s="1"/>
  <c r="BY33" i="1" s="1"/>
  <c r="BX33" i="1" s="1"/>
  <c r="CC33" i="1" s="1"/>
  <c r="I36" i="1"/>
  <c r="J37" i="1" s="1"/>
  <c r="K38" i="1" s="1"/>
  <c r="AM36" i="1"/>
  <c r="BO34" i="1"/>
  <c r="BG37" i="1"/>
  <c r="BO35" i="1" s="1"/>
  <c r="BB37" i="1"/>
  <c r="BT35" i="1" s="1"/>
  <c r="AX38" i="1"/>
  <c r="M39" i="1"/>
  <c r="AB38" i="1"/>
  <c r="AG38" i="1"/>
  <c r="AC38" i="1"/>
  <c r="N39" i="1"/>
  <c r="AH38" i="1"/>
  <c r="Q36" i="1"/>
  <c r="X36" i="1" s="1"/>
  <c r="BH37" i="1"/>
  <c r="BC37" i="1"/>
  <c r="BU34" i="1" s="1"/>
  <c r="AY38" i="1"/>
  <c r="I37" i="1" l="1"/>
  <c r="J38" i="1" s="1"/>
  <c r="Z38" i="1" s="1"/>
  <c r="AV37" i="1"/>
  <c r="AW38" i="1" s="1"/>
  <c r="AE37" i="1"/>
  <c r="Z37" i="1"/>
  <c r="AL37" i="1" s="1"/>
  <c r="BP34" i="1"/>
  <c r="AH39" i="1"/>
  <c r="AC39" i="1"/>
  <c r="N40" i="1"/>
  <c r="BD38" i="1"/>
  <c r="BV34" i="1" s="1"/>
  <c r="BI38" i="1"/>
  <c r="AZ39" i="1"/>
  <c r="AA38" i="1"/>
  <c r="AF38" i="1"/>
  <c r="L39" i="1"/>
  <c r="AD39" i="1"/>
  <c r="AI39" i="1"/>
  <c r="BC38" i="1"/>
  <c r="BU35" i="1" s="1"/>
  <c r="BH38" i="1"/>
  <c r="BP35" i="1" s="1"/>
  <c r="AY39" i="1"/>
  <c r="H37" i="1" l="1"/>
  <c r="Q37" i="1" s="1"/>
  <c r="X37" i="1" s="1"/>
  <c r="BA37" i="1"/>
  <c r="BS36" i="1" s="1"/>
  <c r="AE38" i="1"/>
  <c r="AK38" i="1" s="1"/>
  <c r="AV38" i="1"/>
  <c r="BA38" i="1" s="1"/>
  <c r="BS37" i="1" s="1"/>
  <c r="BF37" i="1"/>
  <c r="BN36" i="1" s="1"/>
  <c r="K39" i="1"/>
  <c r="L40" i="1" s="1"/>
  <c r="AK37" i="1"/>
  <c r="AM37" i="1" s="1"/>
  <c r="BL35" i="1"/>
  <c r="BQ34" i="1"/>
  <c r="BD39" i="1"/>
  <c r="BV35" i="1" s="1"/>
  <c r="BI39" i="1"/>
  <c r="BQ35" i="1" s="1"/>
  <c r="AZ40" i="1"/>
  <c r="BB38" i="1"/>
  <c r="BT36" i="1" s="1"/>
  <c r="BG38" i="1"/>
  <c r="AX39" i="1"/>
  <c r="AD40" i="1"/>
  <c r="AI40" i="1"/>
  <c r="AL38" i="1"/>
  <c r="H38" i="1"/>
  <c r="AG39" i="1"/>
  <c r="M40" i="1"/>
  <c r="AB39" i="1"/>
  <c r="BJ39" i="1"/>
  <c r="BE39" i="1"/>
  <c r="BW34" i="1" s="1"/>
  <c r="I38" i="1" l="1"/>
  <c r="J39" i="1" s="1"/>
  <c r="K40" i="1" s="1"/>
  <c r="BF38" i="1"/>
  <c r="BN37" i="1" s="1"/>
  <c r="AF39" i="1"/>
  <c r="AW39" i="1"/>
  <c r="AX40" i="1" s="1"/>
  <c r="AA39" i="1"/>
  <c r="BL36" i="1"/>
  <c r="BR34" i="1"/>
  <c r="CB34" i="1" s="1"/>
  <c r="CA34" i="1" s="1"/>
  <c r="BZ34" i="1" s="1"/>
  <c r="BY34" i="1" s="1"/>
  <c r="BX34" i="1" s="1"/>
  <c r="CC34" i="1" s="1"/>
  <c r="BO36" i="1"/>
  <c r="Q38" i="1"/>
  <c r="X38" i="1" s="1"/>
  <c r="AG40" i="1"/>
  <c r="AB40" i="1"/>
  <c r="M41" i="1"/>
  <c r="AY40" i="1"/>
  <c r="BC39" i="1"/>
  <c r="BU36" i="1" s="1"/>
  <c r="BH39" i="1"/>
  <c r="N41" i="1"/>
  <c r="AH40" i="1"/>
  <c r="AC40" i="1"/>
  <c r="BE40" i="1"/>
  <c r="BW35" i="1" s="1"/>
  <c r="BJ40" i="1"/>
  <c r="BR35" i="1" s="1"/>
  <c r="AM38" i="1"/>
  <c r="I39" i="1" l="1"/>
  <c r="J40" i="1" s="1"/>
  <c r="BB39" i="1"/>
  <c r="BT37" i="1" s="1"/>
  <c r="BG39" i="1"/>
  <c r="BO37" i="1" s="1"/>
  <c r="CB35" i="1"/>
  <c r="CA35" i="1" s="1"/>
  <c r="BZ35" i="1" s="1"/>
  <c r="BY35" i="1" s="1"/>
  <c r="BX35" i="1" s="1"/>
  <c r="CC35" i="1" s="1"/>
  <c r="AV39" i="1"/>
  <c r="AW40" i="1" s="1"/>
  <c r="Z39" i="1"/>
  <c r="AE39" i="1"/>
  <c r="AC41" i="1"/>
  <c r="AH41" i="1"/>
  <c r="N42" i="1"/>
  <c r="BP36" i="1"/>
  <c r="L41" i="1"/>
  <c r="AF40" i="1"/>
  <c r="AA40" i="1"/>
  <c r="AD41" i="1"/>
  <c r="AI41" i="1"/>
  <c r="BI40" i="1"/>
  <c r="BQ36" i="1" s="1"/>
  <c r="BD40" i="1"/>
  <c r="BV36" i="1" s="1"/>
  <c r="AZ41" i="1"/>
  <c r="BC40" i="1"/>
  <c r="BU37" i="1" s="1"/>
  <c r="AY41" i="1"/>
  <c r="BH40" i="1"/>
  <c r="BP37" i="1" s="1"/>
  <c r="BA39" i="1" l="1"/>
  <c r="BS38" i="1" s="1"/>
  <c r="H39" i="1"/>
  <c r="BF39" i="1"/>
  <c r="BN38" i="1" s="1"/>
  <c r="AK39" i="1"/>
  <c r="AL39" i="1"/>
  <c r="BL37" i="1"/>
  <c r="AB41" i="1"/>
  <c r="AG41" i="1"/>
  <c r="M42" i="1"/>
  <c r="BD41" i="1"/>
  <c r="BV37" i="1" s="1"/>
  <c r="BI41" i="1"/>
  <c r="BQ37" i="1" s="1"/>
  <c r="AZ42" i="1"/>
  <c r="AD42" i="1"/>
  <c r="AI42" i="1"/>
  <c r="AX41" i="1"/>
  <c r="BB40" i="1"/>
  <c r="BT38" i="1" s="1"/>
  <c r="BG40" i="1"/>
  <c r="BO38" i="1" s="1"/>
  <c r="BJ41" i="1"/>
  <c r="BR36" i="1" s="1"/>
  <c r="BE41" i="1"/>
  <c r="BW36" i="1" s="1"/>
  <c r="Z40" i="1"/>
  <c r="K41" i="1"/>
  <c r="AE40" i="1"/>
  <c r="AV40" i="1"/>
  <c r="Q39" i="1" l="1"/>
  <c r="X39" i="1" s="1"/>
  <c r="AM39" i="1"/>
  <c r="CB36" i="1"/>
  <c r="CA36" i="1" s="1"/>
  <c r="BZ36" i="1" s="1"/>
  <c r="BY36" i="1" s="1"/>
  <c r="BX36" i="1" s="1"/>
  <c r="CC36" i="1" s="1"/>
  <c r="BL38" i="1"/>
  <c r="BH41" i="1"/>
  <c r="BP38" i="1" s="1"/>
  <c r="AY42" i="1"/>
  <c r="BC41" i="1"/>
  <c r="BU38" i="1" s="1"/>
  <c r="BE42" i="1"/>
  <c r="BW37" i="1" s="1"/>
  <c r="BJ42" i="1"/>
  <c r="BR37" i="1" s="1"/>
  <c r="BA40" i="1"/>
  <c r="BS39" i="1" s="1"/>
  <c r="AW41" i="1"/>
  <c r="BF40" i="1"/>
  <c r="BN39" i="1" s="1"/>
  <c r="AF41" i="1"/>
  <c r="AA41" i="1"/>
  <c r="L42" i="1"/>
  <c r="N43" i="1"/>
  <c r="AC42" i="1"/>
  <c r="AH42" i="1"/>
  <c r="AL40" i="1"/>
  <c r="H40" i="1"/>
  <c r="AK40" i="1"/>
  <c r="I40" i="1" l="1"/>
  <c r="J41" i="1" s="1"/>
  <c r="AV41" i="1" s="1"/>
  <c r="CB37" i="1"/>
  <c r="CA37" i="1" s="1"/>
  <c r="BZ37" i="1" s="1"/>
  <c r="BY37" i="1" s="1"/>
  <c r="BX37" i="1" s="1"/>
  <c r="CC37" i="1" s="1"/>
  <c r="M43" i="1"/>
  <c r="AB42" i="1"/>
  <c r="AG42" i="1"/>
  <c r="AM40" i="1"/>
  <c r="BB41" i="1"/>
  <c r="BT39" i="1" s="1"/>
  <c r="BG41" i="1"/>
  <c r="BO39" i="1" s="1"/>
  <c r="AX42" i="1"/>
  <c r="BI42" i="1"/>
  <c r="BQ38" i="1" s="1"/>
  <c r="BD42" i="1"/>
  <c r="BV38" i="1" s="1"/>
  <c r="AZ43" i="1"/>
  <c r="AD43" i="1"/>
  <c r="AI43" i="1"/>
  <c r="Q40" i="1"/>
  <c r="X40" i="1" s="1"/>
  <c r="K42" i="1" l="1"/>
  <c r="AA42" i="1" s="1"/>
  <c r="Z41" i="1"/>
  <c r="BA41" i="1" s="1"/>
  <c r="BS40" i="1" s="1"/>
  <c r="AE41" i="1"/>
  <c r="BF41" i="1" s="1"/>
  <c r="BN40" i="1" s="1"/>
  <c r="I41" i="1"/>
  <c r="J42" i="1" s="1"/>
  <c r="BL39" i="1"/>
  <c r="BE43" i="1"/>
  <c r="BW38" i="1" s="1"/>
  <c r="BJ43" i="1"/>
  <c r="BR38" i="1" s="1"/>
  <c r="BC42" i="1"/>
  <c r="BU39" i="1" s="1"/>
  <c r="AY43" i="1"/>
  <c r="BH42" i="1"/>
  <c r="BP39" i="1" s="1"/>
  <c r="AH43" i="1"/>
  <c r="AC43" i="1"/>
  <c r="N44" i="1"/>
  <c r="H41" i="1" l="1"/>
  <c r="Q41" i="1" s="1"/>
  <c r="X41" i="1" s="1"/>
  <c r="AL41" i="1"/>
  <c r="AK41" i="1"/>
  <c r="AW42" i="1"/>
  <c r="L43" i="1"/>
  <c r="AF42" i="1"/>
  <c r="CB38" i="1"/>
  <c r="CA38" i="1" s="1"/>
  <c r="BZ38" i="1" s="1"/>
  <c r="BY38" i="1" s="1"/>
  <c r="BX38" i="1" s="1"/>
  <c r="CC38" i="1" s="1"/>
  <c r="K43" i="1"/>
  <c r="Z42" i="1"/>
  <c r="AE42" i="1"/>
  <c r="AV42" i="1"/>
  <c r="AD44" i="1"/>
  <c r="AI44" i="1"/>
  <c r="BD43" i="1"/>
  <c r="BV39" i="1" s="1"/>
  <c r="AZ44" i="1"/>
  <c r="BI43" i="1"/>
  <c r="BQ39" i="1" s="1"/>
  <c r="AM41" i="1" l="1"/>
  <c r="AB43" i="1"/>
  <c r="M44" i="1"/>
  <c r="AG43" i="1"/>
  <c r="BG42" i="1"/>
  <c r="BO40" i="1" s="1"/>
  <c r="AX43" i="1"/>
  <c r="BB42" i="1"/>
  <c r="BT40" i="1" s="1"/>
  <c r="I42" i="1"/>
  <c r="J43" i="1" s="1"/>
  <c r="BL40" i="1"/>
  <c r="BF42" i="1"/>
  <c r="BN41" i="1" s="1"/>
  <c r="BA42" i="1"/>
  <c r="BS41" i="1" s="1"/>
  <c r="AW43" i="1"/>
  <c r="AK42" i="1"/>
  <c r="AA43" i="1"/>
  <c r="L44" i="1"/>
  <c r="AF43" i="1"/>
  <c r="AL42" i="1"/>
  <c r="H42" i="1"/>
  <c r="BJ44" i="1"/>
  <c r="BR39" i="1" s="1"/>
  <c r="BE44" i="1"/>
  <c r="BW39" i="1" s="1"/>
  <c r="K44" i="1" l="1"/>
  <c r="AA44" i="1" s="1"/>
  <c r="Z43" i="1"/>
  <c r="H43" i="1" s="1"/>
  <c r="AV43" i="1"/>
  <c r="AC44" i="1"/>
  <c r="N45" i="1"/>
  <c r="AH44" i="1"/>
  <c r="BH43" i="1"/>
  <c r="BP40" i="1" s="1"/>
  <c r="BC43" i="1"/>
  <c r="BU40" i="1" s="1"/>
  <c r="AY44" i="1"/>
  <c r="AE43" i="1"/>
  <c r="AK43" i="1" s="1"/>
  <c r="Q42" i="1"/>
  <c r="X42" i="1" s="1"/>
  <c r="M45" i="1"/>
  <c r="AG44" i="1"/>
  <c r="AB44" i="1"/>
  <c r="CB39" i="1"/>
  <c r="CA39" i="1" s="1"/>
  <c r="BZ39" i="1" s="1"/>
  <c r="BY39" i="1" s="1"/>
  <c r="BX39" i="1" s="1"/>
  <c r="CC39" i="1" s="1"/>
  <c r="AM42" i="1"/>
  <c r="BB43" i="1"/>
  <c r="BT41" i="1" s="1"/>
  <c r="BG43" i="1"/>
  <c r="BO41" i="1" s="1"/>
  <c r="AX44" i="1"/>
  <c r="AW44" i="1" l="1"/>
  <c r="BB44" i="1" s="1"/>
  <c r="BT42" i="1" s="1"/>
  <c r="L45" i="1"/>
  <c r="AG45" i="1" s="1"/>
  <c r="AF44" i="1"/>
  <c r="BA43" i="1"/>
  <c r="BS42" i="1" s="1"/>
  <c r="AL43" i="1"/>
  <c r="AM43" i="1" s="1"/>
  <c r="AD45" i="1"/>
  <c r="AI45" i="1"/>
  <c r="BF43" i="1"/>
  <c r="BN42" i="1" s="1"/>
  <c r="BI44" i="1"/>
  <c r="BQ40" i="1" s="1"/>
  <c r="AZ45" i="1"/>
  <c r="BD44" i="1"/>
  <c r="BV40" i="1" s="1"/>
  <c r="I43" i="1"/>
  <c r="J44" i="1" s="1"/>
  <c r="AV44" i="1" s="1"/>
  <c r="N46" i="1"/>
  <c r="AH45" i="1"/>
  <c r="AC45" i="1"/>
  <c r="BH44" i="1"/>
  <c r="BP41" i="1" s="1"/>
  <c r="BC44" i="1"/>
  <c r="BU41" i="1" s="1"/>
  <c r="AY45" i="1"/>
  <c r="Q43" i="1"/>
  <c r="X43" i="1" s="1"/>
  <c r="AX45" i="1" l="1"/>
  <c r="BH45" i="1" s="1"/>
  <c r="BP42" i="1" s="1"/>
  <c r="M46" i="1"/>
  <c r="AH46" i="1" s="1"/>
  <c r="AB45" i="1"/>
  <c r="BG44" i="1"/>
  <c r="BO42" i="1" s="1"/>
  <c r="BL41" i="1"/>
  <c r="BE45" i="1"/>
  <c r="BW40" i="1" s="1"/>
  <c r="BJ45" i="1"/>
  <c r="BR40" i="1" s="1"/>
  <c r="I44" i="1"/>
  <c r="J45" i="1" s="1"/>
  <c r="AE44" i="1"/>
  <c r="BF44" i="1" s="1"/>
  <c r="BN43" i="1" s="1"/>
  <c r="Z44" i="1"/>
  <c r="AL44" i="1" s="1"/>
  <c r="K45" i="1"/>
  <c r="AF45" i="1" s="1"/>
  <c r="BI45" i="1"/>
  <c r="BQ41" i="1" s="1"/>
  <c r="BD45" i="1"/>
  <c r="BV41" i="1" s="1"/>
  <c r="AZ46" i="1"/>
  <c r="AI46" i="1"/>
  <c r="AD46" i="1"/>
  <c r="BC45" i="1" l="1"/>
  <c r="BU42" i="1" s="1"/>
  <c r="AK44" i="1"/>
  <c r="AM44" i="1" s="1"/>
  <c r="AY46" i="1"/>
  <c r="N47" i="1"/>
  <c r="AD47" i="1" s="1"/>
  <c r="AC46" i="1"/>
  <c r="CB40" i="1"/>
  <c r="CA40" i="1" s="1"/>
  <c r="BZ40" i="1" s="1"/>
  <c r="BY40" i="1" s="1"/>
  <c r="BX40" i="1" s="1"/>
  <c r="CC40" i="1" s="1"/>
  <c r="AA45" i="1"/>
  <c r="AW45" i="1"/>
  <c r="BG45" i="1" s="1"/>
  <c r="BO43" i="1" s="1"/>
  <c r="BA44" i="1"/>
  <c r="BS43" i="1" s="1"/>
  <c r="L46" i="1"/>
  <c r="AG46" i="1" s="1"/>
  <c r="H44" i="1"/>
  <c r="BL42" i="1"/>
  <c r="BE46" i="1"/>
  <c r="BW41" i="1" s="1"/>
  <c r="BJ46" i="1"/>
  <c r="BR41" i="1" s="1"/>
  <c r="AE45" i="1"/>
  <c r="K46" i="1"/>
  <c r="AV45" i="1"/>
  <c r="Z45" i="1"/>
  <c r="BD46" i="1" l="1"/>
  <c r="BV42" i="1" s="1"/>
  <c r="AZ47" i="1"/>
  <c r="BE47" i="1" s="1"/>
  <c r="BW42" i="1" s="1"/>
  <c r="BI46" i="1"/>
  <c r="BQ42" i="1" s="1"/>
  <c r="AI47" i="1"/>
  <c r="BL43" i="1" s="1"/>
  <c r="BB45" i="1"/>
  <c r="BT43" i="1" s="1"/>
  <c r="Q44" i="1"/>
  <c r="X44" i="1" s="1"/>
  <c r="M47" i="1"/>
  <c r="AB46" i="1"/>
  <c r="AX46" i="1"/>
  <c r="BH46" i="1" s="1"/>
  <c r="BP43" i="1" s="1"/>
  <c r="CB41" i="1"/>
  <c r="CA41" i="1" s="1"/>
  <c r="BZ41" i="1" s="1"/>
  <c r="BY41" i="1" s="1"/>
  <c r="BX41" i="1" s="1"/>
  <c r="CC41" i="1" s="1"/>
  <c r="AK45" i="1"/>
  <c r="AL45" i="1"/>
  <c r="H45" i="1"/>
  <c r="AF46" i="1"/>
  <c r="AA46" i="1"/>
  <c r="L47" i="1"/>
  <c r="AW46" i="1"/>
  <c r="BA45" i="1"/>
  <c r="BS44" i="1" s="1"/>
  <c r="BF45" i="1"/>
  <c r="BN44" i="1" s="1"/>
  <c r="BJ47" i="1" l="1"/>
  <c r="BR42" i="1" s="1"/>
  <c r="CB42" i="1" s="1"/>
  <c r="CA42" i="1" s="1"/>
  <c r="BZ42" i="1" s="1"/>
  <c r="BY42" i="1" s="1"/>
  <c r="BX42" i="1" s="1"/>
  <c r="CC42" i="1" s="1"/>
  <c r="BC46" i="1"/>
  <c r="BU43" i="1" s="1"/>
  <c r="I45" i="1"/>
  <c r="J46" i="1" s="1"/>
  <c r="AY47" i="1"/>
  <c r="N48" i="1"/>
  <c r="AI48" i="1" s="1"/>
  <c r="AH47" i="1"/>
  <c r="AC47" i="1"/>
  <c r="Q45" i="1"/>
  <c r="X45" i="1" s="1"/>
  <c r="AM45" i="1"/>
  <c r="BB46" i="1"/>
  <c r="BT44" i="1" s="1"/>
  <c r="BG46" i="1"/>
  <c r="BO44" i="1" s="1"/>
  <c r="AX47" i="1"/>
  <c r="AB47" i="1"/>
  <c r="AG47" i="1"/>
  <c r="M48" i="1"/>
  <c r="AD48" i="1" l="1"/>
  <c r="BL44" i="1" s="1"/>
  <c r="AZ48" i="1"/>
  <c r="Z46" i="1"/>
  <c r="AL46" i="1" s="1"/>
  <c r="K47" i="1"/>
  <c r="AA47" i="1" s="1"/>
  <c r="AV46" i="1"/>
  <c r="AE46" i="1"/>
  <c r="AK46" i="1" s="1"/>
  <c r="BI47" i="1"/>
  <c r="BQ43" i="1" s="1"/>
  <c r="BD47" i="1"/>
  <c r="BV43" i="1" s="1"/>
  <c r="I46" i="1"/>
  <c r="J47" i="1" s="1"/>
  <c r="AC48" i="1"/>
  <c r="AH48" i="1"/>
  <c r="N49" i="1"/>
  <c r="BH47" i="1"/>
  <c r="BP44" i="1" s="1"/>
  <c r="BC47" i="1"/>
  <c r="BU44" i="1" s="1"/>
  <c r="AY48" i="1"/>
  <c r="BF46" i="1" l="1"/>
  <c r="BN45" i="1" s="1"/>
  <c r="L48" i="1"/>
  <c r="M49" i="1" s="1"/>
  <c r="AF47" i="1"/>
  <c r="BE48" i="1"/>
  <c r="BW43" i="1" s="1"/>
  <c r="H46" i="1"/>
  <c r="Q46" i="1" s="1"/>
  <c r="X46" i="1" s="1"/>
  <c r="BJ48" i="1"/>
  <c r="BR43" i="1" s="1"/>
  <c r="AW47" i="1"/>
  <c r="BA46" i="1"/>
  <c r="BS45" i="1" s="1"/>
  <c r="AI49" i="1"/>
  <c r="AD49" i="1"/>
  <c r="AM46" i="1"/>
  <c r="K48" i="1"/>
  <c r="Z47" i="1"/>
  <c r="AE47" i="1"/>
  <c r="AV47" i="1"/>
  <c r="BB47" i="1"/>
  <c r="BT45" i="1" s="1"/>
  <c r="BD48" i="1"/>
  <c r="BV44" i="1" s="1"/>
  <c r="BI48" i="1"/>
  <c r="BQ44" i="1" s="1"/>
  <c r="AZ49" i="1"/>
  <c r="CB43" i="1" l="1"/>
  <c r="CA43" i="1" s="1"/>
  <c r="BZ43" i="1" s="1"/>
  <c r="BY43" i="1" s="1"/>
  <c r="BX43" i="1" s="1"/>
  <c r="CC43" i="1" s="1"/>
  <c r="AX48" i="1"/>
  <c r="AY49" i="1" s="1"/>
  <c r="AB48" i="1"/>
  <c r="AG48" i="1"/>
  <c r="BG47" i="1"/>
  <c r="BO45" i="1" s="1"/>
  <c r="I47" i="1"/>
  <c r="J48" i="1" s="1"/>
  <c r="BL45" i="1"/>
  <c r="BF47" i="1"/>
  <c r="BN46" i="1" s="1"/>
  <c r="BA47" i="1"/>
  <c r="BS46" i="1" s="1"/>
  <c r="AW48" i="1"/>
  <c r="L49" i="1"/>
  <c r="AA48" i="1"/>
  <c r="AF48" i="1"/>
  <c r="BE49" i="1"/>
  <c r="BW44" i="1" s="1"/>
  <c r="BJ49" i="1"/>
  <c r="BR44" i="1" s="1"/>
  <c r="N50" i="1"/>
  <c r="AC49" i="1"/>
  <c r="AH49" i="1"/>
  <c r="AK47" i="1"/>
  <c r="AL47" i="1"/>
  <c r="H47" i="1"/>
  <c r="BH48" i="1" l="1"/>
  <c r="BP45" i="1" s="1"/>
  <c r="BC48" i="1"/>
  <c r="BU45" i="1" s="1"/>
  <c r="AD50" i="1"/>
  <c r="AI50" i="1"/>
  <c r="AB49" i="1"/>
  <c r="M50" i="1"/>
  <c r="AG49" i="1"/>
  <c r="CB44" i="1"/>
  <c r="CA44" i="1" s="1"/>
  <c r="BZ44" i="1" s="1"/>
  <c r="BY44" i="1" s="1"/>
  <c r="BX44" i="1" s="1"/>
  <c r="CC44" i="1" s="1"/>
  <c r="BB48" i="1"/>
  <c r="BT46" i="1" s="1"/>
  <c r="BG48" i="1"/>
  <c r="BO46" i="1" s="1"/>
  <c r="AX49" i="1"/>
  <c r="AE48" i="1"/>
  <c r="K49" i="1"/>
  <c r="Z48" i="1"/>
  <c r="AV48" i="1"/>
  <c r="Q47" i="1"/>
  <c r="X47" i="1" s="1"/>
  <c r="AZ50" i="1"/>
  <c r="BD49" i="1"/>
  <c r="BV45" i="1" s="1"/>
  <c r="BI49" i="1"/>
  <c r="BQ45" i="1" s="1"/>
  <c r="AM47" i="1"/>
  <c r="I48" i="1" l="1"/>
  <c r="J49" i="1" s="1"/>
  <c r="BL46" i="1"/>
  <c r="AA49" i="1"/>
  <c r="L50" i="1"/>
  <c r="AF49" i="1"/>
  <c r="BF48" i="1"/>
  <c r="BN47" i="1" s="1"/>
  <c r="BA48" i="1"/>
  <c r="BS47" i="1" s="1"/>
  <c r="AW49" i="1"/>
  <c r="H48" i="1"/>
  <c r="AL48" i="1"/>
  <c r="BH49" i="1"/>
  <c r="BP46" i="1" s="1"/>
  <c r="BC49" i="1"/>
  <c r="BU46" i="1" s="1"/>
  <c r="AY50" i="1"/>
  <c r="AC50" i="1"/>
  <c r="AH50" i="1"/>
  <c r="N51" i="1"/>
  <c r="AK48" i="1"/>
  <c r="BE50" i="1"/>
  <c r="BW45" i="1" s="1"/>
  <c r="BJ50" i="1"/>
  <c r="BR45" i="1" s="1"/>
  <c r="AM48" i="1" l="1"/>
  <c r="CB45" i="1"/>
  <c r="CA45" i="1" s="1"/>
  <c r="BZ45" i="1" s="1"/>
  <c r="BY45" i="1" s="1"/>
  <c r="BX45" i="1" s="1"/>
  <c r="CC45" i="1" s="1"/>
  <c r="AD51" i="1"/>
  <c r="AI51" i="1"/>
  <c r="BD50" i="1"/>
  <c r="BV46" i="1" s="1"/>
  <c r="BI50" i="1"/>
  <c r="BQ46" i="1" s="1"/>
  <c r="AZ51" i="1"/>
  <c r="BG49" i="1"/>
  <c r="BO47" i="1" s="1"/>
  <c r="BB49" i="1"/>
  <c r="BT47" i="1" s="1"/>
  <c r="AX50" i="1"/>
  <c r="M51" i="1"/>
  <c r="AG50" i="1"/>
  <c r="AB50" i="1"/>
  <c r="Q48" i="1"/>
  <c r="X48" i="1" s="1"/>
  <c r="Z49" i="1"/>
  <c r="K50" i="1"/>
  <c r="AE49" i="1"/>
  <c r="AV49" i="1"/>
  <c r="I49" i="1" l="1"/>
  <c r="J50" i="1" s="1"/>
  <c r="BL47" i="1"/>
  <c r="AH51" i="1"/>
  <c r="N52" i="1"/>
  <c r="AC51" i="1"/>
  <c r="AK49" i="1"/>
  <c r="AL49" i="1"/>
  <c r="H49" i="1"/>
  <c r="BC50" i="1"/>
  <c r="BU47" i="1" s="1"/>
  <c r="AY51" i="1"/>
  <c r="BH50" i="1"/>
  <c r="BP47" i="1" s="1"/>
  <c r="BE51" i="1"/>
  <c r="BW46" i="1" s="1"/>
  <c r="BJ51" i="1"/>
  <c r="BR46" i="1" s="1"/>
  <c r="BF49" i="1"/>
  <c r="BN48" i="1" s="1"/>
  <c r="BA49" i="1"/>
  <c r="BS48" i="1" s="1"/>
  <c r="AW50" i="1"/>
  <c r="AA50" i="1"/>
  <c r="L51" i="1"/>
  <c r="AF50" i="1"/>
  <c r="CB46" i="1" l="1"/>
  <c r="CA46" i="1" s="1"/>
  <c r="BZ46" i="1" s="1"/>
  <c r="BY46" i="1" s="1"/>
  <c r="BX46" i="1" s="1"/>
  <c r="CC46" i="1" s="1"/>
  <c r="Q49" i="1"/>
  <c r="X49" i="1" s="1"/>
  <c r="Z50" i="1"/>
  <c r="AE50" i="1"/>
  <c r="K51" i="1"/>
  <c r="AV50" i="1"/>
  <c r="BD51" i="1"/>
  <c r="BV47" i="1" s="1"/>
  <c r="AZ52" i="1"/>
  <c r="BI51" i="1"/>
  <c r="BQ47" i="1" s="1"/>
  <c r="AI52" i="1"/>
  <c r="AD52" i="1"/>
  <c r="AM49" i="1"/>
  <c r="M52" i="1"/>
  <c r="AB51" i="1"/>
  <c r="AG51" i="1"/>
  <c r="BG50" i="1"/>
  <c r="BO48" i="1" s="1"/>
  <c r="BB50" i="1"/>
  <c r="BT48" i="1" s="1"/>
  <c r="AX51" i="1"/>
  <c r="I50" i="1" l="1"/>
  <c r="J51" i="1" s="1"/>
  <c r="AE51" i="1" s="1"/>
  <c r="BL48" i="1"/>
  <c r="BJ52" i="1"/>
  <c r="BR47" i="1" s="1"/>
  <c r="BE52" i="1"/>
  <c r="BW47" i="1" s="1"/>
  <c r="AL50" i="1"/>
  <c r="H50" i="1"/>
  <c r="BF50" i="1"/>
  <c r="BN49" i="1" s="1"/>
  <c r="BA50" i="1"/>
  <c r="BS49" i="1" s="1"/>
  <c r="AW51" i="1"/>
  <c r="AK50" i="1"/>
  <c r="N53" i="1"/>
  <c r="AH52" i="1"/>
  <c r="AC52" i="1"/>
  <c r="AA51" i="1"/>
  <c r="AF51" i="1"/>
  <c r="L52" i="1"/>
  <c r="BH51" i="1"/>
  <c r="BP48" i="1" s="1"/>
  <c r="AY52" i="1"/>
  <c r="BC51" i="1"/>
  <c r="BU48" i="1" s="1"/>
  <c r="K52" i="1" l="1"/>
  <c r="L53" i="1" s="1"/>
  <c r="Z51" i="1"/>
  <c r="H51" i="1" s="1"/>
  <c r="AV51" i="1"/>
  <c r="AM50" i="1"/>
  <c r="AI53" i="1"/>
  <c r="AD53" i="1"/>
  <c r="BI52" i="1"/>
  <c r="BQ48" i="1" s="1"/>
  <c r="BD52" i="1"/>
  <c r="BV48" i="1" s="1"/>
  <c r="AZ53" i="1"/>
  <c r="AK51" i="1"/>
  <c r="BG51" i="1"/>
  <c r="BO49" i="1" s="1"/>
  <c r="BB51" i="1"/>
  <c r="BT49" i="1" s="1"/>
  <c r="AX52" i="1"/>
  <c r="AG52" i="1"/>
  <c r="AB52" i="1"/>
  <c r="M53" i="1"/>
  <c r="CB47" i="1"/>
  <c r="CA47" i="1" s="1"/>
  <c r="BZ47" i="1" s="1"/>
  <c r="BY47" i="1" s="1"/>
  <c r="BX47" i="1" s="1"/>
  <c r="CC47" i="1" s="1"/>
  <c r="Q50" i="1"/>
  <c r="X50" i="1" s="1"/>
  <c r="I51" i="1" l="1"/>
  <c r="J52" i="1" s="1"/>
  <c r="AW52" i="1"/>
  <c r="AX53" i="1" s="1"/>
  <c r="AL51" i="1"/>
  <c r="AM51" i="1" s="1"/>
  <c r="BA51" i="1"/>
  <c r="BS50" i="1" s="1"/>
  <c r="BF51" i="1"/>
  <c r="BN50" i="1" s="1"/>
  <c r="AA52" i="1"/>
  <c r="AF52" i="1"/>
  <c r="BL49" i="1"/>
  <c r="BC52" i="1"/>
  <c r="BU49" i="1" s="1"/>
  <c r="AY53" i="1"/>
  <c r="BH52" i="1"/>
  <c r="BP49" i="1" s="1"/>
  <c r="Q51" i="1"/>
  <c r="X51" i="1" s="1"/>
  <c r="M54" i="1"/>
  <c r="AB53" i="1"/>
  <c r="AG53" i="1"/>
  <c r="AH53" i="1"/>
  <c r="AC53" i="1"/>
  <c r="N54" i="1"/>
  <c r="BE53" i="1"/>
  <c r="BW48" i="1" s="1"/>
  <c r="BJ53" i="1"/>
  <c r="BR48" i="1" s="1"/>
  <c r="I52" i="1" l="1"/>
  <c r="J53" i="1" s="1"/>
  <c r="AV53" i="1" s="1"/>
  <c r="BG52" i="1"/>
  <c r="BO50" i="1" s="1"/>
  <c r="BB52" i="1"/>
  <c r="BT50" i="1" s="1"/>
  <c r="CB48" i="1"/>
  <c r="CA48" i="1" s="1"/>
  <c r="BZ48" i="1" s="1"/>
  <c r="BY48" i="1" s="1"/>
  <c r="BX48" i="1" s="1"/>
  <c r="CC48" i="1" s="1"/>
  <c r="AI54" i="1"/>
  <c r="AD54" i="1"/>
  <c r="BC53" i="1"/>
  <c r="BU50" i="1" s="1"/>
  <c r="AY54" i="1"/>
  <c r="BH53" i="1"/>
  <c r="BP50" i="1" s="1"/>
  <c r="K53" i="1"/>
  <c r="Z52" i="1"/>
  <c r="AE52" i="1"/>
  <c r="AV52" i="1"/>
  <c r="BI53" i="1"/>
  <c r="BQ49" i="1" s="1"/>
  <c r="AZ54" i="1"/>
  <c r="BD53" i="1"/>
  <c r="BV49" i="1" s="1"/>
  <c r="N55" i="1"/>
  <c r="AH54" i="1"/>
  <c r="AC54" i="1"/>
  <c r="K54" i="1" l="1"/>
  <c r="AA54" i="1" s="1"/>
  <c r="AE53" i="1"/>
  <c r="BF53" i="1" s="1"/>
  <c r="BN52" i="1" s="1"/>
  <c r="Z53" i="1"/>
  <c r="BA53" i="1" s="1"/>
  <c r="BS52" i="1" s="1"/>
  <c r="BL50" i="1"/>
  <c r="AA53" i="1"/>
  <c r="L54" i="1"/>
  <c r="AF53" i="1"/>
  <c r="BF52" i="1"/>
  <c r="BN51" i="1" s="1"/>
  <c r="AW53" i="1"/>
  <c r="BA52" i="1"/>
  <c r="BS51" i="1" s="1"/>
  <c r="BD54" i="1"/>
  <c r="BI54" i="1"/>
  <c r="AZ55" i="1"/>
  <c r="AK52" i="1"/>
  <c r="BE54" i="1"/>
  <c r="BJ54" i="1"/>
  <c r="AL52" i="1"/>
  <c r="H52" i="1"/>
  <c r="AD55" i="1"/>
  <c r="AI55" i="1"/>
  <c r="AM52" i="1" l="1"/>
  <c r="AK53" i="1"/>
  <c r="H53" i="1"/>
  <c r="Q53" i="1" s="1"/>
  <c r="X53" i="1" s="1"/>
  <c r="AL53" i="1"/>
  <c r="L55" i="1"/>
  <c r="AB55" i="1" s="1"/>
  <c r="AW54" i="1"/>
  <c r="AF54" i="1"/>
  <c r="BL51" i="1"/>
  <c r="BV50" i="1"/>
  <c r="BD4" i="1"/>
  <c r="Q52" i="1"/>
  <c r="X52" i="1" s="1"/>
  <c r="BG53" i="1"/>
  <c r="BO51" i="1" s="1"/>
  <c r="BB53" i="1"/>
  <c r="BT51" i="1" s="1"/>
  <c r="AX54" i="1"/>
  <c r="BR49" i="1"/>
  <c r="BE5" i="1"/>
  <c r="BE6" i="1"/>
  <c r="BW49" i="1"/>
  <c r="BE4" i="1"/>
  <c r="BE55" i="1"/>
  <c r="BW50" i="1" s="1"/>
  <c r="BJ55" i="1"/>
  <c r="BR50" i="1" s="1"/>
  <c r="BQ50" i="1"/>
  <c r="BD5" i="1"/>
  <c r="BD6" i="1"/>
  <c r="AG54" i="1"/>
  <c r="AB54" i="1"/>
  <c r="M55" i="1"/>
  <c r="AM53" i="1" l="1"/>
  <c r="I53" i="1"/>
  <c r="J54" i="1" s="1"/>
  <c r="AV54" i="1" s="1"/>
  <c r="I54" i="1"/>
  <c r="J55" i="1" s="1"/>
  <c r="BG54" i="1"/>
  <c r="BB6" i="1" s="1"/>
  <c r="AG55" i="1"/>
  <c r="M56" i="1"/>
  <c r="AC56" i="1" s="1"/>
  <c r="AX55" i="1"/>
  <c r="BC55" i="1" s="1"/>
  <c r="BU52" i="1" s="1"/>
  <c r="BB54" i="1"/>
  <c r="BT52" i="1" s="1"/>
  <c r="CB50" i="1"/>
  <c r="CA50" i="1" s="1"/>
  <c r="BZ50" i="1" s="1"/>
  <c r="BY50" i="1" s="1"/>
  <c r="BX50" i="1" s="1"/>
  <c r="CC50" i="1" s="1"/>
  <c r="CB49" i="1"/>
  <c r="CA49" i="1" s="1"/>
  <c r="BZ49" i="1" s="1"/>
  <c r="BY49" i="1" s="1"/>
  <c r="BX49" i="1" s="1"/>
  <c r="CC49" i="1" s="1"/>
  <c r="N56" i="1"/>
  <c r="AC55" i="1"/>
  <c r="AH55" i="1"/>
  <c r="BC54" i="1"/>
  <c r="BH54" i="1"/>
  <c r="AY55" i="1"/>
  <c r="BB5" i="1" l="1"/>
  <c r="BO52" i="1"/>
  <c r="AE54" i="1"/>
  <c r="BF54" i="1" s="1"/>
  <c r="K55" i="1"/>
  <c r="AW55" i="1" s="1"/>
  <c r="Z54" i="1"/>
  <c r="BA54" i="1" s="1"/>
  <c r="BB4" i="1"/>
  <c r="AY56" i="1"/>
  <c r="BH55" i="1"/>
  <c r="BP52" i="1" s="1"/>
  <c r="AH56" i="1"/>
  <c r="N57" i="1"/>
  <c r="AI57" i="1" s="1"/>
  <c r="AE55" i="1"/>
  <c r="K56" i="1"/>
  <c r="AV55" i="1"/>
  <c r="Z55" i="1"/>
  <c r="BI55" i="1"/>
  <c r="BQ51" i="1" s="1"/>
  <c r="BD55" i="1"/>
  <c r="BV51" i="1" s="1"/>
  <c r="AZ56" i="1"/>
  <c r="BP51" i="1"/>
  <c r="BC5" i="1"/>
  <c r="BC6" i="1"/>
  <c r="AI56" i="1"/>
  <c r="AD56" i="1"/>
  <c r="BU51" i="1"/>
  <c r="BC4" i="1"/>
  <c r="H54" i="1" l="1"/>
  <c r="Q54" i="1" s="1"/>
  <c r="X54" i="1" s="1"/>
  <c r="AL54" i="1"/>
  <c r="AF55" i="1"/>
  <c r="BG55" i="1" s="1"/>
  <c r="BO53" i="1" s="1"/>
  <c r="AA55" i="1"/>
  <c r="BB55" i="1" s="1"/>
  <c r="BT53" i="1" s="1"/>
  <c r="L56" i="1"/>
  <c r="AX56" i="1" s="1"/>
  <c r="AK54" i="1"/>
  <c r="AD57" i="1"/>
  <c r="AZ57" i="1"/>
  <c r="BJ57" i="1" s="1"/>
  <c r="BR52" i="1" s="1"/>
  <c r="BD56" i="1"/>
  <c r="BV52" i="1" s="1"/>
  <c r="BI56" i="1"/>
  <c r="BQ52" i="1" s="1"/>
  <c r="BL52" i="1"/>
  <c r="BN53" i="1"/>
  <c r="BA6" i="1"/>
  <c r="AA56" i="1"/>
  <c r="AF56" i="1"/>
  <c r="L57" i="1"/>
  <c r="BF55" i="1"/>
  <c r="BN54" i="1" s="1"/>
  <c r="BA55" i="1"/>
  <c r="BS54" i="1" s="1"/>
  <c r="AW56" i="1"/>
  <c r="BS53" i="1"/>
  <c r="BA4" i="1"/>
  <c r="BE56" i="1"/>
  <c r="BW51" i="1" s="1"/>
  <c r="BJ56" i="1"/>
  <c r="BR51" i="1" s="1"/>
  <c r="AM54" i="1" l="1"/>
  <c r="M57" i="1"/>
  <c r="AC57" i="1" s="1"/>
  <c r="AB56" i="1"/>
  <c r="BC56" i="1" s="1"/>
  <c r="BU53" i="1" s="1"/>
  <c r="AG56" i="1"/>
  <c r="BH56" i="1" s="1"/>
  <c r="BP53" i="1" s="1"/>
  <c r="H55" i="1"/>
  <c r="Q55" i="1" s="1"/>
  <c r="X55" i="1" s="1"/>
  <c r="AK55" i="1"/>
  <c r="AL55" i="1"/>
  <c r="I55" i="1"/>
  <c r="J56" i="1" s="1"/>
  <c r="BE57" i="1"/>
  <c r="BW52" i="1" s="1"/>
  <c r="CB52" i="1" s="1"/>
  <c r="CA52" i="1" s="1"/>
  <c r="BZ52" i="1" s="1"/>
  <c r="BY52" i="1" s="1"/>
  <c r="BX52" i="1" s="1"/>
  <c r="CC52" i="1" s="1"/>
  <c r="BL53" i="1"/>
  <c r="CB51" i="1"/>
  <c r="CA51" i="1" s="1"/>
  <c r="BZ51" i="1" s="1"/>
  <c r="BY51" i="1" s="1"/>
  <c r="BX51" i="1" s="1"/>
  <c r="CC51" i="1" s="1"/>
  <c r="AB57" i="1"/>
  <c r="AG57" i="1"/>
  <c r="M58" i="1"/>
  <c r="AX57" i="1"/>
  <c r="BG56" i="1"/>
  <c r="BO54" i="1" s="1"/>
  <c r="BB56" i="1"/>
  <c r="BT54" i="1" s="1"/>
  <c r="AY57" i="1" l="1"/>
  <c r="BD57" i="1" s="1"/>
  <c r="BV53" i="1" s="1"/>
  <c r="AH57" i="1"/>
  <c r="N58" i="1"/>
  <c r="AD58" i="1" s="1"/>
  <c r="AM55" i="1"/>
  <c r="I56" i="1"/>
  <c r="J57" i="1" s="1"/>
  <c r="BH57" i="1"/>
  <c r="BP54" i="1" s="1"/>
  <c r="BC57" i="1"/>
  <c r="BU54" i="1" s="1"/>
  <c r="AY58" i="1"/>
  <c r="Z56" i="1"/>
  <c r="AE56" i="1"/>
  <c r="K57" i="1"/>
  <c r="AV56" i="1"/>
  <c r="AH58" i="1"/>
  <c r="N59" i="1"/>
  <c r="AC58" i="1"/>
  <c r="BI57" i="1" l="1"/>
  <c r="BQ53" i="1" s="1"/>
  <c r="AZ58" i="1"/>
  <c r="BE58" i="1" s="1"/>
  <c r="BW53" i="1" s="1"/>
  <c r="AI58" i="1"/>
  <c r="AA57" i="1"/>
  <c r="AF57" i="1"/>
  <c r="L58" i="1"/>
  <c r="AW57" i="1"/>
  <c r="BA56" i="1"/>
  <c r="BS55" i="1" s="1"/>
  <c r="BF56" i="1"/>
  <c r="BN55" i="1" s="1"/>
  <c r="AK56" i="1"/>
  <c r="BI58" i="1"/>
  <c r="BQ54" i="1" s="1"/>
  <c r="BD58" i="1"/>
  <c r="BV54" i="1" s="1"/>
  <c r="AZ59" i="1"/>
  <c r="K58" i="1"/>
  <c r="Z57" i="1"/>
  <c r="AV57" i="1"/>
  <c r="AE57" i="1"/>
  <c r="AL56" i="1"/>
  <c r="H56" i="1"/>
  <c r="AD59" i="1"/>
  <c r="AI59" i="1"/>
  <c r="BL54" i="1" l="1"/>
  <c r="BJ58" i="1"/>
  <c r="BR53" i="1" s="1"/>
  <c r="CB53" i="1" s="1"/>
  <c r="CA53" i="1" s="1"/>
  <c r="BZ53" i="1" s="1"/>
  <c r="BY53" i="1" s="1"/>
  <c r="BX53" i="1" s="1"/>
  <c r="CC53" i="1" s="1"/>
  <c r="AM56" i="1"/>
  <c r="BL55" i="1"/>
  <c r="L59" i="1"/>
  <c r="AF58" i="1"/>
  <c r="AA58" i="1"/>
  <c r="H57" i="1"/>
  <c r="AL57" i="1"/>
  <c r="BJ59" i="1"/>
  <c r="BR54" i="1" s="1"/>
  <c r="BE59" i="1"/>
  <c r="BW54" i="1" s="1"/>
  <c r="BG57" i="1"/>
  <c r="BO55" i="1" s="1"/>
  <c r="AX58" i="1"/>
  <c r="BB57" i="1"/>
  <c r="BT55" i="1" s="1"/>
  <c r="AB58" i="1"/>
  <c r="M59" i="1"/>
  <c r="AG58" i="1"/>
  <c r="Q56" i="1"/>
  <c r="X56" i="1" s="1"/>
  <c r="AK57" i="1"/>
  <c r="BF57" i="1"/>
  <c r="BN56" i="1" s="1"/>
  <c r="AW58" i="1"/>
  <c r="BA57" i="1"/>
  <c r="BS56" i="1" s="1"/>
  <c r="I57" i="1" l="1"/>
  <c r="J58" i="1" s="1"/>
  <c r="K59" i="1" s="1"/>
  <c r="CB54" i="1"/>
  <c r="CA54" i="1" s="1"/>
  <c r="BZ54" i="1" s="1"/>
  <c r="BY54" i="1" s="1"/>
  <c r="BX54" i="1" s="1"/>
  <c r="CC54" i="1" s="1"/>
  <c r="AC59" i="1"/>
  <c r="N60" i="1"/>
  <c r="AH59" i="1"/>
  <c r="BG58" i="1"/>
  <c r="BO56" i="1" s="1"/>
  <c r="BB58" i="1"/>
  <c r="BT56" i="1" s="1"/>
  <c r="AX59" i="1"/>
  <c r="AM57" i="1"/>
  <c r="AY59" i="1"/>
  <c r="BH58" i="1"/>
  <c r="BP55" i="1" s="1"/>
  <c r="BC58" i="1"/>
  <c r="BU55" i="1" s="1"/>
  <c r="Q57" i="1"/>
  <c r="X57" i="1" s="1"/>
  <c r="AG59" i="1"/>
  <c r="M60" i="1"/>
  <c r="AB59" i="1"/>
  <c r="I58" i="1" l="1"/>
  <c r="J59" i="1" s="1"/>
  <c r="AE58" i="1"/>
  <c r="G2" i="1" s="1"/>
  <c r="AV58" i="1"/>
  <c r="AW59" i="1" s="1"/>
  <c r="Z58" i="1"/>
  <c r="AL58" i="1" s="1"/>
  <c r="BC59" i="1"/>
  <c r="BU56" i="1" s="1"/>
  <c r="BH59" i="1"/>
  <c r="BP56" i="1" s="1"/>
  <c r="AY60" i="1"/>
  <c r="AD60" i="1"/>
  <c r="AI60" i="1"/>
  <c r="AH60" i="1"/>
  <c r="AC60" i="1"/>
  <c r="N61" i="1"/>
  <c r="AA59" i="1"/>
  <c r="AF59" i="1"/>
  <c r="L60" i="1"/>
  <c r="BI59" i="1"/>
  <c r="BQ55" i="1" s="1"/>
  <c r="AZ60" i="1"/>
  <c r="BD59" i="1"/>
  <c r="BV55" i="1" s="1"/>
  <c r="AK58" i="1" l="1"/>
  <c r="AM58" i="1" s="1"/>
  <c r="BF58" i="1"/>
  <c r="BN57" i="1" s="1"/>
  <c r="H58" i="1"/>
  <c r="BA58" i="1"/>
  <c r="BS57" i="1" s="1"/>
  <c r="BL56" i="1"/>
  <c r="AI61" i="1"/>
  <c r="AD61" i="1"/>
  <c r="AB60" i="1"/>
  <c r="M61" i="1"/>
  <c r="AG60" i="1"/>
  <c r="BB59" i="1"/>
  <c r="BT57" i="1" s="1"/>
  <c r="BG59" i="1"/>
  <c r="BO57" i="1" s="1"/>
  <c r="AX60" i="1"/>
  <c r="BJ60" i="1"/>
  <c r="BR55" i="1" s="1"/>
  <c r="BE60" i="1"/>
  <c r="BW55" i="1" s="1"/>
  <c r="Z59" i="1"/>
  <c r="K60" i="1"/>
  <c r="AE59" i="1"/>
  <c r="AV59" i="1"/>
  <c r="BD60" i="1"/>
  <c r="BV56" i="1" s="1"/>
  <c r="AZ61" i="1"/>
  <c r="BI60" i="1"/>
  <c r="BQ56" i="1" s="1"/>
  <c r="Q58" i="1" l="1"/>
  <c r="X58" i="1" s="1"/>
  <c r="BL57" i="1"/>
  <c r="AL59" i="1"/>
  <c r="B45" i="1" s="1"/>
  <c r="H59" i="1"/>
  <c r="AC61" i="1"/>
  <c r="AH61" i="1"/>
  <c r="N62" i="1"/>
  <c r="CB55" i="1"/>
  <c r="CA55" i="1" s="1"/>
  <c r="BZ55" i="1" s="1"/>
  <c r="BY55" i="1" s="1"/>
  <c r="BX55" i="1" s="1"/>
  <c r="CC55" i="1" s="1"/>
  <c r="BE61" i="1"/>
  <c r="BW56" i="1" s="1"/>
  <c r="BJ61" i="1"/>
  <c r="BR56" i="1" s="1"/>
  <c r="BA59" i="1"/>
  <c r="BS58" i="1" s="1"/>
  <c r="AW60" i="1"/>
  <c r="BF59" i="1"/>
  <c r="BN58" i="1" s="1"/>
  <c r="L61" i="1"/>
  <c r="AF60" i="1"/>
  <c r="AA60" i="1"/>
  <c r="BC60" i="1"/>
  <c r="BU57" i="1" s="1"/>
  <c r="BH60" i="1"/>
  <c r="BP57" i="1" s="1"/>
  <c r="AY61" i="1"/>
  <c r="AK59" i="1"/>
  <c r="I59" i="1" l="1"/>
  <c r="J60" i="1" s="1"/>
  <c r="AM59" i="1"/>
  <c r="CB56" i="1"/>
  <c r="CA56" i="1" s="1"/>
  <c r="BZ56" i="1" s="1"/>
  <c r="BY56" i="1" s="1"/>
  <c r="BX56" i="1" s="1"/>
  <c r="CC56" i="1" s="1"/>
  <c r="M62" i="1"/>
  <c r="AG61" i="1"/>
  <c r="AB61" i="1"/>
  <c r="BG60" i="1"/>
  <c r="BO58" i="1" s="1"/>
  <c r="AX61" i="1"/>
  <c r="BB60" i="1"/>
  <c r="BT58" i="1" s="1"/>
  <c r="Q59" i="1"/>
  <c r="X59" i="1" s="1"/>
  <c r="AD62" i="1"/>
  <c r="AI62" i="1"/>
  <c r="BD61" i="1"/>
  <c r="BV57" i="1" s="1"/>
  <c r="BI61" i="1"/>
  <c r="BQ57" i="1" s="1"/>
  <c r="AZ62" i="1"/>
  <c r="K61" i="1" l="1"/>
  <c r="L62" i="1" s="1"/>
  <c r="Z60" i="1"/>
  <c r="AL60" i="1" s="1"/>
  <c r="AV60" i="1"/>
  <c r="AE60" i="1"/>
  <c r="AK60" i="1" s="1"/>
  <c r="I60" i="1"/>
  <c r="J61" i="1" s="1"/>
  <c r="BL58" i="1"/>
  <c r="BH61" i="1"/>
  <c r="BP58" i="1" s="1"/>
  <c r="AY62" i="1"/>
  <c r="BC61" i="1"/>
  <c r="BU58" i="1" s="1"/>
  <c r="BE62" i="1"/>
  <c r="BW57" i="1" s="1"/>
  <c r="BJ62" i="1"/>
  <c r="BR57" i="1" s="1"/>
  <c r="AH62" i="1"/>
  <c r="N63" i="1"/>
  <c r="AC62" i="1"/>
  <c r="BA60" i="1" l="1"/>
  <c r="BS59" i="1" s="1"/>
  <c r="H60" i="1"/>
  <c r="Q60" i="1" s="1"/>
  <c r="X60" i="1" s="1"/>
  <c r="AF61" i="1"/>
  <c r="AA61" i="1"/>
  <c r="BF60" i="1"/>
  <c r="BN59" i="1" s="1"/>
  <c r="AW61" i="1"/>
  <c r="AM60" i="1"/>
  <c r="BI62" i="1"/>
  <c r="BQ58" i="1" s="1"/>
  <c r="BD62" i="1"/>
  <c r="BV58" i="1" s="1"/>
  <c r="AZ63" i="1"/>
  <c r="AD63" i="1"/>
  <c r="AI63" i="1"/>
  <c r="M63" i="1"/>
  <c r="AG62" i="1"/>
  <c r="AB62" i="1"/>
  <c r="K62" i="1"/>
  <c r="AE61" i="1"/>
  <c r="Z61" i="1"/>
  <c r="AV61" i="1"/>
  <c r="CB57" i="1"/>
  <c r="CA57" i="1" s="1"/>
  <c r="BZ57" i="1" s="1"/>
  <c r="BY57" i="1" s="1"/>
  <c r="BX57" i="1" s="1"/>
  <c r="CC57" i="1" s="1"/>
  <c r="BG61" i="1" l="1"/>
  <c r="BO59" i="1" s="1"/>
  <c r="AX62" i="1"/>
  <c r="AY63" i="1" s="1"/>
  <c r="BB61" i="1"/>
  <c r="BT59" i="1" s="1"/>
  <c r="I61" i="1"/>
  <c r="J62" i="1" s="1"/>
  <c r="Z62" i="1" s="1"/>
  <c r="BL59" i="1"/>
  <c r="AK61" i="1"/>
  <c r="BE63" i="1"/>
  <c r="BW58" i="1" s="1"/>
  <c r="BJ63" i="1"/>
  <c r="BR58" i="1" s="1"/>
  <c r="L63" i="1"/>
  <c r="AA62" i="1"/>
  <c r="AF62" i="1"/>
  <c r="AC63" i="1"/>
  <c r="AH63" i="1"/>
  <c r="N64" i="1"/>
  <c r="AL61" i="1"/>
  <c r="H61" i="1"/>
  <c r="BF61" i="1"/>
  <c r="BN60" i="1" s="1"/>
  <c r="BA61" i="1"/>
  <c r="BS60" i="1" s="1"/>
  <c r="AW62" i="1"/>
  <c r="BC62" i="1" l="1"/>
  <c r="BU59" i="1" s="1"/>
  <c r="BH62" i="1"/>
  <c r="BP59" i="1" s="1"/>
  <c r="AV62" i="1"/>
  <c r="BA62" i="1" s="1"/>
  <c r="BS61" i="1" s="1"/>
  <c r="AE62" i="1"/>
  <c r="AK62" i="1" s="1"/>
  <c r="K63" i="1"/>
  <c r="L64" i="1" s="1"/>
  <c r="CB58" i="1"/>
  <c r="CA58" i="1" s="1"/>
  <c r="BZ58" i="1" s="1"/>
  <c r="BY58" i="1" s="1"/>
  <c r="BX58" i="1" s="1"/>
  <c r="CC58" i="1" s="1"/>
  <c r="Q61" i="1"/>
  <c r="X61" i="1" s="1"/>
  <c r="AD64" i="1"/>
  <c r="AI64" i="1"/>
  <c r="BB62" i="1"/>
  <c r="BT60" i="1" s="1"/>
  <c r="BG62" i="1"/>
  <c r="BO60" i="1" s="1"/>
  <c r="AX63" i="1"/>
  <c r="AM61" i="1"/>
  <c r="AL62" i="1"/>
  <c r="H62" i="1"/>
  <c r="M64" i="1"/>
  <c r="AG63" i="1"/>
  <c r="AB63" i="1"/>
  <c r="AZ64" i="1"/>
  <c r="BI63" i="1"/>
  <c r="BQ59" i="1" s="1"/>
  <c r="BD63" i="1"/>
  <c r="BV59" i="1" s="1"/>
  <c r="AF63" i="1" l="1"/>
  <c r="AA63" i="1"/>
  <c r="AW63" i="1"/>
  <c r="AX64" i="1" s="1"/>
  <c r="I62" i="1"/>
  <c r="J63" i="1" s="1"/>
  <c r="K64" i="1" s="1"/>
  <c r="BF62" i="1"/>
  <c r="BN61" i="1" s="1"/>
  <c r="BL60" i="1"/>
  <c r="AM62" i="1"/>
  <c r="AY64" i="1"/>
  <c r="BC63" i="1"/>
  <c r="BU60" i="1" s="1"/>
  <c r="BH63" i="1"/>
  <c r="BP60" i="1" s="1"/>
  <c r="BJ64" i="1"/>
  <c r="BR59" i="1" s="1"/>
  <c r="BE64" i="1"/>
  <c r="BW59" i="1" s="1"/>
  <c r="M65" i="1"/>
  <c r="AG64" i="1"/>
  <c r="AB64" i="1"/>
  <c r="N65" i="1"/>
  <c r="AC64" i="1"/>
  <c r="AH64" i="1"/>
  <c r="Q62" i="1"/>
  <c r="X62" i="1" s="1"/>
  <c r="BG63" i="1" l="1"/>
  <c r="BO61" i="1" s="1"/>
  <c r="BB63" i="1"/>
  <c r="BT61" i="1" s="1"/>
  <c r="I63" i="1"/>
  <c r="J64" i="1" s="1"/>
  <c r="AV63" i="1"/>
  <c r="AW64" i="1" s="1"/>
  <c r="Z63" i="1"/>
  <c r="AE63" i="1"/>
  <c r="AK63" i="1" s="1"/>
  <c r="AD65" i="1"/>
  <c r="AI65" i="1"/>
  <c r="N66" i="1"/>
  <c r="AH65" i="1"/>
  <c r="AC65" i="1"/>
  <c r="CB59" i="1"/>
  <c r="CA59" i="1" s="1"/>
  <c r="BZ59" i="1" s="1"/>
  <c r="BY59" i="1" s="1"/>
  <c r="BX59" i="1" s="1"/>
  <c r="CC59" i="1" s="1"/>
  <c r="BD64" i="1"/>
  <c r="BV60" i="1" s="1"/>
  <c r="AZ65" i="1"/>
  <c r="BI64" i="1"/>
  <c r="BQ60" i="1" s="1"/>
  <c r="BH64" i="1"/>
  <c r="BP61" i="1" s="1"/>
  <c r="BC64" i="1"/>
  <c r="BU61" i="1" s="1"/>
  <c r="AY65" i="1"/>
  <c r="L65" i="1"/>
  <c r="AF64" i="1"/>
  <c r="AA64" i="1"/>
  <c r="BF63" i="1" l="1"/>
  <c r="BN62" i="1" s="1"/>
  <c r="BA63" i="1"/>
  <c r="BS62" i="1" s="1"/>
  <c r="AL63" i="1"/>
  <c r="AM63" i="1" s="1"/>
  <c r="H63" i="1"/>
  <c r="BL61" i="1"/>
  <c r="BE65" i="1"/>
  <c r="BW60" i="1" s="1"/>
  <c r="BJ65" i="1"/>
  <c r="BR60" i="1" s="1"/>
  <c r="K65" i="1"/>
  <c r="Z64" i="1"/>
  <c r="AV64" i="1"/>
  <c r="AE64" i="1"/>
  <c r="BG64" i="1"/>
  <c r="BO62" i="1" s="1"/>
  <c r="BB64" i="1"/>
  <c r="BT62" i="1" s="1"/>
  <c r="AX65" i="1"/>
  <c r="BD65" i="1"/>
  <c r="BV61" i="1" s="1"/>
  <c r="AZ66" i="1"/>
  <c r="BI65" i="1"/>
  <c r="BQ61" i="1" s="1"/>
  <c r="AD66" i="1"/>
  <c r="AI66" i="1"/>
  <c r="AB65" i="1"/>
  <c r="AG65" i="1"/>
  <c r="M66" i="1"/>
  <c r="Q63" i="1" l="1"/>
  <c r="X63" i="1" s="1"/>
  <c r="BL62" i="1"/>
  <c r="N67" i="1"/>
  <c r="AH66" i="1"/>
  <c r="AC66" i="1"/>
  <c r="AK64" i="1"/>
  <c r="BA64" i="1"/>
  <c r="BS63" i="1" s="1"/>
  <c r="BF64" i="1"/>
  <c r="BN63" i="1" s="1"/>
  <c r="AW65" i="1"/>
  <c r="L66" i="1"/>
  <c r="AF65" i="1"/>
  <c r="AA65" i="1"/>
  <c r="BE66" i="1"/>
  <c r="BW61" i="1" s="1"/>
  <c r="BJ66" i="1"/>
  <c r="BR61" i="1" s="1"/>
  <c r="BH65" i="1"/>
  <c r="BP62" i="1" s="1"/>
  <c r="BC65" i="1"/>
  <c r="BU62" i="1" s="1"/>
  <c r="AY66" i="1"/>
  <c r="AL64" i="1"/>
  <c r="H64" i="1"/>
  <c r="CB60" i="1"/>
  <c r="CA60" i="1" s="1"/>
  <c r="BZ60" i="1" s="1"/>
  <c r="BY60" i="1" s="1"/>
  <c r="BX60" i="1" s="1"/>
  <c r="CC60" i="1" s="1"/>
  <c r="I64" i="1" l="1"/>
  <c r="J65" i="1" s="1"/>
  <c r="AM64" i="1"/>
  <c r="AB66" i="1"/>
  <c r="AG66" i="1"/>
  <c r="M67" i="1"/>
  <c r="AD67" i="1"/>
  <c r="AI67" i="1"/>
  <c r="CB61" i="1"/>
  <c r="CA61" i="1" s="1"/>
  <c r="BZ61" i="1" s="1"/>
  <c r="BY61" i="1" s="1"/>
  <c r="BX61" i="1" s="1"/>
  <c r="CC61" i="1" s="1"/>
  <c r="BB65" i="1"/>
  <c r="BT63" i="1" s="1"/>
  <c r="BG65" i="1"/>
  <c r="BO63" i="1" s="1"/>
  <c r="AX66" i="1"/>
  <c r="Q64" i="1"/>
  <c r="X64" i="1" s="1"/>
  <c r="BD66" i="1"/>
  <c r="BV62" i="1" s="1"/>
  <c r="BI66" i="1"/>
  <c r="BQ62" i="1" s="1"/>
  <c r="AZ67" i="1"/>
  <c r="Z65" i="1" l="1"/>
  <c r="AL65" i="1" s="1"/>
  <c r="AE65" i="1"/>
  <c r="K66" i="1"/>
  <c r="AA66" i="1" s="1"/>
  <c r="AV65" i="1"/>
  <c r="I65" i="1"/>
  <c r="J66" i="1" s="1"/>
  <c r="BL63" i="1"/>
  <c r="BH66" i="1"/>
  <c r="BP63" i="1" s="1"/>
  <c r="AY67" i="1"/>
  <c r="BC66" i="1"/>
  <c r="BU63" i="1" s="1"/>
  <c r="N68" i="1"/>
  <c r="AC67" i="1"/>
  <c r="AH67" i="1"/>
  <c r="BJ67" i="1"/>
  <c r="BR62" i="1" s="1"/>
  <c r="BE67" i="1"/>
  <c r="BW62" i="1" s="1"/>
  <c r="AW66" i="1" l="1"/>
  <c r="BB66" i="1" s="1"/>
  <c r="BT64" i="1" s="1"/>
  <c r="BF65" i="1"/>
  <c r="BN64" i="1" s="1"/>
  <c r="AK65" i="1"/>
  <c r="AM65" i="1" s="1"/>
  <c r="H65" i="1"/>
  <c r="Q65" i="1" s="1"/>
  <c r="X65" i="1" s="1"/>
  <c r="BA65" i="1"/>
  <c r="BS64" i="1" s="1"/>
  <c r="L67" i="1"/>
  <c r="M68" i="1" s="1"/>
  <c r="AF66" i="1"/>
  <c r="CB62" i="1"/>
  <c r="CA62" i="1" s="1"/>
  <c r="BZ62" i="1" s="1"/>
  <c r="BY62" i="1" s="1"/>
  <c r="BX62" i="1" s="1"/>
  <c r="CC62" i="1" s="1"/>
  <c r="BI67" i="1"/>
  <c r="BQ63" i="1" s="1"/>
  <c r="BD67" i="1"/>
  <c r="BV63" i="1" s="1"/>
  <c r="AZ68" i="1"/>
  <c r="AD68" i="1"/>
  <c r="AI68" i="1"/>
  <c r="K67" i="1"/>
  <c r="Z66" i="1"/>
  <c r="AE66" i="1"/>
  <c r="AV66" i="1"/>
  <c r="AB67" i="1" l="1"/>
  <c r="AG67" i="1"/>
  <c r="BG66" i="1"/>
  <c r="BO64" i="1" s="1"/>
  <c r="AX67" i="1"/>
  <c r="I66" i="1"/>
  <c r="J67" i="1" s="1"/>
  <c r="BL64" i="1"/>
  <c r="AA67" i="1"/>
  <c r="AF67" i="1"/>
  <c r="L68" i="1"/>
  <c r="N69" i="1"/>
  <c r="AC68" i="1"/>
  <c r="AH68" i="1"/>
  <c r="AK66" i="1"/>
  <c r="BE68" i="1"/>
  <c r="BW63" i="1" s="1"/>
  <c r="BJ68" i="1"/>
  <c r="BR63" i="1" s="1"/>
  <c r="BA66" i="1"/>
  <c r="BS65" i="1" s="1"/>
  <c r="AW67" i="1"/>
  <c r="BF66" i="1"/>
  <c r="BN65" i="1" s="1"/>
  <c r="AL66" i="1"/>
  <c r="H66" i="1"/>
  <c r="BH67" i="1" l="1"/>
  <c r="BP64" i="1" s="1"/>
  <c r="BC67" i="1"/>
  <c r="BU64" i="1" s="1"/>
  <c r="AY68" i="1"/>
  <c r="BD68" i="1" s="1"/>
  <c r="BV64" i="1" s="1"/>
  <c r="AM66" i="1"/>
  <c r="CB63" i="1"/>
  <c r="CA63" i="1" s="1"/>
  <c r="BZ63" i="1" s="1"/>
  <c r="BY63" i="1" s="1"/>
  <c r="BX63" i="1" s="1"/>
  <c r="CC63" i="1" s="1"/>
  <c r="Z67" i="1"/>
  <c r="K68" i="1"/>
  <c r="AE67" i="1"/>
  <c r="AV67" i="1"/>
  <c r="AI69" i="1"/>
  <c r="AD69" i="1"/>
  <c r="B51" i="1"/>
  <c r="Q66" i="1"/>
  <c r="X66" i="1" s="1"/>
  <c r="AB68" i="1"/>
  <c r="M69" i="1"/>
  <c r="AG68" i="1"/>
  <c r="BB67" i="1"/>
  <c r="BT65" i="1" s="1"/>
  <c r="AX68" i="1"/>
  <c r="BG67" i="1"/>
  <c r="BO65" i="1" s="1"/>
  <c r="BI68" i="1" l="1"/>
  <c r="BQ64" i="1" s="1"/>
  <c r="AZ69" i="1"/>
  <c r="BE69" i="1" s="1"/>
  <c r="BW64" i="1" s="1"/>
  <c r="I67" i="1"/>
  <c r="J68" i="1" s="1"/>
  <c r="BL65" i="1"/>
  <c r="AK67" i="1"/>
  <c r="AC69" i="1"/>
  <c r="N70" i="1"/>
  <c r="AH69" i="1"/>
  <c r="AF68" i="1"/>
  <c r="AA68" i="1"/>
  <c r="L69" i="1"/>
  <c r="BA67" i="1"/>
  <c r="BS66" i="1" s="1"/>
  <c r="AW68" i="1"/>
  <c r="BF67" i="1"/>
  <c r="BN66" i="1" s="1"/>
  <c r="BC68" i="1"/>
  <c r="BU65" i="1" s="1"/>
  <c r="AY69" i="1"/>
  <c r="BH68" i="1"/>
  <c r="BP65" i="1" s="1"/>
  <c r="AL67" i="1"/>
  <c r="H67" i="1"/>
  <c r="BJ69" i="1" l="1"/>
  <c r="BR64" i="1" s="1"/>
  <c r="CB64" i="1" s="1"/>
  <c r="CA64" i="1" s="1"/>
  <c r="BZ64" i="1" s="1"/>
  <c r="BY64" i="1" s="1"/>
  <c r="BX64" i="1" s="1"/>
  <c r="CC64" i="1" s="1"/>
  <c r="BB68" i="1"/>
  <c r="BT66" i="1" s="1"/>
  <c r="AX69" i="1"/>
  <c r="BG68" i="1"/>
  <c r="BO66" i="1" s="1"/>
  <c r="AG69" i="1"/>
  <c r="AB69" i="1"/>
  <c r="M70" i="1"/>
  <c r="AD70" i="1"/>
  <c r="AI70" i="1"/>
  <c r="Z68" i="1"/>
  <c r="K69" i="1"/>
  <c r="AE68" i="1"/>
  <c r="AV68" i="1"/>
  <c r="Q67" i="1"/>
  <c r="X67" i="1" s="1"/>
  <c r="AM67" i="1"/>
  <c r="BD69" i="1"/>
  <c r="BV65" i="1" s="1"/>
  <c r="BI69" i="1"/>
  <c r="BQ65" i="1" s="1"/>
  <c r="AZ70" i="1"/>
  <c r="I68" i="1" l="1"/>
  <c r="J69" i="1" s="1"/>
  <c r="BL66" i="1"/>
  <c r="AK68" i="1"/>
  <c r="AL68" i="1"/>
  <c r="H68" i="1"/>
  <c r="AH70" i="1"/>
  <c r="AC70" i="1"/>
  <c r="N71" i="1"/>
  <c r="AA69" i="1"/>
  <c r="L70" i="1"/>
  <c r="AF69" i="1"/>
  <c r="BE70" i="1"/>
  <c r="BW65" i="1" s="1"/>
  <c r="BJ70" i="1"/>
  <c r="BR65" i="1" s="1"/>
  <c r="BA68" i="1"/>
  <c r="BS67" i="1" s="1"/>
  <c r="BF68" i="1"/>
  <c r="BN67" i="1" s="1"/>
  <c r="AW69" i="1"/>
  <c r="BC69" i="1"/>
  <c r="BU66" i="1" s="1"/>
  <c r="BH69" i="1"/>
  <c r="BP66" i="1" s="1"/>
  <c r="AY70" i="1"/>
  <c r="CB65" i="1" l="1"/>
  <c r="CA65" i="1" s="1"/>
  <c r="BZ65" i="1" s="1"/>
  <c r="BY65" i="1" s="1"/>
  <c r="BX65" i="1" s="1"/>
  <c r="CC65" i="1" s="1"/>
  <c r="Q68" i="1"/>
  <c r="X68" i="1" s="1"/>
  <c r="BI70" i="1"/>
  <c r="BQ66" i="1" s="1"/>
  <c r="AZ71" i="1"/>
  <c r="BD70" i="1"/>
  <c r="BV66" i="1" s="1"/>
  <c r="BB69" i="1"/>
  <c r="BT67" i="1" s="1"/>
  <c r="BG69" i="1"/>
  <c r="BO67" i="1" s="1"/>
  <c r="AX70" i="1"/>
  <c r="AG70" i="1"/>
  <c r="AB70" i="1"/>
  <c r="M71" i="1"/>
  <c r="AI71" i="1"/>
  <c r="AD71" i="1"/>
  <c r="K70" i="1"/>
  <c r="AE69" i="1"/>
  <c r="AV69" i="1"/>
  <c r="Z69" i="1"/>
  <c r="AM68" i="1"/>
  <c r="I69" i="1" l="1"/>
  <c r="J70" i="1" s="1"/>
  <c r="AV70" i="1" s="1"/>
  <c r="BL67" i="1"/>
  <c r="BF69" i="1"/>
  <c r="BN68" i="1" s="1"/>
  <c r="BA69" i="1"/>
  <c r="BS68" i="1" s="1"/>
  <c r="AW70" i="1"/>
  <c r="N72" i="1"/>
  <c r="AC71" i="1"/>
  <c r="AH71" i="1"/>
  <c r="BH70" i="1"/>
  <c r="BP67" i="1" s="1"/>
  <c r="AY71" i="1"/>
  <c r="BC70" i="1"/>
  <c r="BU67" i="1" s="1"/>
  <c r="BE71" i="1"/>
  <c r="BW66" i="1" s="1"/>
  <c r="BJ71" i="1"/>
  <c r="BR66" i="1" s="1"/>
  <c r="AK69" i="1"/>
  <c r="AL69" i="1"/>
  <c r="H69" i="1"/>
  <c r="AF70" i="1"/>
  <c r="L71" i="1"/>
  <c r="AA70" i="1"/>
  <c r="K71" i="1" l="1"/>
  <c r="AF71" i="1" s="1"/>
  <c r="AE70" i="1"/>
  <c r="BF70" i="1" s="1"/>
  <c r="BN69" i="1" s="1"/>
  <c r="Z70" i="1"/>
  <c r="AL70" i="1" s="1"/>
  <c r="CB66" i="1"/>
  <c r="CA66" i="1" s="1"/>
  <c r="BZ66" i="1" s="1"/>
  <c r="BY66" i="1" s="1"/>
  <c r="BX66" i="1" s="1"/>
  <c r="CC66" i="1" s="1"/>
  <c r="BI71" i="1"/>
  <c r="BQ67" i="1" s="1"/>
  <c r="BD71" i="1"/>
  <c r="BV67" i="1" s="1"/>
  <c r="AZ72" i="1"/>
  <c r="AG71" i="1"/>
  <c r="M72" i="1"/>
  <c r="AB71" i="1"/>
  <c r="AD72" i="1"/>
  <c r="AI72" i="1"/>
  <c r="Q69" i="1"/>
  <c r="X69" i="1" s="1"/>
  <c r="BB70" i="1"/>
  <c r="BT68" i="1" s="1"/>
  <c r="AX71" i="1"/>
  <c r="BG70" i="1"/>
  <c r="BO68" i="1" s="1"/>
  <c r="AM69" i="1"/>
  <c r="I70" i="1" l="1"/>
  <c r="J71" i="1" s="1"/>
  <c r="AV71" i="1" s="1"/>
  <c r="AA71" i="1"/>
  <c r="AW71" i="1"/>
  <c r="BG71" i="1" s="1"/>
  <c r="BO69" i="1" s="1"/>
  <c r="L72" i="1"/>
  <c r="AB72" i="1" s="1"/>
  <c r="AK70" i="1"/>
  <c r="AM70" i="1" s="1"/>
  <c r="H70" i="1"/>
  <c r="BA70" i="1"/>
  <c r="BS69" i="1" s="1"/>
  <c r="BL68" i="1"/>
  <c r="AH72" i="1"/>
  <c r="AC72" i="1"/>
  <c r="N73" i="1"/>
  <c r="BE72" i="1"/>
  <c r="BW67" i="1" s="1"/>
  <c r="BJ72" i="1"/>
  <c r="BR67" i="1" s="1"/>
  <c r="BC71" i="1"/>
  <c r="BU68" i="1" s="1"/>
  <c r="BH71" i="1"/>
  <c r="BP68" i="1" s="1"/>
  <c r="AY72" i="1"/>
  <c r="AG72" i="1" l="1"/>
  <c r="M73" i="1"/>
  <c r="AH73" i="1" s="1"/>
  <c r="Q70" i="1"/>
  <c r="X70" i="1" s="1"/>
  <c r="BB71" i="1"/>
  <c r="BT69" i="1" s="1"/>
  <c r="AX72" i="1"/>
  <c r="BC72" i="1" s="1"/>
  <c r="BU69" i="1" s="1"/>
  <c r="K72" i="1"/>
  <c r="AW72" i="1" s="1"/>
  <c r="Z71" i="1"/>
  <c r="AL71" i="1" s="1"/>
  <c r="AE71" i="1"/>
  <c r="BF71" i="1" s="1"/>
  <c r="BN70" i="1" s="1"/>
  <c r="CB67" i="1"/>
  <c r="CA67" i="1" s="1"/>
  <c r="BZ67" i="1" s="1"/>
  <c r="BY67" i="1" s="1"/>
  <c r="BX67" i="1" s="1"/>
  <c r="CC67" i="1" s="1"/>
  <c r="BI72" i="1"/>
  <c r="BQ68" i="1" s="1"/>
  <c r="BD72" i="1"/>
  <c r="BV68" i="1" s="1"/>
  <c r="AZ73" i="1"/>
  <c r="AI73" i="1"/>
  <c r="AD73" i="1"/>
  <c r="AA72" i="1" l="1"/>
  <c r="BB72" i="1" s="1"/>
  <c r="BT70" i="1" s="1"/>
  <c r="L73" i="1"/>
  <c r="AX73" i="1" s="1"/>
  <c r="AF72" i="1"/>
  <c r="BG72" i="1" s="1"/>
  <c r="BO70" i="1" s="1"/>
  <c r="N74" i="1"/>
  <c r="AD74" i="1" s="1"/>
  <c r="AC73" i="1"/>
  <c r="I71" i="1"/>
  <c r="J72" i="1" s="1"/>
  <c r="AY73" i="1"/>
  <c r="BH72" i="1"/>
  <c r="BP69" i="1" s="1"/>
  <c r="BA71" i="1"/>
  <c r="BS70" i="1" s="1"/>
  <c r="H71" i="1"/>
  <c r="AK71" i="1"/>
  <c r="AM71" i="1" s="1"/>
  <c r="BL69" i="1"/>
  <c r="BE73" i="1"/>
  <c r="BW68" i="1" s="1"/>
  <c r="BJ73" i="1"/>
  <c r="BR68" i="1" s="1"/>
  <c r="AG73" i="1" l="1"/>
  <c r="BH73" i="1" s="1"/>
  <c r="BP70" i="1" s="1"/>
  <c r="AB73" i="1"/>
  <c r="BC73" i="1" s="1"/>
  <c r="BU70" i="1" s="1"/>
  <c r="M74" i="1"/>
  <c r="AH74" i="1" s="1"/>
  <c r="AI74" i="1"/>
  <c r="BL70" i="1" s="1"/>
  <c r="AZ74" i="1"/>
  <c r="BE74" i="1" s="1"/>
  <c r="BW69" i="1" s="1"/>
  <c r="AV72" i="1"/>
  <c r="AE72" i="1"/>
  <c r="AK72" i="1" s="1"/>
  <c r="Z72" i="1"/>
  <c r="H72" i="1" s="1"/>
  <c r="K73" i="1"/>
  <c r="AA73" i="1" s="1"/>
  <c r="Q71" i="1"/>
  <c r="X71" i="1" s="1"/>
  <c r="BD73" i="1"/>
  <c r="BV69" i="1" s="1"/>
  <c r="BI73" i="1"/>
  <c r="BQ69" i="1" s="1"/>
  <c r="CB68" i="1"/>
  <c r="CA68" i="1" s="1"/>
  <c r="BZ68" i="1" s="1"/>
  <c r="BY68" i="1" s="1"/>
  <c r="BX68" i="1" s="1"/>
  <c r="CC68" i="1" s="1"/>
  <c r="AY74" i="1" l="1"/>
  <c r="BI74" i="1" s="1"/>
  <c r="BQ70" i="1" s="1"/>
  <c r="N75" i="1"/>
  <c r="AC74" i="1"/>
  <c r="BJ74" i="1"/>
  <c r="BR69" i="1" s="1"/>
  <c r="CB69" i="1" s="1"/>
  <c r="CA69" i="1" s="1"/>
  <c r="BZ69" i="1" s="1"/>
  <c r="BY69" i="1" s="1"/>
  <c r="BX69" i="1" s="1"/>
  <c r="CC69" i="1" s="1"/>
  <c r="AF73" i="1"/>
  <c r="L74" i="1"/>
  <c r="M75" i="1" s="1"/>
  <c r="AH75" i="1" s="1"/>
  <c r="AL72" i="1"/>
  <c r="AM72" i="1" s="1"/>
  <c r="AW73" i="1"/>
  <c r="BB73" i="1" s="1"/>
  <c r="BT71" i="1" s="1"/>
  <c r="BF72" i="1"/>
  <c r="BN71" i="1" s="1"/>
  <c r="BA72" i="1"/>
  <c r="BS71" i="1" s="1"/>
  <c r="I72" i="1"/>
  <c r="J73" i="1" s="1"/>
  <c r="Q72" i="1"/>
  <c r="X72" i="1" s="1"/>
  <c r="BD74" i="1" l="1"/>
  <c r="BV70" i="1" s="1"/>
  <c r="AZ75" i="1"/>
  <c r="AI75" i="1"/>
  <c r="AD75" i="1"/>
  <c r="N76" i="1"/>
  <c r="AI76" i="1" s="1"/>
  <c r="AG74" i="1"/>
  <c r="AB74" i="1"/>
  <c r="AC75" i="1"/>
  <c r="AX74" i="1"/>
  <c r="AY75" i="1" s="1"/>
  <c r="BI75" i="1" s="1"/>
  <c r="BQ71" i="1" s="1"/>
  <c r="BG73" i="1"/>
  <c r="BO71" i="1" s="1"/>
  <c r="K74" i="1"/>
  <c r="AE73" i="1"/>
  <c r="AK73" i="1" s="1"/>
  <c r="Z73" i="1"/>
  <c r="H73" i="1" s="1"/>
  <c r="Q73" i="1" s="1"/>
  <c r="X73" i="1" s="1"/>
  <c r="AV73" i="1"/>
  <c r="I73" i="1"/>
  <c r="J74" i="1" s="1"/>
  <c r="BE75" i="1" l="1"/>
  <c r="BW70" i="1" s="1"/>
  <c r="BL71" i="1"/>
  <c r="BJ75" i="1"/>
  <c r="BR70" i="1" s="1"/>
  <c r="AD76" i="1"/>
  <c r="BL72" i="1" s="1"/>
  <c r="AZ76" i="1"/>
  <c r="BJ76" i="1" s="1"/>
  <c r="BR71" i="1" s="1"/>
  <c r="BD75" i="1"/>
  <c r="BV71" i="1" s="1"/>
  <c r="BH74" i="1"/>
  <c r="BP71" i="1" s="1"/>
  <c r="BC74" i="1"/>
  <c r="BU71" i="1" s="1"/>
  <c r="AL73" i="1"/>
  <c r="AM73" i="1" s="1"/>
  <c r="BA73" i="1"/>
  <c r="BS72" i="1" s="1"/>
  <c r="AW74" i="1"/>
  <c r="BF73" i="1"/>
  <c r="BN72" i="1" s="1"/>
  <c r="AE74" i="1"/>
  <c r="K75" i="1"/>
  <c r="AA75" i="1" s="1"/>
  <c r="AV74" i="1"/>
  <c r="Z74" i="1"/>
  <c r="I74" i="1"/>
  <c r="J75" i="1" s="1"/>
  <c r="AA74" i="1"/>
  <c r="AF74" i="1"/>
  <c r="L75" i="1"/>
  <c r="CB70" i="1" l="1"/>
  <c r="CA70" i="1" s="1"/>
  <c r="BZ70" i="1" s="1"/>
  <c r="BY70" i="1" s="1"/>
  <c r="BX70" i="1" s="1"/>
  <c r="CC70" i="1" s="1"/>
  <c r="BE76" i="1"/>
  <c r="BW71" i="1" s="1"/>
  <c r="CB71" i="1" s="1"/>
  <c r="CA71" i="1" s="1"/>
  <c r="BZ71" i="1" s="1"/>
  <c r="BY71" i="1" s="1"/>
  <c r="BX71" i="1" s="1"/>
  <c r="CC71" i="1" s="1"/>
  <c r="AW75" i="1"/>
  <c r="BB75" i="1" s="1"/>
  <c r="BT73" i="1" s="1"/>
  <c r="L76" i="1"/>
  <c r="AB76" i="1" s="1"/>
  <c r="AF75" i="1"/>
  <c r="BA74" i="1"/>
  <c r="BS73" i="1" s="1"/>
  <c r="BF74" i="1"/>
  <c r="BN73" i="1" s="1"/>
  <c r="BG74" i="1"/>
  <c r="BO72" i="1" s="1"/>
  <c r="BB74" i="1"/>
  <c r="BT72" i="1" s="1"/>
  <c r="H74" i="1"/>
  <c r="Q74" i="1" s="1"/>
  <c r="X74" i="1" s="1"/>
  <c r="M76" i="1"/>
  <c r="AG75" i="1"/>
  <c r="AX75" i="1"/>
  <c r="AB75" i="1"/>
  <c r="AL74" i="1"/>
  <c r="AK74" i="1"/>
  <c r="K76" i="1"/>
  <c r="AV75" i="1"/>
  <c r="AE75" i="1"/>
  <c r="Z75" i="1"/>
  <c r="BG75" i="1" l="1"/>
  <c r="BO73" i="1" s="1"/>
  <c r="M77" i="1"/>
  <c r="N78" i="1" s="1"/>
  <c r="AD78" i="1" s="1"/>
  <c r="AX76" i="1"/>
  <c r="BC76" i="1" s="1"/>
  <c r="BU73" i="1" s="1"/>
  <c r="AG76" i="1"/>
  <c r="AM74" i="1"/>
  <c r="I75" i="1"/>
  <c r="J76" i="1" s="1"/>
  <c r="K77" i="1" s="1"/>
  <c r="BC75" i="1"/>
  <c r="BU72" i="1" s="1"/>
  <c r="AY76" i="1"/>
  <c r="BH75" i="1"/>
  <c r="BP72" i="1" s="1"/>
  <c r="N77" i="1"/>
  <c r="AC76" i="1"/>
  <c r="AH76" i="1"/>
  <c r="AA76" i="1"/>
  <c r="AF76" i="1"/>
  <c r="L77" i="1"/>
  <c r="AL75" i="1"/>
  <c r="H75" i="1"/>
  <c r="AK75" i="1"/>
  <c r="AW76" i="1"/>
  <c r="BA75" i="1"/>
  <c r="BS74" i="1" s="1"/>
  <c r="BF75" i="1"/>
  <c r="BN74" i="1" s="1"/>
  <c r="BH76" i="1" l="1"/>
  <c r="BP73" i="1" s="1"/>
  <c r="AY77" i="1"/>
  <c r="AZ78" i="1" s="1"/>
  <c r="BE78" i="1" s="1"/>
  <c r="BW73" i="1" s="1"/>
  <c r="AC77" i="1"/>
  <c r="AH77" i="1"/>
  <c r="AI78" i="1"/>
  <c r="Z76" i="1"/>
  <c r="H76" i="1" s="1"/>
  <c r="AV76" i="1"/>
  <c r="AW77" i="1" s="1"/>
  <c r="AD77" i="1"/>
  <c r="AI77" i="1"/>
  <c r="AE76" i="1"/>
  <c r="AK76" i="1" s="1"/>
  <c r="AZ77" i="1"/>
  <c r="BD76" i="1"/>
  <c r="BV72" i="1" s="1"/>
  <c r="BI76" i="1"/>
  <c r="BQ72" i="1" s="1"/>
  <c r="AM75" i="1"/>
  <c r="L78" i="1"/>
  <c r="AF77" i="1"/>
  <c r="AA77" i="1"/>
  <c r="BB76" i="1"/>
  <c r="BT74" i="1" s="1"/>
  <c r="AX77" i="1"/>
  <c r="BG76" i="1"/>
  <c r="BO74" i="1" s="1"/>
  <c r="AB77" i="1"/>
  <c r="AG77" i="1"/>
  <c r="M78" i="1"/>
  <c r="Q75" i="1"/>
  <c r="X75" i="1" s="1"/>
  <c r="BL74" i="1" l="1"/>
  <c r="BI77" i="1"/>
  <c r="BQ73" i="1" s="1"/>
  <c r="BD77" i="1"/>
  <c r="BV73" i="1" s="1"/>
  <c r="BJ78" i="1"/>
  <c r="BR73" i="1" s="1"/>
  <c r="CB73" i="1" s="1"/>
  <c r="AL76" i="1"/>
  <c r="AM76" i="1" s="1"/>
  <c r="BL73" i="1"/>
  <c r="BF76" i="1"/>
  <c r="BN75" i="1" s="1"/>
  <c r="BA76" i="1"/>
  <c r="BS75" i="1" s="1"/>
  <c r="BJ77" i="1"/>
  <c r="BR72" i="1" s="1"/>
  <c r="BE77" i="1"/>
  <c r="BW72" i="1" s="1"/>
  <c r="I76" i="1"/>
  <c r="J77" i="1" s="1"/>
  <c r="Z77" i="1" s="1"/>
  <c r="AB78" i="1"/>
  <c r="M79" i="1"/>
  <c r="AG78" i="1"/>
  <c r="Q76" i="1"/>
  <c r="X76" i="1" s="1"/>
  <c r="BC77" i="1"/>
  <c r="BU74" i="1" s="1"/>
  <c r="BH77" i="1"/>
  <c r="BP74" i="1" s="1"/>
  <c r="AY78" i="1"/>
  <c r="BB77" i="1"/>
  <c r="BT75" i="1" s="1"/>
  <c r="BG77" i="1"/>
  <c r="BO75" i="1" s="1"/>
  <c r="AX78" i="1"/>
  <c r="N79" i="1"/>
  <c r="AH78" i="1"/>
  <c r="AC78" i="1"/>
  <c r="CA73" i="1" l="1"/>
  <c r="BZ73" i="1" s="1"/>
  <c r="BY73" i="1" s="1"/>
  <c r="BX73" i="1" s="1"/>
  <c r="CC73" i="1" s="1"/>
  <c r="I77" i="1"/>
  <c r="J78" i="1" s="1"/>
  <c r="CB72" i="1"/>
  <c r="CA72" i="1" s="1"/>
  <c r="BZ72" i="1" s="1"/>
  <c r="BY72" i="1" s="1"/>
  <c r="BX72" i="1" s="1"/>
  <c r="CC72" i="1" s="1"/>
  <c r="AV77" i="1"/>
  <c r="BA77" i="1" s="1"/>
  <c r="BS76" i="1" s="1"/>
  <c r="AE77" i="1"/>
  <c r="K78" i="1"/>
  <c r="BH78" i="1"/>
  <c r="BP75" i="1" s="1"/>
  <c r="BC78" i="1"/>
  <c r="BU75" i="1" s="1"/>
  <c r="AY79" i="1"/>
  <c r="BD78" i="1"/>
  <c r="BV74" i="1" s="1"/>
  <c r="BI78" i="1"/>
  <c r="BQ74" i="1" s="1"/>
  <c r="AZ79" i="1"/>
  <c r="AC79" i="1"/>
  <c r="AH79" i="1"/>
  <c r="AL77" i="1"/>
  <c r="H77" i="1"/>
  <c r="AI79" i="1"/>
  <c r="AD79" i="1"/>
  <c r="AW78" i="1" l="1"/>
  <c r="L79" i="1"/>
  <c r="AG79" i="1" s="1"/>
  <c r="BF77" i="1"/>
  <c r="BN76" i="1" s="1"/>
  <c r="AA78" i="1"/>
  <c r="AF78" i="1"/>
  <c r="AK77" i="1"/>
  <c r="AM77" i="1" s="1"/>
  <c r="BL76" i="1"/>
  <c r="BL75" i="1"/>
  <c r="Q77" i="1"/>
  <c r="X77" i="1" s="1"/>
  <c r="BE79" i="1"/>
  <c r="BW74" i="1" s="1"/>
  <c r="BJ79" i="1"/>
  <c r="BR74" i="1" s="1"/>
  <c r="Z78" i="1"/>
  <c r="AV78" i="1"/>
  <c r="K79" i="1"/>
  <c r="AE78" i="1"/>
  <c r="BD79" i="1"/>
  <c r="BV75" i="1" s="1"/>
  <c r="BI79" i="1"/>
  <c r="BQ75" i="1" s="1"/>
  <c r="I78" i="1" l="1"/>
  <c r="J79" i="1" s="1"/>
  <c r="BG78" i="1"/>
  <c r="BO76" i="1" s="1"/>
  <c r="BB78" i="1"/>
  <c r="BT76" i="1" s="1"/>
  <c r="AX79" i="1"/>
  <c r="BH79" i="1" s="1"/>
  <c r="BP76" i="1" s="1"/>
  <c r="AB79" i="1"/>
  <c r="BL77" i="1" s="1"/>
  <c r="CB74" i="1"/>
  <c r="CA74" i="1" s="1"/>
  <c r="BZ74" i="1" s="1"/>
  <c r="BY74" i="1" s="1"/>
  <c r="BX74" i="1" s="1"/>
  <c r="CC74" i="1" s="1"/>
  <c r="CA75" i="1"/>
  <c r="BZ75" i="1" s="1"/>
  <c r="BY75" i="1" s="1"/>
  <c r="BX75" i="1" s="1"/>
  <c r="CC75" i="1" s="1"/>
  <c r="AK78" i="1"/>
  <c r="AW79" i="1"/>
  <c r="BA78" i="1"/>
  <c r="BS77" i="1" s="1"/>
  <c r="BF78" i="1"/>
  <c r="BN77" i="1" s="1"/>
  <c r="AF79" i="1"/>
  <c r="AA79" i="1"/>
  <c r="H78" i="1"/>
  <c r="AL78" i="1"/>
  <c r="BC79" i="1" l="1"/>
  <c r="BU76" i="1" s="1"/>
  <c r="BZ76" i="1" s="1"/>
  <c r="BY76" i="1" s="1"/>
  <c r="BX76" i="1" s="1"/>
  <c r="CC76" i="1" s="1"/>
  <c r="BL78" i="1"/>
  <c r="Q78" i="1"/>
  <c r="X78" i="1" s="1"/>
  <c r="BB79" i="1"/>
  <c r="BT77" i="1" s="1"/>
  <c r="BG79" i="1"/>
  <c r="BO77" i="1" s="1"/>
  <c r="AV79" i="1"/>
  <c r="Z79" i="1"/>
  <c r="AE79" i="1"/>
  <c r="AM78" i="1"/>
  <c r="I79" i="1" l="1"/>
  <c r="BY77" i="1"/>
  <c r="BX77" i="1" s="1"/>
  <c r="CC77" i="1" s="1"/>
  <c r="BL79" i="1"/>
  <c r="AK79" i="1"/>
  <c r="AL79" i="1"/>
  <c r="H79" i="1"/>
  <c r="Q79" i="1" s="1"/>
  <c r="X79" i="1" s="1"/>
  <c r="BF79" i="1"/>
  <c r="BN78" i="1" s="1"/>
  <c r="BA79" i="1"/>
  <c r="BS78" i="1" s="1"/>
  <c r="BX78" i="1" l="1"/>
  <c r="CC78" i="1" s="1"/>
  <c r="B30" i="1"/>
  <c r="AM79" i="1"/>
</calcChain>
</file>

<file path=xl/sharedStrings.xml><?xml version="1.0" encoding="utf-8"?>
<sst xmlns="http://schemas.openxmlformats.org/spreadsheetml/2006/main" count="259" uniqueCount="244">
  <si>
    <t>Mo</t>
  </si>
  <si>
    <t>vul</t>
  </si>
  <si>
    <t>mat</t>
  </si>
  <si>
    <t>fec</t>
  </si>
  <si>
    <t>Lo</t>
  </si>
  <si>
    <t>Year</t>
  </si>
  <si>
    <t>Eggs</t>
  </si>
  <si>
    <t>F</t>
  </si>
  <si>
    <t>EPRo</t>
  </si>
  <si>
    <t>MeUnf</t>
  </si>
  <si>
    <t>Ro</t>
  </si>
  <si>
    <t>MeMin</t>
  </si>
  <si>
    <t>So</t>
  </si>
  <si>
    <t>SPRo</t>
  </si>
  <si>
    <t>Mden</t>
  </si>
  <si>
    <t>Eo</t>
  </si>
  <si>
    <t>Ssum</t>
  </si>
  <si>
    <t>ln(CR)</t>
  </si>
  <si>
    <t>Ftest</t>
  </si>
  <si>
    <t>M1</t>
  </si>
  <si>
    <t>M2</t>
  </si>
  <si>
    <t>M3</t>
  </si>
  <si>
    <t>M4</t>
  </si>
  <si>
    <t>M5</t>
  </si>
  <si>
    <t>total mortality rates by life stage-age</t>
  </si>
  <si>
    <t>fishing rate</t>
  </si>
  <si>
    <t>Predicted spawners at age</t>
  </si>
  <si>
    <t>S age 1</t>
  </si>
  <si>
    <t>S age 2</t>
  </si>
  <si>
    <t>S age 3</t>
  </si>
  <si>
    <t>S age 4</t>
  </si>
  <si>
    <t>S age 5</t>
  </si>
  <si>
    <t>C age 1</t>
  </si>
  <si>
    <t>C age 2</t>
  </si>
  <si>
    <t>C age 3</t>
  </si>
  <si>
    <t>C age 4</t>
  </si>
  <si>
    <t>C age 5</t>
  </si>
  <si>
    <t>Predicted catches at age</t>
  </si>
  <si>
    <t>Catch</t>
  </si>
  <si>
    <t>Spawners</t>
  </si>
  <si>
    <t>C/(C+E)</t>
  </si>
  <si>
    <t>PSC U</t>
  </si>
  <si>
    <t>Basic derived population parameters</t>
  </si>
  <si>
    <t>unfished eggs per smolt</t>
  </si>
  <si>
    <t>Unfished egg-smolt mortality rate</t>
  </si>
  <si>
    <t>Minimum egg-smolt mortality low pop</t>
  </si>
  <si>
    <t>Unfished spawners per smolt</t>
  </si>
  <si>
    <t>Unfished smolts</t>
  </si>
  <si>
    <t>Unfished annual egg production</t>
  </si>
  <si>
    <t>Ricker model "b" (density) parameter</t>
  </si>
  <si>
    <t>Summer survival from June-spawning time</t>
  </si>
  <si>
    <t>Test Fishing mortality rate, fully vulnerable ages</t>
  </si>
  <si>
    <t>yr after spawning</t>
  </si>
  <si>
    <t>M egg-smolt</t>
  </si>
  <si>
    <t>M0</t>
  </si>
  <si>
    <t xml:space="preserve">late spring/early summer Numbers at year,age </t>
  </si>
  <si>
    <t>unfished M</t>
  </si>
  <si>
    <t>Unfished lifecycle total M</t>
  </si>
  <si>
    <t>Equilibrium catch vs F</t>
  </si>
  <si>
    <t>Ricker a (decrease in egg-smolt M at low spawner densities)</t>
  </si>
  <si>
    <t>Expected lifecycle M to replace a spawner</t>
  </si>
  <si>
    <t>exp unf. M</t>
  </si>
  <si>
    <t>exp Ric a</t>
  </si>
  <si>
    <t>Hilborn-Walters predicted Ricker a</t>
  </si>
  <si>
    <t>MSR</t>
  </si>
  <si>
    <t>calculated marine survival rate (also SPRo)</t>
  </si>
  <si>
    <t>Rinit</t>
  </si>
  <si>
    <t>first year ratio of recruitment to Ro</t>
  </si>
  <si>
    <t>need to estimate from CWT data</t>
  </si>
  <si>
    <t>baseline mortality rates at age</t>
  </si>
  <si>
    <t>Mortality covariates</t>
  </si>
  <si>
    <t>seal N</t>
  </si>
  <si>
    <t>hatchery rel</t>
  </si>
  <si>
    <t>Temperature</t>
  </si>
  <si>
    <t>Mseal</t>
  </si>
  <si>
    <t>Mtemp</t>
  </si>
  <si>
    <t>added M due to seals at seal N=40000</t>
  </si>
  <si>
    <t>Mhatch</t>
  </si>
  <si>
    <t>added M at hatchery release 30 million</t>
  </si>
  <si>
    <t>added M at temperature&gt;14.5</t>
  </si>
  <si>
    <t>1. seal N from age model fit to Olesiuk seal data</t>
  </si>
  <si>
    <t>2. SOG hatchery releases from DFO</t>
  </si>
  <si>
    <t>3. Sea surface temperature from Chrome, Entrance DFO data</t>
  </si>
  <si>
    <t>age 1 N</t>
  </si>
  <si>
    <t>age 2 N</t>
  </si>
  <si>
    <t>Age 0 (smolt)N</t>
  </si>
  <si>
    <t>NANAIMO RIVER</t>
  </si>
  <si>
    <t>YEAR</t>
  </si>
  <si>
    <t>COWICHAN RIVER</t>
  </si>
  <si>
    <t>CHEMAINUS RIVER</t>
  </si>
  <si>
    <t>QUALICUM RIVER</t>
  </si>
  <si>
    <t>PUNTLEDGE RIVER</t>
  </si>
  <si>
    <t>QUINSAM RIVER</t>
  </si>
  <si>
    <t>ENGLISHMAN RIVER</t>
  </si>
  <si>
    <t>BY</t>
  </si>
  <si>
    <t>BYER</t>
  </si>
  <si>
    <t>CY</t>
  </si>
  <si>
    <t>Relative BYER</t>
  </si>
  <si>
    <t>ECVI total ESC</t>
  </si>
  <si>
    <t>Obs Spawn</t>
  </si>
  <si>
    <t>stockcode</t>
  </si>
  <si>
    <t>Ssspawn</t>
  </si>
  <si>
    <t xml:space="preserve">Unfished total spawners </t>
  </si>
  <si>
    <t>Sosearch</t>
  </si>
  <si>
    <t>Fhist</t>
  </si>
  <si>
    <t>assumed average historical F</t>
  </si>
  <si>
    <t>Lhist</t>
  </si>
  <si>
    <t>EPRhist</t>
  </si>
  <si>
    <t>historical sustained eggs per smolt</t>
  </si>
  <si>
    <t>delm</t>
  </si>
  <si>
    <t>Pellet egg-smolt surv</t>
  </si>
  <si>
    <t>hist egg-smolt surv</t>
  </si>
  <si>
    <t>unfished egg-smolt survival</t>
  </si>
  <si>
    <t>maximum egg-smolt surv</t>
  </si>
  <si>
    <t>RelmYr</t>
  </si>
  <si>
    <t>Ssrecanom</t>
  </si>
  <si>
    <t>varlnS</t>
  </si>
  <si>
    <t>varanom</t>
  </si>
  <si>
    <t>Sstotal</t>
  </si>
  <si>
    <t>Ricker anomaly</t>
  </si>
  <si>
    <t>BY M</t>
  </si>
  <si>
    <t>mean mortality anomaly</t>
  </si>
  <si>
    <t>Ocean age</t>
  </si>
  <si>
    <t>derived survivorship to age</t>
  </si>
  <si>
    <t>mean fecundity at age</t>
  </si>
  <si>
    <t>MODEL PARAMETER AND STATISTICAL ESTIMATION COLUMNS</t>
  </si>
  <si>
    <t>AGE STRUCTURE ACCOUNTING COLUMNS: RECRUITMENT AND SURVIVAL</t>
  </si>
  <si>
    <t>RECRUITMENT ANOMALY AND AGE MORTALITY COLUMNS</t>
  </si>
  <si>
    <t>PREDICTED SPAWNERS AT AGE COLUMNS</t>
  </si>
  <si>
    <t>PREDICTEED CATCH AT AGE COLUMNS</t>
  </si>
  <si>
    <t>MORTALITY COVARIATE COLUMNS</t>
  </si>
  <si>
    <t>SPAWNER DATA</t>
  </si>
  <si>
    <t>Rhist</t>
  </si>
  <si>
    <t>Rhist/Ro</t>
  </si>
  <si>
    <t>Rhist/Ro vs Fhist</t>
  </si>
  <si>
    <t>Harrison mat</t>
  </si>
  <si>
    <t>HARRISON</t>
  </si>
  <si>
    <t>Fanom</t>
  </si>
  <si>
    <t>Rel yr</t>
  </si>
  <si>
    <t>Tot Releases</t>
  </si>
  <si>
    <t>N1</t>
  </si>
  <si>
    <t>N2</t>
  </si>
  <si>
    <t>N3</t>
  </si>
  <si>
    <t>N4</t>
  </si>
  <si>
    <t>N5</t>
  </si>
  <si>
    <t>Predicted tags alive</t>
  </si>
  <si>
    <t>age 4 N</t>
  </si>
  <si>
    <t>age 5 N</t>
  </si>
  <si>
    <t>S 1</t>
  </si>
  <si>
    <t>S 2</t>
  </si>
  <si>
    <t>Predicted escapement tags at age</t>
  </si>
  <si>
    <t>S 3</t>
  </si>
  <si>
    <t>S 4</t>
  </si>
  <si>
    <t>S 5</t>
  </si>
  <si>
    <t>Predicted tag catches at age</t>
  </si>
  <si>
    <t>C 1</t>
  </si>
  <si>
    <t>C 2</t>
  </si>
  <si>
    <t>C 3</t>
  </si>
  <si>
    <t>C 4</t>
  </si>
  <si>
    <t>C 5</t>
  </si>
  <si>
    <t>Prediction of coded wire tagged fish alive at age over time and predicted escapements and catches of those tagged fish</t>
  </si>
  <si>
    <t>PREDICTION OF CODED WIRE TAG POPULATION, ESCAPEMENT, AND CATCHES AT AGE</t>
  </si>
  <si>
    <t>Ssfanom</t>
  </si>
  <si>
    <t>varfanom</t>
  </si>
  <si>
    <t>mean esc</t>
  </si>
  <si>
    <t>t+1</t>
  </si>
  <si>
    <t>t+2</t>
  </si>
  <si>
    <t>t+3</t>
  </si>
  <si>
    <t>t+4</t>
  </si>
  <si>
    <t>t+5</t>
  </si>
  <si>
    <t>Catch 85-93</t>
  </si>
  <si>
    <t>Catch 2000-2020</t>
  </si>
  <si>
    <t>SPRhist</t>
  </si>
  <si>
    <t>historical base spawners per smolt</t>
  </si>
  <si>
    <t>RhistSobs</t>
  </si>
  <si>
    <t>Pred BYER</t>
  </si>
  <si>
    <t>Ffuture</t>
  </si>
  <si>
    <t>Future F</t>
  </si>
  <si>
    <t>YPR</t>
  </si>
  <si>
    <t>Predicted recaptures in catch by year after release</t>
  </si>
  <si>
    <t>Predicted recapture in escapement by years after release</t>
  </si>
  <si>
    <t>C t+1</t>
  </si>
  <si>
    <t>C t+2</t>
  </si>
  <si>
    <t>C t+3</t>
  </si>
  <si>
    <t>C t+4</t>
  </si>
  <si>
    <t>C t+5</t>
  </si>
  <si>
    <t>E t+1</t>
  </si>
  <si>
    <t>E t+2</t>
  </si>
  <si>
    <t>E t+3</t>
  </si>
  <si>
    <t>E t+4</t>
  </si>
  <si>
    <t>E t+5</t>
  </si>
  <si>
    <t>Release yr</t>
  </si>
  <si>
    <t>Predicted recaptures organized across columns by number of years after release, for release year on the row</t>
  </si>
  <si>
    <t>VPA check using model predictions</t>
  </si>
  <si>
    <t>Seal N age model</t>
  </si>
  <si>
    <t>Hatchery chinook</t>
  </si>
  <si>
    <t>Time series of known stress factors</t>
  </si>
  <si>
    <t>summer SST</t>
  </si>
  <si>
    <t>SSL N (counts)</t>
  </si>
  <si>
    <t>NRKW</t>
  </si>
  <si>
    <t>1. Seal N from fitted age model (Nelson)</t>
  </si>
  <si>
    <t>2. Summer sea surface temperature from DFO</t>
  </si>
  <si>
    <t>3. Hatchery chinook (SOG+FR total) from DFO</t>
  </si>
  <si>
    <t>4. SSL N from Olesiuk (2018)</t>
  </si>
  <si>
    <t>5. Northern resident killer whales NRKW from Towers et al. 2020</t>
  </si>
  <si>
    <t>(see "stressors" tab)</t>
  </si>
  <si>
    <t>regression estimates of first ocean year mortality effect of seal abundance</t>
  </si>
  <si>
    <t>intercept</t>
  </si>
  <si>
    <t>slope</t>
  </si>
  <si>
    <t>delta M at max seal N</t>
  </si>
  <si>
    <t>Base MSR at seal N=3.5</t>
  </si>
  <si>
    <t>BQR</t>
  </si>
  <si>
    <t>COW</t>
  </si>
  <si>
    <t>NAN</t>
  </si>
  <si>
    <t>PPS</t>
  </si>
  <si>
    <t>QUI</t>
  </si>
  <si>
    <t>HAR</t>
  </si>
  <si>
    <t>CHI</t>
  </si>
  <si>
    <t>NIC</t>
  </si>
  <si>
    <t>SHU</t>
  </si>
  <si>
    <t>ECVI Average</t>
  </si>
  <si>
    <t>LFR average</t>
  </si>
  <si>
    <t>IFR average</t>
  </si>
  <si>
    <t>from "Chinook marine survival rates from CWT data.xlsx", Ruff data to BY 2011</t>
  </si>
  <si>
    <t>stock</t>
  </si>
  <si>
    <t>QSSL+NRKW</t>
  </si>
  <si>
    <t>6. QSSL+NRKW combined chinook consumption (mt) from "SSL and NRKW abundance trends and potential Ms on chinook.xlsx"</t>
  </si>
  <si>
    <t>MSSLNRKWq</t>
  </si>
  <si>
    <t>added M at peak SSL+NRKW Q</t>
  </si>
  <si>
    <t>age 3 N</t>
  </si>
  <si>
    <t>LHT</t>
  </si>
  <si>
    <t>freshwater type</t>
  </si>
  <si>
    <t>2=x.2 type</t>
  </si>
  <si>
    <t>Summer41</t>
  </si>
  <si>
    <t>summer41</t>
  </si>
  <si>
    <t>1=cow,2=che,3=nan,4=qual,5=pun,6=quin,7=eng,8=total,9=Harrison,10=sum41</t>
  </si>
  <si>
    <t>UseRetro</t>
  </si>
  <si>
    <t>RetroF</t>
  </si>
  <si>
    <t>retroyield</t>
  </si>
  <si>
    <t>spring 5.2</t>
  </si>
  <si>
    <t>spring52</t>
  </si>
  <si>
    <t>11=spring42</t>
  </si>
  <si>
    <t>hisorical Sbar</t>
  </si>
  <si>
    <t xml:space="preserve">10000's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</si>
</sst>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0" fontId="0" fillId="0" borderId="0" xfId="0" applyAlignment="1">
      <alignment horizontal="right"/>
    </xf>
    <xf numFmtId="164" fontId="0" fillId="2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  <xf numFmtId="164" fontId="0" fillId="5" borderId="0" xfId="0" applyNumberFormat="1" applyFill="1"/>
    <xf numFmtId="0" fontId="1" fillId="0" borderId="0" xfId="0" applyFont="1"/>
    <xf numFmtId="0" fontId="1" fillId="2" borderId="0" xfId="0" applyFont="1" applyFill="1"/>
    <xf numFmtId="2" fontId="0" fillId="2" borderId="0" xfId="0" applyNumberFormat="1" applyFill="1"/>
    <xf numFmtId="166" fontId="0" fillId="4" borderId="0" xfId="1" applyNumberFormat="1" applyFont="1" applyFill="1"/>
    <xf numFmtId="164" fontId="1" fillId="2" borderId="0" xfId="0" applyNumberFormat="1" applyFont="1" applyFill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Model!$I$13</c:f>
              <c:strCache>
                <c:ptCount val="1"/>
                <c:pt idx="0">
                  <c:v>Age 0 (smolt)N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Model!$G$14:$G$66</c:f>
              <c:numCache>
                <c:formatCode>General</c:formatCode>
                <c:ptCount val="53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</c:numCache>
            </c:numRef>
          </c:xVal>
          <c:yVal>
            <c:numRef>
              <c:f>Model!$I$14:$I$66</c:f>
              <c:numCache>
                <c:formatCode>0.0</c:formatCode>
                <c:ptCount val="53"/>
                <c:pt idx="0">
                  <c:v>1207841.4228237863</c:v>
                </c:pt>
                <c:pt idx="1">
                  <c:v>1354715.2890965994</c:v>
                </c:pt>
                <c:pt idx="2">
                  <c:v>1354715.2890965994</c:v>
                </c:pt>
                <c:pt idx="3">
                  <c:v>3124610.2915239101</c:v>
                </c:pt>
                <c:pt idx="4">
                  <c:v>3029931.7998087411</c:v>
                </c:pt>
                <c:pt idx="5">
                  <c:v>4391111.1251287842</c:v>
                </c:pt>
                <c:pt idx="6">
                  <c:v>3998626.0903637633</c:v>
                </c:pt>
                <c:pt idx="7">
                  <c:v>2050547.4982151871</c:v>
                </c:pt>
                <c:pt idx="8">
                  <c:v>3787263.3290301757</c:v>
                </c:pt>
                <c:pt idx="9">
                  <c:v>2389086.0916185309</c:v>
                </c:pt>
                <c:pt idx="10">
                  <c:v>2523946.5289591141</c:v>
                </c:pt>
                <c:pt idx="11">
                  <c:v>1752860.8522696646</c:v>
                </c:pt>
                <c:pt idx="12">
                  <c:v>4584611.1245363234</c:v>
                </c:pt>
                <c:pt idx="13">
                  <c:v>3689147.3431320079</c:v>
                </c:pt>
                <c:pt idx="14">
                  <c:v>2470352.8066690997</c:v>
                </c:pt>
                <c:pt idx="15">
                  <c:v>2711509.3848846918</c:v>
                </c:pt>
                <c:pt idx="16">
                  <c:v>2428404.5363712902</c:v>
                </c:pt>
                <c:pt idx="17">
                  <c:v>1378425.8888865551</c:v>
                </c:pt>
                <c:pt idx="18">
                  <c:v>1586156.2226774448</c:v>
                </c:pt>
                <c:pt idx="19">
                  <c:v>1289502.4250806069</c:v>
                </c:pt>
                <c:pt idx="20">
                  <c:v>1837925.8929979461</c:v>
                </c:pt>
                <c:pt idx="21">
                  <c:v>3690269.8831904172</c:v>
                </c:pt>
                <c:pt idx="22">
                  <c:v>2164846.5164313223</c:v>
                </c:pt>
                <c:pt idx="23">
                  <c:v>1422018.2189045318</c:v>
                </c:pt>
                <c:pt idx="24">
                  <c:v>1792661.2156325395</c:v>
                </c:pt>
                <c:pt idx="25">
                  <c:v>618116.51511114975</c:v>
                </c:pt>
                <c:pt idx="26">
                  <c:v>661869.68802621705</c:v>
                </c:pt>
                <c:pt idx="27">
                  <c:v>1467943.0489313535</c:v>
                </c:pt>
                <c:pt idx="28">
                  <c:v>1540864.3368511491</c:v>
                </c:pt>
                <c:pt idx="29">
                  <c:v>1014107.5119817996</c:v>
                </c:pt>
                <c:pt idx="30">
                  <c:v>469872.42453049624</c:v>
                </c:pt>
                <c:pt idx="31">
                  <c:v>514627.94148943835</c:v>
                </c:pt>
                <c:pt idx="32">
                  <c:v>1825727.6702607796</c:v>
                </c:pt>
                <c:pt idx="33">
                  <c:v>2070739.6708702573</c:v>
                </c:pt>
                <c:pt idx="34">
                  <c:v>1108550.1190304747</c:v>
                </c:pt>
                <c:pt idx="35">
                  <c:v>593404.57294782659</c:v>
                </c:pt>
                <c:pt idx="36">
                  <c:v>513292.20700830291</c:v>
                </c:pt>
                <c:pt idx="37">
                  <c:v>668743.32777932798</c:v>
                </c:pt>
                <c:pt idx="38">
                  <c:v>1075961.4651894225</c:v>
                </c:pt>
                <c:pt idx="39">
                  <c:v>1040629.1199347629</c:v>
                </c:pt>
                <c:pt idx="40">
                  <c:v>1526700.0387525151</c:v>
                </c:pt>
                <c:pt idx="41">
                  <c:v>1155405.7602889482</c:v>
                </c:pt>
                <c:pt idx="42">
                  <c:v>558348.74608905264</c:v>
                </c:pt>
                <c:pt idx="43">
                  <c:v>635750.83476352831</c:v>
                </c:pt>
                <c:pt idx="44">
                  <c:v>665487.08777720598</c:v>
                </c:pt>
                <c:pt idx="45">
                  <c:v>714836.81017608545</c:v>
                </c:pt>
                <c:pt idx="46">
                  <c:v>627229.64870919427</c:v>
                </c:pt>
                <c:pt idx="47">
                  <c:v>414833.40469823242</c:v>
                </c:pt>
                <c:pt idx="48">
                  <c:v>406822.21183156618</c:v>
                </c:pt>
                <c:pt idx="49">
                  <c:v>419925.50043003692</c:v>
                </c:pt>
                <c:pt idx="50">
                  <c:v>424993.06670423975</c:v>
                </c:pt>
                <c:pt idx="51">
                  <c:v>369282.97307189449</c:v>
                </c:pt>
                <c:pt idx="52">
                  <c:v>287324.77244703972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08-42B2-A82C-83B65E4F5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515376"/>
        <c:axId val="34989200"/>
      </c:scatterChart>
      <c:valAx>
        <c:axId val="55651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89200"/>
        <c:crosses val="autoZero"/>
        <c:crossBetween val="midCat"/>
      </c:valAx>
      <c:valAx>
        <c:axId val="34989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1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Unfished spawners at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Model!$H$9</c:f>
              <c:strCache>
                <c:ptCount val="1"/>
                <c:pt idx="0">
                  <c:v>SPRhist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Model!$I$3:$N$3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Model!$I$9:$N$9</c:f>
              <c:numCache>
                <c:formatCode>General</c:formatCode>
                <c:ptCount val="6"/>
                <c:pt idx="0">
                  <c:v>0</c:v>
                </c:pt>
                <c:pt idx="1">
                  <c:v>3.8948483421835578E-3</c:v>
                </c:pt>
                <c:pt idx="2">
                  <c:v>3.9777640657284435E-3</c:v>
                </c:pt>
                <c:pt idx="3">
                  <c:v>6.9211011938573709E-3</c:v>
                </c:pt>
                <c:pt idx="4">
                  <c:v>2.1045516814889028E-4</c:v>
                </c:pt>
                <c:pt idx="5">
                  <c:v>1.1666691429922829E-6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2-4453-95B4-2C1E5B315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94655"/>
        <c:axId val="105613407"/>
      </c:scatterChart>
      <c:valAx>
        <c:axId val="10999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Summers at sea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3407"/>
        <c:crosses val="autoZero"/>
        <c:crossBetween val="midCat"/>
      </c:valAx>
      <c:valAx>
        <c:axId val="10561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 per smolt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9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Catch and Escapement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Model!$AK$13</c:f>
              <c:strCache>
                <c:ptCount val="1"/>
                <c:pt idx="0">
                  <c:v>Catch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Model!$AJ$14:$AJ$79</c:f>
              <c:numCache>
                <c:formatCode>General</c:formatCode>
                <c:ptCount val="6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  <c:pt idx="53">
                  <c:v>2032</c:v>
                </c:pt>
                <c:pt idx="54">
                  <c:v>2033</c:v>
                </c:pt>
                <c:pt idx="55">
                  <c:v>2034</c:v>
                </c:pt>
                <c:pt idx="56">
                  <c:v>2035</c:v>
                </c:pt>
                <c:pt idx="57">
                  <c:v>2036</c:v>
                </c:pt>
                <c:pt idx="58">
                  <c:v>2037</c:v>
                </c:pt>
                <c:pt idx="59">
                  <c:v>2038</c:v>
                </c:pt>
                <c:pt idx="60">
                  <c:v>2039</c:v>
                </c:pt>
                <c:pt idx="61">
                  <c:v>2040</c:v>
                </c:pt>
                <c:pt idx="62">
                  <c:v>2041</c:v>
                </c:pt>
                <c:pt idx="63">
                  <c:v>2042</c:v>
                </c:pt>
                <c:pt idx="64">
                  <c:v>2043</c:v>
                </c:pt>
                <c:pt idx="65">
                  <c:v>2044</c:v>
                </c:pt>
              </c:numCache>
            </c:numRef>
          </c:xVal>
          <c:yVal>
            <c:numRef>
              <c:f>Model!$AK$14:$AK$79</c:f>
              <c:numCache>
                <c:formatCode>General</c:formatCode>
                <c:ptCount val="66"/>
                <c:pt idx="0">
                  <c:v>19648.982042718228</c:v>
                </c:pt>
                <c:pt idx="1">
                  <c:v>19648.982042718228</c:v>
                </c:pt>
                <c:pt idx="2">
                  <c:v>19912.945070552309</c:v>
                </c:pt>
                <c:pt idx="3">
                  <c:v>21394.089032997865</c:v>
                </c:pt>
                <c:pt idx="4">
                  <c:v>25200.869343949824</c:v>
                </c:pt>
                <c:pt idx="5">
                  <c:v>42897.357509609254</c:v>
                </c:pt>
                <c:pt idx="6">
                  <c:v>51931.481454947621</c:v>
                </c:pt>
                <c:pt idx="7">
                  <c:v>64768.777304633957</c:v>
                </c:pt>
                <c:pt idx="8">
                  <c:v>63099.863568747518</c:v>
                </c:pt>
                <c:pt idx="9">
                  <c:v>45071.849583673102</c:v>
                </c:pt>
                <c:pt idx="10">
                  <c:v>51723.334586228208</c:v>
                </c:pt>
                <c:pt idx="11">
                  <c:v>45025.186829804778</c:v>
                </c:pt>
                <c:pt idx="12">
                  <c:v>39254.938917763189</c:v>
                </c:pt>
                <c:pt idx="13">
                  <c:v>36970.784520010267</c:v>
                </c:pt>
                <c:pt idx="14">
                  <c:v>60647.87924680514</c:v>
                </c:pt>
                <c:pt idx="15">
                  <c:v>61399.314422852345</c:v>
                </c:pt>
                <c:pt idx="16">
                  <c:v>35699.178734042864</c:v>
                </c:pt>
                <c:pt idx="17">
                  <c:v>33909.519247819393</c:v>
                </c:pt>
                <c:pt idx="18">
                  <c:v>28734.672526462124</c:v>
                </c:pt>
                <c:pt idx="19">
                  <c:v>18867.587399873442</c:v>
                </c:pt>
                <c:pt idx="20">
                  <c:v>15204.030684977773</c:v>
                </c:pt>
                <c:pt idx="21">
                  <c:v>13053.629368208449</c:v>
                </c:pt>
                <c:pt idx="22">
                  <c:v>17071.419160922109</c:v>
                </c:pt>
                <c:pt idx="23">
                  <c:v>27345.203951132902</c:v>
                </c:pt>
                <c:pt idx="24">
                  <c:v>23333.99089763968</c:v>
                </c:pt>
                <c:pt idx="25">
                  <c:v>15631.83249565502</c:v>
                </c:pt>
                <c:pt idx="26">
                  <c:v>14462.94406960464</c:v>
                </c:pt>
                <c:pt idx="27">
                  <c:v>8973.144825792564</c:v>
                </c:pt>
                <c:pt idx="28">
                  <c:v>6804.4218321182734</c:v>
                </c:pt>
                <c:pt idx="29">
                  <c:v>11316.316261536083</c:v>
                </c:pt>
                <c:pt idx="30">
                  <c:v>13421.231457349186</c:v>
                </c:pt>
                <c:pt idx="31">
                  <c:v>10301.083652080788</c:v>
                </c:pt>
                <c:pt idx="32">
                  <c:v>5931.7210364232878</c:v>
                </c:pt>
                <c:pt idx="33">
                  <c:v>5846.8471481102888</c:v>
                </c:pt>
                <c:pt idx="34">
                  <c:v>13352.717256455142</c:v>
                </c:pt>
                <c:pt idx="35">
                  <c:v>17374.795681955744</c:v>
                </c:pt>
                <c:pt idx="36">
                  <c:v>10942.684626385388</c:v>
                </c:pt>
                <c:pt idx="37">
                  <c:v>5326.2608410425364</c:v>
                </c:pt>
                <c:pt idx="38">
                  <c:v>3976.5047352551742</c:v>
                </c:pt>
                <c:pt idx="39">
                  <c:v>4701.8850158679234</c:v>
                </c:pt>
                <c:pt idx="40">
                  <c:v>4558.0573096945081</c:v>
                </c:pt>
                <c:pt idx="41">
                  <c:v>5352.8078028235304</c:v>
                </c:pt>
                <c:pt idx="42">
                  <c:v>6558.0207227178307</c:v>
                </c:pt>
                <c:pt idx="43">
                  <c:v>5957.1996820354498</c:v>
                </c:pt>
                <c:pt idx="44">
                  <c:v>3737.5312027728173</c:v>
                </c:pt>
                <c:pt idx="45">
                  <c:v>7680.8921668160638</c:v>
                </c:pt>
                <c:pt idx="46">
                  <c:v>7812.856956383197</c:v>
                </c:pt>
                <c:pt idx="47">
                  <c:v>8131.0285763848742</c:v>
                </c:pt>
                <c:pt idx="48">
                  <c:v>7417.6928000781336</c:v>
                </c:pt>
                <c:pt idx="49">
                  <c:v>5608.7843928396096</c:v>
                </c:pt>
                <c:pt idx="50">
                  <c:v>4851.5018664160625</c:v>
                </c:pt>
                <c:pt idx="51">
                  <c:v>4901.5232455724954</c:v>
                </c:pt>
                <c:pt idx="52">
                  <c:v>4913.1428997404037</c:v>
                </c:pt>
                <c:pt idx="53">
                  <c:v>4435.8407597227251</c:v>
                </c:pt>
                <c:pt idx="54">
                  <c:v>3661.4596709616585</c:v>
                </c:pt>
                <c:pt idx="55">
                  <c:v>3356.05096829484</c:v>
                </c:pt>
                <c:pt idx="56">
                  <c:v>3365.5599451155463</c:v>
                </c:pt>
                <c:pt idx="57">
                  <c:v>3294.9872326719346</c:v>
                </c:pt>
                <c:pt idx="58">
                  <c:v>2971.2166491137373</c:v>
                </c:pt>
                <c:pt idx="59">
                  <c:v>2579.655734944799</c:v>
                </c:pt>
                <c:pt idx="60">
                  <c:v>2433.7590642101691</c:v>
                </c:pt>
                <c:pt idx="61">
                  <c:v>2419.904270179683</c:v>
                </c:pt>
                <c:pt idx="62">
                  <c:v>2330.828496458751</c:v>
                </c:pt>
                <c:pt idx="63">
                  <c:v>2110.509681356245</c:v>
                </c:pt>
                <c:pt idx="64">
                  <c:v>1894.5546933091339</c:v>
                </c:pt>
                <c:pt idx="65">
                  <c:v>1815.2355555263691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7-4271-979B-D41E3398EBD8}"/>
            </c:ext>
          </c:extLst>
        </c:ser>
        <c:ser>
          <c:idx val="1"/>
          <c:order val="1"/>
          <c:tx>
            <c:strRef>
              <c:f>Model!$AL$13</c:f>
              <c:strCache>
                <c:ptCount val="1"/>
                <c:pt idx="0">
                  <c:v>Spawners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Model!$AJ$14:$AJ$79</c:f>
              <c:numCache>
                <c:formatCode>General</c:formatCode>
                <c:ptCount val="6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  <c:pt idx="53">
                  <c:v>2032</c:v>
                </c:pt>
                <c:pt idx="54">
                  <c:v>2033</c:v>
                </c:pt>
                <c:pt idx="55">
                  <c:v>2034</c:v>
                </c:pt>
                <c:pt idx="56">
                  <c:v>2035</c:v>
                </c:pt>
                <c:pt idx="57">
                  <c:v>2036</c:v>
                </c:pt>
                <c:pt idx="58">
                  <c:v>2037</c:v>
                </c:pt>
                <c:pt idx="59">
                  <c:v>2038</c:v>
                </c:pt>
                <c:pt idx="60">
                  <c:v>2039</c:v>
                </c:pt>
                <c:pt idx="61">
                  <c:v>2040</c:v>
                </c:pt>
                <c:pt idx="62">
                  <c:v>2041</c:v>
                </c:pt>
                <c:pt idx="63">
                  <c:v>2042</c:v>
                </c:pt>
                <c:pt idx="64">
                  <c:v>2043</c:v>
                </c:pt>
                <c:pt idx="65">
                  <c:v>2044</c:v>
                </c:pt>
              </c:numCache>
            </c:numRef>
          </c:xVal>
          <c:yVal>
            <c:numRef>
              <c:f>Model!$AL$14:$AL$79</c:f>
              <c:numCache>
                <c:formatCode>General</c:formatCode>
                <c:ptCount val="66"/>
                <c:pt idx="0" formatCode="0.0">
                  <c:v>18124.065706663925</c:v>
                </c:pt>
                <c:pt idx="1">
                  <c:v>18124.065706663925</c:v>
                </c:pt>
                <c:pt idx="2">
                  <c:v>18696.117141226681</c:v>
                </c:pt>
                <c:pt idx="3">
                  <c:v>19280.346728681281</c:v>
                </c:pt>
                <c:pt idx="4">
                  <c:v>27190.348235931469</c:v>
                </c:pt>
                <c:pt idx="5">
                  <c:v>33892.724974425044</c:v>
                </c:pt>
                <c:pt idx="6">
                  <c:v>51067.497078429929</c:v>
                </c:pt>
                <c:pt idx="7">
                  <c:v>54670.481727013335</c:v>
                </c:pt>
                <c:pt idx="8">
                  <c:v>54924.797341833881</c:v>
                </c:pt>
                <c:pt idx="9">
                  <c:v>51509.973217897008</c:v>
                </c:pt>
                <c:pt idx="10">
                  <c:v>39408.6692189651</c:v>
                </c:pt>
                <c:pt idx="11">
                  <c:v>45981.855899459297</c:v>
                </c:pt>
                <c:pt idx="12">
                  <c:v>34201.339043411193</c:v>
                </c:pt>
                <c:pt idx="13">
                  <c:v>42804.535281544202</c:v>
                </c:pt>
                <c:pt idx="14">
                  <c:v>45270.8630014714</c:v>
                </c:pt>
                <c:pt idx="15">
                  <c:v>56398.608031691751</c:v>
                </c:pt>
                <c:pt idx="16">
                  <c:v>49796.011669913998</c:v>
                </c:pt>
                <c:pt idx="17">
                  <c:v>42015.570691400651</c:v>
                </c:pt>
                <c:pt idx="18">
                  <c:v>39160.748517141154</c:v>
                </c:pt>
                <c:pt idx="19">
                  <c:v>34019.871474973035</c:v>
                </c:pt>
                <c:pt idx="20">
                  <c:v>25379.09547596801</c:v>
                </c:pt>
                <c:pt idx="21">
                  <c:v>28451.531512803915</c:v>
                </c:pt>
                <c:pt idx="22">
                  <c:v>35941.371611744406</c:v>
                </c:pt>
                <c:pt idx="23">
                  <c:v>43736.443080634781</c:v>
                </c:pt>
                <c:pt idx="24">
                  <c:v>51394.292135332413</c:v>
                </c:pt>
                <c:pt idx="25">
                  <c:v>35529.991276123459</c:v>
                </c:pt>
                <c:pt idx="26">
                  <c:v>25073.140148630544</c:v>
                </c:pt>
                <c:pt idx="27">
                  <c:v>22998.823759992589</c:v>
                </c:pt>
                <c:pt idx="28">
                  <c:v>15374.61312746558</c:v>
                </c:pt>
                <c:pt idx="29">
                  <c:v>19466.706695776953</c:v>
                </c:pt>
                <c:pt idx="30">
                  <c:v>25382.84675744973</c:v>
                </c:pt>
                <c:pt idx="31">
                  <c:v>21721.630154603426</c:v>
                </c:pt>
                <c:pt idx="32">
                  <c:v>14375.950693550034</c:v>
                </c:pt>
                <c:pt idx="33">
                  <c:v>14431.92899030636</c:v>
                </c:pt>
                <c:pt idx="34">
                  <c:v>21792.426932568022</c:v>
                </c:pt>
                <c:pt idx="35">
                  <c:v>31585.545247773578</c:v>
                </c:pt>
                <c:pt idx="36">
                  <c:v>28283.965731246666</c:v>
                </c:pt>
                <c:pt idx="37">
                  <c:v>16792.285232005968</c:v>
                </c:pt>
                <c:pt idx="38">
                  <c:v>11653.585883893893</c:v>
                </c:pt>
                <c:pt idx="39">
                  <c:v>13031.846652591998</c:v>
                </c:pt>
                <c:pt idx="40">
                  <c:v>16932.719468792864</c:v>
                </c:pt>
                <c:pt idx="41">
                  <c:v>23556.057216897301</c:v>
                </c:pt>
                <c:pt idx="42">
                  <c:v>24388.28011851772</c:v>
                </c:pt>
                <c:pt idx="43">
                  <c:v>25502.364895088969</c:v>
                </c:pt>
                <c:pt idx="44">
                  <c:v>18852.301306891568</c:v>
                </c:pt>
                <c:pt idx="45">
                  <c:v>11381.587152087095</c:v>
                </c:pt>
                <c:pt idx="46">
                  <c:v>11450.168964824363</c:v>
                </c:pt>
                <c:pt idx="47">
                  <c:v>11509.645015331927</c:v>
                </c:pt>
                <c:pt idx="48">
                  <c:v>10712.690140541888</c:v>
                </c:pt>
                <c:pt idx="49">
                  <c:v>9004.2457780700133</c:v>
                </c:pt>
                <c:pt idx="50">
                  <c:v>7181.644394300688</c:v>
                </c:pt>
                <c:pt idx="51">
                  <c:v>7130.2607589456838</c:v>
                </c:pt>
                <c:pt idx="52">
                  <c:v>7042.8082972544789</c:v>
                </c:pt>
                <c:pt idx="53">
                  <c:v>6520.031092273226</c:v>
                </c:pt>
                <c:pt idx="54">
                  <c:v>5663.2172991175348</c:v>
                </c:pt>
                <c:pt idx="55">
                  <c:v>4949.4838580717569</c:v>
                </c:pt>
                <c:pt idx="56">
                  <c:v>4885.9926841888218</c:v>
                </c:pt>
                <c:pt idx="57">
                  <c:v>4763.7029144226626</c:v>
                </c:pt>
                <c:pt idx="58">
                  <c:v>4401.966491755612</c:v>
                </c:pt>
                <c:pt idx="59">
                  <c:v>3914.1881413981478</c:v>
                </c:pt>
                <c:pt idx="60">
                  <c:v>3577.1604746207131</c:v>
                </c:pt>
                <c:pt idx="61">
                  <c:v>3513.9637882869788</c:v>
                </c:pt>
                <c:pt idx="62">
                  <c:v>3392.1505814938937</c:v>
                </c:pt>
                <c:pt idx="63">
                  <c:v>3135.777349168859</c:v>
                </c:pt>
                <c:pt idx="64">
                  <c:v>2841.7703771372571</c:v>
                </c:pt>
                <c:pt idx="65">
                  <c:v>2661.3888649027135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F7-4271-979B-D41E3398EBD8}"/>
            </c:ext>
          </c:extLst>
        </c:ser>
        <c:ser>
          <c:idx val="3"/>
          <c:order val="2"/>
          <c:tx>
            <c:strRef>
              <c:f>Model!$AR$13</c:f>
              <c:strCache>
                <c:ptCount val="1"/>
                <c:pt idx="0">
                  <c:v>Obs Spawn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Model!$AJ$14:$AJ$59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xVal>
          <c:yVal>
            <c:numRef>
              <c:f>Model!$AR$14:$AR$59</c:f>
              <c:numCache>
                <c:formatCode>General</c:formatCode>
                <c:ptCount val="46"/>
                <c:pt idx="0">
                  <c:v>18124.065706663929</c:v>
                </c:pt>
                <c:pt idx="1">
                  <c:v>19514.502044922116</c:v>
                </c:pt>
                <c:pt idx="2">
                  <c:v>14214.613651975256</c:v>
                </c:pt>
                <c:pt idx="3">
                  <c:v>17650.493010655886</c:v>
                </c:pt>
                <c:pt idx="4">
                  <c:v>29204.887063911243</c:v>
                </c:pt>
                <c:pt idx="5">
                  <c:v>36372.974865451521</c:v>
                </c:pt>
                <c:pt idx="6">
                  <c:v>52231.921173071489</c:v>
                </c:pt>
                <c:pt idx="7">
                  <c:v>60718.43876340425</c:v>
                </c:pt>
                <c:pt idx="8">
                  <c:v>61979.185105435718</c:v>
                </c:pt>
                <c:pt idx="9">
                  <c:v>54064.133542300639</c:v>
                </c:pt>
                <c:pt idx="10">
                  <c:v>37950.628875676288</c:v>
                </c:pt>
                <c:pt idx="11">
                  <c:v>51157.854853381767</c:v>
                </c:pt>
                <c:pt idx="12">
                  <c:v>34767.351578448506</c:v>
                </c:pt>
                <c:pt idx="13">
                  <c:v>42483.844334993897</c:v>
                </c:pt>
                <c:pt idx="14">
                  <c:v>43757.977809358563</c:v>
                </c:pt>
                <c:pt idx="15">
                  <c:v>65814.375650069414</c:v>
                </c:pt>
                <c:pt idx="16">
                  <c:v>52326.451713539391</c:v>
                </c:pt>
                <c:pt idx="17">
                  <c:v>41132.629017196632</c:v>
                </c:pt>
                <c:pt idx="18">
                  <c:v>41380.395737668499</c:v>
                </c:pt>
                <c:pt idx="19">
                  <c:v>34563.517459108894</c:v>
                </c:pt>
                <c:pt idx="20">
                  <c:v>23548.53071040885</c:v>
                </c:pt>
                <c:pt idx="21">
                  <c:v>29009.824479775059</c:v>
                </c:pt>
                <c:pt idx="22">
                  <c:v>34058.805641715604</c:v>
                </c:pt>
                <c:pt idx="23">
                  <c:v>44481.593733378955</c:v>
                </c:pt>
                <c:pt idx="24">
                  <c:v>55297.149868077388</c:v>
                </c:pt>
                <c:pt idx="25">
                  <c:v>35737.059915210368</c:v>
                </c:pt>
                <c:pt idx="26">
                  <c:v>24122.325347298593</c:v>
                </c:pt>
                <c:pt idx="27">
                  <c:v>24357.474158242523</c:v>
                </c:pt>
                <c:pt idx="28">
                  <c:v>13201.512444477912</c:v>
                </c:pt>
                <c:pt idx="29">
                  <c:v>18415.973958867569</c:v>
                </c:pt>
                <c:pt idx="30">
                  <c:v>29362.512144301156</c:v>
                </c:pt>
                <c:pt idx="31">
                  <c:v>20592.98856897053</c:v>
                </c:pt>
                <c:pt idx="32">
                  <c:v>13471.582043405921</c:v>
                </c:pt>
                <c:pt idx="33">
                  <c:v>12879.133243515074</c:v>
                </c:pt>
                <c:pt idx="34">
                  <c:v>19732.349976641919</c:v>
                </c:pt>
                <c:pt idx="35">
                  <c:v>40935.952520080631</c:v>
                </c:pt>
                <c:pt idx="36">
                  <c:v>27967.583715754059</c:v>
                </c:pt>
                <c:pt idx="37">
                  <c:v>15971.250132277619</c:v>
                </c:pt>
                <c:pt idx="38">
                  <c:v>10921.815202119611</c:v>
                </c:pt>
                <c:pt idx="39">
                  <c:v>11071.534948265014</c:v>
                </c:pt>
                <c:pt idx="40">
                  <c:v>16823.238677359746</c:v>
                </c:pt>
                <c:pt idx="41">
                  <c:v>25678.051029304661</c:v>
                </c:pt>
                <c:pt idx="42">
                  <c:v>22839.910291231092</c:v>
                </c:pt>
                <c:pt idx="43">
                  <c:v>26915.272225313078</c:v>
                </c:pt>
                <c:pt idx="44">
                  <c:v>19396.884039509463</c:v>
                </c:pt>
                <c:pt idx="45">
                  <c:v>9698.4420197547315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A1-4420-A4C7-DD48999DC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160975"/>
        <c:axId val="842600463"/>
      </c:scatterChart>
      <c:valAx>
        <c:axId val="85116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00463"/>
        <c:crosses val="autoZero"/>
        <c:crossBetween val="midCat"/>
      </c:valAx>
      <c:valAx>
        <c:axId val="84260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fish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160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Equilibrium catch vs fishing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Given 2020 covariate effects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Model!$A$31:$A$43</c:f>
              <c:numCache>
                <c:formatCode>General</c:formatCode>
                <c:ptCount val="1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0.8</c:v>
                </c:pt>
                <c:pt idx="8">
                  <c:v>1</c:v>
                </c:pt>
                <c:pt idx="9">
                  <c:v>1.2</c:v>
                </c:pt>
                <c:pt idx="10">
                  <c:v>1.4</c:v>
                </c:pt>
                <c:pt idx="11">
                  <c:v>1.6</c:v>
                </c:pt>
                <c:pt idx="12">
                  <c:v>1.8</c:v>
                </c:pt>
              </c:numCache>
            </c:numRef>
          </c:xVal>
          <c:yVal>
            <c:numRef>
              <c:f>Model!$B$31:$B$43</c:f>
              <c:numCache>
                <c:formatCode>General</c:formatCode>
                <c:ptCount val="13"/>
                <c:pt idx="0">
                  <c:v>0</c:v>
                </c:pt>
                <c:pt idx="1">
                  <c:v>1626.4016384410113</c:v>
                </c:pt>
                <c:pt idx="2">
                  <c:v>1815.2355555263691</c:v>
                </c:pt>
                <c:pt idx="3">
                  <c:v>1433.0521649008567</c:v>
                </c:pt>
                <c:pt idx="4">
                  <c:v>966.88201252472231</c:v>
                </c:pt>
                <c:pt idx="5">
                  <c:v>596.91084773750856</c:v>
                </c:pt>
                <c:pt idx="6">
                  <c:v>349.00140789095138</c:v>
                </c:pt>
                <c:pt idx="7">
                  <c:v>108.95195502813164</c:v>
                </c:pt>
                <c:pt idx="8">
                  <c:v>32.094453930347775</c:v>
                </c:pt>
                <c:pt idx="9">
                  <c:v>9.2702935135746145</c:v>
                </c:pt>
                <c:pt idx="10">
                  <c:v>2.6745312517667306</c:v>
                </c:pt>
                <c:pt idx="11">
                  <c:v>0.77767208241812136</c:v>
                </c:pt>
                <c:pt idx="12">
                  <c:v>0.22881896612139596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CA-4F53-BC27-2982DF2190C4}"/>
            </c:ext>
          </c:extLst>
        </c:ser>
        <c:ser>
          <c:idx val="1"/>
          <c:order val="1"/>
          <c:tx>
            <c:v>Given no covariate effects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Model!$A$55:$A$75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</c:numCache>
            </c:numRef>
          </c:xVal>
          <c:yVal>
            <c:numRef>
              <c:f>Model!$C$55:$C$75</c:f>
              <c:numCache>
                <c:formatCode>General</c:formatCode>
                <c:ptCount val="21"/>
                <c:pt idx="0">
                  <c:v>0</c:v>
                </c:pt>
                <c:pt idx="1">
                  <c:v>11480.50059967265</c:v>
                </c:pt>
                <c:pt idx="2">
                  <c:v>19858.181886652983</c:v>
                </c:pt>
                <c:pt idx="3">
                  <c:v>23883.029915257564</c:v>
                </c:pt>
                <c:pt idx="4">
                  <c:v>21991.730550521486</c:v>
                </c:pt>
                <c:pt idx="5">
                  <c:v>12252.309883166894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83-4FAC-992E-7947AB2C4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486703"/>
        <c:axId val="1042863183"/>
      </c:scatterChart>
      <c:valAx>
        <c:axId val="104248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F on fully vulnerable 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63183"/>
        <c:crosses val="autoZero"/>
        <c:crossBetween val="midCat"/>
      </c:valAx>
      <c:valAx>
        <c:axId val="104286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 term average catch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486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First Ocean year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Model!$R$13</c:f>
              <c:strCache>
                <c:ptCount val="1"/>
                <c:pt idx="0">
                  <c:v>M0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Model!$G$14:$G$66</c:f>
              <c:numCache>
                <c:formatCode>General</c:formatCode>
                <c:ptCount val="53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</c:numCache>
            </c:numRef>
          </c:xVal>
          <c:yVal>
            <c:numRef>
              <c:f>Model!$R$14:$R$66</c:f>
              <c:numCache>
                <c:formatCode>0.000</c:formatCode>
                <c:ptCount val="53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2.8</c:v>
                </c:pt>
                <c:pt idx="10">
                  <c:v>2.8</c:v>
                </c:pt>
                <c:pt idx="11">
                  <c:v>2.8</c:v>
                </c:pt>
                <c:pt idx="12">
                  <c:v>2.8</c:v>
                </c:pt>
                <c:pt idx="13">
                  <c:v>2.8</c:v>
                </c:pt>
                <c:pt idx="14">
                  <c:v>2.8</c:v>
                </c:pt>
                <c:pt idx="15">
                  <c:v>2.8</c:v>
                </c:pt>
                <c:pt idx="16">
                  <c:v>2.8</c:v>
                </c:pt>
                <c:pt idx="17">
                  <c:v>2.8</c:v>
                </c:pt>
                <c:pt idx="18">
                  <c:v>2.8</c:v>
                </c:pt>
                <c:pt idx="19">
                  <c:v>2.8</c:v>
                </c:pt>
                <c:pt idx="20">
                  <c:v>2.8</c:v>
                </c:pt>
                <c:pt idx="21">
                  <c:v>2.8</c:v>
                </c:pt>
                <c:pt idx="22">
                  <c:v>2.8</c:v>
                </c:pt>
                <c:pt idx="23">
                  <c:v>2.8</c:v>
                </c:pt>
                <c:pt idx="24">
                  <c:v>2.8</c:v>
                </c:pt>
                <c:pt idx="25">
                  <c:v>2.8</c:v>
                </c:pt>
                <c:pt idx="26">
                  <c:v>2.8</c:v>
                </c:pt>
                <c:pt idx="27">
                  <c:v>2.8</c:v>
                </c:pt>
                <c:pt idx="28">
                  <c:v>2.8</c:v>
                </c:pt>
                <c:pt idx="29">
                  <c:v>2.8</c:v>
                </c:pt>
                <c:pt idx="30">
                  <c:v>2.8</c:v>
                </c:pt>
                <c:pt idx="31">
                  <c:v>2.8</c:v>
                </c:pt>
                <c:pt idx="32">
                  <c:v>2.8</c:v>
                </c:pt>
                <c:pt idx="33">
                  <c:v>2.8</c:v>
                </c:pt>
                <c:pt idx="34">
                  <c:v>2.8</c:v>
                </c:pt>
                <c:pt idx="35">
                  <c:v>2.8</c:v>
                </c:pt>
                <c:pt idx="36">
                  <c:v>2.8</c:v>
                </c:pt>
                <c:pt idx="37">
                  <c:v>2.8</c:v>
                </c:pt>
                <c:pt idx="38">
                  <c:v>2.8</c:v>
                </c:pt>
                <c:pt idx="39">
                  <c:v>2.8</c:v>
                </c:pt>
                <c:pt idx="40">
                  <c:v>2.8</c:v>
                </c:pt>
                <c:pt idx="41">
                  <c:v>2.8</c:v>
                </c:pt>
                <c:pt idx="42">
                  <c:v>2.8</c:v>
                </c:pt>
                <c:pt idx="43">
                  <c:v>2.8</c:v>
                </c:pt>
                <c:pt idx="44">
                  <c:v>2.8</c:v>
                </c:pt>
                <c:pt idx="45">
                  <c:v>2.8</c:v>
                </c:pt>
                <c:pt idx="46">
                  <c:v>2.8</c:v>
                </c:pt>
                <c:pt idx="47">
                  <c:v>2.8</c:v>
                </c:pt>
                <c:pt idx="48">
                  <c:v>2.8</c:v>
                </c:pt>
                <c:pt idx="49">
                  <c:v>2.8</c:v>
                </c:pt>
                <c:pt idx="50">
                  <c:v>2.8</c:v>
                </c:pt>
                <c:pt idx="51">
                  <c:v>2.8</c:v>
                </c:pt>
                <c:pt idx="52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B4-4EC2-B0AA-27AF2C7E7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532143"/>
        <c:axId val="1817727231"/>
      </c:scatterChart>
      <c:valAx>
        <c:axId val="181653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727231"/>
        <c:crosses val="autoZero"/>
        <c:crossBetween val="midCat"/>
      </c:valAx>
      <c:valAx>
        <c:axId val="181772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 (-ln(MSR))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53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spring 5.2 Ricker mortality anomaly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Model!$P$13</c:f>
              <c:strCache>
                <c:ptCount val="1"/>
                <c:pt idx="0">
                  <c:v>Ricker anomaly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Model!$G$14:$G$66</c:f>
              <c:numCache>
                <c:formatCode>General</c:formatCode>
                <c:ptCount val="53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</c:numCache>
            </c:numRef>
          </c:xVal>
          <c:yVal>
            <c:numRef>
              <c:f>Model!$P$14:$P$66</c:f>
              <c:numCache>
                <c:formatCode>0.000</c:formatCode>
                <c:ptCount val="53"/>
                <c:pt idx="0">
                  <c:v>-2.9338867795839163E-2</c:v>
                </c:pt>
                <c:pt idx="1">
                  <c:v>-0.86505712298959669</c:v>
                </c:pt>
                <c:pt idx="2">
                  <c:v>-0.83428766524412412</c:v>
                </c:pt>
                <c:pt idx="3">
                  <c:v>-1.1844188033777785</c:v>
                </c:pt>
                <c:pt idx="4">
                  <c:v>-1.0467160853669597</c:v>
                </c:pt>
                <c:pt idx="5">
                  <c:v>-0.22325544213404658</c:v>
                </c:pt>
                <c:pt idx="6">
                  <c:v>-0.73565792590632395</c:v>
                </c:pt>
                <c:pt idx="7">
                  <c:v>-0.28226946725228397</c:v>
                </c:pt>
                <c:pt idx="8">
                  <c:v>-0.39100876785775784</c:v>
                </c:pt>
                <c:pt idx="9">
                  <c:v>2.7181586859790885E-2</c:v>
                </c:pt>
                <c:pt idx="10">
                  <c:v>-0.93806203074044747</c:v>
                </c:pt>
                <c:pt idx="11">
                  <c:v>-0.71353246328437292</c:v>
                </c:pt>
                <c:pt idx="12">
                  <c:v>-0.32935364402692668</c:v>
                </c:pt>
                <c:pt idx="13">
                  <c:v>-0.43820438035362441</c:v>
                </c:pt>
                <c:pt idx="14">
                  <c:v>-0.30298871335001298</c:v>
                </c:pt>
                <c:pt idx="15">
                  <c:v>0.21315402704828257</c:v>
                </c:pt>
                <c:pt idx="16">
                  <c:v>0.11916166502483927</c:v>
                </c:pt>
                <c:pt idx="17">
                  <c:v>0.34096062907147506</c:v>
                </c:pt>
                <c:pt idx="18">
                  <c:v>-1.2684025448026714E-2</c:v>
                </c:pt>
                <c:pt idx="19">
                  <c:v>-0.7217921207305571</c:v>
                </c:pt>
                <c:pt idx="20">
                  <c:v>-0.28584798745534323</c:v>
                </c:pt>
                <c:pt idx="21">
                  <c:v>0.15680494733300865</c:v>
                </c:pt>
                <c:pt idx="22">
                  <c:v>-8.3484950425884108E-2</c:v>
                </c:pt>
                <c:pt idx="23">
                  <c:v>1.0770644057307086</c:v>
                </c:pt>
                <c:pt idx="24">
                  <c:v>0.94507298054609468</c:v>
                </c:pt>
                <c:pt idx="25">
                  <c:v>0.20346701641595999</c:v>
                </c:pt>
                <c:pt idx="26">
                  <c:v>9.2390478150845334E-2</c:v>
                </c:pt>
                <c:pt idx="27">
                  <c:v>0.49473175109107825</c:v>
                </c:pt>
                <c:pt idx="28">
                  <c:v>0.82025565689003987</c:v>
                </c:pt>
                <c:pt idx="29">
                  <c:v>0.90911153453567284</c:v>
                </c:pt>
                <c:pt idx="30">
                  <c:v>-9.6125743484528958E-2</c:v>
                </c:pt>
                <c:pt idx="31">
                  <c:v>-0.23836283199663266</c:v>
                </c:pt>
                <c:pt idx="32">
                  <c:v>0.15296673035510544</c:v>
                </c:pt>
                <c:pt idx="33">
                  <c:v>0.36980593676654894</c:v>
                </c:pt>
                <c:pt idx="34">
                  <c:v>0.90081637217640864</c:v>
                </c:pt>
                <c:pt idx="35">
                  <c:v>0.97542927111913413</c:v>
                </c:pt>
                <c:pt idx="36">
                  <c:v>0.49943558193654236</c:v>
                </c:pt>
                <c:pt idx="37">
                  <c:v>0.31823864515394229</c:v>
                </c:pt>
                <c:pt idx="38">
                  <c:v>-0.39690319498272797</c:v>
                </c:pt>
                <c:pt idx="39">
                  <c:v>-0.16059788460341484</c:v>
                </c:pt>
                <c:pt idx="40">
                  <c:v>0.81495266087403118</c:v>
                </c:pt>
                <c:pt idx="41">
                  <c:v>0.87810914936565432</c:v>
                </c:pt>
                <c:pt idx="42">
                  <c:v>0.87810914936565432</c:v>
                </c:pt>
                <c:pt idx="43">
                  <c:v>0.87810914936565432</c:v>
                </c:pt>
                <c:pt idx="44">
                  <c:v>0.87810914936565432</c:v>
                </c:pt>
                <c:pt idx="45">
                  <c:v>0.87810914936565432</c:v>
                </c:pt>
                <c:pt idx="46">
                  <c:v>0.87810914936565432</c:v>
                </c:pt>
                <c:pt idx="47">
                  <c:v>0.87810914936565432</c:v>
                </c:pt>
                <c:pt idx="48">
                  <c:v>0.87810914936565432</c:v>
                </c:pt>
                <c:pt idx="49">
                  <c:v>0.87810914936565432</c:v>
                </c:pt>
                <c:pt idx="50">
                  <c:v>0.87810914936565432</c:v>
                </c:pt>
                <c:pt idx="51">
                  <c:v>0.87810914936565432</c:v>
                </c:pt>
                <c:pt idx="52">
                  <c:v>0.87810914936565432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0B-4BBB-A661-B5474AB65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107328"/>
        <c:axId val="2114160128"/>
      </c:scatterChart>
      <c:valAx>
        <c:axId val="211410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60128"/>
        <c:crosses val="autoZero"/>
        <c:crossBetween val="midCat"/>
      </c:valAx>
      <c:valAx>
        <c:axId val="21141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0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Brood year M and 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Model!$X$13</c:f>
              <c:strCache>
                <c:ptCount val="1"/>
                <c:pt idx="0">
                  <c:v>BY 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Model!$G$14:$G$54</c:f>
              <c:numCache>
                <c:formatCode>General</c:formatCode>
                <c:ptCount val="41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</c:numCache>
            </c:numRef>
          </c:xVal>
          <c:yVal>
            <c:numRef>
              <c:f>Model!$X$14:$X$54</c:f>
              <c:numCache>
                <c:formatCode>0.000</c:formatCode>
                <c:ptCount val="41"/>
                <c:pt idx="0">
                  <c:v>6.8977584784922925</c:v>
                </c:pt>
                <c:pt idx="1">
                  <c:v>6.0620402232985358</c:v>
                </c:pt>
                <c:pt idx="2">
                  <c:v>6.0928096810440078</c:v>
                </c:pt>
                <c:pt idx="3">
                  <c:v>5.7568194755153375</c:v>
                </c:pt>
                <c:pt idx="4">
                  <c:v>5.9273281699214042</c:v>
                </c:pt>
                <c:pt idx="5">
                  <c:v>6.9224402461389349</c:v>
                </c:pt>
                <c:pt idx="6">
                  <c:v>6.7962569806688737</c:v>
                </c:pt>
                <c:pt idx="7">
                  <c:v>7.3745777184903467</c:v>
                </c:pt>
                <c:pt idx="8">
                  <c:v>7.5313814704259121</c:v>
                </c:pt>
                <c:pt idx="9">
                  <c:v>7.685896787877315</c:v>
                </c:pt>
                <c:pt idx="10">
                  <c:v>6.449482020824945</c:v>
                </c:pt>
                <c:pt idx="11">
                  <c:v>6.91075027012619</c:v>
                </c:pt>
                <c:pt idx="12">
                  <c:v>7.0102488534660212</c:v>
                </c:pt>
                <c:pt idx="13">
                  <c:v>6.8455087555117373</c:v>
                </c:pt>
                <c:pt idx="14">
                  <c:v>7.0821988189714391</c:v>
                </c:pt>
                <c:pt idx="15">
                  <c:v>8.1380921540950837</c:v>
                </c:pt>
                <c:pt idx="16">
                  <c:v>7.8364815860976087</c:v>
                </c:pt>
                <c:pt idx="17">
                  <c:v>7.8329424243913</c:v>
                </c:pt>
                <c:pt idx="18">
                  <c:v>7.5261382427804735</c:v>
                </c:pt>
                <c:pt idx="19">
                  <c:v>6.6614245402401773</c:v>
                </c:pt>
                <c:pt idx="20">
                  <c:v>6.8468704365301765</c:v>
                </c:pt>
                <c:pt idx="21">
                  <c:v>7.3260555632395139</c:v>
                </c:pt>
                <c:pt idx="22">
                  <c:v>7.0709399082937567</c:v>
                </c:pt>
                <c:pt idx="23">
                  <c:v>8.6068783203826644</c:v>
                </c:pt>
                <c:pt idx="24">
                  <c:v>8.8760251435822859</c:v>
                </c:pt>
                <c:pt idx="25">
                  <c:v>7.6082879243425232</c:v>
                </c:pt>
                <c:pt idx="26">
                  <c:v>7.2915217323084374</c:v>
                </c:pt>
                <c:pt idx="27">
                  <c:v>7.6637326760815734</c:v>
                </c:pt>
                <c:pt idx="28">
                  <c:v>7.6396718602007621</c:v>
                </c:pt>
                <c:pt idx="29">
                  <c:v>7.8176131694124109</c:v>
                </c:pt>
                <c:pt idx="30">
                  <c:v>7.0678343141104669</c:v>
                </c:pt>
                <c:pt idx="31">
                  <c:v>6.8990013283438474</c:v>
                </c:pt>
                <c:pt idx="32">
                  <c:v>7.0683811891086528</c:v>
                </c:pt>
                <c:pt idx="33">
                  <c:v>7.116620022655229</c:v>
                </c:pt>
                <c:pt idx="34">
                  <c:v>7.8027946223350027</c:v>
                </c:pt>
                <c:pt idx="35">
                  <c:v>8.3070564777453129</c:v>
                </c:pt>
                <c:pt idx="36">
                  <c:v>7.829365615123522</c:v>
                </c:pt>
                <c:pt idx="37">
                  <c:v>7.3077533625780688</c:v>
                </c:pt>
                <c:pt idx="38">
                  <c:v>6.4073608045429973</c:v>
                </c:pt>
                <c:pt idx="39">
                  <c:v>6.6283317876097643</c:v>
                </c:pt>
                <c:pt idx="40">
                  <c:v>7.7159143216246555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8D-4816-A82A-9E665E02F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736896"/>
        <c:axId val="377843168"/>
      </c:scatterChart>
      <c:scatterChart>
        <c:scatterStyle val="lineMarker"/>
        <c:varyColors val="0"/>
        <c:ser>
          <c:idx val="1"/>
          <c:order val="1"/>
          <c:tx>
            <c:strRef>
              <c:f>Model!$Y$13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Model!$G$14:$G$54</c:f>
              <c:numCache>
                <c:formatCode>General</c:formatCode>
                <c:ptCount val="41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</c:numCache>
            </c:numRef>
          </c:xVal>
          <c:yVal>
            <c:numRef>
              <c:f>Model!$Y$14:$Y$54</c:f>
              <c:numCache>
                <c:formatCode>0.000</c:formatCode>
                <c:ptCount val="4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0.22499999999999995</c:v>
                </c:pt>
                <c:pt idx="17">
                  <c:v>0.22499999999999995</c:v>
                </c:pt>
                <c:pt idx="18">
                  <c:v>0.20624999999999999</c:v>
                </c:pt>
                <c:pt idx="19">
                  <c:v>0.1875</c:v>
                </c:pt>
                <c:pt idx="20">
                  <c:v>0.16874999999999998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0.13124999999999998</c:v>
                </c:pt>
                <c:pt idx="37">
                  <c:v>0.11249999999999998</c:v>
                </c:pt>
                <c:pt idx="38">
                  <c:v>0.11249999999999998</c:v>
                </c:pt>
                <c:pt idx="39">
                  <c:v>0.11249999999999998</c:v>
                </c:pt>
                <c:pt idx="40">
                  <c:v>7.4999999999999997E-2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8D-4816-A82A-9E665E02F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863136"/>
        <c:axId val="377862304"/>
      </c:scatterChart>
      <c:valAx>
        <c:axId val="36773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43168"/>
        <c:crosses val="autoZero"/>
        <c:crossBetween val="midCat"/>
      </c:valAx>
      <c:valAx>
        <c:axId val="37784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Lifecycle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6896"/>
        <c:crosses val="autoZero"/>
        <c:crossBetween val="midCat"/>
      </c:valAx>
      <c:valAx>
        <c:axId val="3778623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Fishing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63136"/>
        <c:crosses val="max"/>
        <c:crossBetween val="midCat"/>
      </c:valAx>
      <c:valAx>
        <c:axId val="377863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786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historical smolt recruitment/unfished recruitment vs assumed Fhist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Model!$A$55:$A$63</c:f>
              <c:numCache>
                <c:formatCode>General</c:formatCode>
                <c:ptCount val="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</c:numCache>
            </c:numRef>
          </c:xVal>
          <c:yVal>
            <c:numRef>
              <c:f>Model!$B$55:$B$63</c:f>
              <c:numCache>
                <c:formatCode>General</c:formatCode>
                <c:ptCount val="9"/>
                <c:pt idx="0">
                  <c:v>1.0000000000000002</c:v>
                </c:pt>
                <c:pt idx="1">
                  <c:v>0.9889991122032763</c:v>
                </c:pt>
                <c:pt idx="2">
                  <c:v>0.93107650232808847</c:v>
                </c:pt>
                <c:pt idx="3">
                  <c:v>0.80967263670036094</c:v>
                </c:pt>
                <c:pt idx="4">
                  <c:v>0.60435225514279467</c:v>
                </c:pt>
                <c:pt idx="5">
                  <c:v>0.29015702655491915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13-4362-A71C-C8F4CCED9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72816"/>
        <c:axId val="710027184"/>
      </c:scatterChart>
      <c:valAx>
        <c:axId val="71017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Fhist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27184"/>
        <c:crosses val="autoZero"/>
        <c:crossBetween val="midCat"/>
      </c:valAx>
      <c:valAx>
        <c:axId val="71002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Rhist/Ro 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7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</a:t>
            </a:r>
            <a:r>
              <a:rPr lang="en-US" baseline="0"/>
              <a:t> fishing rate anomalies from regional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Model!$AS$13</c:f>
              <c:strCache>
                <c:ptCount val="1"/>
                <c:pt idx="0">
                  <c:v>Fanom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Model!$AJ$14:$AJ$66</c:f>
              <c:numCache>
                <c:formatCode>General</c:formatCode>
                <c:ptCount val="53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</c:numCache>
            </c:numRef>
          </c:xVal>
          <c:yVal>
            <c:numRef>
              <c:f>Model!$AS$14:$AS$66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C3-492B-A401-8B084A365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485616"/>
        <c:axId val="1659568048"/>
      </c:scatterChart>
      <c:valAx>
        <c:axId val="161348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568048"/>
        <c:crosses val="autoZero"/>
        <c:crossBetween val="midCat"/>
      </c:valAx>
      <c:valAx>
        <c:axId val="16595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48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Fanomaly vs Ricker M anomaly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Model!$AS$13</c:f>
              <c:strCache>
                <c:ptCount val="1"/>
                <c:pt idx="0">
                  <c:v>Fanom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Model!$P$14:$P$66</c:f>
              <c:numCache>
                <c:formatCode>0.000</c:formatCode>
                <c:ptCount val="53"/>
                <c:pt idx="0">
                  <c:v>-2.9338867795839163E-2</c:v>
                </c:pt>
                <c:pt idx="1">
                  <c:v>-0.86505712298959669</c:v>
                </c:pt>
                <c:pt idx="2">
                  <c:v>-0.83428766524412412</c:v>
                </c:pt>
                <c:pt idx="3">
                  <c:v>-1.1844188033777785</c:v>
                </c:pt>
                <c:pt idx="4">
                  <c:v>-1.0467160853669597</c:v>
                </c:pt>
                <c:pt idx="5">
                  <c:v>-0.22325544213404658</c:v>
                </c:pt>
                <c:pt idx="6">
                  <c:v>-0.73565792590632395</c:v>
                </c:pt>
                <c:pt idx="7">
                  <c:v>-0.28226946725228397</c:v>
                </c:pt>
                <c:pt idx="8">
                  <c:v>-0.39100876785775784</c:v>
                </c:pt>
                <c:pt idx="9">
                  <c:v>2.7181586859790885E-2</c:v>
                </c:pt>
                <c:pt idx="10">
                  <c:v>-0.93806203074044747</c:v>
                </c:pt>
                <c:pt idx="11">
                  <c:v>-0.71353246328437292</c:v>
                </c:pt>
                <c:pt idx="12">
                  <c:v>-0.32935364402692668</c:v>
                </c:pt>
                <c:pt idx="13">
                  <c:v>-0.43820438035362441</c:v>
                </c:pt>
                <c:pt idx="14">
                  <c:v>-0.30298871335001298</c:v>
                </c:pt>
                <c:pt idx="15">
                  <c:v>0.21315402704828257</c:v>
                </c:pt>
                <c:pt idx="16">
                  <c:v>0.11916166502483927</c:v>
                </c:pt>
                <c:pt idx="17">
                  <c:v>0.34096062907147506</c:v>
                </c:pt>
                <c:pt idx="18">
                  <c:v>-1.2684025448026714E-2</c:v>
                </c:pt>
                <c:pt idx="19">
                  <c:v>-0.7217921207305571</c:v>
                </c:pt>
                <c:pt idx="20">
                  <c:v>-0.28584798745534323</c:v>
                </c:pt>
                <c:pt idx="21">
                  <c:v>0.15680494733300865</c:v>
                </c:pt>
                <c:pt idx="22">
                  <c:v>-8.3484950425884108E-2</c:v>
                </c:pt>
                <c:pt idx="23">
                  <c:v>1.0770644057307086</c:v>
                </c:pt>
                <c:pt idx="24">
                  <c:v>0.94507298054609468</c:v>
                </c:pt>
                <c:pt idx="25">
                  <c:v>0.20346701641595999</c:v>
                </c:pt>
                <c:pt idx="26">
                  <c:v>9.2390478150845334E-2</c:v>
                </c:pt>
                <c:pt idx="27">
                  <c:v>0.49473175109107825</c:v>
                </c:pt>
                <c:pt idx="28">
                  <c:v>0.82025565689003987</c:v>
                </c:pt>
                <c:pt idx="29">
                  <c:v>0.90911153453567284</c:v>
                </c:pt>
                <c:pt idx="30">
                  <c:v>-9.6125743484528958E-2</c:v>
                </c:pt>
                <c:pt idx="31">
                  <c:v>-0.23836283199663266</c:v>
                </c:pt>
                <c:pt idx="32">
                  <c:v>0.15296673035510544</c:v>
                </c:pt>
                <c:pt idx="33">
                  <c:v>0.36980593676654894</c:v>
                </c:pt>
                <c:pt idx="34">
                  <c:v>0.90081637217640864</c:v>
                </c:pt>
                <c:pt idx="35">
                  <c:v>0.97542927111913413</c:v>
                </c:pt>
                <c:pt idx="36">
                  <c:v>0.49943558193654236</c:v>
                </c:pt>
                <c:pt idx="37">
                  <c:v>0.31823864515394229</c:v>
                </c:pt>
                <c:pt idx="38">
                  <c:v>-0.39690319498272797</c:v>
                </c:pt>
                <c:pt idx="39">
                  <c:v>-0.16059788460341484</c:v>
                </c:pt>
                <c:pt idx="40">
                  <c:v>0.81495266087403118</c:v>
                </c:pt>
                <c:pt idx="41">
                  <c:v>0.87810914936565432</c:v>
                </c:pt>
                <c:pt idx="42">
                  <c:v>0.87810914936565432</c:v>
                </c:pt>
                <c:pt idx="43">
                  <c:v>0.87810914936565432</c:v>
                </c:pt>
                <c:pt idx="44">
                  <c:v>0.87810914936565432</c:v>
                </c:pt>
                <c:pt idx="45">
                  <c:v>0.87810914936565432</c:v>
                </c:pt>
                <c:pt idx="46">
                  <c:v>0.87810914936565432</c:v>
                </c:pt>
                <c:pt idx="47">
                  <c:v>0.87810914936565432</c:v>
                </c:pt>
                <c:pt idx="48">
                  <c:v>0.87810914936565432</c:v>
                </c:pt>
                <c:pt idx="49">
                  <c:v>0.87810914936565432</c:v>
                </c:pt>
                <c:pt idx="50">
                  <c:v>0.87810914936565432</c:v>
                </c:pt>
                <c:pt idx="51">
                  <c:v>0.87810914936565432</c:v>
                </c:pt>
                <c:pt idx="52">
                  <c:v>0.87810914936565432</c:v>
                </c:pt>
              </c:numCache>
            </c:numRef>
          </c:xVal>
          <c:yVal>
            <c:numRef>
              <c:f>Model!$AS$14:$AS$66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1-4B29-85BF-9867F6BB4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580816"/>
        <c:axId val="1561475232"/>
      </c:scatterChart>
      <c:valAx>
        <c:axId val="161358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 anomaly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475232"/>
        <c:crosses val="autoZero"/>
        <c:crossBetween val="midCat"/>
      </c:valAx>
      <c:valAx>
        <c:axId val="156147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Fishing rate anomaly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58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Mean tag recaptures 1985-2020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Model!$AZ$4</c:f>
              <c:strCache>
                <c:ptCount val="1"/>
                <c:pt idx="0">
                  <c:v>mean esc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Model!$BA$3:$BE$3</c:f>
              <c:strCache>
                <c:ptCount val="5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  <c:pt idx="3">
                  <c:v>t+4</c:v>
                </c:pt>
                <c:pt idx="4">
                  <c:v>t+5</c:v>
                </c:pt>
              </c:strCache>
            </c:strRef>
          </c:cat>
          <c:val>
            <c:numRef>
              <c:f>Model!$BA$4:$BE$4</c:f>
              <c:numCache>
                <c:formatCode>0.00</c:formatCode>
                <c:ptCount val="5"/>
                <c:pt idx="0">
                  <c:v>39.351221937697822</c:v>
                </c:pt>
                <c:pt idx="1">
                  <c:v>44.644334593420893</c:v>
                </c:pt>
                <c:pt idx="2">
                  <c:v>86.1808802067914</c:v>
                </c:pt>
                <c:pt idx="3">
                  <c:v>2.9057470838881452</c:v>
                </c:pt>
                <c:pt idx="4">
                  <c:v>1.7844507945004841E-2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8-4277-900F-9CB2679731FF}"/>
            </c:ext>
          </c:extLst>
        </c:ser>
        <c:ser>
          <c:idx val="1"/>
          <c:order val="1"/>
          <c:tx>
            <c:strRef>
              <c:f>Model!$AZ$5</c:f>
              <c:strCache>
                <c:ptCount val="1"/>
                <c:pt idx="0">
                  <c:v>Catch 85-93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Model!$BA$3:$BE$3</c:f>
              <c:strCache>
                <c:ptCount val="5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  <c:pt idx="3">
                  <c:v>t+4</c:v>
                </c:pt>
                <c:pt idx="4">
                  <c:v>t+5</c:v>
                </c:pt>
              </c:strCache>
            </c:strRef>
          </c:cat>
          <c:val>
            <c:numRef>
              <c:f>Model!$BA$5:$BE$5</c:f>
              <c:numCache>
                <c:formatCode>0.00</c:formatCode>
                <c:ptCount val="5"/>
                <c:pt idx="0">
                  <c:v>17.972089557701228</c:v>
                </c:pt>
                <c:pt idx="1">
                  <c:v>69.356073792209656</c:v>
                </c:pt>
                <c:pt idx="2">
                  <c:v>31.605444600254526</c:v>
                </c:pt>
                <c:pt idx="3">
                  <c:v>0.99175213763648218</c:v>
                </c:pt>
                <c:pt idx="4">
                  <c:v>5.8741777665916386E-3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B8-4277-900F-9CB2679731FF}"/>
            </c:ext>
          </c:extLst>
        </c:ser>
        <c:ser>
          <c:idx val="2"/>
          <c:order val="2"/>
          <c:tx>
            <c:strRef>
              <c:f>Model!$AZ$6</c:f>
              <c:strCache>
                <c:ptCount val="1"/>
                <c:pt idx="0">
                  <c:v>Catch 2000-2020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Model!$BA$3:$BE$3</c:f>
              <c:strCache>
                <c:ptCount val="5"/>
                <c:pt idx="0">
                  <c:v>t+1</c:v>
                </c:pt>
                <c:pt idx="1">
                  <c:v>t+2</c:v>
                </c:pt>
                <c:pt idx="2">
                  <c:v>t+3</c:v>
                </c:pt>
                <c:pt idx="3">
                  <c:v>t+4</c:v>
                </c:pt>
                <c:pt idx="4">
                  <c:v>t+5</c:v>
                </c:pt>
              </c:strCache>
            </c:strRef>
          </c:cat>
          <c:val>
            <c:numRef>
              <c:f>Model!$BA$6:$BE$6</c:f>
              <c:numCache>
                <c:formatCode>0.00</c:formatCode>
                <c:ptCount val="5"/>
                <c:pt idx="0">
                  <c:v>8.5170682247236051</c:v>
                </c:pt>
                <c:pt idx="1">
                  <c:v>51.901800738620693</c:v>
                </c:pt>
                <c:pt idx="2">
                  <c:v>25.51444414568234</c:v>
                </c:pt>
                <c:pt idx="3">
                  <c:v>0.8597543446789111</c:v>
                </c:pt>
                <c:pt idx="4">
                  <c:v>5.4400507871315501E-3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B8-4277-900F-9CB267973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54336"/>
        <c:axId val="103360752"/>
      </c:lineChart>
      <c:catAx>
        <c:axId val="155185433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60752"/>
        <c:crosses val="autoZero"/>
        <c:auto val="1"/>
        <c:lblAlgn val="ctr"/>
        <c:lblOffset val="100"/>
        <c:noMultiLvlLbl val="0"/>
      </c:catAx>
      <c:valAx>
        <c:axId val="10336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recaptures/10000 releases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5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BYER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Model!$BL$13</c:f>
              <c:strCache>
                <c:ptCount val="1"/>
                <c:pt idx="0">
                  <c:v>Pred BYER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Model!$BK$14:$BK$66</c:f>
              <c:numCache>
                <c:formatCode>0.00</c:formatCode>
                <c:ptCount val="53"/>
                <c:pt idx="0">
                  <c:v>1977</c:v>
                </c:pt>
                <c:pt idx="1">
                  <c:v>1978</c:v>
                </c:pt>
                <c:pt idx="2">
                  <c:v>1979</c:v>
                </c:pt>
                <c:pt idx="3">
                  <c:v>1980</c:v>
                </c:pt>
                <c:pt idx="4">
                  <c:v>1981</c:v>
                </c:pt>
                <c:pt idx="5">
                  <c:v>1982</c:v>
                </c:pt>
                <c:pt idx="6">
                  <c:v>1983</c:v>
                </c:pt>
                <c:pt idx="7">
                  <c:v>1984</c:v>
                </c:pt>
                <c:pt idx="8">
                  <c:v>1985</c:v>
                </c:pt>
                <c:pt idx="9">
                  <c:v>1986</c:v>
                </c:pt>
                <c:pt idx="10">
                  <c:v>1987</c:v>
                </c:pt>
                <c:pt idx="11">
                  <c:v>1988</c:v>
                </c:pt>
                <c:pt idx="12">
                  <c:v>1989</c:v>
                </c:pt>
                <c:pt idx="13">
                  <c:v>1990</c:v>
                </c:pt>
                <c:pt idx="14">
                  <c:v>1991</c:v>
                </c:pt>
                <c:pt idx="15">
                  <c:v>1992</c:v>
                </c:pt>
                <c:pt idx="16">
                  <c:v>1993</c:v>
                </c:pt>
                <c:pt idx="17">
                  <c:v>1994</c:v>
                </c:pt>
                <c:pt idx="18">
                  <c:v>1995</c:v>
                </c:pt>
                <c:pt idx="19">
                  <c:v>1996</c:v>
                </c:pt>
                <c:pt idx="20">
                  <c:v>1997</c:v>
                </c:pt>
                <c:pt idx="21">
                  <c:v>1998</c:v>
                </c:pt>
                <c:pt idx="22">
                  <c:v>1999</c:v>
                </c:pt>
                <c:pt idx="23">
                  <c:v>2000</c:v>
                </c:pt>
                <c:pt idx="24">
                  <c:v>2001</c:v>
                </c:pt>
                <c:pt idx="25">
                  <c:v>2002</c:v>
                </c:pt>
                <c:pt idx="26">
                  <c:v>2003</c:v>
                </c:pt>
                <c:pt idx="27">
                  <c:v>2004</c:v>
                </c:pt>
                <c:pt idx="28">
                  <c:v>2005</c:v>
                </c:pt>
                <c:pt idx="29">
                  <c:v>2006</c:v>
                </c:pt>
                <c:pt idx="30">
                  <c:v>2007</c:v>
                </c:pt>
                <c:pt idx="31">
                  <c:v>2008</c:v>
                </c:pt>
                <c:pt idx="32">
                  <c:v>2009</c:v>
                </c:pt>
                <c:pt idx="33">
                  <c:v>2010</c:v>
                </c:pt>
                <c:pt idx="34">
                  <c:v>2011</c:v>
                </c:pt>
                <c:pt idx="35">
                  <c:v>2012</c:v>
                </c:pt>
                <c:pt idx="36">
                  <c:v>2013</c:v>
                </c:pt>
                <c:pt idx="37">
                  <c:v>2014</c:v>
                </c:pt>
                <c:pt idx="38">
                  <c:v>2015</c:v>
                </c:pt>
                <c:pt idx="39">
                  <c:v>2016</c:v>
                </c:pt>
                <c:pt idx="40">
                  <c:v>2017</c:v>
                </c:pt>
                <c:pt idx="41">
                  <c:v>2018</c:v>
                </c:pt>
                <c:pt idx="42">
                  <c:v>2019</c:v>
                </c:pt>
                <c:pt idx="43">
                  <c:v>2020</c:v>
                </c:pt>
                <c:pt idx="44">
                  <c:v>2021</c:v>
                </c:pt>
                <c:pt idx="45">
                  <c:v>2022</c:v>
                </c:pt>
                <c:pt idx="46">
                  <c:v>2023</c:v>
                </c:pt>
                <c:pt idx="47">
                  <c:v>2024</c:v>
                </c:pt>
                <c:pt idx="48">
                  <c:v>2025</c:v>
                </c:pt>
                <c:pt idx="49">
                  <c:v>2026</c:v>
                </c:pt>
                <c:pt idx="50">
                  <c:v>2027</c:v>
                </c:pt>
                <c:pt idx="51">
                  <c:v>2028</c:v>
                </c:pt>
                <c:pt idx="52">
                  <c:v>2029</c:v>
                </c:pt>
              </c:numCache>
            </c:numRef>
          </c:xVal>
          <c:yVal>
            <c:numRef>
              <c:f>Model!$BL$14:$BL$66</c:f>
              <c:numCache>
                <c:formatCode>General</c:formatCode>
                <c:ptCount val="53"/>
                <c:pt idx="0">
                  <c:v>0.52018524353888329</c:v>
                </c:pt>
                <c:pt idx="1">
                  <c:v>0.52018524353888329</c:v>
                </c:pt>
                <c:pt idx="2">
                  <c:v>0.52018524353888329</c:v>
                </c:pt>
                <c:pt idx="3">
                  <c:v>0.52018524353888329</c:v>
                </c:pt>
                <c:pt idx="4">
                  <c:v>0.52018524353888351</c:v>
                </c:pt>
                <c:pt idx="5">
                  <c:v>0.52018524353888329</c:v>
                </c:pt>
                <c:pt idx="6">
                  <c:v>0.52018524353888329</c:v>
                </c:pt>
                <c:pt idx="7">
                  <c:v>0.5201852435388834</c:v>
                </c:pt>
                <c:pt idx="8">
                  <c:v>0.52018524353888329</c:v>
                </c:pt>
                <c:pt idx="9">
                  <c:v>0.5201852435388834</c:v>
                </c:pt>
                <c:pt idx="10">
                  <c:v>0.52018524353888329</c:v>
                </c:pt>
                <c:pt idx="11">
                  <c:v>0.52018524353888329</c:v>
                </c:pt>
                <c:pt idx="12">
                  <c:v>0.52018140859660111</c:v>
                </c:pt>
                <c:pt idx="13">
                  <c:v>0.51948414529716391</c:v>
                </c:pt>
                <c:pt idx="14">
                  <c:v>0.49546922605659599</c:v>
                </c:pt>
                <c:pt idx="15">
                  <c:v>0.44661913231827172</c:v>
                </c:pt>
                <c:pt idx="16">
                  <c:v>0.43033879607033032</c:v>
                </c:pt>
                <c:pt idx="17">
                  <c:v>0.40823058894576464</c:v>
                </c:pt>
                <c:pt idx="18">
                  <c:v>0.38227735468960539</c:v>
                </c:pt>
                <c:pt idx="19">
                  <c:v>0.35483841737758948</c:v>
                </c:pt>
                <c:pt idx="20">
                  <c:v>0.33527934486670191</c:v>
                </c:pt>
                <c:pt idx="21">
                  <c:v>0.33253727794221133</c:v>
                </c:pt>
                <c:pt idx="22">
                  <c:v>0.33253727794221133</c:v>
                </c:pt>
                <c:pt idx="23">
                  <c:v>0.33253727794221133</c:v>
                </c:pt>
                <c:pt idx="24">
                  <c:v>0.33253727794221133</c:v>
                </c:pt>
                <c:pt idx="25">
                  <c:v>0.33253727794221138</c:v>
                </c:pt>
                <c:pt idx="26">
                  <c:v>0.33253727794221127</c:v>
                </c:pt>
                <c:pt idx="27">
                  <c:v>0.33253727794221138</c:v>
                </c:pt>
                <c:pt idx="28">
                  <c:v>0.33253727794221138</c:v>
                </c:pt>
                <c:pt idx="29">
                  <c:v>0.33253727794221138</c:v>
                </c:pt>
                <c:pt idx="30">
                  <c:v>0.33253727794221133</c:v>
                </c:pt>
                <c:pt idx="31">
                  <c:v>0.33253727794221144</c:v>
                </c:pt>
                <c:pt idx="32">
                  <c:v>0.33253514473174234</c:v>
                </c:pt>
                <c:pt idx="33">
                  <c:v>0.33219882766865066</c:v>
                </c:pt>
                <c:pt idx="34">
                  <c:v>0.32197955233371489</c:v>
                </c:pt>
                <c:pt idx="35">
                  <c:v>0.29324520630797846</c:v>
                </c:pt>
                <c:pt idx="36">
                  <c:v>0.2707510622628968</c:v>
                </c:pt>
                <c:pt idx="37">
                  <c:v>0.2668132710901579</c:v>
                </c:pt>
                <c:pt idx="38">
                  <c:v>0.24352867833830044</c:v>
                </c:pt>
                <c:pt idx="39">
                  <c:v>0.19951460642616567</c:v>
                </c:pt>
                <c:pt idx="40">
                  <c:v>0.19234626055776471</c:v>
                </c:pt>
                <c:pt idx="41">
                  <c:v>0.19236705529429146</c:v>
                </c:pt>
                <c:pt idx="42">
                  <c:v>0.19538363563098701</c:v>
                </c:pt>
                <c:pt idx="43">
                  <c:v>0.27460161773114583</c:v>
                </c:pt>
                <c:pt idx="44">
                  <c:v>0.39020803785345054</c:v>
                </c:pt>
                <c:pt idx="45">
                  <c:v>0.40611168906319267</c:v>
                </c:pt>
                <c:pt idx="46">
                  <c:v>0.40611168906319267</c:v>
                </c:pt>
                <c:pt idx="47">
                  <c:v>0.40611168906319273</c:v>
                </c:pt>
                <c:pt idx="48">
                  <c:v>0.40611168906319262</c:v>
                </c:pt>
                <c:pt idx="49">
                  <c:v>0.40611168906319267</c:v>
                </c:pt>
                <c:pt idx="50">
                  <c:v>0.40611168906319267</c:v>
                </c:pt>
                <c:pt idx="51">
                  <c:v>0.40611168906319267</c:v>
                </c:pt>
                <c:pt idx="52">
                  <c:v>0.40611168906319262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D8-4378-B306-EB4F3FB14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922368"/>
        <c:axId val="894317264"/>
      </c:scatterChart>
      <c:valAx>
        <c:axId val="89392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317264"/>
        <c:crosses val="autoZero"/>
        <c:crossBetween val="midCat"/>
      </c:valAx>
      <c:valAx>
        <c:axId val="89431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 catch/(catch+escapement)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92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Calculated tag N alive vs Nalive from VPA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Model!$BX$13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Model!$BX$14:$BX$79</c:f>
              <c:numCache>
                <c:formatCode>General</c:formatCode>
                <c:ptCount val="66"/>
                <c:pt idx="0">
                  <c:v>608.10062625217984</c:v>
                </c:pt>
                <c:pt idx="1">
                  <c:v>608.10062625217972</c:v>
                </c:pt>
                <c:pt idx="2">
                  <c:v>608.10062625217972</c:v>
                </c:pt>
                <c:pt idx="3">
                  <c:v>608.10062625217984</c:v>
                </c:pt>
                <c:pt idx="4">
                  <c:v>608.10062625217972</c:v>
                </c:pt>
                <c:pt idx="5">
                  <c:v>608.10062625217984</c:v>
                </c:pt>
                <c:pt idx="6">
                  <c:v>608.10062625217984</c:v>
                </c:pt>
                <c:pt idx="7">
                  <c:v>608.10062625217984</c:v>
                </c:pt>
                <c:pt idx="8">
                  <c:v>608.10062625217972</c:v>
                </c:pt>
                <c:pt idx="9">
                  <c:v>608.10062625217984</c:v>
                </c:pt>
                <c:pt idx="10">
                  <c:v>608.10062625217972</c:v>
                </c:pt>
                <c:pt idx="11">
                  <c:v>608.10062625217972</c:v>
                </c:pt>
                <c:pt idx="12">
                  <c:v>608.10062625217984</c:v>
                </c:pt>
                <c:pt idx="13">
                  <c:v>608.10062625217984</c:v>
                </c:pt>
                <c:pt idx="14">
                  <c:v>608.10062625217961</c:v>
                </c:pt>
                <c:pt idx="15">
                  <c:v>608.10062625217995</c:v>
                </c:pt>
                <c:pt idx="16">
                  <c:v>608.10062625217972</c:v>
                </c:pt>
                <c:pt idx="17">
                  <c:v>608.10062625217984</c:v>
                </c:pt>
                <c:pt idx="18">
                  <c:v>608.10062625217984</c:v>
                </c:pt>
                <c:pt idx="19">
                  <c:v>608.10062625217984</c:v>
                </c:pt>
                <c:pt idx="20">
                  <c:v>608.10062625217984</c:v>
                </c:pt>
                <c:pt idx="21">
                  <c:v>608.10062625217972</c:v>
                </c:pt>
                <c:pt idx="22">
                  <c:v>608.10062625217995</c:v>
                </c:pt>
                <c:pt idx="23">
                  <c:v>608.10062625217972</c:v>
                </c:pt>
                <c:pt idx="24">
                  <c:v>608.10062625217984</c:v>
                </c:pt>
                <c:pt idx="25">
                  <c:v>608.10062625217972</c:v>
                </c:pt>
                <c:pt idx="26">
                  <c:v>608.10062625217972</c:v>
                </c:pt>
                <c:pt idx="27">
                  <c:v>608.10062625217972</c:v>
                </c:pt>
                <c:pt idx="28">
                  <c:v>608.10062625217972</c:v>
                </c:pt>
                <c:pt idx="29">
                  <c:v>608.10062625217972</c:v>
                </c:pt>
                <c:pt idx="30">
                  <c:v>608.10062625217972</c:v>
                </c:pt>
                <c:pt idx="31">
                  <c:v>608.10062625217972</c:v>
                </c:pt>
                <c:pt idx="32">
                  <c:v>608.10062625217972</c:v>
                </c:pt>
                <c:pt idx="33">
                  <c:v>608.10062625217972</c:v>
                </c:pt>
                <c:pt idx="34">
                  <c:v>608.10062625217995</c:v>
                </c:pt>
                <c:pt idx="35">
                  <c:v>608.10062625217995</c:v>
                </c:pt>
                <c:pt idx="36">
                  <c:v>608.10062625217972</c:v>
                </c:pt>
                <c:pt idx="37">
                  <c:v>608.10062625217972</c:v>
                </c:pt>
                <c:pt idx="38">
                  <c:v>608.10062625217972</c:v>
                </c:pt>
                <c:pt idx="39">
                  <c:v>608.10062625217984</c:v>
                </c:pt>
                <c:pt idx="40">
                  <c:v>608.10062625217995</c:v>
                </c:pt>
                <c:pt idx="41">
                  <c:v>608.10062625218006</c:v>
                </c:pt>
                <c:pt idx="42">
                  <c:v>608.10062625217995</c:v>
                </c:pt>
                <c:pt idx="43">
                  <c:v>608.10062625217972</c:v>
                </c:pt>
                <c:pt idx="44">
                  <c:v>608.10062625217984</c:v>
                </c:pt>
                <c:pt idx="45">
                  <c:v>608.10062625217972</c:v>
                </c:pt>
                <c:pt idx="46">
                  <c:v>608.10062625217984</c:v>
                </c:pt>
                <c:pt idx="47">
                  <c:v>608.10062625217984</c:v>
                </c:pt>
                <c:pt idx="48">
                  <c:v>608.10062625217972</c:v>
                </c:pt>
                <c:pt idx="49">
                  <c:v>608.10062625217972</c:v>
                </c:pt>
                <c:pt idx="50">
                  <c:v>608.10062625217984</c:v>
                </c:pt>
                <c:pt idx="51">
                  <c:v>608.10062625217984</c:v>
                </c:pt>
                <c:pt idx="52">
                  <c:v>608.10062625218006</c:v>
                </c:pt>
                <c:pt idx="53">
                  <c:v>608.16143631480486</c:v>
                </c:pt>
                <c:pt idx="54">
                  <c:v>608.22224637743034</c:v>
                </c:pt>
                <c:pt idx="55">
                  <c:v>608.28305644005536</c:v>
                </c:pt>
                <c:pt idx="56">
                  <c:v>608.34386650268073</c:v>
                </c:pt>
                <c:pt idx="57">
                  <c:v>608.40467656530609</c:v>
                </c:pt>
                <c:pt idx="58">
                  <c:v>608.46548662793134</c:v>
                </c:pt>
                <c:pt idx="59">
                  <c:v>608.52629669055625</c:v>
                </c:pt>
                <c:pt idx="60">
                  <c:v>608.5871067531815</c:v>
                </c:pt>
                <c:pt idx="61">
                  <c:v>608.52899537493181</c:v>
                </c:pt>
                <c:pt idx="62">
                  <c:v>594.18217808588247</c:v>
                </c:pt>
                <c:pt idx="63">
                  <c:v>273.96690928180396</c:v>
                </c:pt>
                <c:pt idx="64">
                  <c:v>77.700865425990571</c:v>
                </c:pt>
                <c:pt idx="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6-45E6-A220-FBF57922EB64}"/>
            </c:ext>
          </c:extLst>
        </c:ser>
        <c:ser>
          <c:idx val="1"/>
          <c:order val="1"/>
          <c:tx>
            <c:strRef>
              <c:f>Model!$AV$13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Model!$AV$14:$AV$15</c:f>
              <c:numCache>
                <c:formatCode>0.00</c:formatCode>
                <c:ptCount val="2"/>
                <c:pt idx="1">
                  <c:v>608.10062625217972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96-45E6-A220-FBF57922EB64}"/>
            </c:ext>
          </c:extLst>
        </c:ser>
        <c:ser>
          <c:idx val="2"/>
          <c:order val="2"/>
          <c:tx>
            <c:strRef>
              <c:f>Model!$AV$13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Model!$AV$14:$AV$79</c:f>
              <c:numCache>
                <c:formatCode>0.00</c:formatCode>
                <c:ptCount val="66"/>
                <c:pt idx="1">
                  <c:v>608.10062625217972</c:v>
                </c:pt>
                <c:pt idx="2">
                  <c:v>608.10062625217972</c:v>
                </c:pt>
                <c:pt idx="3">
                  <c:v>608.10062625217972</c:v>
                </c:pt>
                <c:pt idx="4">
                  <c:v>608.10062625217972</c:v>
                </c:pt>
                <c:pt idx="5">
                  <c:v>608.10062625217972</c:v>
                </c:pt>
                <c:pt idx="6">
                  <c:v>608.10062625217984</c:v>
                </c:pt>
                <c:pt idx="7">
                  <c:v>608.10062625217972</c:v>
                </c:pt>
                <c:pt idx="8">
                  <c:v>608.10062625217984</c:v>
                </c:pt>
                <c:pt idx="9">
                  <c:v>608.10062625217972</c:v>
                </c:pt>
                <c:pt idx="10">
                  <c:v>608.10062625217972</c:v>
                </c:pt>
                <c:pt idx="11">
                  <c:v>608.10062625217972</c:v>
                </c:pt>
                <c:pt idx="12">
                  <c:v>608.10062625217972</c:v>
                </c:pt>
                <c:pt idx="13">
                  <c:v>608.10062625217972</c:v>
                </c:pt>
                <c:pt idx="14">
                  <c:v>608.10062625217972</c:v>
                </c:pt>
                <c:pt idx="15">
                  <c:v>608.10062625217961</c:v>
                </c:pt>
                <c:pt idx="16">
                  <c:v>608.10062625217972</c:v>
                </c:pt>
                <c:pt idx="17">
                  <c:v>608.10062625217972</c:v>
                </c:pt>
                <c:pt idx="18">
                  <c:v>608.10062625217972</c:v>
                </c:pt>
                <c:pt idx="19">
                  <c:v>608.10062625217972</c:v>
                </c:pt>
                <c:pt idx="20">
                  <c:v>608.10062625217972</c:v>
                </c:pt>
                <c:pt idx="21">
                  <c:v>608.10062625217972</c:v>
                </c:pt>
                <c:pt idx="22">
                  <c:v>608.10062625217972</c:v>
                </c:pt>
                <c:pt idx="23">
                  <c:v>608.10062625217984</c:v>
                </c:pt>
                <c:pt idx="24">
                  <c:v>608.10062625217972</c:v>
                </c:pt>
                <c:pt idx="25">
                  <c:v>608.10062625217972</c:v>
                </c:pt>
                <c:pt idx="26">
                  <c:v>608.10062625217961</c:v>
                </c:pt>
                <c:pt idx="27">
                  <c:v>608.10062625217972</c:v>
                </c:pt>
                <c:pt idx="28">
                  <c:v>608.10062625217972</c:v>
                </c:pt>
                <c:pt idx="29">
                  <c:v>608.10062625217972</c:v>
                </c:pt>
                <c:pt idx="30">
                  <c:v>608.10062625217972</c:v>
                </c:pt>
                <c:pt idx="31">
                  <c:v>608.10062625217961</c:v>
                </c:pt>
                <c:pt idx="32">
                  <c:v>608.10062625217972</c:v>
                </c:pt>
                <c:pt idx="33">
                  <c:v>608.10062625217972</c:v>
                </c:pt>
                <c:pt idx="34">
                  <c:v>608.10062625217972</c:v>
                </c:pt>
                <c:pt idx="35">
                  <c:v>608.10062625217972</c:v>
                </c:pt>
                <c:pt idx="36">
                  <c:v>608.10062625217984</c:v>
                </c:pt>
                <c:pt idx="37">
                  <c:v>608.10062625217972</c:v>
                </c:pt>
                <c:pt idx="38">
                  <c:v>608.10062625217972</c:v>
                </c:pt>
                <c:pt idx="39">
                  <c:v>608.10062625217972</c:v>
                </c:pt>
                <c:pt idx="40">
                  <c:v>608.10062625217972</c:v>
                </c:pt>
                <c:pt idx="41">
                  <c:v>608.10062625217972</c:v>
                </c:pt>
                <c:pt idx="42">
                  <c:v>608.10062625217972</c:v>
                </c:pt>
                <c:pt idx="43">
                  <c:v>608.10062625217972</c:v>
                </c:pt>
                <c:pt idx="44">
                  <c:v>608.10062625217961</c:v>
                </c:pt>
                <c:pt idx="45">
                  <c:v>608.10062625217972</c:v>
                </c:pt>
                <c:pt idx="46">
                  <c:v>608.10062625217972</c:v>
                </c:pt>
                <c:pt idx="47">
                  <c:v>608.10062625217972</c:v>
                </c:pt>
                <c:pt idx="48">
                  <c:v>608.10062625217972</c:v>
                </c:pt>
                <c:pt idx="49">
                  <c:v>608.10062625217972</c:v>
                </c:pt>
                <c:pt idx="50">
                  <c:v>608.10062625217972</c:v>
                </c:pt>
                <c:pt idx="51">
                  <c:v>608.10062625217972</c:v>
                </c:pt>
                <c:pt idx="52">
                  <c:v>608.10062625217972</c:v>
                </c:pt>
                <c:pt idx="53">
                  <c:v>608.10062625217984</c:v>
                </c:pt>
                <c:pt idx="54">
                  <c:v>608.16143631480497</c:v>
                </c:pt>
                <c:pt idx="55">
                  <c:v>608.22224637743022</c:v>
                </c:pt>
                <c:pt idx="56">
                  <c:v>608.28305644005536</c:v>
                </c:pt>
                <c:pt idx="57">
                  <c:v>608.3438665026805</c:v>
                </c:pt>
                <c:pt idx="58">
                  <c:v>608.40467656530575</c:v>
                </c:pt>
                <c:pt idx="59">
                  <c:v>608.465486627931</c:v>
                </c:pt>
                <c:pt idx="60">
                  <c:v>608.52629669055625</c:v>
                </c:pt>
                <c:pt idx="61">
                  <c:v>608.5871067531815</c:v>
                </c:pt>
                <c:pt idx="62">
                  <c:v>608.64791681580664</c:v>
                </c:pt>
                <c:pt idx="63">
                  <c:v>608.70872687843189</c:v>
                </c:pt>
                <c:pt idx="64">
                  <c:v>608.76953694105714</c:v>
                </c:pt>
                <c:pt idx="65">
                  <c:v>608.83034700368239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96-45E6-A220-FBF57922E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5829551"/>
        <c:axId val="1783218895"/>
      </c:lineChart>
      <c:catAx>
        <c:axId val="1785829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218895"/>
        <c:crosses val="autoZero"/>
        <c:auto val="1"/>
        <c:lblAlgn val="ctr"/>
        <c:lblOffset val="100"/>
        <c:noMultiLvlLbl val="0"/>
      </c:catAx>
      <c:valAx>
        <c:axId val="178321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82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Model!$CC$13</c:f>
              <c:strCache>
                <c:ptCount val="1"/>
                <c:pt idx="0">
                  <c:v>MSR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Model!$BM$14:$BM$79</c:f>
              <c:numCache>
                <c:formatCode>General</c:formatCode>
                <c:ptCount val="6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  <c:pt idx="47">
                  <c:v>2026</c:v>
                </c:pt>
                <c:pt idx="48">
                  <c:v>2027</c:v>
                </c:pt>
                <c:pt idx="49">
                  <c:v>2028</c:v>
                </c:pt>
                <c:pt idx="50">
                  <c:v>2029</c:v>
                </c:pt>
                <c:pt idx="51">
                  <c:v>2030</c:v>
                </c:pt>
                <c:pt idx="52">
                  <c:v>2031</c:v>
                </c:pt>
                <c:pt idx="53">
                  <c:v>2032</c:v>
                </c:pt>
                <c:pt idx="54">
                  <c:v>2033</c:v>
                </c:pt>
                <c:pt idx="55">
                  <c:v>2034</c:v>
                </c:pt>
                <c:pt idx="56">
                  <c:v>2035</c:v>
                </c:pt>
                <c:pt idx="57">
                  <c:v>2036</c:v>
                </c:pt>
                <c:pt idx="58">
                  <c:v>2037</c:v>
                </c:pt>
                <c:pt idx="59">
                  <c:v>2038</c:v>
                </c:pt>
                <c:pt idx="60">
                  <c:v>2039</c:v>
                </c:pt>
                <c:pt idx="61">
                  <c:v>2040</c:v>
                </c:pt>
                <c:pt idx="62">
                  <c:v>2041</c:v>
                </c:pt>
                <c:pt idx="63">
                  <c:v>2042</c:v>
                </c:pt>
                <c:pt idx="64">
                  <c:v>2043</c:v>
                </c:pt>
                <c:pt idx="65">
                  <c:v>2044</c:v>
                </c:pt>
              </c:numCache>
            </c:numRef>
          </c:xVal>
          <c:yVal>
            <c:numRef>
              <c:f>Model!$CC$14:$CC$79</c:f>
              <c:numCache>
                <c:formatCode>General</c:formatCode>
                <c:ptCount val="66"/>
                <c:pt idx="0">
                  <c:v>6.0810062625217987E-2</c:v>
                </c:pt>
                <c:pt idx="1">
                  <c:v>6.0810062625217973E-2</c:v>
                </c:pt>
                <c:pt idx="2">
                  <c:v>6.0810062625217973E-2</c:v>
                </c:pt>
                <c:pt idx="3">
                  <c:v>6.0810062625217987E-2</c:v>
                </c:pt>
                <c:pt idx="4">
                  <c:v>6.0810062625217973E-2</c:v>
                </c:pt>
                <c:pt idx="5">
                  <c:v>6.0810062625217987E-2</c:v>
                </c:pt>
                <c:pt idx="6">
                  <c:v>6.0810062625217987E-2</c:v>
                </c:pt>
                <c:pt idx="7">
                  <c:v>6.0810062625217987E-2</c:v>
                </c:pt>
                <c:pt idx="8">
                  <c:v>6.0810062625217973E-2</c:v>
                </c:pt>
                <c:pt idx="9">
                  <c:v>6.0810062625217987E-2</c:v>
                </c:pt>
                <c:pt idx="10">
                  <c:v>6.0810062625217973E-2</c:v>
                </c:pt>
                <c:pt idx="11">
                  <c:v>6.0810062625217973E-2</c:v>
                </c:pt>
                <c:pt idx="12">
                  <c:v>6.0810062625217987E-2</c:v>
                </c:pt>
                <c:pt idx="13">
                  <c:v>6.0810062625217987E-2</c:v>
                </c:pt>
                <c:pt idx="14">
                  <c:v>6.0810062625217959E-2</c:v>
                </c:pt>
                <c:pt idx="15">
                  <c:v>6.0810062625217993E-2</c:v>
                </c:pt>
                <c:pt idx="16">
                  <c:v>6.0810062625217973E-2</c:v>
                </c:pt>
                <c:pt idx="17">
                  <c:v>6.0810062625217987E-2</c:v>
                </c:pt>
                <c:pt idx="18">
                  <c:v>6.0810062625217987E-2</c:v>
                </c:pt>
                <c:pt idx="19">
                  <c:v>6.0810062625217987E-2</c:v>
                </c:pt>
                <c:pt idx="20">
                  <c:v>6.0810062625217987E-2</c:v>
                </c:pt>
                <c:pt idx="21">
                  <c:v>6.0810062625217973E-2</c:v>
                </c:pt>
                <c:pt idx="22">
                  <c:v>6.0810062625217993E-2</c:v>
                </c:pt>
                <c:pt idx="23">
                  <c:v>6.0810062625217973E-2</c:v>
                </c:pt>
                <c:pt idx="24">
                  <c:v>6.0810062625217987E-2</c:v>
                </c:pt>
                <c:pt idx="25">
                  <c:v>6.0810062625217973E-2</c:v>
                </c:pt>
                <c:pt idx="26">
                  <c:v>6.0810062625217973E-2</c:v>
                </c:pt>
                <c:pt idx="27">
                  <c:v>6.0810062625217973E-2</c:v>
                </c:pt>
                <c:pt idx="28">
                  <c:v>6.0810062625217973E-2</c:v>
                </c:pt>
                <c:pt idx="29">
                  <c:v>6.0810062625217973E-2</c:v>
                </c:pt>
                <c:pt idx="30">
                  <c:v>6.0810062625217973E-2</c:v>
                </c:pt>
                <c:pt idx="31">
                  <c:v>6.0810062625217973E-2</c:v>
                </c:pt>
                <c:pt idx="32">
                  <c:v>6.0810062625217973E-2</c:v>
                </c:pt>
                <c:pt idx="33">
                  <c:v>6.0810062625217973E-2</c:v>
                </c:pt>
                <c:pt idx="34">
                  <c:v>6.0810062625217993E-2</c:v>
                </c:pt>
                <c:pt idx="35">
                  <c:v>6.0810062625217993E-2</c:v>
                </c:pt>
                <c:pt idx="36">
                  <c:v>6.0810062625217973E-2</c:v>
                </c:pt>
                <c:pt idx="37">
                  <c:v>6.0810062625217973E-2</c:v>
                </c:pt>
                <c:pt idx="38">
                  <c:v>6.0810062625217973E-2</c:v>
                </c:pt>
                <c:pt idx="39">
                  <c:v>6.0810062625217987E-2</c:v>
                </c:pt>
                <c:pt idx="40">
                  <c:v>6.0810062625217993E-2</c:v>
                </c:pt>
                <c:pt idx="41">
                  <c:v>6.0810062625218007E-2</c:v>
                </c:pt>
                <c:pt idx="42">
                  <c:v>6.0810062625217993E-2</c:v>
                </c:pt>
                <c:pt idx="43">
                  <c:v>6.0810062625217973E-2</c:v>
                </c:pt>
                <c:pt idx="44">
                  <c:v>6.0810062625217987E-2</c:v>
                </c:pt>
                <c:pt idx="45">
                  <c:v>6.0810062625217973E-2</c:v>
                </c:pt>
                <c:pt idx="46">
                  <c:v>6.0810062625217987E-2</c:v>
                </c:pt>
                <c:pt idx="47">
                  <c:v>6.0810062625217987E-2</c:v>
                </c:pt>
                <c:pt idx="48">
                  <c:v>6.0810062625217973E-2</c:v>
                </c:pt>
                <c:pt idx="49">
                  <c:v>6.0810062625217973E-2</c:v>
                </c:pt>
                <c:pt idx="50">
                  <c:v>6.0810062625217987E-2</c:v>
                </c:pt>
                <c:pt idx="51">
                  <c:v>6.0810062625217987E-2</c:v>
                </c:pt>
                <c:pt idx="52">
                  <c:v>6.0810062625218007E-2</c:v>
                </c:pt>
                <c:pt idx="53">
                  <c:v>6.0810062625217966E-2</c:v>
                </c:pt>
                <c:pt idx="54">
                  <c:v>6.0810062625217993E-2</c:v>
                </c:pt>
                <c:pt idx="55">
                  <c:v>6.0810062625217973E-2</c:v>
                </c:pt>
                <c:pt idx="56">
                  <c:v>6.0810062625217987E-2</c:v>
                </c:pt>
                <c:pt idx="57">
                  <c:v>6.0810062625218E-2</c:v>
                </c:pt>
                <c:pt idx="58">
                  <c:v>6.0810062625218E-2</c:v>
                </c:pt>
                <c:pt idx="59">
                  <c:v>6.0810062625217973E-2</c:v>
                </c:pt>
                <c:pt idx="60">
                  <c:v>6.0810062625217973E-2</c:v>
                </c:pt>
                <c:pt idx="61">
                  <c:v>6.0798181174436187E-2</c:v>
                </c:pt>
                <c:pt idx="62">
                  <c:v>5.9358858949638611E-2</c:v>
                </c:pt>
                <c:pt idx="63">
                  <c:v>2.7366587681730493E-2</c:v>
                </c:pt>
                <c:pt idx="64">
                  <c:v>7.7607736142619429E-3</c:v>
                </c:pt>
                <c:pt idx="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0B-4715-9729-21079A2F9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725728"/>
        <c:axId val="878998256"/>
      </c:scatterChart>
      <c:valAx>
        <c:axId val="87472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998256"/>
        <c:crosses val="autoZero"/>
        <c:crossBetween val="midCat"/>
      </c:valAx>
      <c:valAx>
        <c:axId val="87899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72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Chinook escapements from NUSEDS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Esc!$F$1</c:f>
              <c:strCache>
                <c:ptCount val="1"/>
                <c:pt idx="0">
                  <c:v>COWICHAN RIVER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Esc!$F$2:$F$69</c:f>
              <c:numCache>
                <c:formatCode>General</c:formatCode>
                <c:ptCount val="68"/>
                <c:pt idx="0">
                  <c:v>5500</c:v>
                </c:pt>
                <c:pt idx="1">
                  <c:v>15000</c:v>
                </c:pt>
                <c:pt idx="2">
                  <c:v>7500</c:v>
                </c:pt>
                <c:pt idx="3">
                  <c:v>3500</c:v>
                </c:pt>
                <c:pt idx="4">
                  <c:v>15000</c:v>
                </c:pt>
                <c:pt idx="5">
                  <c:v>7500</c:v>
                </c:pt>
                <c:pt idx="6">
                  <c:v>3500</c:v>
                </c:pt>
                <c:pt idx="7">
                  <c:v>1500</c:v>
                </c:pt>
                <c:pt idx="8">
                  <c:v>3500</c:v>
                </c:pt>
                <c:pt idx="9">
                  <c:v>3500</c:v>
                </c:pt>
                <c:pt idx="10">
                  <c:v>3500</c:v>
                </c:pt>
                <c:pt idx="11">
                  <c:v>7500</c:v>
                </c:pt>
                <c:pt idx="12">
                  <c:v>10000</c:v>
                </c:pt>
                <c:pt idx="13">
                  <c:v>17700</c:v>
                </c:pt>
                <c:pt idx="14">
                  <c:v>3500</c:v>
                </c:pt>
                <c:pt idx="15">
                  <c:v>7500</c:v>
                </c:pt>
                <c:pt idx="16">
                  <c:v>7500</c:v>
                </c:pt>
                <c:pt idx="17">
                  <c:v>7500</c:v>
                </c:pt>
                <c:pt idx="18">
                  <c:v>7500</c:v>
                </c:pt>
                <c:pt idx="19">
                  <c:v>8500</c:v>
                </c:pt>
                <c:pt idx="20">
                  <c:v>8000</c:v>
                </c:pt>
                <c:pt idx="21">
                  <c:v>3500</c:v>
                </c:pt>
                <c:pt idx="22">
                  <c:v>6900</c:v>
                </c:pt>
                <c:pt idx="23">
                  <c:v>10000</c:v>
                </c:pt>
                <c:pt idx="24">
                  <c:v>9600</c:v>
                </c:pt>
                <c:pt idx="25">
                  <c:v>10671</c:v>
                </c:pt>
                <c:pt idx="26">
                  <c:v>17795</c:v>
                </c:pt>
                <c:pt idx="27">
                  <c:v>7337</c:v>
                </c:pt>
                <c:pt idx="28">
                  <c:v>8782</c:v>
                </c:pt>
                <c:pt idx="29">
                  <c:v>9049</c:v>
                </c:pt>
                <c:pt idx="30">
                  <c:v>11467</c:v>
                </c:pt>
                <c:pt idx="31">
                  <c:v>10390</c:v>
                </c:pt>
                <c:pt idx="32">
                  <c:v>7890</c:v>
                </c:pt>
                <c:pt idx="33">
                  <c:v>9652</c:v>
                </c:pt>
                <c:pt idx="34">
                  <c:v>6219</c:v>
                </c:pt>
                <c:pt idx="35">
                  <c:v>13080</c:v>
                </c:pt>
                <c:pt idx="36">
                  <c:v>8934</c:v>
                </c:pt>
                <c:pt idx="37">
                  <c:v>23604</c:v>
                </c:pt>
                <c:pt idx="38">
                  <c:v>12175</c:v>
                </c:pt>
                <c:pt idx="39">
                  <c:v>14611</c:v>
                </c:pt>
                <c:pt idx="40">
                  <c:v>13343</c:v>
                </c:pt>
                <c:pt idx="41">
                  <c:v>20505</c:v>
                </c:pt>
                <c:pt idx="42">
                  <c:v>25614</c:v>
                </c:pt>
                <c:pt idx="43">
                  <c:v>21814</c:v>
                </c:pt>
                <c:pt idx="44">
                  <c:v>13774</c:v>
                </c:pt>
                <c:pt idx="45">
                  <c:v>10197</c:v>
                </c:pt>
                <c:pt idx="46">
                  <c:v>7945</c:v>
                </c:pt>
                <c:pt idx="47">
                  <c:v>8380</c:v>
                </c:pt>
                <c:pt idx="48">
                  <c:v>7678</c:v>
                </c:pt>
                <c:pt idx="49">
                  <c:v>5785</c:v>
                </c:pt>
                <c:pt idx="50">
                  <c:v>6017</c:v>
                </c:pt>
                <c:pt idx="51">
                  <c:v>4564</c:v>
                </c:pt>
                <c:pt idx="52">
                  <c:v>4309</c:v>
                </c:pt>
                <c:pt idx="53">
                  <c:v>3040</c:v>
                </c:pt>
                <c:pt idx="54">
                  <c:v>3863</c:v>
                </c:pt>
                <c:pt idx="55">
                  <c:v>2661</c:v>
                </c:pt>
                <c:pt idx="56">
                  <c:v>1571</c:v>
                </c:pt>
                <c:pt idx="57">
                  <c:v>4936</c:v>
                </c:pt>
                <c:pt idx="58">
                  <c:v>5756</c:v>
                </c:pt>
                <c:pt idx="59">
                  <c:v>6330</c:v>
                </c:pt>
                <c:pt idx="60">
                  <c:v>7204</c:v>
                </c:pt>
                <c:pt idx="61">
                  <c:v>5873</c:v>
                </c:pt>
                <c:pt idx="62">
                  <c:v>7419</c:v>
                </c:pt>
                <c:pt idx="63">
                  <c:v>10854</c:v>
                </c:pt>
                <c:pt idx="64">
                  <c:v>25060</c:v>
                </c:pt>
                <c:pt idx="65">
                  <c:v>22482</c:v>
                </c:pt>
                <c:pt idx="66">
                  <c:v>21591</c:v>
                </c:pt>
                <c:pt idx="67">
                  <c:v>24726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C9-4C53-BE57-E918D5D0287D}"/>
            </c:ext>
          </c:extLst>
        </c:ser>
        <c:ser>
          <c:idx val="1"/>
          <c:order val="1"/>
          <c:tx>
            <c:strRef>
              <c:f>Esc!$G$1</c:f>
              <c:strCache>
                <c:ptCount val="1"/>
                <c:pt idx="0">
                  <c:v>CHEMAINUS RIVER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Esc!$G$2:$G$69</c:f>
              <c:numCache>
                <c:formatCode>General</c:formatCode>
                <c:ptCount val="68"/>
                <c:pt idx="1">
                  <c:v>25</c:v>
                </c:pt>
                <c:pt idx="3">
                  <c:v>200</c:v>
                </c:pt>
                <c:pt idx="4">
                  <c:v>25</c:v>
                </c:pt>
                <c:pt idx="8">
                  <c:v>25</c:v>
                </c:pt>
                <c:pt idx="9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200</c:v>
                </c:pt>
                <c:pt idx="14">
                  <c:v>50</c:v>
                </c:pt>
                <c:pt idx="15">
                  <c:v>100</c:v>
                </c:pt>
                <c:pt idx="16">
                  <c:v>20</c:v>
                </c:pt>
                <c:pt idx="17">
                  <c:v>16</c:v>
                </c:pt>
                <c:pt idx="18">
                  <c:v>30</c:v>
                </c:pt>
                <c:pt idx="19">
                  <c:v>60</c:v>
                </c:pt>
                <c:pt idx="20">
                  <c:v>65</c:v>
                </c:pt>
                <c:pt idx="21">
                  <c:v>40</c:v>
                </c:pt>
                <c:pt idx="22">
                  <c:v>20</c:v>
                </c:pt>
                <c:pt idx="23">
                  <c:v>60</c:v>
                </c:pt>
                <c:pt idx="24">
                  <c:v>150</c:v>
                </c:pt>
                <c:pt idx="25">
                  <c:v>261</c:v>
                </c:pt>
                <c:pt idx="26">
                  <c:v>225</c:v>
                </c:pt>
                <c:pt idx="27">
                  <c:v>90</c:v>
                </c:pt>
                <c:pt idx="28">
                  <c:v>1750</c:v>
                </c:pt>
                <c:pt idx="29">
                  <c:v>750</c:v>
                </c:pt>
                <c:pt idx="30">
                  <c:v>350</c:v>
                </c:pt>
                <c:pt idx="31">
                  <c:v>275</c:v>
                </c:pt>
                <c:pt idx="32">
                  <c:v>600</c:v>
                </c:pt>
                <c:pt idx="33">
                  <c:v>200</c:v>
                </c:pt>
                <c:pt idx="34">
                  <c:v>200</c:v>
                </c:pt>
                <c:pt idx="35">
                  <c:v>300</c:v>
                </c:pt>
                <c:pt idx="36">
                  <c:v>587</c:v>
                </c:pt>
                <c:pt idx="37">
                  <c:v>1000</c:v>
                </c:pt>
                <c:pt idx="38">
                  <c:v>2000</c:v>
                </c:pt>
                <c:pt idx="39">
                  <c:v>1000</c:v>
                </c:pt>
                <c:pt idx="40">
                  <c:v>900</c:v>
                </c:pt>
                <c:pt idx="41">
                  <c:v>225</c:v>
                </c:pt>
                <c:pt idx="42">
                  <c:v>580</c:v>
                </c:pt>
                <c:pt idx="43">
                  <c:v>800</c:v>
                </c:pt>
                <c:pt idx="44">
                  <c:v>260</c:v>
                </c:pt>
                <c:pt idx="45">
                  <c:v>47</c:v>
                </c:pt>
                <c:pt idx="46">
                  <c:v>160</c:v>
                </c:pt>
                <c:pt idx="47">
                  <c:v>66</c:v>
                </c:pt>
                <c:pt idx="48">
                  <c:v>72</c:v>
                </c:pt>
                <c:pt idx="49">
                  <c:v>475</c:v>
                </c:pt>
                <c:pt idx="50">
                  <c:v>108</c:v>
                </c:pt>
                <c:pt idx="51">
                  <c:v>287</c:v>
                </c:pt>
                <c:pt idx="52">
                  <c:v>529</c:v>
                </c:pt>
                <c:pt idx="53">
                  <c:v>244</c:v>
                </c:pt>
                <c:pt idx="54">
                  <c:v>40</c:v>
                </c:pt>
                <c:pt idx="55">
                  <c:v>61</c:v>
                </c:pt>
                <c:pt idx="56">
                  <c:v>57</c:v>
                </c:pt>
                <c:pt idx="58">
                  <c:v>1301</c:v>
                </c:pt>
                <c:pt idx="62">
                  <c:v>124</c:v>
                </c:pt>
                <c:pt idx="63">
                  <c:v>37</c:v>
                </c:pt>
                <c:pt idx="64">
                  <c:v>19</c:v>
                </c:pt>
                <c:pt idx="65">
                  <c:v>233</c:v>
                </c:pt>
                <c:pt idx="66">
                  <c:v>17</c:v>
                </c:pt>
                <c:pt idx="67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C9-4C53-BE57-E918D5D0287D}"/>
            </c:ext>
          </c:extLst>
        </c:ser>
        <c:ser>
          <c:idx val="2"/>
          <c:order val="2"/>
          <c:tx>
            <c:strRef>
              <c:f>Esc!$H$1</c:f>
              <c:strCache>
                <c:ptCount val="1"/>
                <c:pt idx="0">
                  <c:v>NANAIMO RIVER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Esc!$H$2:$H$69</c:f>
              <c:numCache>
                <c:formatCode>General</c:formatCode>
                <c:ptCount val="68"/>
                <c:pt idx="0">
                  <c:v>1500</c:v>
                </c:pt>
                <c:pt idx="1">
                  <c:v>1500</c:v>
                </c:pt>
                <c:pt idx="2">
                  <c:v>3500</c:v>
                </c:pt>
                <c:pt idx="3">
                  <c:v>3500</c:v>
                </c:pt>
                <c:pt idx="4">
                  <c:v>7500</c:v>
                </c:pt>
                <c:pt idx="5">
                  <c:v>3500</c:v>
                </c:pt>
                <c:pt idx="6">
                  <c:v>3500</c:v>
                </c:pt>
                <c:pt idx="7">
                  <c:v>750</c:v>
                </c:pt>
                <c:pt idx="8">
                  <c:v>750</c:v>
                </c:pt>
                <c:pt idx="9">
                  <c:v>750</c:v>
                </c:pt>
                <c:pt idx="10">
                  <c:v>1500</c:v>
                </c:pt>
                <c:pt idx="11">
                  <c:v>750</c:v>
                </c:pt>
                <c:pt idx="12">
                  <c:v>3500</c:v>
                </c:pt>
                <c:pt idx="13">
                  <c:v>1500</c:v>
                </c:pt>
                <c:pt idx="14">
                  <c:v>1200</c:v>
                </c:pt>
                <c:pt idx="15">
                  <c:v>1500</c:v>
                </c:pt>
                <c:pt idx="16">
                  <c:v>1100</c:v>
                </c:pt>
                <c:pt idx="17">
                  <c:v>1500</c:v>
                </c:pt>
                <c:pt idx="18">
                  <c:v>850</c:v>
                </c:pt>
                <c:pt idx="19">
                  <c:v>1950</c:v>
                </c:pt>
                <c:pt idx="20">
                  <c:v>1200</c:v>
                </c:pt>
                <c:pt idx="21">
                  <c:v>2400</c:v>
                </c:pt>
                <c:pt idx="22">
                  <c:v>525</c:v>
                </c:pt>
                <c:pt idx="23">
                  <c:v>1100</c:v>
                </c:pt>
                <c:pt idx="24">
                  <c:v>2800</c:v>
                </c:pt>
                <c:pt idx="25">
                  <c:v>2500</c:v>
                </c:pt>
                <c:pt idx="26">
                  <c:v>3646</c:v>
                </c:pt>
                <c:pt idx="27">
                  <c:v>3609</c:v>
                </c:pt>
                <c:pt idx="28">
                  <c:v>400</c:v>
                </c:pt>
                <c:pt idx="29">
                  <c:v>1461</c:v>
                </c:pt>
                <c:pt idx="30">
                  <c:v>1864</c:v>
                </c:pt>
                <c:pt idx="31">
                  <c:v>3247</c:v>
                </c:pt>
                <c:pt idx="32">
                  <c:v>1114</c:v>
                </c:pt>
                <c:pt idx="33">
                  <c:v>1007</c:v>
                </c:pt>
                <c:pt idx="34">
                  <c:v>905</c:v>
                </c:pt>
                <c:pt idx="35">
                  <c:v>2205</c:v>
                </c:pt>
                <c:pt idx="36">
                  <c:v>3033</c:v>
                </c:pt>
                <c:pt idx="37">
                  <c:v>1953</c:v>
                </c:pt>
                <c:pt idx="38">
                  <c:v>1255</c:v>
                </c:pt>
                <c:pt idx="39">
                  <c:v>1195</c:v>
                </c:pt>
                <c:pt idx="40">
                  <c:v>1378</c:v>
                </c:pt>
                <c:pt idx="41">
                  <c:v>1377</c:v>
                </c:pt>
                <c:pt idx="42">
                  <c:v>5652</c:v>
                </c:pt>
                <c:pt idx="43">
                  <c:v>3337</c:v>
                </c:pt>
                <c:pt idx="44">
                  <c:v>1628</c:v>
                </c:pt>
                <c:pt idx="45">
                  <c:v>2186</c:v>
                </c:pt>
                <c:pt idx="46">
                  <c:v>3215</c:v>
                </c:pt>
                <c:pt idx="47">
                  <c:v>2526</c:v>
                </c:pt>
                <c:pt idx="48">
                  <c:v>3480</c:v>
                </c:pt>
                <c:pt idx="49">
                  <c:v>2682</c:v>
                </c:pt>
                <c:pt idx="50">
                  <c:v>2862</c:v>
                </c:pt>
                <c:pt idx="51">
                  <c:v>2773</c:v>
                </c:pt>
                <c:pt idx="52">
                  <c:v>3350</c:v>
                </c:pt>
                <c:pt idx="53">
                  <c:v>6306</c:v>
                </c:pt>
                <c:pt idx="54">
                  <c:v>4892</c:v>
                </c:pt>
                <c:pt idx="55">
                  <c:v>4929</c:v>
                </c:pt>
                <c:pt idx="56">
                  <c:v>2898</c:v>
                </c:pt>
                <c:pt idx="57">
                  <c:v>4025</c:v>
                </c:pt>
                <c:pt idx="58">
                  <c:v>6115</c:v>
                </c:pt>
                <c:pt idx="59">
                  <c:v>2534</c:v>
                </c:pt>
                <c:pt idx="60">
                  <c:v>4987</c:v>
                </c:pt>
                <c:pt idx="61">
                  <c:v>3166</c:v>
                </c:pt>
                <c:pt idx="62">
                  <c:v>5616</c:v>
                </c:pt>
                <c:pt idx="63">
                  <c:v>4964</c:v>
                </c:pt>
                <c:pt idx="64">
                  <c:v>5171</c:v>
                </c:pt>
                <c:pt idx="65">
                  <c:v>4535</c:v>
                </c:pt>
                <c:pt idx="66">
                  <c:v>5409</c:v>
                </c:pt>
                <c:pt idx="67">
                  <c:v>7747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C9-4C53-BE57-E918D5D0287D}"/>
            </c:ext>
          </c:extLst>
        </c:ser>
        <c:ser>
          <c:idx val="3"/>
          <c:order val="3"/>
          <c:tx>
            <c:strRef>
              <c:f>Esc!$I$1</c:f>
              <c:strCache>
                <c:ptCount val="1"/>
                <c:pt idx="0">
                  <c:v>QUALICUM RIVER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Esc!$I$2:$I$69</c:f>
              <c:numCache>
                <c:formatCode>General</c:formatCode>
                <c:ptCount val="68"/>
                <c:pt idx="0">
                  <c:v>750</c:v>
                </c:pt>
                <c:pt idx="1">
                  <c:v>750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750</c:v>
                </c:pt>
                <c:pt idx="6">
                  <c:v>3500</c:v>
                </c:pt>
                <c:pt idx="7">
                  <c:v>1500</c:v>
                </c:pt>
                <c:pt idx="8">
                  <c:v>1500</c:v>
                </c:pt>
                <c:pt idx="9">
                  <c:v>750</c:v>
                </c:pt>
                <c:pt idx="10">
                  <c:v>750</c:v>
                </c:pt>
                <c:pt idx="11">
                  <c:v>400</c:v>
                </c:pt>
                <c:pt idx="12">
                  <c:v>1500</c:v>
                </c:pt>
                <c:pt idx="13">
                  <c:v>1500</c:v>
                </c:pt>
                <c:pt idx="14">
                  <c:v>876</c:v>
                </c:pt>
                <c:pt idx="15">
                  <c:v>829</c:v>
                </c:pt>
                <c:pt idx="16">
                  <c:v>939</c:v>
                </c:pt>
                <c:pt idx="17">
                  <c:v>1660</c:v>
                </c:pt>
                <c:pt idx="18">
                  <c:v>750</c:v>
                </c:pt>
                <c:pt idx="19">
                  <c:v>750</c:v>
                </c:pt>
                <c:pt idx="20">
                  <c:v>316</c:v>
                </c:pt>
                <c:pt idx="21">
                  <c:v>176</c:v>
                </c:pt>
                <c:pt idx="22">
                  <c:v>602</c:v>
                </c:pt>
                <c:pt idx="23">
                  <c:v>447</c:v>
                </c:pt>
                <c:pt idx="24">
                  <c:v>763</c:v>
                </c:pt>
                <c:pt idx="25">
                  <c:v>1053</c:v>
                </c:pt>
                <c:pt idx="26">
                  <c:v>4374</c:v>
                </c:pt>
                <c:pt idx="27">
                  <c:v>3245</c:v>
                </c:pt>
                <c:pt idx="28">
                  <c:v>2077</c:v>
                </c:pt>
                <c:pt idx="29">
                  <c:v>1228</c:v>
                </c:pt>
                <c:pt idx="30">
                  <c:v>833</c:v>
                </c:pt>
                <c:pt idx="31">
                  <c:v>2297</c:v>
                </c:pt>
                <c:pt idx="32">
                  <c:v>5806</c:v>
                </c:pt>
                <c:pt idx="33">
                  <c:v>1791</c:v>
                </c:pt>
                <c:pt idx="34">
                  <c:v>879</c:v>
                </c:pt>
                <c:pt idx="35">
                  <c:v>260</c:v>
                </c:pt>
                <c:pt idx="36">
                  <c:v>854</c:v>
                </c:pt>
                <c:pt idx="37">
                  <c:v>7753</c:v>
                </c:pt>
                <c:pt idx="38">
                  <c:v>5580</c:v>
                </c:pt>
                <c:pt idx="39">
                  <c:v>6548</c:v>
                </c:pt>
                <c:pt idx="40">
                  <c:v>6062</c:v>
                </c:pt>
                <c:pt idx="41">
                  <c:v>6498</c:v>
                </c:pt>
                <c:pt idx="42">
                  <c:v>5688</c:v>
                </c:pt>
                <c:pt idx="43">
                  <c:v>5653</c:v>
                </c:pt>
                <c:pt idx="44">
                  <c:v>3765</c:v>
                </c:pt>
                <c:pt idx="45">
                  <c:v>5897</c:v>
                </c:pt>
                <c:pt idx="46">
                  <c:v>5854</c:v>
                </c:pt>
                <c:pt idx="47">
                  <c:v>6945</c:v>
                </c:pt>
                <c:pt idx="48">
                  <c:v>10615</c:v>
                </c:pt>
                <c:pt idx="49">
                  <c:v>7566</c:v>
                </c:pt>
                <c:pt idx="50">
                  <c:v>7401</c:v>
                </c:pt>
                <c:pt idx="51">
                  <c:v>7081</c:v>
                </c:pt>
                <c:pt idx="52">
                  <c:v>9526</c:v>
                </c:pt>
                <c:pt idx="53">
                  <c:v>13622</c:v>
                </c:pt>
                <c:pt idx="54">
                  <c:v>10254</c:v>
                </c:pt>
                <c:pt idx="55">
                  <c:v>6621</c:v>
                </c:pt>
                <c:pt idx="56">
                  <c:v>9406</c:v>
                </c:pt>
                <c:pt idx="57">
                  <c:v>7928</c:v>
                </c:pt>
                <c:pt idx="58">
                  <c:v>7331</c:v>
                </c:pt>
                <c:pt idx="59">
                  <c:v>5253</c:v>
                </c:pt>
                <c:pt idx="60">
                  <c:v>4886</c:v>
                </c:pt>
                <c:pt idx="61">
                  <c:v>8388</c:v>
                </c:pt>
                <c:pt idx="62">
                  <c:v>6631</c:v>
                </c:pt>
                <c:pt idx="63">
                  <c:v>5005</c:v>
                </c:pt>
                <c:pt idx="64">
                  <c:v>6882</c:v>
                </c:pt>
                <c:pt idx="65">
                  <c:v>6336</c:v>
                </c:pt>
                <c:pt idx="66">
                  <c:v>9681</c:v>
                </c:pt>
                <c:pt idx="67">
                  <c:v>12274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C9-4C53-BE57-E918D5D0287D}"/>
            </c:ext>
          </c:extLst>
        </c:ser>
        <c:ser>
          <c:idx val="4"/>
          <c:order val="4"/>
          <c:tx>
            <c:strRef>
              <c:f>Esc!$J$1</c:f>
              <c:strCache>
                <c:ptCount val="1"/>
                <c:pt idx="0">
                  <c:v>PUNTLEDGE RIVER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Esc!$J$2:$J$69</c:f>
              <c:numCache>
                <c:formatCode>General</c:formatCode>
                <c:ptCount val="68"/>
                <c:pt idx="0">
                  <c:v>3500</c:v>
                </c:pt>
                <c:pt idx="1">
                  <c:v>15000</c:v>
                </c:pt>
                <c:pt idx="2">
                  <c:v>7500</c:v>
                </c:pt>
                <c:pt idx="3">
                  <c:v>1500</c:v>
                </c:pt>
                <c:pt idx="4">
                  <c:v>3500</c:v>
                </c:pt>
                <c:pt idx="5">
                  <c:v>7500</c:v>
                </c:pt>
                <c:pt idx="6">
                  <c:v>3500</c:v>
                </c:pt>
                <c:pt idx="7">
                  <c:v>3500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750</c:v>
                </c:pt>
                <c:pt idx="12">
                  <c:v>1121</c:v>
                </c:pt>
                <c:pt idx="13">
                  <c:v>1157</c:v>
                </c:pt>
                <c:pt idx="14">
                  <c:v>840</c:v>
                </c:pt>
                <c:pt idx="15">
                  <c:v>720</c:v>
                </c:pt>
                <c:pt idx="16">
                  <c:v>486</c:v>
                </c:pt>
                <c:pt idx="17">
                  <c:v>685</c:v>
                </c:pt>
                <c:pt idx="18">
                  <c:v>557</c:v>
                </c:pt>
                <c:pt idx="19">
                  <c:v>635</c:v>
                </c:pt>
                <c:pt idx="20">
                  <c:v>1179</c:v>
                </c:pt>
                <c:pt idx="21">
                  <c:v>844</c:v>
                </c:pt>
                <c:pt idx="22">
                  <c:v>1175</c:v>
                </c:pt>
                <c:pt idx="23">
                  <c:v>850</c:v>
                </c:pt>
                <c:pt idx="24">
                  <c:v>1734</c:v>
                </c:pt>
                <c:pt idx="25">
                  <c:v>1465</c:v>
                </c:pt>
                <c:pt idx="26">
                  <c:v>2018</c:v>
                </c:pt>
                <c:pt idx="27">
                  <c:v>1300</c:v>
                </c:pt>
                <c:pt idx="28">
                  <c:v>900</c:v>
                </c:pt>
                <c:pt idx="29">
                  <c:v>2340</c:v>
                </c:pt>
                <c:pt idx="30">
                  <c:v>1500</c:v>
                </c:pt>
                <c:pt idx="31">
                  <c:v>1035</c:v>
                </c:pt>
                <c:pt idx="32">
                  <c:v>489</c:v>
                </c:pt>
                <c:pt idx="33">
                  <c:v>791</c:v>
                </c:pt>
                <c:pt idx="34">
                  <c:v>1267</c:v>
                </c:pt>
                <c:pt idx="35">
                  <c:v>1432</c:v>
                </c:pt>
                <c:pt idx="36">
                  <c:v>2274</c:v>
                </c:pt>
                <c:pt idx="37">
                  <c:v>5388</c:v>
                </c:pt>
                <c:pt idx="38">
                  <c:v>2405</c:v>
                </c:pt>
                <c:pt idx="39">
                  <c:v>1412</c:v>
                </c:pt>
                <c:pt idx="40">
                  <c:v>1017</c:v>
                </c:pt>
                <c:pt idx="41">
                  <c:v>617</c:v>
                </c:pt>
                <c:pt idx="42">
                  <c:v>432</c:v>
                </c:pt>
                <c:pt idx="43">
                  <c:v>531</c:v>
                </c:pt>
                <c:pt idx="44">
                  <c:v>601</c:v>
                </c:pt>
                <c:pt idx="45">
                  <c:v>740</c:v>
                </c:pt>
                <c:pt idx="46">
                  <c:v>2509</c:v>
                </c:pt>
                <c:pt idx="47">
                  <c:v>3597</c:v>
                </c:pt>
                <c:pt idx="48">
                  <c:v>15180</c:v>
                </c:pt>
                <c:pt idx="49">
                  <c:v>10970</c:v>
                </c:pt>
                <c:pt idx="50">
                  <c:v>14796</c:v>
                </c:pt>
                <c:pt idx="51">
                  <c:v>11771</c:v>
                </c:pt>
                <c:pt idx="52">
                  <c:v>11947</c:v>
                </c:pt>
                <c:pt idx="53">
                  <c:v>17037</c:v>
                </c:pt>
                <c:pt idx="54">
                  <c:v>9727</c:v>
                </c:pt>
                <c:pt idx="55">
                  <c:v>5284</c:v>
                </c:pt>
                <c:pt idx="56">
                  <c:v>8306</c:v>
                </c:pt>
                <c:pt idx="57">
                  <c:v>6186</c:v>
                </c:pt>
                <c:pt idx="58">
                  <c:v>6663</c:v>
                </c:pt>
                <c:pt idx="59">
                  <c:v>3687</c:v>
                </c:pt>
                <c:pt idx="60">
                  <c:v>4230</c:v>
                </c:pt>
                <c:pt idx="61">
                  <c:v>7207</c:v>
                </c:pt>
                <c:pt idx="62">
                  <c:v>8521</c:v>
                </c:pt>
                <c:pt idx="63">
                  <c:v>8762</c:v>
                </c:pt>
                <c:pt idx="64">
                  <c:v>13422</c:v>
                </c:pt>
                <c:pt idx="65">
                  <c:v>11495</c:v>
                </c:pt>
                <c:pt idx="66">
                  <c:v>17690</c:v>
                </c:pt>
                <c:pt idx="67">
                  <c:v>10340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C9-4C53-BE57-E918D5D0287D}"/>
            </c:ext>
          </c:extLst>
        </c:ser>
        <c:ser>
          <c:idx val="5"/>
          <c:order val="5"/>
          <c:tx>
            <c:strRef>
              <c:f>Esc!$K$1</c:f>
              <c:strCache>
                <c:ptCount val="1"/>
                <c:pt idx="0">
                  <c:v>QUINSAM RIVER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Esc!$K$2:$K$69</c:f>
              <c:numCache>
                <c:formatCode>General</c:formatCode>
                <c:ptCount val="68"/>
                <c:pt idx="4">
                  <c:v>25</c:v>
                </c:pt>
                <c:pt idx="5">
                  <c:v>75</c:v>
                </c:pt>
                <c:pt idx="6">
                  <c:v>25</c:v>
                </c:pt>
                <c:pt idx="7">
                  <c:v>25</c:v>
                </c:pt>
                <c:pt idx="18">
                  <c:v>25</c:v>
                </c:pt>
                <c:pt idx="19">
                  <c:v>75</c:v>
                </c:pt>
                <c:pt idx="21">
                  <c:v>75</c:v>
                </c:pt>
                <c:pt idx="22">
                  <c:v>200</c:v>
                </c:pt>
                <c:pt idx="23">
                  <c:v>25</c:v>
                </c:pt>
                <c:pt idx="25">
                  <c:v>83</c:v>
                </c:pt>
                <c:pt idx="26">
                  <c:v>468</c:v>
                </c:pt>
                <c:pt idx="27">
                  <c:v>550</c:v>
                </c:pt>
                <c:pt idx="28">
                  <c:v>925</c:v>
                </c:pt>
                <c:pt idx="29">
                  <c:v>1500</c:v>
                </c:pt>
                <c:pt idx="30">
                  <c:v>1806</c:v>
                </c:pt>
                <c:pt idx="31">
                  <c:v>2682</c:v>
                </c:pt>
                <c:pt idx="32">
                  <c:v>3683</c:v>
                </c:pt>
                <c:pt idx="33">
                  <c:v>3060</c:v>
                </c:pt>
                <c:pt idx="34">
                  <c:v>3573</c:v>
                </c:pt>
                <c:pt idx="35">
                  <c:v>9461</c:v>
                </c:pt>
                <c:pt idx="36">
                  <c:v>12301</c:v>
                </c:pt>
                <c:pt idx="37">
                  <c:v>11678</c:v>
                </c:pt>
                <c:pt idx="38">
                  <c:v>6789</c:v>
                </c:pt>
                <c:pt idx="39">
                  <c:v>4013</c:v>
                </c:pt>
                <c:pt idx="40">
                  <c:v>2270</c:v>
                </c:pt>
                <c:pt idx="41">
                  <c:v>2532</c:v>
                </c:pt>
                <c:pt idx="42">
                  <c:v>2158</c:v>
                </c:pt>
                <c:pt idx="43">
                  <c:v>2608</c:v>
                </c:pt>
                <c:pt idx="44">
                  <c:v>2602</c:v>
                </c:pt>
                <c:pt idx="45">
                  <c:v>4419</c:v>
                </c:pt>
                <c:pt idx="46">
                  <c:v>7242</c:v>
                </c:pt>
                <c:pt idx="47">
                  <c:v>7562</c:v>
                </c:pt>
                <c:pt idx="48">
                  <c:v>13680</c:v>
                </c:pt>
                <c:pt idx="49">
                  <c:v>11814</c:v>
                </c:pt>
                <c:pt idx="50">
                  <c:v>7422</c:v>
                </c:pt>
                <c:pt idx="51">
                  <c:v>9019</c:v>
                </c:pt>
                <c:pt idx="52">
                  <c:v>8085</c:v>
                </c:pt>
                <c:pt idx="53">
                  <c:v>8163</c:v>
                </c:pt>
                <c:pt idx="54">
                  <c:v>6128</c:v>
                </c:pt>
                <c:pt idx="55">
                  <c:v>5728</c:v>
                </c:pt>
                <c:pt idx="56">
                  <c:v>5167</c:v>
                </c:pt>
                <c:pt idx="57">
                  <c:v>3416</c:v>
                </c:pt>
                <c:pt idx="58">
                  <c:v>4191</c:v>
                </c:pt>
                <c:pt idx="59">
                  <c:v>4096</c:v>
                </c:pt>
                <c:pt idx="60">
                  <c:v>3356</c:v>
                </c:pt>
                <c:pt idx="61">
                  <c:v>2366</c:v>
                </c:pt>
                <c:pt idx="62">
                  <c:v>3190</c:v>
                </c:pt>
                <c:pt idx="63">
                  <c:v>6978</c:v>
                </c:pt>
                <c:pt idx="64">
                  <c:v>9131</c:v>
                </c:pt>
                <c:pt idx="65">
                  <c:v>6575</c:v>
                </c:pt>
                <c:pt idx="66">
                  <c:v>6793</c:v>
                </c:pt>
                <c:pt idx="67">
                  <c:v>8236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C9-4C53-BE57-E918D5D0287D}"/>
            </c:ext>
          </c:extLst>
        </c:ser>
        <c:ser>
          <c:idx val="6"/>
          <c:order val="6"/>
          <c:tx>
            <c:strRef>
              <c:f>Esc!$L$1</c:f>
              <c:strCache>
                <c:ptCount val="1"/>
                <c:pt idx="0">
                  <c:v>ENGLISHMAN RIVER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Esc!$L$2:$L$69</c:f>
              <c:numCache>
                <c:formatCode>General</c:formatCode>
                <c:ptCount val="68"/>
                <c:pt idx="7">
                  <c:v>25</c:v>
                </c:pt>
                <c:pt idx="8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75</c:v>
                </c:pt>
                <c:pt idx="13">
                  <c:v>25</c:v>
                </c:pt>
                <c:pt idx="14">
                  <c:v>75</c:v>
                </c:pt>
                <c:pt idx="15">
                  <c:v>115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25</c:v>
                </c:pt>
                <c:pt idx="22">
                  <c:v>75</c:v>
                </c:pt>
                <c:pt idx="23">
                  <c:v>25</c:v>
                </c:pt>
                <c:pt idx="24">
                  <c:v>25</c:v>
                </c:pt>
                <c:pt idx="25">
                  <c:v>75</c:v>
                </c:pt>
                <c:pt idx="29">
                  <c:v>14</c:v>
                </c:pt>
                <c:pt idx="37">
                  <c:v>100</c:v>
                </c:pt>
                <c:pt idx="38">
                  <c:v>50</c:v>
                </c:pt>
                <c:pt idx="39">
                  <c:v>40</c:v>
                </c:pt>
                <c:pt idx="40">
                  <c:v>24</c:v>
                </c:pt>
                <c:pt idx="42">
                  <c:v>40</c:v>
                </c:pt>
                <c:pt idx="43">
                  <c:v>50</c:v>
                </c:pt>
                <c:pt idx="44">
                  <c:v>20</c:v>
                </c:pt>
                <c:pt idx="46">
                  <c:v>750</c:v>
                </c:pt>
                <c:pt idx="47">
                  <c:v>1200</c:v>
                </c:pt>
                <c:pt idx="48">
                  <c:v>2900</c:v>
                </c:pt>
                <c:pt idx="49">
                  <c:v>600</c:v>
                </c:pt>
                <c:pt idx="50">
                  <c:v>260</c:v>
                </c:pt>
                <c:pt idx="52">
                  <c:v>950</c:v>
                </c:pt>
                <c:pt idx="53">
                  <c:v>590</c:v>
                </c:pt>
                <c:pt idx="54">
                  <c:v>231</c:v>
                </c:pt>
                <c:pt idx="55">
                  <c:v>370</c:v>
                </c:pt>
                <c:pt idx="57">
                  <c:v>1619</c:v>
                </c:pt>
                <c:pt idx="58">
                  <c:v>1326</c:v>
                </c:pt>
                <c:pt idx="59">
                  <c:v>218</c:v>
                </c:pt>
                <c:pt idx="60">
                  <c:v>855</c:v>
                </c:pt>
                <c:pt idx="61">
                  <c:v>1249</c:v>
                </c:pt>
                <c:pt idx="62">
                  <c:v>1242</c:v>
                </c:pt>
                <c:pt idx="63">
                  <c:v>464</c:v>
                </c:pt>
                <c:pt idx="64">
                  <c:v>1253</c:v>
                </c:pt>
                <c:pt idx="65">
                  <c:v>763</c:v>
                </c:pt>
                <c:pt idx="66">
                  <c:v>1739</c:v>
                </c:pt>
                <c:pt idx="67">
                  <c:v>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FC9-4C53-BE57-E918D5D0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169855"/>
        <c:axId val="868237919"/>
      </c:scatterChart>
      <c:valAx>
        <c:axId val="104916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237919"/>
        <c:crosses val="autoZero"/>
        <c:crossBetween val="midCat"/>
      </c:valAx>
      <c:valAx>
        <c:axId val="86823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16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Chinook escapements from NUSEDS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Esc!$F$1</c:f>
              <c:strCache>
                <c:ptCount val="1"/>
                <c:pt idx="0">
                  <c:v>COWICHAN RIVER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Esc!$F$2:$F$69</c:f>
              <c:numCache>
                <c:formatCode>General</c:formatCode>
                <c:ptCount val="68"/>
                <c:pt idx="0">
                  <c:v>5500</c:v>
                </c:pt>
                <c:pt idx="1">
                  <c:v>15000</c:v>
                </c:pt>
                <c:pt idx="2">
                  <c:v>7500</c:v>
                </c:pt>
                <c:pt idx="3">
                  <c:v>3500</c:v>
                </c:pt>
                <c:pt idx="4">
                  <c:v>15000</c:v>
                </c:pt>
                <c:pt idx="5">
                  <c:v>7500</c:v>
                </c:pt>
                <c:pt idx="6">
                  <c:v>3500</c:v>
                </c:pt>
                <c:pt idx="7">
                  <c:v>1500</c:v>
                </c:pt>
                <c:pt idx="8">
                  <c:v>3500</c:v>
                </c:pt>
                <c:pt idx="9">
                  <c:v>3500</c:v>
                </c:pt>
                <c:pt idx="10">
                  <c:v>3500</c:v>
                </c:pt>
                <c:pt idx="11">
                  <c:v>7500</c:v>
                </c:pt>
                <c:pt idx="12">
                  <c:v>10000</c:v>
                </c:pt>
                <c:pt idx="13">
                  <c:v>17700</c:v>
                </c:pt>
                <c:pt idx="14">
                  <c:v>3500</c:v>
                </c:pt>
                <c:pt idx="15">
                  <c:v>7500</c:v>
                </c:pt>
                <c:pt idx="16">
                  <c:v>7500</c:v>
                </c:pt>
                <c:pt idx="17">
                  <c:v>7500</c:v>
                </c:pt>
                <c:pt idx="18">
                  <c:v>7500</c:v>
                </c:pt>
                <c:pt idx="19">
                  <c:v>8500</c:v>
                </c:pt>
                <c:pt idx="20">
                  <c:v>8000</c:v>
                </c:pt>
                <c:pt idx="21">
                  <c:v>3500</c:v>
                </c:pt>
                <c:pt idx="22">
                  <c:v>6900</c:v>
                </c:pt>
                <c:pt idx="23">
                  <c:v>10000</c:v>
                </c:pt>
                <c:pt idx="24">
                  <c:v>9600</c:v>
                </c:pt>
                <c:pt idx="25">
                  <c:v>10671</c:v>
                </c:pt>
                <c:pt idx="26">
                  <c:v>17795</c:v>
                </c:pt>
                <c:pt idx="27">
                  <c:v>7337</c:v>
                </c:pt>
                <c:pt idx="28">
                  <c:v>8782</c:v>
                </c:pt>
                <c:pt idx="29">
                  <c:v>9049</c:v>
                </c:pt>
                <c:pt idx="30">
                  <c:v>11467</c:v>
                </c:pt>
                <c:pt idx="31">
                  <c:v>10390</c:v>
                </c:pt>
                <c:pt idx="32">
                  <c:v>7890</c:v>
                </c:pt>
                <c:pt idx="33">
                  <c:v>9652</c:v>
                </c:pt>
                <c:pt idx="34">
                  <c:v>6219</c:v>
                </c:pt>
                <c:pt idx="35">
                  <c:v>13080</c:v>
                </c:pt>
                <c:pt idx="36">
                  <c:v>8934</c:v>
                </c:pt>
                <c:pt idx="37">
                  <c:v>23604</c:v>
                </c:pt>
                <c:pt idx="38">
                  <c:v>12175</c:v>
                </c:pt>
                <c:pt idx="39">
                  <c:v>14611</c:v>
                </c:pt>
                <c:pt idx="40">
                  <c:v>13343</c:v>
                </c:pt>
                <c:pt idx="41">
                  <c:v>20505</c:v>
                </c:pt>
                <c:pt idx="42">
                  <c:v>25614</c:v>
                </c:pt>
                <c:pt idx="43">
                  <c:v>21814</c:v>
                </c:pt>
                <c:pt idx="44">
                  <c:v>13774</c:v>
                </c:pt>
                <c:pt idx="45">
                  <c:v>10197</c:v>
                </c:pt>
                <c:pt idx="46">
                  <c:v>7945</c:v>
                </c:pt>
                <c:pt idx="47">
                  <c:v>8380</c:v>
                </c:pt>
                <c:pt idx="48">
                  <c:v>7678</c:v>
                </c:pt>
                <c:pt idx="49">
                  <c:v>5785</c:v>
                </c:pt>
                <c:pt idx="50">
                  <c:v>6017</c:v>
                </c:pt>
                <c:pt idx="51">
                  <c:v>4564</c:v>
                </c:pt>
                <c:pt idx="52">
                  <c:v>4309</c:v>
                </c:pt>
                <c:pt idx="53">
                  <c:v>3040</c:v>
                </c:pt>
                <c:pt idx="54">
                  <c:v>3863</c:v>
                </c:pt>
                <c:pt idx="55">
                  <c:v>2661</c:v>
                </c:pt>
                <c:pt idx="56">
                  <c:v>1571</c:v>
                </c:pt>
                <c:pt idx="57">
                  <c:v>4936</c:v>
                </c:pt>
                <c:pt idx="58">
                  <c:v>5756</c:v>
                </c:pt>
                <c:pt idx="59">
                  <c:v>6330</c:v>
                </c:pt>
                <c:pt idx="60">
                  <c:v>7204</c:v>
                </c:pt>
                <c:pt idx="61">
                  <c:v>5873</c:v>
                </c:pt>
                <c:pt idx="62">
                  <c:v>7419</c:v>
                </c:pt>
                <c:pt idx="63">
                  <c:v>10854</c:v>
                </c:pt>
                <c:pt idx="64">
                  <c:v>25060</c:v>
                </c:pt>
                <c:pt idx="65">
                  <c:v>22482</c:v>
                </c:pt>
                <c:pt idx="66">
                  <c:v>21591</c:v>
                </c:pt>
                <c:pt idx="67">
                  <c:v>24726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97-4751-8368-E9B327D1C986}"/>
            </c:ext>
          </c:extLst>
        </c:ser>
        <c:ser>
          <c:idx val="1"/>
          <c:order val="1"/>
          <c:tx>
            <c:strRef>
              <c:f>Esc!$G$1</c:f>
              <c:strCache>
                <c:ptCount val="1"/>
                <c:pt idx="0">
                  <c:v>CHEMAINUS RIVER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Esc!$G$2:$G$69</c:f>
              <c:numCache>
                <c:formatCode>General</c:formatCode>
                <c:ptCount val="68"/>
                <c:pt idx="1">
                  <c:v>25</c:v>
                </c:pt>
                <c:pt idx="3">
                  <c:v>200</c:v>
                </c:pt>
                <c:pt idx="4">
                  <c:v>25</c:v>
                </c:pt>
                <c:pt idx="8">
                  <c:v>25</c:v>
                </c:pt>
                <c:pt idx="9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200</c:v>
                </c:pt>
                <c:pt idx="14">
                  <c:v>50</c:v>
                </c:pt>
                <c:pt idx="15">
                  <c:v>100</c:v>
                </c:pt>
                <c:pt idx="16">
                  <c:v>20</c:v>
                </c:pt>
                <c:pt idx="17">
                  <c:v>16</c:v>
                </c:pt>
                <c:pt idx="18">
                  <c:v>30</c:v>
                </c:pt>
                <c:pt idx="19">
                  <c:v>60</c:v>
                </c:pt>
                <c:pt idx="20">
                  <c:v>65</c:v>
                </c:pt>
                <c:pt idx="21">
                  <c:v>40</c:v>
                </c:pt>
                <c:pt idx="22">
                  <c:v>20</c:v>
                </c:pt>
                <c:pt idx="23">
                  <c:v>60</c:v>
                </c:pt>
                <c:pt idx="24">
                  <c:v>150</c:v>
                </c:pt>
                <c:pt idx="25">
                  <c:v>261</c:v>
                </c:pt>
                <c:pt idx="26">
                  <c:v>225</c:v>
                </c:pt>
                <c:pt idx="27">
                  <c:v>90</c:v>
                </c:pt>
                <c:pt idx="28">
                  <c:v>1750</c:v>
                </c:pt>
                <c:pt idx="29">
                  <c:v>750</c:v>
                </c:pt>
                <c:pt idx="30">
                  <c:v>350</c:v>
                </c:pt>
                <c:pt idx="31">
                  <c:v>275</c:v>
                </c:pt>
                <c:pt idx="32">
                  <c:v>600</c:v>
                </c:pt>
                <c:pt idx="33">
                  <c:v>200</c:v>
                </c:pt>
                <c:pt idx="34">
                  <c:v>200</c:v>
                </c:pt>
                <c:pt idx="35">
                  <c:v>300</c:v>
                </c:pt>
                <c:pt idx="36">
                  <c:v>587</c:v>
                </c:pt>
                <c:pt idx="37">
                  <c:v>1000</c:v>
                </c:pt>
                <c:pt idx="38">
                  <c:v>2000</c:v>
                </c:pt>
                <c:pt idx="39">
                  <c:v>1000</c:v>
                </c:pt>
                <c:pt idx="40">
                  <c:v>900</c:v>
                </c:pt>
                <c:pt idx="41">
                  <c:v>225</c:v>
                </c:pt>
                <c:pt idx="42">
                  <c:v>580</c:v>
                </c:pt>
                <c:pt idx="43">
                  <c:v>800</c:v>
                </c:pt>
                <c:pt idx="44">
                  <c:v>260</c:v>
                </c:pt>
                <c:pt idx="45">
                  <c:v>47</c:v>
                </c:pt>
                <c:pt idx="46">
                  <c:v>160</c:v>
                </c:pt>
                <c:pt idx="47">
                  <c:v>66</c:v>
                </c:pt>
                <c:pt idx="48">
                  <c:v>72</c:v>
                </c:pt>
                <c:pt idx="49">
                  <c:v>475</c:v>
                </c:pt>
                <c:pt idx="50">
                  <c:v>108</c:v>
                </c:pt>
                <c:pt idx="51">
                  <c:v>287</c:v>
                </c:pt>
                <c:pt idx="52">
                  <c:v>529</c:v>
                </c:pt>
                <c:pt idx="53">
                  <c:v>244</c:v>
                </c:pt>
                <c:pt idx="54">
                  <c:v>40</c:v>
                </c:pt>
                <c:pt idx="55">
                  <c:v>61</c:v>
                </c:pt>
                <c:pt idx="56">
                  <c:v>57</c:v>
                </c:pt>
                <c:pt idx="58">
                  <c:v>1301</c:v>
                </c:pt>
                <c:pt idx="62">
                  <c:v>124</c:v>
                </c:pt>
                <c:pt idx="63">
                  <c:v>37</c:v>
                </c:pt>
                <c:pt idx="64">
                  <c:v>19</c:v>
                </c:pt>
                <c:pt idx="65">
                  <c:v>233</c:v>
                </c:pt>
                <c:pt idx="66">
                  <c:v>17</c:v>
                </c:pt>
                <c:pt idx="67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97-4751-8368-E9B327D1C986}"/>
            </c:ext>
          </c:extLst>
        </c:ser>
        <c:ser>
          <c:idx val="2"/>
          <c:order val="2"/>
          <c:tx>
            <c:strRef>
              <c:f>Esc!$H$1</c:f>
              <c:strCache>
                <c:ptCount val="1"/>
                <c:pt idx="0">
                  <c:v>NANAIMO RIVER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Esc!$H$2:$H$69</c:f>
              <c:numCache>
                <c:formatCode>General</c:formatCode>
                <c:ptCount val="68"/>
                <c:pt idx="0">
                  <c:v>1500</c:v>
                </c:pt>
                <c:pt idx="1">
                  <c:v>1500</c:v>
                </c:pt>
                <c:pt idx="2">
                  <c:v>3500</c:v>
                </c:pt>
                <c:pt idx="3">
                  <c:v>3500</c:v>
                </c:pt>
                <c:pt idx="4">
                  <c:v>7500</c:v>
                </c:pt>
                <c:pt idx="5">
                  <c:v>3500</c:v>
                </c:pt>
                <c:pt idx="6">
                  <c:v>3500</c:v>
                </c:pt>
                <c:pt idx="7">
                  <c:v>750</c:v>
                </c:pt>
                <c:pt idx="8">
                  <c:v>750</c:v>
                </c:pt>
                <c:pt idx="9">
                  <c:v>750</c:v>
                </c:pt>
                <c:pt idx="10">
                  <c:v>1500</c:v>
                </c:pt>
                <c:pt idx="11">
                  <c:v>750</c:v>
                </c:pt>
                <c:pt idx="12">
                  <c:v>3500</c:v>
                </c:pt>
                <c:pt idx="13">
                  <c:v>1500</c:v>
                </c:pt>
                <c:pt idx="14">
                  <c:v>1200</c:v>
                </c:pt>
                <c:pt idx="15">
                  <c:v>1500</c:v>
                </c:pt>
                <c:pt idx="16">
                  <c:v>1100</c:v>
                </c:pt>
                <c:pt idx="17">
                  <c:v>1500</c:v>
                </c:pt>
                <c:pt idx="18">
                  <c:v>850</c:v>
                </c:pt>
                <c:pt idx="19">
                  <c:v>1950</c:v>
                </c:pt>
                <c:pt idx="20">
                  <c:v>1200</c:v>
                </c:pt>
                <c:pt idx="21">
                  <c:v>2400</c:v>
                </c:pt>
                <c:pt idx="22">
                  <c:v>525</c:v>
                </c:pt>
                <c:pt idx="23">
                  <c:v>1100</c:v>
                </c:pt>
                <c:pt idx="24">
                  <c:v>2800</c:v>
                </c:pt>
                <c:pt idx="25">
                  <c:v>2500</c:v>
                </c:pt>
                <c:pt idx="26">
                  <c:v>3646</c:v>
                </c:pt>
                <c:pt idx="27">
                  <c:v>3609</c:v>
                </c:pt>
                <c:pt idx="28">
                  <c:v>400</c:v>
                </c:pt>
                <c:pt idx="29">
                  <c:v>1461</c:v>
                </c:pt>
                <c:pt idx="30">
                  <c:v>1864</c:v>
                </c:pt>
                <c:pt idx="31">
                  <c:v>3247</c:v>
                </c:pt>
                <c:pt idx="32">
                  <c:v>1114</c:v>
                </c:pt>
                <c:pt idx="33">
                  <c:v>1007</c:v>
                </c:pt>
                <c:pt idx="34">
                  <c:v>905</c:v>
                </c:pt>
                <c:pt idx="35">
                  <c:v>2205</c:v>
                </c:pt>
                <c:pt idx="36">
                  <c:v>3033</c:v>
                </c:pt>
                <c:pt idx="37">
                  <c:v>1953</c:v>
                </c:pt>
                <c:pt idx="38">
                  <c:v>1255</c:v>
                </c:pt>
                <c:pt idx="39">
                  <c:v>1195</c:v>
                </c:pt>
                <c:pt idx="40">
                  <c:v>1378</c:v>
                </c:pt>
                <c:pt idx="41">
                  <c:v>1377</c:v>
                </c:pt>
                <c:pt idx="42">
                  <c:v>5652</c:v>
                </c:pt>
                <c:pt idx="43">
                  <c:v>3337</c:v>
                </c:pt>
                <c:pt idx="44">
                  <c:v>1628</c:v>
                </c:pt>
                <c:pt idx="45">
                  <c:v>2186</c:v>
                </c:pt>
                <c:pt idx="46">
                  <c:v>3215</c:v>
                </c:pt>
                <c:pt idx="47">
                  <c:v>2526</c:v>
                </c:pt>
                <c:pt idx="48">
                  <c:v>3480</c:v>
                </c:pt>
                <c:pt idx="49">
                  <c:v>2682</c:v>
                </c:pt>
                <c:pt idx="50">
                  <c:v>2862</c:v>
                </c:pt>
                <c:pt idx="51">
                  <c:v>2773</c:v>
                </c:pt>
                <c:pt idx="52">
                  <c:v>3350</c:v>
                </c:pt>
                <c:pt idx="53">
                  <c:v>6306</c:v>
                </c:pt>
                <c:pt idx="54">
                  <c:v>4892</c:v>
                </c:pt>
                <c:pt idx="55">
                  <c:v>4929</c:v>
                </c:pt>
                <c:pt idx="56">
                  <c:v>2898</c:v>
                </c:pt>
                <c:pt idx="57">
                  <c:v>4025</c:v>
                </c:pt>
                <c:pt idx="58">
                  <c:v>6115</c:v>
                </c:pt>
                <c:pt idx="59">
                  <c:v>2534</c:v>
                </c:pt>
                <c:pt idx="60">
                  <c:v>4987</c:v>
                </c:pt>
                <c:pt idx="61">
                  <c:v>3166</c:v>
                </c:pt>
                <c:pt idx="62">
                  <c:v>5616</c:v>
                </c:pt>
                <c:pt idx="63">
                  <c:v>4964</c:v>
                </c:pt>
                <c:pt idx="64">
                  <c:v>5171</c:v>
                </c:pt>
                <c:pt idx="65">
                  <c:v>4535</c:v>
                </c:pt>
                <c:pt idx="66">
                  <c:v>5409</c:v>
                </c:pt>
                <c:pt idx="67">
                  <c:v>7747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97-4751-8368-E9B327D1C986}"/>
            </c:ext>
          </c:extLst>
        </c:ser>
        <c:ser>
          <c:idx val="3"/>
          <c:order val="3"/>
          <c:tx>
            <c:strRef>
              <c:f>Esc!$I$1</c:f>
              <c:strCache>
                <c:ptCount val="1"/>
                <c:pt idx="0">
                  <c:v>QUALICUM RIVER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Esc!$I$2:$I$69</c:f>
              <c:numCache>
                <c:formatCode>General</c:formatCode>
                <c:ptCount val="68"/>
                <c:pt idx="0">
                  <c:v>750</c:v>
                </c:pt>
                <c:pt idx="1">
                  <c:v>750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750</c:v>
                </c:pt>
                <c:pt idx="6">
                  <c:v>3500</c:v>
                </c:pt>
                <c:pt idx="7">
                  <c:v>1500</c:v>
                </c:pt>
                <c:pt idx="8">
                  <c:v>1500</c:v>
                </c:pt>
                <c:pt idx="9">
                  <c:v>750</c:v>
                </c:pt>
                <c:pt idx="10">
                  <c:v>750</c:v>
                </c:pt>
                <c:pt idx="11">
                  <c:v>400</c:v>
                </c:pt>
                <c:pt idx="12">
                  <c:v>1500</c:v>
                </c:pt>
                <c:pt idx="13">
                  <c:v>1500</c:v>
                </c:pt>
                <c:pt idx="14">
                  <c:v>876</c:v>
                </c:pt>
                <c:pt idx="15">
                  <c:v>829</c:v>
                </c:pt>
                <c:pt idx="16">
                  <c:v>939</c:v>
                </c:pt>
                <c:pt idx="17">
                  <c:v>1660</c:v>
                </c:pt>
                <c:pt idx="18">
                  <c:v>750</c:v>
                </c:pt>
                <c:pt idx="19">
                  <c:v>750</c:v>
                </c:pt>
                <c:pt idx="20">
                  <c:v>316</c:v>
                </c:pt>
                <c:pt idx="21">
                  <c:v>176</c:v>
                </c:pt>
                <c:pt idx="22">
                  <c:v>602</c:v>
                </c:pt>
                <c:pt idx="23">
                  <c:v>447</c:v>
                </c:pt>
                <c:pt idx="24">
                  <c:v>763</c:v>
                </c:pt>
                <c:pt idx="25">
                  <c:v>1053</c:v>
                </c:pt>
                <c:pt idx="26">
                  <c:v>4374</c:v>
                </c:pt>
                <c:pt idx="27">
                  <c:v>3245</c:v>
                </c:pt>
                <c:pt idx="28">
                  <c:v>2077</c:v>
                </c:pt>
                <c:pt idx="29">
                  <c:v>1228</c:v>
                </c:pt>
                <c:pt idx="30">
                  <c:v>833</c:v>
                </c:pt>
                <c:pt idx="31">
                  <c:v>2297</c:v>
                </c:pt>
                <c:pt idx="32">
                  <c:v>5806</c:v>
                </c:pt>
                <c:pt idx="33">
                  <c:v>1791</c:v>
                </c:pt>
                <c:pt idx="34">
                  <c:v>879</c:v>
                </c:pt>
                <c:pt idx="35">
                  <c:v>260</c:v>
                </c:pt>
                <c:pt idx="36">
                  <c:v>854</c:v>
                </c:pt>
                <c:pt idx="37">
                  <c:v>7753</c:v>
                </c:pt>
                <c:pt idx="38">
                  <c:v>5580</c:v>
                </c:pt>
                <c:pt idx="39">
                  <c:v>6548</c:v>
                </c:pt>
                <c:pt idx="40">
                  <c:v>6062</c:v>
                </c:pt>
                <c:pt idx="41">
                  <c:v>6498</c:v>
                </c:pt>
                <c:pt idx="42">
                  <c:v>5688</c:v>
                </c:pt>
                <c:pt idx="43">
                  <c:v>5653</c:v>
                </c:pt>
                <c:pt idx="44">
                  <c:v>3765</c:v>
                </c:pt>
                <c:pt idx="45">
                  <c:v>5897</c:v>
                </c:pt>
                <c:pt idx="46">
                  <c:v>5854</c:v>
                </c:pt>
                <c:pt idx="47">
                  <c:v>6945</c:v>
                </c:pt>
                <c:pt idx="48">
                  <c:v>10615</c:v>
                </c:pt>
                <c:pt idx="49">
                  <c:v>7566</c:v>
                </c:pt>
                <c:pt idx="50">
                  <c:v>7401</c:v>
                </c:pt>
                <c:pt idx="51">
                  <c:v>7081</c:v>
                </c:pt>
                <c:pt idx="52">
                  <c:v>9526</c:v>
                </c:pt>
                <c:pt idx="53">
                  <c:v>13622</c:v>
                </c:pt>
                <c:pt idx="54">
                  <c:v>10254</c:v>
                </c:pt>
                <c:pt idx="55">
                  <c:v>6621</c:v>
                </c:pt>
                <c:pt idx="56">
                  <c:v>9406</c:v>
                </c:pt>
                <c:pt idx="57">
                  <c:v>7928</c:v>
                </c:pt>
                <c:pt idx="58">
                  <c:v>7331</c:v>
                </c:pt>
                <c:pt idx="59">
                  <c:v>5253</c:v>
                </c:pt>
                <c:pt idx="60">
                  <c:v>4886</c:v>
                </c:pt>
                <c:pt idx="61">
                  <c:v>8388</c:v>
                </c:pt>
                <c:pt idx="62">
                  <c:v>6631</c:v>
                </c:pt>
                <c:pt idx="63">
                  <c:v>5005</c:v>
                </c:pt>
                <c:pt idx="64">
                  <c:v>6882</c:v>
                </c:pt>
                <c:pt idx="65">
                  <c:v>6336</c:v>
                </c:pt>
                <c:pt idx="66">
                  <c:v>9681</c:v>
                </c:pt>
                <c:pt idx="67">
                  <c:v>12274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97-4751-8368-E9B327D1C986}"/>
            </c:ext>
          </c:extLst>
        </c:ser>
        <c:ser>
          <c:idx val="4"/>
          <c:order val="4"/>
          <c:tx>
            <c:strRef>
              <c:f>Esc!$J$1</c:f>
              <c:strCache>
                <c:ptCount val="1"/>
                <c:pt idx="0">
                  <c:v>PUNTLEDGE RIVER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Esc!$J$2:$J$69</c:f>
              <c:numCache>
                <c:formatCode>General</c:formatCode>
                <c:ptCount val="68"/>
                <c:pt idx="0">
                  <c:v>3500</c:v>
                </c:pt>
                <c:pt idx="1">
                  <c:v>15000</c:v>
                </c:pt>
                <c:pt idx="2">
                  <c:v>7500</c:v>
                </c:pt>
                <c:pt idx="3">
                  <c:v>1500</c:v>
                </c:pt>
                <c:pt idx="4">
                  <c:v>3500</c:v>
                </c:pt>
                <c:pt idx="5">
                  <c:v>7500</c:v>
                </c:pt>
                <c:pt idx="6">
                  <c:v>3500</c:v>
                </c:pt>
                <c:pt idx="7">
                  <c:v>3500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750</c:v>
                </c:pt>
                <c:pt idx="12">
                  <c:v>1121</c:v>
                </c:pt>
                <c:pt idx="13">
                  <c:v>1157</c:v>
                </c:pt>
                <c:pt idx="14">
                  <c:v>840</c:v>
                </c:pt>
                <c:pt idx="15">
                  <c:v>720</c:v>
                </c:pt>
                <c:pt idx="16">
                  <c:v>486</c:v>
                </c:pt>
                <c:pt idx="17">
                  <c:v>685</c:v>
                </c:pt>
                <c:pt idx="18">
                  <c:v>557</c:v>
                </c:pt>
                <c:pt idx="19">
                  <c:v>635</c:v>
                </c:pt>
                <c:pt idx="20">
                  <c:v>1179</c:v>
                </c:pt>
                <c:pt idx="21">
                  <c:v>844</c:v>
                </c:pt>
                <c:pt idx="22">
                  <c:v>1175</c:v>
                </c:pt>
                <c:pt idx="23">
                  <c:v>850</c:v>
                </c:pt>
                <c:pt idx="24">
                  <c:v>1734</c:v>
                </c:pt>
                <c:pt idx="25">
                  <c:v>1465</c:v>
                </c:pt>
                <c:pt idx="26">
                  <c:v>2018</c:v>
                </c:pt>
                <c:pt idx="27">
                  <c:v>1300</c:v>
                </c:pt>
                <c:pt idx="28">
                  <c:v>900</c:v>
                </c:pt>
                <c:pt idx="29">
                  <c:v>2340</c:v>
                </c:pt>
                <c:pt idx="30">
                  <c:v>1500</c:v>
                </c:pt>
                <c:pt idx="31">
                  <c:v>1035</c:v>
                </c:pt>
                <c:pt idx="32">
                  <c:v>489</c:v>
                </c:pt>
                <c:pt idx="33">
                  <c:v>791</c:v>
                </c:pt>
                <c:pt idx="34">
                  <c:v>1267</c:v>
                </c:pt>
                <c:pt idx="35">
                  <c:v>1432</c:v>
                </c:pt>
                <c:pt idx="36">
                  <c:v>2274</c:v>
                </c:pt>
                <c:pt idx="37">
                  <c:v>5388</c:v>
                </c:pt>
                <c:pt idx="38">
                  <c:v>2405</c:v>
                </c:pt>
                <c:pt idx="39">
                  <c:v>1412</c:v>
                </c:pt>
                <c:pt idx="40">
                  <c:v>1017</c:v>
                </c:pt>
                <c:pt idx="41">
                  <c:v>617</c:v>
                </c:pt>
                <c:pt idx="42">
                  <c:v>432</c:v>
                </c:pt>
                <c:pt idx="43">
                  <c:v>531</c:v>
                </c:pt>
                <c:pt idx="44">
                  <c:v>601</c:v>
                </c:pt>
                <c:pt idx="45">
                  <c:v>740</c:v>
                </c:pt>
                <c:pt idx="46">
                  <c:v>2509</c:v>
                </c:pt>
                <c:pt idx="47">
                  <c:v>3597</c:v>
                </c:pt>
                <c:pt idx="48">
                  <c:v>15180</c:v>
                </c:pt>
                <c:pt idx="49">
                  <c:v>10970</c:v>
                </c:pt>
                <c:pt idx="50">
                  <c:v>14796</c:v>
                </c:pt>
                <c:pt idx="51">
                  <c:v>11771</c:v>
                </c:pt>
                <c:pt idx="52">
                  <c:v>11947</c:v>
                </c:pt>
                <c:pt idx="53">
                  <c:v>17037</c:v>
                </c:pt>
                <c:pt idx="54">
                  <c:v>9727</c:v>
                </c:pt>
                <c:pt idx="55">
                  <c:v>5284</c:v>
                </c:pt>
                <c:pt idx="56">
                  <c:v>8306</c:v>
                </c:pt>
                <c:pt idx="57">
                  <c:v>6186</c:v>
                </c:pt>
                <c:pt idx="58">
                  <c:v>6663</c:v>
                </c:pt>
                <c:pt idx="59">
                  <c:v>3687</c:v>
                </c:pt>
                <c:pt idx="60">
                  <c:v>4230</c:v>
                </c:pt>
                <c:pt idx="61">
                  <c:v>7207</c:v>
                </c:pt>
                <c:pt idx="62">
                  <c:v>8521</c:v>
                </c:pt>
                <c:pt idx="63">
                  <c:v>8762</c:v>
                </c:pt>
                <c:pt idx="64">
                  <c:v>13422</c:v>
                </c:pt>
                <c:pt idx="65">
                  <c:v>11495</c:v>
                </c:pt>
                <c:pt idx="66">
                  <c:v>17690</c:v>
                </c:pt>
                <c:pt idx="67">
                  <c:v>10340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97-4751-8368-E9B327D1C986}"/>
            </c:ext>
          </c:extLst>
        </c:ser>
        <c:ser>
          <c:idx val="5"/>
          <c:order val="5"/>
          <c:tx>
            <c:strRef>
              <c:f>Esc!$K$1</c:f>
              <c:strCache>
                <c:ptCount val="1"/>
                <c:pt idx="0">
                  <c:v>QUINSAM RIVER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Esc!$K$2:$K$69</c:f>
              <c:numCache>
                <c:formatCode>General</c:formatCode>
                <c:ptCount val="68"/>
                <c:pt idx="4">
                  <c:v>25</c:v>
                </c:pt>
                <c:pt idx="5">
                  <c:v>75</c:v>
                </c:pt>
                <c:pt idx="6">
                  <c:v>25</c:v>
                </c:pt>
                <c:pt idx="7">
                  <c:v>25</c:v>
                </c:pt>
                <c:pt idx="18">
                  <c:v>25</c:v>
                </c:pt>
                <c:pt idx="19">
                  <c:v>75</c:v>
                </c:pt>
                <c:pt idx="21">
                  <c:v>75</c:v>
                </c:pt>
                <c:pt idx="22">
                  <c:v>200</c:v>
                </c:pt>
                <c:pt idx="23">
                  <c:v>25</c:v>
                </c:pt>
                <c:pt idx="25">
                  <c:v>83</c:v>
                </c:pt>
                <c:pt idx="26">
                  <c:v>468</c:v>
                </c:pt>
                <c:pt idx="27">
                  <c:v>550</c:v>
                </c:pt>
                <c:pt idx="28">
                  <c:v>925</c:v>
                </c:pt>
                <c:pt idx="29">
                  <c:v>1500</c:v>
                </c:pt>
                <c:pt idx="30">
                  <c:v>1806</c:v>
                </c:pt>
                <c:pt idx="31">
                  <c:v>2682</c:v>
                </c:pt>
                <c:pt idx="32">
                  <c:v>3683</c:v>
                </c:pt>
                <c:pt idx="33">
                  <c:v>3060</c:v>
                </c:pt>
                <c:pt idx="34">
                  <c:v>3573</c:v>
                </c:pt>
                <c:pt idx="35">
                  <c:v>9461</c:v>
                </c:pt>
                <c:pt idx="36">
                  <c:v>12301</c:v>
                </c:pt>
                <c:pt idx="37">
                  <c:v>11678</c:v>
                </c:pt>
                <c:pt idx="38">
                  <c:v>6789</c:v>
                </c:pt>
                <c:pt idx="39">
                  <c:v>4013</c:v>
                </c:pt>
                <c:pt idx="40">
                  <c:v>2270</c:v>
                </c:pt>
                <c:pt idx="41">
                  <c:v>2532</c:v>
                </c:pt>
                <c:pt idx="42">
                  <c:v>2158</c:v>
                </c:pt>
                <c:pt idx="43">
                  <c:v>2608</c:v>
                </c:pt>
                <c:pt idx="44">
                  <c:v>2602</c:v>
                </c:pt>
                <c:pt idx="45">
                  <c:v>4419</c:v>
                </c:pt>
                <c:pt idx="46">
                  <c:v>7242</c:v>
                </c:pt>
                <c:pt idx="47">
                  <c:v>7562</c:v>
                </c:pt>
                <c:pt idx="48">
                  <c:v>13680</c:v>
                </c:pt>
                <c:pt idx="49">
                  <c:v>11814</c:v>
                </c:pt>
                <c:pt idx="50">
                  <c:v>7422</c:v>
                </c:pt>
                <c:pt idx="51">
                  <c:v>9019</c:v>
                </c:pt>
                <c:pt idx="52">
                  <c:v>8085</c:v>
                </c:pt>
                <c:pt idx="53">
                  <c:v>8163</c:v>
                </c:pt>
                <c:pt idx="54">
                  <c:v>6128</c:v>
                </c:pt>
                <c:pt idx="55">
                  <c:v>5728</c:v>
                </c:pt>
                <c:pt idx="56">
                  <c:v>5167</c:v>
                </c:pt>
                <c:pt idx="57">
                  <c:v>3416</c:v>
                </c:pt>
                <c:pt idx="58">
                  <c:v>4191</c:v>
                </c:pt>
                <c:pt idx="59">
                  <c:v>4096</c:v>
                </c:pt>
                <c:pt idx="60">
                  <c:v>3356</c:v>
                </c:pt>
                <c:pt idx="61">
                  <c:v>2366</c:v>
                </c:pt>
                <c:pt idx="62">
                  <c:v>3190</c:v>
                </c:pt>
                <c:pt idx="63">
                  <c:v>6978</c:v>
                </c:pt>
                <c:pt idx="64">
                  <c:v>9131</c:v>
                </c:pt>
                <c:pt idx="65">
                  <c:v>6575</c:v>
                </c:pt>
                <c:pt idx="66">
                  <c:v>6793</c:v>
                </c:pt>
                <c:pt idx="67">
                  <c:v>8236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97-4751-8368-E9B327D1C986}"/>
            </c:ext>
          </c:extLst>
        </c:ser>
        <c:ser>
          <c:idx val="6"/>
          <c:order val="6"/>
          <c:tx>
            <c:strRef>
              <c:f>Esc!$L$1</c:f>
              <c:strCache>
                <c:ptCount val="1"/>
                <c:pt idx="0">
                  <c:v>ENGLISHMAN RIVER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Esc!$E$2:$E$69</c:f>
              <c:numCache>
                <c:formatCode>General</c:formatCode>
                <c:ptCount val="68"/>
                <c:pt idx="0">
                  <c:v>1953</c:v>
                </c:pt>
                <c:pt idx="1">
                  <c:v>1954</c:v>
                </c:pt>
                <c:pt idx="2">
                  <c:v>1955</c:v>
                </c:pt>
                <c:pt idx="3">
                  <c:v>1956</c:v>
                </c:pt>
                <c:pt idx="4">
                  <c:v>1957</c:v>
                </c:pt>
                <c:pt idx="5">
                  <c:v>1958</c:v>
                </c:pt>
                <c:pt idx="6">
                  <c:v>1959</c:v>
                </c:pt>
                <c:pt idx="7">
                  <c:v>1960</c:v>
                </c:pt>
                <c:pt idx="8">
                  <c:v>1961</c:v>
                </c:pt>
                <c:pt idx="9">
                  <c:v>1962</c:v>
                </c:pt>
                <c:pt idx="10">
                  <c:v>1963</c:v>
                </c:pt>
                <c:pt idx="11">
                  <c:v>1964</c:v>
                </c:pt>
                <c:pt idx="12">
                  <c:v>1965</c:v>
                </c:pt>
                <c:pt idx="13">
                  <c:v>1966</c:v>
                </c:pt>
                <c:pt idx="14">
                  <c:v>1967</c:v>
                </c:pt>
                <c:pt idx="15">
                  <c:v>1968</c:v>
                </c:pt>
                <c:pt idx="16">
                  <c:v>1969</c:v>
                </c:pt>
                <c:pt idx="17">
                  <c:v>1970</c:v>
                </c:pt>
                <c:pt idx="18">
                  <c:v>1971</c:v>
                </c:pt>
                <c:pt idx="19">
                  <c:v>1972</c:v>
                </c:pt>
                <c:pt idx="20">
                  <c:v>1973</c:v>
                </c:pt>
                <c:pt idx="21">
                  <c:v>1974</c:v>
                </c:pt>
                <c:pt idx="22">
                  <c:v>1975</c:v>
                </c:pt>
                <c:pt idx="23">
                  <c:v>1976</c:v>
                </c:pt>
                <c:pt idx="24">
                  <c:v>1977</c:v>
                </c:pt>
                <c:pt idx="25">
                  <c:v>1978</c:v>
                </c:pt>
                <c:pt idx="26">
                  <c:v>1979</c:v>
                </c:pt>
                <c:pt idx="27">
                  <c:v>1980</c:v>
                </c:pt>
                <c:pt idx="28">
                  <c:v>1981</c:v>
                </c:pt>
                <c:pt idx="29">
                  <c:v>1982</c:v>
                </c:pt>
                <c:pt idx="30">
                  <c:v>1983</c:v>
                </c:pt>
                <c:pt idx="31">
                  <c:v>1984</c:v>
                </c:pt>
                <c:pt idx="32">
                  <c:v>1985</c:v>
                </c:pt>
                <c:pt idx="33">
                  <c:v>1986</c:v>
                </c:pt>
                <c:pt idx="34">
                  <c:v>1987</c:v>
                </c:pt>
                <c:pt idx="35">
                  <c:v>1988</c:v>
                </c:pt>
                <c:pt idx="36">
                  <c:v>1989</c:v>
                </c:pt>
                <c:pt idx="37">
                  <c:v>1990</c:v>
                </c:pt>
                <c:pt idx="38">
                  <c:v>1991</c:v>
                </c:pt>
                <c:pt idx="39">
                  <c:v>1992</c:v>
                </c:pt>
                <c:pt idx="40">
                  <c:v>1993</c:v>
                </c:pt>
                <c:pt idx="41">
                  <c:v>1994</c:v>
                </c:pt>
                <c:pt idx="42">
                  <c:v>1995</c:v>
                </c:pt>
                <c:pt idx="43">
                  <c:v>1996</c:v>
                </c:pt>
                <c:pt idx="44">
                  <c:v>1997</c:v>
                </c:pt>
                <c:pt idx="45">
                  <c:v>1998</c:v>
                </c:pt>
                <c:pt idx="46">
                  <c:v>1999</c:v>
                </c:pt>
                <c:pt idx="47">
                  <c:v>2000</c:v>
                </c:pt>
                <c:pt idx="48">
                  <c:v>2001</c:v>
                </c:pt>
                <c:pt idx="49">
                  <c:v>2002</c:v>
                </c:pt>
                <c:pt idx="50">
                  <c:v>2003</c:v>
                </c:pt>
                <c:pt idx="51">
                  <c:v>2004</c:v>
                </c:pt>
                <c:pt idx="52">
                  <c:v>2005</c:v>
                </c:pt>
                <c:pt idx="53">
                  <c:v>2006</c:v>
                </c:pt>
                <c:pt idx="54">
                  <c:v>2007</c:v>
                </c:pt>
                <c:pt idx="55">
                  <c:v>2008</c:v>
                </c:pt>
                <c:pt idx="56">
                  <c:v>2009</c:v>
                </c:pt>
                <c:pt idx="57">
                  <c:v>2010</c:v>
                </c:pt>
                <c:pt idx="58">
                  <c:v>2011</c:v>
                </c:pt>
                <c:pt idx="59">
                  <c:v>2012</c:v>
                </c:pt>
                <c:pt idx="60">
                  <c:v>2013</c:v>
                </c:pt>
                <c:pt idx="61">
                  <c:v>2014</c:v>
                </c:pt>
                <c:pt idx="62">
                  <c:v>2015</c:v>
                </c:pt>
                <c:pt idx="63">
                  <c:v>2016</c:v>
                </c:pt>
                <c:pt idx="64">
                  <c:v>2017</c:v>
                </c:pt>
                <c:pt idx="65">
                  <c:v>2018</c:v>
                </c:pt>
                <c:pt idx="66">
                  <c:v>2019</c:v>
                </c:pt>
                <c:pt idx="67">
                  <c:v>2020</c:v>
                </c:pt>
              </c:numCache>
            </c:numRef>
          </c:xVal>
          <c:yVal>
            <c:numRef>
              <c:f>Esc!$L$2:$L$69</c:f>
              <c:numCache>
                <c:formatCode>General</c:formatCode>
                <c:ptCount val="68"/>
                <c:pt idx="7">
                  <c:v>25</c:v>
                </c:pt>
                <c:pt idx="8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75</c:v>
                </c:pt>
                <c:pt idx="13">
                  <c:v>25</c:v>
                </c:pt>
                <c:pt idx="14">
                  <c:v>75</c:v>
                </c:pt>
                <c:pt idx="15">
                  <c:v>115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25</c:v>
                </c:pt>
                <c:pt idx="22">
                  <c:v>75</c:v>
                </c:pt>
                <c:pt idx="23">
                  <c:v>25</c:v>
                </c:pt>
                <c:pt idx="24">
                  <c:v>25</c:v>
                </c:pt>
                <c:pt idx="25">
                  <c:v>75</c:v>
                </c:pt>
                <c:pt idx="29">
                  <c:v>14</c:v>
                </c:pt>
                <c:pt idx="37">
                  <c:v>100</c:v>
                </c:pt>
                <c:pt idx="38">
                  <c:v>50</c:v>
                </c:pt>
                <c:pt idx="39">
                  <c:v>40</c:v>
                </c:pt>
                <c:pt idx="40">
                  <c:v>24</c:v>
                </c:pt>
                <c:pt idx="42">
                  <c:v>40</c:v>
                </c:pt>
                <c:pt idx="43">
                  <c:v>50</c:v>
                </c:pt>
                <c:pt idx="44">
                  <c:v>20</c:v>
                </c:pt>
                <c:pt idx="46">
                  <c:v>750</c:v>
                </c:pt>
                <c:pt idx="47">
                  <c:v>1200</c:v>
                </c:pt>
                <c:pt idx="48">
                  <c:v>2900</c:v>
                </c:pt>
                <c:pt idx="49">
                  <c:v>600</c:v>
                </c:pt>
                <c:pt idx="50">
                  <c:v>260</c:v>
                </c:pt>
                <c:pt idx="52">
                  <c:v>950</c:v>
                </c:pt>
                <c:pt idx="53">
                  <c:v>590</c:v>
                </c:pt>
                <c:pt idx="54">
                  <c:v>231</c:v>
                </c:pt>
                <c:pt idx="55">
                  <c:v>370</c:v>
                </c:pt>
                <c:pt idx="57">
                  <c:v>1619</c:v>
                </c:pt>
                <c:pt idx="58">
                  <c:v>1326</c:v>
                </c:pt>
                <c:pt idx="59">
                  <c:v>218</c:v>
                </c:pt>
                <c:pt idx="60">
                  <c:v>855</c:v>
                </c:pt>
                <c:pt idx="61">
                  <c:v>1249</c:v>
                </c:pt>
                <c:pt idx="62">
                  <c:v>1242</c:v>
                </c:pt>
                <c:pt idx="63">
                  <c:v>464</c:v>
                </c:pt>
                <c:pt idx="64">
                  <c:v>1253</c:v>
                </c:pt>
                <c:pt idx="65">
                  <c:v>763</c:v>
                </c:pt>
                <c:pt idx="66">
                  <c:v>1739</c:v>
                </c:pt>
                <c:pt idx="67">
                  <c:v>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197-4751-8368-E9B327D1C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169855"/>
        <c:axId val="868237919"/>
      </c:scatterChart>
      <c:valAx>
        <c:axId val="1049169855"/>
        <c:scaling>
          <c:orientation val="minMax"/>
          <c:max val="202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237919"/>
        <c:crosses val="autoZero"/>
        <c:crossBetween val="midCat"/>
      </c:valAx>
      <c:valAx>
        <c:axId val="86823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16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ER!$D$19</c:f>
              <c:strCache>
                <c:ptCount val="1"/>
                <c:pt idx="0">
                  <c:v>Relative BYER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ER!$C$20:$C$62</c:f>
              <c:numCache>
                <c:formatCode>General</c:formatCode>
                <c:ptCount val="43"/>
                <c:pt idx="0">
                  <c:v>1978</c:v>
                </c:pt>
                <c:pt idx="1">
                  <c:v>1979</c:v>
                </c:pt>
                <c:pt idx="2">
                  <c:v>1980</c:v>
                </c:pt>
                <c:pt idx="3">
                  <c:v>1981</c:v>
                </c:pt>
                <c:pt idx="4">
                  <c:v>1982</c:v>
                </c:pt>
                <c:pt idx="5">
                  <c:v>1983</c:v>
                </c:pt>
                <c:pt idx="6">
                  <c:v>1984</c:v>
                </c:pt>
                <c:pt idx="7">
                  <c:v>1985</c:v>
                </c:pt>
                <c:pt idx="8">
                  <c:v>1986</c:v>
                </c:pt>
                <c:pt idx="9">
                  <c:v>1987</c:v>
                </c:pt>
                <c:pt idx="10">
                  <c:v>1988</c:v>
                </c:pt>
                <c:pt idx="11">
                  <c:v>1989</c:v>
                </c:pt>
                <c:pt idx="12">
                  <c:v>1990</c:v>
                </c:pt>
                <c:pt idx="13">
                  <c:v>1991</c:v>
                </c:pt>
                <c:pt idx="14">
                  <c:v>1992</c:v>
                </c:pt>
                <c:pt idx="15">
                  <c:v>1993</c:v>
                </c:pt>
                <c:pt idx="16">
                  <c:v>1994</c:v>
                </c:pt>
                <c:pt idx="17">
                  <c:v>1995</c:v>
                </c:pt>
                <c:pt idx="18">
                  <c:v>1996</c:v>
                </c:pt>
                <c:pt idx="19">
                  <c:v>1997</c:v>
                </c:pt>
                <c:pt idx="20">
                  <c:v>1998</c:v>
                </c:pt>
                <c:pt idx="21">
                  <c:v>1999</c:v>
                </c:pt>
                <c:pt idx="22">
                  <c:v>2000</c:v>
                </c:pt>
                <c:pt idx="23">
                  <c:v>2001</c:v>
                </c:pt>
                <c:pt idx="24">
                  <c:v>2002</c:v>
                </c:pt>
                <c:pt idx="25">
                  <c:v>2003</c:v>
                </c:pt>
                <c:pt idx="26">
                  <c:v>2004</c:v>
                </c:pt>
                <c:pt idx="27">
                  <c:v>2005</c:v>
                </c:pt>
                <c:pt idx="28">
                  <c:v>2006</c:v>
                </c:pt>
                <c:pt idx="29">
                  <c:v>2007</c:v>
                </c:pt>
                <c:pt idx="30">
                  <c:v>2008</c:v>
                </c:pt>
                <c:pt idx="31">
                  <c:v>2009</c:v>
                </c:pt>
                <c:pt idx="32">
                  <c:v>2010</c:v>
                </c:pt>
                <c:pt idx="33">
                  <c:v>2011</c:v>
                </c:pt>
                <c:pt idx="34">
                  <c:v>2012</c:v>
                </c:pt>
                <c:pt idx="35">
                  <c:v>2013</c:v>
                </c:pt>
                <c:pt idx="36">
                  <c:v>2014</c:v>
                </c:pt>
                <c:pt idx="37">
                  <c:v>2015</c:v>
                </c:pt>
                <c:pt idx="38">
                  <c:v>2016</c:v>
                </c:pt>
                <c:pt idx="39">
                  <c:v>2017</c:v>
                </c:pt>
                <c:pt idx="40">
                  <c:v>2018</c:v>
                </c:pt>
                <c:pt idx="41">
                  <c:v>2019</c:v>
                </c:pt>
                <c:pt idx="42">
                  <c:v>2020</c:v>
                </c:pt>
              </c:numCache>
            </c:numRef>
          </c:xVal>
          <c:yVal>
            <c:numRef>
              <c:f>ER!$D$20:$D$62</c:f>
              <c:numCache>
                <c:formatCode>General</c:formatCode>
                <c:ptCount val="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0.74999999999999989</c:v>
                </c:pt>
                <c:pt idx="18">
                  <c:v>0.74999999999999989</c:v>
                </c:pt>
                <c:pt idx="19">
                  <c:v>0.6875</c:v>
                </c:pt>
                <c:pt idx="20">
                  <c:v>0.625</c:v>
                </c:pt>
                <c:pt idx="21">
                  <c:v>0.5625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0.43749999999999994</c:v>
                </c:pt>
                <c:pt idx="38">
                  <c:v>0.37499999999999994</c:v>
                </c:pt>
                <c:pt idx="39">
                  <c:v>0.37499999999999994</c:v>
                </c:pt>
                <c:pt idx="40">
                  <c:v>0.37499999999999994</c:v>
                </c:pt>
                <c:pt idx="41">
                  <c:v>0.25</c:v>
                </c:pt>
                <c:pt idx="42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E0-43CA-84D1-ACFF740B1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784719"/>
        <c:axId val="1374558111"/>
      </c:scatterChart>
      <c:valAx>
        <c:axId val="89378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58111"/>
        <c:crosses val="autoZero"/>
        <c:crossBetween val="midCat"/>
      </c:valAx>
      <c:valAx>
        <c:axId val="137455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8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image" Target="../media/image2.emf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image" Target="../media/image1.emf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</xdr:colOff>
      <xdr:row>18</xdr:row>
      <xdr:rowOff>7620</xdr:rowOff>
    </xdr:from>
    <xdr:to>
      <xdr:col>22</xdr:col>
      <xdr:colOff>133350</xdr:colOff>
      <xdr:row>33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008124-6FBB-4ECD-97AA-63BB78018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11430</xdr:colOff>
      <xdr:row>37</xdr:row>
      <xdr:rowOff>76200</xdr:rowOff>
    </xdr:from>
    <xdr:to>
      <xdr:col>24</xdr:col>
      <xdr:colOff>110490</xdr:colOff>
      <xdr:row>52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35E737-C640-4547-8776-1C156FC3F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621030</xdr:colOff>
      <xdr:row>21</xdr:row>
      <xdr:rowOff>11430</xdr:rowOff>
    </xdr:from>
    <xdr:to>
      <xdr:col>8</xdr:col>
      <xdr:colOff>369570</xdr:colOff>
      <xdr:row>36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32EC65-8350-4186-A5F8-CB618D49B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457200</xdr:colOff>
      <xdr:row>43</xdr:row>
      <xdr:rowOff>72390</xdr:rowOff>
    </xdr:from>
    <xdr:to>
      <xdr:col>6</xdr:col>
      <xdr:colOff>609600</xdr:colOff>
      <xdr:row>58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AE0E1F-1DF1-48B4-94FF-2D0688A96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548640</xdr:colOff>
      <xdr:row>41</xdr:row>
      <xdr:rowOff>7620</xdr:rowOff>
    </xdr:from>
    <xdr:to>
      <xdr:col>12</xdr:col>
      <xdr:colOff>384810</xdr:colOff>
      <xdr:row>56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EA83EE-8231-40D3-8402-93F39B59A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72390</xdr:colOff>
      <xdr:row>20</xdr:row>
      <xdr:rowOff>171450</xdr:rowOff>
    </xdr:from>
    <xdr:to>
      <xdr:col>14</xdr:col>
      <xdr:colOff>163830</xdr:colOff>
      <xdr:row>35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17EACF-50D1-4E89-9EC2-962D5489B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259080</xdr:colOff>
      <xdr:row>36</xdr:row>
      <xdr:rowOff>7620</xdr:rowOff>
    </xdr:from>
    <xdr:to>
      <xdr:col>27</xdr:col>
      <xdr:colOff>350520</xdr:colOff>
      <xdr:row>51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E881A17-95E1-4ACC-8E03-AAA896212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251460</xdr:colOff>
      <xdr:row>57</xdr:row>
      <xdr:rowOff>118110</xdr:rowOff>
    </xdr:from>
    <xdr:to>
      <xdr:col>9</xdr:col>
      <xdr:colOff>270510</xdr:colOff>
      <xdr:row>72</xdr:row>
      <xdr:rowOff>118110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D3660F-2205-4989-9F61-EEB074E3E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339090</xdr:colOff>
      <xdr:row>17</xdr:row>
      <xdr:rowOff>55245</xdr:rowOff>
    </xdr:from>
    <xdr:to>
      <xdr:col>28</xdr:col>
      <xdr:colOff>430530</xdr:colOff>
      <xdr:row>32</xdr:row>
      <xdr:rowOff>55245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2EF9895-9BBF-425C-941D-8123057CE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476250</xdr:colOff>
      <xdr:row>72</xdr:row>
      <xdr:rowOff>59055</xdr:rowOff>
    </xdr:from>
    <xdr:to>
      <xdr:col>25</xdr:col>
      <xdr:colOff>567690</xdr:colOff>
      <xdr:row>87</xdr:row>
      <xdr:rowOff>59055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A79E23C-F104-454E-B2A8-55A610727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83</xdr:col>
      <xdr:colOff>201930</xdr:colOff>
      <xdr:row>1</xdr:row>
      <xdr:rowOff>28575</xdr:rowOff>
    </xdr:from>
    <xdr:to>
      <xdr:col>90</xdr:col>
      <xdr:colOff>293370</xdr:colOff>
      <xdr:row>16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69B397B-BF50-4940-ADA2-A9EC98F46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628650</xdr:colOff>
      <xdr:row>14</xdr:row>
      <xdr:rowOff>89535</xdr:rowOff>
    </xdr:from>
    <xdr:to>
      <xdr:col>24</xdr:col>
      <xdr:colOff>80010</xdr:colOff>
      <xdr:row>29</xdr:row>
      <xdr:rowOff>89535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9D7E4B0-B144-4E68-8E84-25AF7790A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48</xdr:col>
      <xdr:colOff>3810</xdr:colOff>
      <xdr:row>13</xdr:row>
      <xdr:rowOff>137160</xdr:rowOff>
    </xdr:from>
    <xdr:to>
      <xdr:col>55</xdr:col>
      <xdr:colOff>95250</xdr:colOff>
      <xdr:row>28</xdr:row>
      <xdr:rowOff>137160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2FA9432-CD73-4534-AC20-9D8FBA1D6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81</xdr:col>
      <xdr:colOff>304800</xdr:colOff>
      <xdr:row>3</xdr:row>
      <xdr:rowOff>118110</xdr:rowOff>
    </xdr:from>
    <xdr:to>
      <xdr:col>88</xdr:col>
      <xdr:colOff>396240</xdr:colOff>
      <xdr:row>18</xdr:row>
      <xdr:rowOff>118110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90C2C4F-0E97-497B-8E8D-1EDBC22D5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8</xdr:col>
      <xdr:colOff>0</xdr:colOff>
      <xdr:row>36</xdr:row>
      <xdr:rowOff>0</xdr:rowOff>
    </xdr:from>
    <xdr:to>
      <xdr:col>13</xdr:col>
      <xdr:colOff>247650</xdr:colOff>
      <xdr:row>57</xdr:row>
      <xdr:rowOff>87630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3B1A430-E850-4F5B-BA36-ECA7F9EF1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6210" y="6583680"/>
          <a:ext cx="4080510" cy="3928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2186940</xdr:colOff>
      <xdr:row>36</xdr:row>
      <xdr:rowOff>129540</xdr:rowOff>
    </xdr:from>
    <xdr:to>
      <xdr:col>5</xdr:col>
      <xdr:colOff>251460</xdr:colOff>
      <xdr:row>46</xdr:row>
      <xdr:rowOff>167640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6F0087E-3EEB-4CC4-8361-D21F314DC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6713220"/>
          <a:ext cx="197739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</xdr:colOff>
      <xdr:row>1</xdr:row>
      <xdr:rowOff>179070</xdr:rowOff>
    </xdr:from>
    <xdr:to>
      <xdr:col>8</xdr:col>
      <xdr:colOff>118110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B162A7-CA7A-4A74-9004-ECAB432AE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114300</xdr:colOff>
      <xdr:row>10</xdr:row>
      <xdr:rowOff>179070</xdr:rowOff>
    </xdr:from>
    <xdr:to>
      <xdr:col>23</xdr:col>
      <xdr:colOff>205740</xdr:colOff>
      <xdr:row>25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B48CB7-DE40-4CD8-B158-E09699094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16</xdr:col>
      <xdr:colOff>453390</xdr:colOff>
      <xdr:row>38</xdr:row>
      <xdr:rowOff>49530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539394-FD8D-4F28-B699-2B0E6B429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0480" y="0"/>
          <a:ext cx="6854190" cy="6998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16</xdr:col>
      <xdr:colOff>483870</xdr:colOff>
      <xdr:row>56</xdr:row>
      <xdr:rowOff>167640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3C635B-6907-4357-9D58-E0512F08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0480" y="6949440"/>
          <a:ext cx="6884670" cy="3459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64770</xdr:colOff>
      <xdr:row>23</xdr:row>
      <xdr:rowOff>121920</xdr:rowOff>
    </xdr:from>
    <xdr:to>
      <xdr:col>12</xdr:col>
      <xdr:colOff>156210</xdr:colOff>
      <xdr:row>38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39D7C8-5060-4A5B-AAA6-ED48617CE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87630</xdr:colOff>
      <xdr:row>10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575D971-C57E-409B-9980-2474006A4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928110" cy="184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270C-4FA4-4C56-B083-AE7202DEAAEE}">
  <dimension ref="A1:CC79"/>
  <sheetViews>
    <sheetView tabSelected="1" topLeftCell="B10" workbookViewId="0">
      <selection activeCell="E2" sqref="E2"/>
    </sheetView>
  </sheetViews>
  <sheetFormatPr defaultRowHeight="14.4" x14ac:dyDescent="0.55000000000000004"/>
  <cols>
    <col min="2" max="2" width="12.26171875" bestFit="1" customWidth="1"/>
    <col min="3" max="3" width="31.68359375" customWidth="1"/>
    <col min="4" max="4" width="13.5234375" customWidth="1"/>
    <col min="7" max="7" width="12.26171875" bestFit="1" customWidth="1"/>
    <col min="8" max="8" width="11.15625" bestFit="1" customWidth="1"/>
    <col min="9" max="11" width="11.68359375" bestFit="1" customWidth="1"/>
    <col min="12" max="14" width="8.9453125" bestFit="1" customWidth="1"/>
    <col min="31" max="33" width="11.15625" bestFit="1" customWidth="1"/>
    <col min="34" max="34" width="9.15625" bestFit="1" customWidth="1"/>
    <col min="35" max="35" width="8.89453125" bestFit="1" customWidth="1"/>
  </cols>
  <sheetData>
    <row r="1" spans="1:81" x14ac:dyDescent="0.55000000000000004">
      <c r="A1" s="1" t="s">
        <v>125</v>
      </c>
      <c r="B1" s="1"/>
      <c r="C1" s="1"/>
      <c r="D1" s="1"/>
      <c r="E1" s="1"/>
      <c r="F1" s="1"/>
      <c r="G1" s="2"/>
      <c r="H1" s="2" t="s">
        <v>126</v>
      </c>
      <c r="I1" s="2"/>
      <c r="J1" s="2"/>
      <c r="K1" s="2"/>
      <c r="L1" s="2"/>
      <c r="M1" s="2"/>
      <c r="N1" s="2"/>
      <c r="O1" s="8"/>
      <c r="P1" s="8" t="s">
        <v>127</v>
      </c>
      <c r="Q1" s="8"/>
      <c r="R1" s="8"/>
      <c r="S1" s="8"/>
      <c r="T1" s="8"/>
      <c r="U1" s="8"/>
      <c r="V1" s="8"/>
      <c r="W1" s="8"/>
      <c r="X1" s="8"/>
      <c r="Y1" s="8"/>
      <c r="Z1" s="9" t="s">
        <v>128</v>
      </c>
      <c r="AA1" s="9"/>
      <c r="AB1" s="9"/>
      <c r="AC1" s="9"/>
      <c r="AD1" s="9"/>
      <c r="AE1" s="10" t="s">
        <v>129</v>
      </c>
      <c r="AF1" s="10"/>
      <c r="AG1" s="10"/>
      <c r="AH1" s="10"/>
      <c r="AI1" s="10"/>
      <c r="AM1" s="1" t="s">
        <v>130</v>
      </c>
      <c r="AN1" s="1"/>
      <c r="AO1" s="1"/>
      <c r="AP1" s="1"/>
      <c r="AQ1" s="1"/>
      <c r="AR1" s="2" t="s">
        <v>131</v>
      </c>
      <c r="AT1" s="1"/>
      <c r="AU1" s="1"/>
      <c r="AV1" s="1"/>
      <c r="AW1" s="1" t="s">
        <v>161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M1" s="1" t="s">
        <v>192</v>
      </c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81" x14ac:dyDescent="0.55000000000000004">
      <c r="A2" t="s">
        <v>42</v>
      </c>
      <c r="D2" t="s">
        <v>236</v>
      </c>
      <c r="E2" s="2" t="b">
        <v>0</v>
      </c>
      <c r="F2" t="s">
        <v>238</v>
      </c>
      <c r="G2" s="18">
        <f>SUM(AE14:AI58)</f>
        <v>1056343.8751047675</v>
      </c>
      <c r="H2" t="s">
        <v>52</v>
      </c>
      <c r="I2">
        <v>1</v>
      </c>
      <c r="J2">
        <v>2</v>
      </c>
      <c r="K2">
        <v>3</v>
      </c>
      <c r="L2">
        <v>4</v>
      </c>
      <c r="M2">
        <v>5</v>
      </c>
      <c r="N2">
        <v>6</v>
      </c>
      <c r="P2" t="s">
        <v>121</v>
      </c>
      <c r="S2" s="3">
        <f>AVERAGE(P14:P51)</f>
        <v>-2.9905258500410377E-2</v>
      </c>
      <c r="AM2" t="s">
        <v>205</v>
      </c>
    </row>
    <row r="3" spans="1:81" x14ac:dyDescent="0.55000000000000004">
      <c r="A3" t="s">
        <v>8</v>
      </c>
      <c r="B3">
        <f>SUMPRODUCT(Lo,fec,mat)*Ssum</f>
        <v>35.635155917125928</v>
      </c>
      <c r="C3" t="s">
        <v>43</v>
      </c>
      <c r="D3" t="s">
        <v>237</v>
      </c>
      <c r="E3" s="2">
        <v>0.3</v>
      </c>
      <c r="H3" t="s">
        <v>122</v>
      </c>
      <c r="I3">
        <v>0</v>
      </c>
      <c r="J3">
        <v>1</v>
      </c>
      <c r="K3">
        <v>2</v>
      </c>
      <c r="L3">
        <v>3</v>
      </c>
      <c r="M3">
        <v>4</v>
      </c>
      <c r="N3">
        <v>5</v>
      </c>
      <c r="BA3" t="s">
        <v>165</v>
      </c>
      <c r="BB3" t="s">
        <v>166</v>
      </c>
      <c r="BC3" t="s">
        <v>167</v>
      </c>
      <c r="BD3" t="s">
        <v>168</v>
      </c>
      <c r="BE3" t="s">
        <v>169</v>
      </c>
    </row>
    <row r="4" spans="1:81" x14ac:dyDescent="0.55000000000000004">
      <c r="A4" t="s">
        <v>9</v>
      </c>
      <c r="B4">
        <f>-LN(1/EPRo)</f>
        <v>3.5733326763371602</v>
      </c>
      <c r="C4" t="s">
        <v>44</v>
      </c>
      <c r="D4" t="s">
        <v>112</v>
      </c>
      <c r="H4" t="s">
        <v>0</v>
      </c>
      <c r="I4">
        <v>2.8</v>
      </c>
      <c r="J4">
        <v>0.3</v>
      </c>
      <c r="K4">
        <v>0.3</v>
      </c>
      <c r="L4">
        <v>0.3</v>
      </c>
      <c r="M4">
        <v>0.3</v>
      </c>
      <c r="N4">
        <v>0.3</v>
      </c>
      <c r="P4" t="s">
        <v>69</v>
      </c>
      <c r="AZ4" t="s">
        <v>164</v>
      </c>
      <c r="BA4" s="11">
        <f>AVERAGE(BA19:BA54)</f>
        <v>39.351221937697822</v>
      </c>
      <c r="BB4" s="11">
        <f t="shared" ref="BB4:BE4" si="0">AVERAGE(BB19:BB54)</f>
        <v>44.644334593420893</v>
      </c>
      <c r="BC4" s="11">
        <f t="shared" si="0"/>
        <v>86.1808802067914</v>
      </c>
      <c r="BD4" s="11">
        <f t="shared" si="0"/>
        <v>2.9057470838881452</v>
      </c>
      <c r="BE4" s="11">
        <f t="shared" si="0"/>
        <v>1.7844507945004841E-2</v>
      </c>
    </row>
    <row r="5" spans="1:81" x14ac:dyDescent="0.55000000000000004">
      <c r="A5" t="s">
        <v>17</v>
      </c>
      <c r="B5" s="2">
        <v>1.0426336410018109</v>
      </c>
      <c r="C5" t="s">
        <v>59</v>
      </c>
      <c r="F5">
        <f>EXP(CR)</f>
        <v>2.8366779767193031</v>
      </c>
      <c r="H5" t="s">
        <v>1</v>
      </c>
      <c r="I5" s="2">
        <v>0</v>
      </c>
      <c r="J5" s="2">
        <v>0.1</v>
      </c>
      <c r="K5" s="2">
        <v>1</v>
      </c>
      <c r="L5" s="2">
        <v>1</v>
      </c>
      <c r="M5" s="2">
        <v>1</v>
      </c>
      <c r="N5" s="2">
        <v>1</v>
      </c>
      <c r="O5" t="s">
        <v>68</v>
      </c>
      <c r="AZ5" t="s">
        <v>170</v>
      </c>
      <c r="BA5" s="11">
        <f>AVERAGE(BF19:BF27)</f>
        <v>17.972089557701228</v>
      </c>
      <c r="BB5" s="11">
        <f t="shared" ref="BB5:BE5" si="1">AVERAGE(BG19:BG54)</f>
        <v>69.356073792209656</v>
      </c>
      <c r="BC5" s="11">
        <f t="shared" si="1"/>
        <v>31.605444600254526</v>
      </c>
      <c r="BD5" s="11">
        <f t="shared" si="1"/>
        <v>0.99175213763648218</v>
      </c>
      <c r="BE5" s="11">
        <f t="shared" si="1"/>
        <v>5.8741777665916386E-3</v>
      </c>
    </row>
    <row r="6" spans="1:81" x14ac:dyDescent="0.55000000000000004">
      <c r="A6" t="s">
        <v>11</v>
      </c>
      <c r="B6">
        <f>MeUnf-CR</f>
        <v>2.5306990353353491</v>
      </c>
      <c r="C6" t="s">
        <v>45</v>
      </c>
      <c r="D6" t="s">
        <v>113</v>
      </c>
      <c r="E6">
        <f>EXP(-MeMin)</f>
        <v>7.9603355274110707E-2</v>
      </c>
      <c r="H6" t="s">
        <v>2</v>
      </c>
      <c r="I6" s="2">
        <v>0</v>
      </c>
      <c r="J6" s="2">
        <v>0.11</v>
      </c>
      <c r="K6" s="2">
        <v>0.23</v>
      </c>
      <c r="L6" s="2">
        <v>0.94699999999999995</v>
      </c>
      <c r="M6" s="2">
        <v>0.99</v>
      </c>
      <c r="N6" s="2">
        <v>1</v>
      </c>
      <c r="O6" t="s">
        <v>68</v>
      </c>
      <c r="AZ6" t="s">
        <v>171</v>
      </c>
      <c r="BA6" s="11">
        <f>AVERAGE(BF34:BF54)</f>
        <v>8.5170682247236051</v>
      </c>
      <c r="BB6" s="11">
        <f t="shared" ref="BB6:BE6" si="2">AVERAGE(BG34:BG54)</f>
        <v>51.901800738620693</v>
      </c>
      <c r="BC6" s="11">
        <f t="shared" si="2"/>
        <v>25.51444414568234</v>
      </c>
      <c r="BD6" s="11">
        <f t="shared" si="2"/>
        <v>0.8597543446789111</v>
      </c>
      <c r="BE6" s="11">
        <f t="shared" si="2"/>
        <v>5.4400507871315501E-3</v>
      </c>
    </row>
    <row r="7" spans="1:81" x14ac:dyDescent="0.55000000000000004">
      <c r="A7" t="s">
        <v>13</v>
      </c>
      <c r="B7">
        <f>SUMPRODUCT(Lo,mat)*Ssum</f>
        <v>2.3078931991068384E-2</v>
      </c>
      <c r="C7" t="s">
        <v>46</v>
      </c>
      <c r="D7" t="s">
        <v>242</v>
      </c>
      <c r="E7">
        <f>AVERAGE(AR14:AR59)/10000</f>
        <v>3.1215195499836756</v>
      </c>
      <c r="F7" t="s">
        <v>243</v>
      </c>
      <c r="H7" t="s">
        <v>3</v>
      </c>
      <c r="I7">
        <v>0</v>
      </c>
      <c r="J7">
        <v>0</v>
      </c>
      <c r="K7">
        <v>1500</v>
      </c>
      <c r="L7">
        <v>2000</v>
      </c>
      <c r="M7">
        <v>2500</v>
      </c>
      <c r="N7">
        <v>3000</v>
      </c>
      <c r="O7" t="s">
        <v>124</v>
      </c>
      <c r="AN7" t="s">
        <v>80</v>
      </c>
    </row>
    <row r="8" spans="1:81" x14ac:dyDescent="0.55000000000000004">
      <c r="A8" t="s">
        <v>12</v>
      </c>
      <c r="B8" s="16">
        <f>10000*E8</f>
        <v>41847.115875305535</v>
      </c>
      <c r="C8" t="s">
        <v>102</v>
      </c>
      <c r="D8" t="s">
        <v>103</v>
      </c>
      <c r="E8" s="2">
        <v>4.1847115875305532</v>
      </c>
      <c r="H8" t="s">
        <v>4</v>
      </c>
      <c r="I8">
        <v>1</v>
      </c>
      <c r="J8">
        <f>I8*EXP(-I4)*(1-I6)</f>
        <v>6.0810062625217973E-2</v>
      </c>
      <c r="K8">
        <f t="shared" ref="K8:N8" si="3">J8*EXP(-J4)*(1-J6)</f>
        <v>4.0093790130266455E-2</v>
      </c>
      <c r="L8">
        <f t="shared" si="3"/>
        <v>2.2870701903811467E-2</v>
      </c>
      <c r="M8">
        <f t="shared" si="3"/>
        <v>8.979807325765509E-4</v>
      </c>
      <c r="N8">
        <f t="shared" si="3"/>
        <v>6.6524048851382653E-6</v>
      </c>
      <c r="O8" t="s">
        <v>123</v>
      </c>
      <c r="AN8" t="s">
        <v>81</v>
      </c>
    </row>
    <row r="9" spans="1:81" x14ac:dyDescent="0.55000000000000004">
      <c r="A9" t="s">
        <v>10</v>
      </c>
      <c r="B9">
        <f>B8/SPRo</f>
        <v>1813217.1753658487</v>
      </c>
      <c r="C9" t="s">
        <v>47</v>
      </c>
      <c r="D9" t="s">
        <v>230</v>
      </c>
      <c r="E9" s="2">
        <v>2</v>
      </c>
      <c r="F9" t="s">
        <v>231</v>
      </c>
      <c r="H9" t="s">
        <v>172</v>
      </c>
      <c r="I9">
        <f t="shared" ref="I9:N9" si="4">I10*EXP(-I5*Fhist)*I6*Ssum</f>
        <v>0</v>
      </c>
      <c r="J9">
        <f t="shared" si="4"/>
        <v>3.8948483421835578E-3</v>
      </c>
      <c r="K9">
        <f t="shared" si="4"/>
        <v>3.9777640657284435E-3</v>
      </c>
      <c r="L9">
        <f t="shared" si="4"/>
        <v>6.9211011938573709E-3</v>
      </c>
      <c r="M9">
        <f t="shared" si="4"/>
        <v>2.1045516814889028E-4</v>
      </c>
      <c r="N9">
        <f t="shared" si="4"/>
        <v>1.1666691429922829E-6</v>
      </c>
      <c r="O9" t="s">
        <v>173</v>
      </c>
      <c r="AN9" t="s">
        <v>82</v>
      </c>
    </row>
    <row r="10" spans="1:81" x14ac:dyDescent="0.55000000000000004">
      <c r="A10" t="s">
        <v>15</v>
      </c>
      <c r="B10">
        <f>Ro*EPRo</f>
        <v>64614276.755772687</v>
      </c>
      <c r="C10" t="s">
        <v>48</v>
      </c>
      <c r="F10" t="s">
        <v>232</v>
      </c>
      <c r="H10" t="s">
        <v>106</v>
      </c>
      <c r="I10">
        <v>1</v>
      </c>
      <c r="J10">
        <f>I10*EXP(-I4-I5*Fhist)*(1-I6)</f>
        <v>6.0810062625217973E-2</v>
      </c>
      <c r="K10">
        <f>J10*EXP(-J4-J5*Fhist)*(1-J6)</f>
        <v>3.8908839554948338E-2</v>
      </c>
      <c r="L10">
        <f>K10*EXP(-K4-K5*Fhist)*(1-K6)</f>
        <v>1.6442290398896799E-2</v>
      </c>
      <c r="M10">
        <f>L10*EXP(-L4-L5*Fhist)*(1-L6)</f>
        <v>4.7825717563243812E-4</v>
      </c>
      <c r="N10">
        <f>M10*EXP(-M4-M5*Fhist)*(1-M6)</f>
        <v>2.6247310303254675E-6</v>
      </c>
    </row>
    <row r="11" spans="1:81" x14ac:dyDescent="0.55000000000000004">
      <c r="A11" t="s">
        <v>14</v>
      </c>
      <c r="B11">
        <f>(MeUnf-MeMin)/Eo</f>
        <v>1.6136273488639822E-8</v>
      </c>
      <c r="C11" t="s">
        <v>49</v>
      </c>
      <c r="H11" t="s">
        <v>135</v>
      </c>
      <c r="I11">
        <v>0</v>
      </c>
      <c r="J11">
        <v>0.11</v>
      </c>
      <c r="K11">
        <v>0.23</v>
      </c>
      <c r="L11">
        <v>0.94699999999999995</v>
      </c>
      <c r="M11">
        <v>1</v>
      </c>
      <c r="N11">
        <v>1</v>
      </c>
      <c r="AU11" t="s">
        <v>160</v>
      </c>
    </row>
    <row r="12" spans="1:81" x14ac:dyDescent="0.55000000000000004">
      <c r="A12" t="s">
        <v>16</v>
      </c>
      <c r="B12">
        <v>0.6</v>
      </c>
      <c r="C12" t="s">
        <v>50</v>
      </c>
      <c r="E12" t="s">
        <v>174</v>
      </c>
      <c r="F12">
        <f>AR14/SUM(SPRhist)</f>
        <v>1207841.4228237863</v>
      </c>
      <c r="I12" t="s">
        <v>55</v>
      </c>
      <c r="Q12" t="s">
        <v>24</v>
      </c>
      <c r="Y12" t="s">
        <v>25</v>
      </c>
      <c r="AA12" t="s">
        <v>26</v>
      </c>
      <c r="AF12" t="s">
        <v>37</v>
      </c>
      <c r="AM12" t="s">
        <v>41</v>
      </c>
      <c r="AN12" t="s">
        <v>70</v>
      </c>
      <c r="AV12" t="s">
        <v>145</v>
      </c>
      <c r="BA12" t="s">
        <v>150</v>
      </c>
      <c r="BF12" t="s">
        <v>154</v>
      </c>
      <c r="BN12" t="s">
        <v>179</v>
      </c>
      <c r="BS12" t="s">
        <v>180</v>
      </c>
      <c r="BX12" t="s">
        <v>193</v>
      </c>
    </row>
    <row r="13" spans="1:81" x14ac:dyDescent="0.55000000000000004">
      <c r="A13" t="s">
        <v>18</v>
      </c>
      <c r="B13">
        <v>0.3</v>
      </c>
      <c r="C13" t="s">
        <v>51</v>
      </c>
      <c r="E13" t="s">
        <v>132</v>
      </c>
      <c r="F13">
        <f>(LN(EPRhist)-MeMin)/(Mden*EPRhist)</f>
        <v>1468112.3312888474</v>
      </c>
      <c r="G13" t="s">
        <v>5</v>
      </c>
      <c r="H13" t="s">
        <v>6</v>
      </c>
      <c r="I13" t="s">
        <v>85</v>
      </c>
      <c r="J13" s="6" t="s">
        <v>83</v>
      </c>
      <c r="K13" s="6" t="s">
        <v>84</v>
      </c>
      <c r="L13" s="6" t="s">
        <v>229</v>
      </c>
      <c r="M13" s="6" t="s">
        <v>146</v>
      </c>
      <c r="N13" s="6" t="s">
        <v>147</v>
      </c>
      <c r="O13" t="s">
        <v>114</v>
      </c>
      <c r="P13" s="6" t="s">
        <v>119</v>
      </c>
      <c r="Q13" t="s">
        <v>53</v>
      </c>
      <c r="R13" t="s">
        <v>54</v>
      </c>
      <c r="S13" t="s">
        <v>19</v>
      </c>
      <c r="T13" t="s">
        <v>20</v>
      </c>
      <c r="U13" t="s">
        <v>21</v>
      </c>
      <c r="V13" t="s">
        <v>22</v>
      </c>
      <c r="W13" t="s">
        <v>23</v>
      </c>
      <c r="X13" t="s">
        <v>120</v>
      </c>
      <c r="Y13" t="s">
        <v>7</v>
      </c>
      <c r="Z13" t="s">
        <v>27</v>
      </c>
      <c r="AA13" t="s">
        <v>28</v>
      </c>
      <c r="AB13" t="s">
        <v>29</v>
      </c>
      <c r="AC13" t="s">
        <v>30</v>
      </c>
      <c r="AD13" t="s">
        <v>31</v>
      </c>
      <c r="AE13" t="s">
        <v>32</v>
      </c>
      <c r="AF13" t="s">
        <v>33</v>
      </c>
      <c r="AG13" t="s">
        <v>34</v>
      </c>
      <c r="AH13" t="s">
        <v>35</v>
      </c>
      <c r="AI13" t="s">
        <v>36</v>
      </c>
      <c r="AJ13" t="s">
        <v>5</v>
      </c>
      <c r="AK13" t="s">
        <v>38</v>
      </c>
      <c r="AL13" t="s">
        <v>39</v>
      </c>
      <c r="AM13" t="s">
        <v>40</v>
      </c>
      <c r="AN13" t="s">
        <v>71</v>
      </c>
      <c r="AO13" t="s">
        <v>72</v>
      </c>
      <c r="AP13" t="s">
        <v>73</v>
      </c>
      <c r="AQ13" t="s">
        <v>225</v>
      </c>
      <c r="AR13" t="s">
        <v>99</v>
      </c>
      <c r="AS13" t="s">
        <v>137</v>
      </c>
      <c r="AT13" t="s">
        <v>138</v>
      </c>
      <c r="AU13" t="s">
        <v>139</v>
      </c>
      <c r="AV13" t="s">
        <v>140</v>
      </c>
      <c r="AW13" t="s">
        <v>141</v>
      </c>
      <c r="AX13" t="s">
        <v>142</v>
      </c>
      <c r="AY13" t="s">
        <v>143</v>
      </c>
      <c r="AZ13" t="s">
        <v>144</v>
      </c>
      <c r="BA13" t="s">
        <v>148</v>
      </c>
      <c r="BB13" t="s">
        <v>149</v>
      </c>
      <c r="BC13" t="s">
        <v>151</v>
      </c>
      <c r="BD13" t="s">
        <v>152</v>
      </c>
      <c r="BE13" t="s">
        <v>153</v>
      </c>
      <c r="BF13" t="s">
        <v>155</v>
      </c>
      <c r="BG13" t="s">
        <v>156</v>
      </c>
      <c r="BH13" t="s">
        <v>157</v>
      </c>
      <c r="BI13" t="s">
        <v>158</v>
      </c>
      <c r="BJ13" t="s">
        <v>159</v>
      </c>
      <c r="BK13" t="s">
        <v>94</v>
      </c>
      <c r="BL13" t="s">
        <v>175</v>
      </c>
      <c r="BM13" t="s">
        <v>191</v>
      </c>
      <c r="BN13" t="s">
        <v>181</v>
      </c>
      <c r="BO13" t="s">
        <v>182</v>
      </c>
      <c r="BP13" t="s">
        <v>183</v>
      </c>
      <c r="BQ13" t="s">
        <v>184</v>
      </c>
      <c r="BR13" t="s">
        <v>185</v>
      </c>
      <c r="BS13" t="s">
        <v>186</v>
      </c>
      <c r="BT13" t="s">
        <v>187</v>
      </c>
      <c r="BU13" t="s">
        <v>188</v>
      </c>
      <c r="BV13" t="s">
        <v>189</v>
      </c>
      <c r="BW13" t="s">
        <v>190</v>
      </c>
      <c r="BX13" t="s">
        <v>140</v>
      </c>
      <c r="BY13" t="s">
        <v>141</v>
      </c>
      <c r="BZ13" t="s">
        <v>142</v>
      </c>
      <c r="CA13" t="s">
        <v>143</v>
      </c>
      <c r="CB13" t="s">
        <v>144</v>
      </c>
      <c r="CC13" t="s">
        <v>64</v>
      </c>
    </row>
    <row r="14" spans="1:81" x14ac:dyDescent="0.55000000000000004">
      <c r="A14" t="s">
        <v>66</v>
      </c>
      <c r="B14" s="2">
        <v>0.3</v>
      </c>
      <c r="C14" t="s">
        <v>67</v>
      </c>
      <c r="E14" t="s">
        <v>133</v>
      </c>
      <c r="F14">
        <f>MAX(0,F13/Ro)</f>
        <v>0.80967263670036094</v>
      </c>
      <c r="G14">
        <v>1979</v>
      </c>
      <c r="H14" s="4">
        <f>EPRhist*I14</f>
        <v>24565666.368499182</v>
      </c>
      <c r="I14" s="5">
        <f>RhistSobs*I10</f>
        <v>1207841.4228237863</v>
      </c>
      <c r="J14" s="5">
        <f t="shared" ref="J14:N14" si="5">RhistSobs*J10</f>
        <v>73448.91256324682</v>
      </c>
      <c r="K14" s="5">
        <f t="shared" si="5"/>
        <v>46995.708128471219</v>
      </c>
      <c r="L14" s="5">
        <f t="shared" si="5"/>
        <v>19859.679429885389</v>
      </c>
      <c r="M14" s="5">
        <f t="shared" si="5"/>
        <v>577.65882749156947</v>
      </c>
      <c r="N14" s="5">
        <f t="shared" si="5"/>
        <v>3.1702588621980552</v>
      </c>
      <c r="O14">
        <v>0.97066113220416084</v>
      </c>
      <c r="P14" s="3">
        <f t="shared" ref="P14:P45" si="6">O14-1</f>
        <v>-2.9338867795839163E-2</v>
      </c>
      <c r="Q14" s="3">
        <f t="shared" ref="Q14:Q45" si="7">MeMin+Mden*H14+P14</f>
        <v>2.8977584784922938</v>
      </c>
      <c r="R14" s="3">
        <f t="shared" ref="R14:R45" si="8">I$4+Mseal*AN14/40+Mhatch*AO14/30+Mtemp*(AP14-14.5)</f>
        <v>2.8</v>
      </c>
      <c r="S14" s="3">
        <f>J$4</f>
        <v>0.3</v>
      </c>
      <c r="T14" s="12">
        <f t="shared" ref="T14:T45" si="9">K$4+MSSLNRKWq*AQ14</f>
        <v>0.3</v>
      </c>
      <c r="U14" s="12">
        <f t="shared" ref="U14:U45" si="10">L$4+MSSLNRKWq*AQ14</f>
        <v>0.3</v>
      </c>
      <c r="V14" s="3">
        <f>M$4</f>
        <v>0.3</v>
      </c>
      <c r="W14" s="3">
        <f>N$4</f>
        <v>0.3</v>
      </c>
      <c r="X14" s="3">
        <f>Q14+R15+S16+T17+U18+V19</f>
        <v>6.8977584784922925</v>
      </c>
      <c r="Y14" s="3">
        <f>Fhist</f>
        <v>0.3</v>
      </c>
      <c r="Z14" s="5">
        <f>Ssum*J14*EXP(-J$5*$Y14)*J$6</f>
        <v>4704.3591633058531</v>
      </c>
      <c r="AA14" s="5">
        <f t="shared" ref="AA14:AA45" si="11">Ssum*K14*EXP(-K$5*$Y14)*K$6</f>
        <v>4804.508208806772</v>
      </c>
      <c r="AB14" s="5">
        <f t="shared" ref="AB14:AB45" si="12">Ssum*L14*EXP(-L$5*$Y14)*L$6</f>
        <v>8359.5927134960912</v>
      </c>
      <c r="AC14" s="5">
        <f t="shared" ref="AC14:AC45" si="13">Ssum*M14*EXP(-M$5*$Y14)*M$6</f>
        <v>254.19646973757483</v>
      </c>
      <c r="AD14" s="5">
        <f t="shared" ref="AD14:AD45" si="14">Ssum*N14*EXP(-N$5*$Y14)*N$6</f>
        <v>1.4091513176364063</v>
      </c>
      <c r="AE14" s="5">
        <f>(1-EXP(-J$5*$Y14))*J14</f>
        <v>2170.743422249036</v>
      </c>
      <c r="AF14" s="5">
        <f>(1-EXP(-K$5*$Y14))*K14</f>
        <v>12180.431253059825</v>
      </c>
      <c r="AG14" s="5">
        <f>(1-EXP(-L$5*$Y14))*L14</f>
        <v>5147.267051328382</v>
      </c>
      <c r="AH14" s="5">
        <f>(1-EXP(-M$5*$Y14))*M14</f>
        <v>149.71864274817756</v>
      </c>
      <c r="AI14" s="5">
        <f>(1-EXP(-N$5*$Y14))*N14</f>
        <v>0.82167333280404453</v>
      </c>
      <c r="AJ14">
        <f t="shared" ref="AJ14:AJ45" si="15">G14</f>
        <v>1979</v>
      </c>
      <c r="AK14">
        <f>SUM(AE14:AI14)</f>
        <v>19648.982042718228</v>
      </c>
      <c r="AL14" s="5">
        <f>SUM(Z14:AD14)</f>
        <v>18124.065706663925</v>
      </c>
      <c r="AM14">
        <f>AK14/(AK14+AL14)</f>
        <v>0.5201852435388834</v>
      </c>
      <c r="AN14">
        <v>7.4626218774684752</v>
      </c>
      <c r="AO14">
        <v>6.9305500000000002</v>
      </c>
      <c r="AP14">
        <v>14.487</v>
      </c>
      <c r="AQ14">
        <f>stressors!U9/stressors!U$49</f>
        <v>0.28238271731730691</v>
      </c>
      <c r="AR14">
        <f>CHOOSE(stockcode,Esc!F29,Esc!G29,Esc!H29,Esc!I29,Esc!J29,Esc!K29,Esc!L29,Esc!M29,Esc!N28,Esc!O28,Esc!P28)</f>
        <v>18124.065706663929</v>
      </c>
      <c r="AS14">
        <v>0</v>
      </c>
      <c r="AT14">
        <f>AJ14</f>
        <v>1979</v>
      </c>
      <c r="AU14">
        <v>10000</v>
      </c>
      <c r="AV14" s="11"/>
      <c r="AW14" s="11">
        <v>0</v>
      </c>
      <c r="AX14" s="11">
        <v>0</v>
      </c>
      <c r="AY14" s="11">
        <v>0</v>
      </c>
      <c r="AZ14" s="11">
        <v>0</v>
      </c>
      <c r="BA14" s="11">
        <f>AV14*Z14/J14</f>
        <v>0</v>
      </c>
      <c r="BB14" s="11">
        <f>AW14*AA14/K14</f>
        <v>0</v>
      </c>
      <c r="BC14" s="11">
        <f>AX14*AB14/L14</f>
        <v>0</v>
      </c>
      <c r="BD14" s="11">
        <f>AY14*AC14/M14</f>
        <v>0</v>
      </c>
      <c r="BE14" s="11">
        <f>AZ14*AD14/N14</f>
        <v>0</v>
      </c>
      <c r="BF14" s="11">
        <f>AV14*AE14/J14</f>
        <v>0</v>
      </c>
      <c r="BG14" s="11">
        <f>AW14*AF14/K14</f>
        <v>0</v>
      </c>
      <c r="BH14" s="11">
        <f>AX14*AG14/L14</f>
        <v>0</v>
      </c>
      <c r="BI14" s="11">
        <f>AY14*AH14/M14</f>
        <v>0</v>
      </c>
      <c r="BJ14" s="11">
        <f>AZ14*AI14/N14</f>
        <v>0</v>
      </c>
      <c r="BK14" s="11">
        <f>AT14-2</f>
        <v>1977</v>
      </c>
      <c r="BL14">
        <f>(AE14+AF15+AG16+AH17+AI18)/(AE14+AF15+AG16+AH17+AI18+Z14+AA15+AB16+AC17+AD18)</f>
        <v>0.52018524353888329</v>
      </c>
      <c r="BM14">
        <f>AT14</f>
        <v>1979</v>
      </c>
      <c r="BN14" s="11">
        <f>BF15</f>
        <v>17.972089557701228</v>
      </c>
      <c r="BO14" s="11">
        <f>BG16</f>
        <v>100.84462267061069</v>
      </c>
      <c r="BP14" s="11">
        <f>BH17</f>
        <v>42.615420816539789</v>
      </c>
      <c r="BQ14" s="11">
        <f>BI18</f>
        <v>1.2395554575215146</v>
      </c>
      <c r="BR14" s="11">
        <f>BJ19</f>
        <v>6.8028245867166257E-3</v>
      </c>
      <c r="BS14" s="11">
        <f>BA15</f>
        <v>38.948483421835576</v>
      </c>
      <c r="BT14" s="11">
        <f>BB16</f>
        <v>39.777640657284437</v>
      </c>
      <c r="BU14" s="11">
        <f>BC17</f>
        <v>69.211011938573705</v>
      </c>
      <c r="BV14" s="11">
        <f>BD18</f>
        <v>2.1045516814889029</v>
      </c>
      <c r="BW14" s="11">
        <f>BE19</f>
        <v>1.1666691429922828E-2</v>
      </c>
      <c r="BX14">
        <f t="shared" ref="BX14:BX45" si="16">BY14*EXP(J$4)+BN14+BS14/Ssum</f>
        <v>608.10062625217984</v>
      </c>
      <c r="BY14">
        <f t="shared" ref="BY14:BY45" si="17">BZ14*EXP(K$4)+BO14+BT14/Ssum</f>
        <v>389.08839554948349</v>
      </c>
      <c r="BZ14">
        <f t="shared" ref="BZ14:BZ45" si="18">CA14*EXP(L$4)+BP14+BU14/Ssum</f>
        <v>164.42290398896802</v>
      </c>
      <c r="CA14">
        <f t="shared" ref="CA14:CA45" si="19">CB14*EXP(M$4)+BQ14+BV14/Ssum</f>
        <v>4.7825717563243817</v>
      </c>
      <c r="CB14">
        <f t="shared" ref="CB14:CB45" si="20">BR14+BW14/Ssum</f>
        <v>2.6247310303254674E-2</v>
      </c>
      <c r="CC14">
        <f>BX14/AU14</f>
        <v>6.0810062625217987E-2</v>
      </c>
    </row>
    <row r="15" spans="1:81" x14ac:dyDescent="0.55000000000000004">
      <c r="A15" t="s">
        <v>64</v>
      </c>
      <c r="B15">
        <f>So/Ro</f>
        <v>2.3078931991068384E-2</v>
      </c>
      <c r="C15" t="s">
        <v>65</v>
      </c>
      <c r="G15">
        <v>1980</v>
      </c>
      <c r="H15" s="5">
        <f t="shared" ref="H15:H45" si="21">SUMPRODUCT(J$7:N$7,Z15:AD15)</f>
        <v>24565666.368499182</v>
      </c>
      <c r="I15" s="4">
        <f>H14*EXP(-Q14)</f>
        <v>1354715.2890965994</v>
      </c>
      <c r="J15" s="5">
        <f>I14*EXP(-R14-I$5*$Y14)*(1-I$6)</f>
        <v>73448.91256324682</v>
      </c>
      <c r="K15" s="5">
        <f>J14*EXP(-S14-J$5*$Y14)*(1-J$6)</f>
        <v>46995.708128471219</v>
      </c>
      <c r="L15" s="5">
        <f>K14*EXP(-T14-K$5*$Y14)*(1-K$6)</f>
        <v>19859.679429885389</v>
      </c>
      <c r="M15" s="5">
        <f>L14*EXP(-U14-L$5*$Y14)*(1-L$6)</f>
        <v>577.65882749156947</v>
      </c>
      <c r="N15" s="5">
        <f>M14*EXP(-V14-M$5*$Y14)*(1-M$6)</f>
        <v>3.1702588621980552</v>
      </c>
      <c r="O15">
        <v>0.13494287701040336</v>
      </c>
      <c r="P15" s="3">
        <f t="shared" si="6"/>
        <v>-0.86505712298959669</v>
      </c>
      <c r="Q15" s="3">
        <f t="shared" si="7"/>
        <v>2.0620402232985366</v>
      </c>
      <c r="R15" s="3">
        <f t="shared" si="8"/>
        <v>2.8</v>
      </c>
      <c r="S15" s="3">
        <f t="shared" ref="S15:S66" si="22">J$4</f>
        <v>0.3</v>
      </c>
      <c r="T15" s="12">
        <f t="shared" si="9"/>
        <v>0.3</v>
      </c>
      <c r="U15" s="12">
        <f t="shared" si="10"/>
        <v>0.3</v>
      </c>
      <c r="V15" s="3">
        <f t="shared" ref="V15:V66" si="23">M$4</f>
        <v>0.3</v>
      </c>
      <c r="W15" s="3">
        <f t="shared" ref="W15:W66" si="24">N$4</f>
        <v>0.3</v>
      </c>
      <c r="X15" s="3">
        <f t="shared" ref="X15:X66" si="25">Q15+R16+S17+T18+U19+V20</f>
        <v>6.0620402232985358</v>
      </c>
      <c r="Y15" s="7">
        <f>IF(UseRetro,RetroF,Ftest*ER!$D22+AS15)</f>
        <v>0.3</v>
      </c>
      <c r="Z15" s="5">
        <f t="shared" ref="Z15:Z45" si="26">Ssum*J15*EXP(-J$5*$Y15)*J$6</f>
        <v>4704.3591633058531</v>
      </c>
      <c r="AA15" s="5">
        <f t="shared" si="11"/>
        <v>4804.508208806772</v>
      </c>
      <c r="AB15" s="5">
        <f t="shared" si="12"/>
        <v>8359.5927134960912</v>
      </c>
      <c r="AC15" s="5">
        <f t="shared" si="13"/>
        <v>254.19646973757483</v>
      </c>
      <c r="AD15" s="5">
        <f t="shared" si="14"/>
        <v>1.4091513176364063</v>
      </c>
      <c r="AE15" s="5">
        <f t="shared" ref="AE15:AE66" si="27">(1-EXP(-J$5*$Y15))*J15</f>
        <v>2170.743422249036</v>
      </c>
      <c r="AF15" s="5">
        <f t="shared" ref="AF15:AF66" si="28">(1-EXP(-K$5*$Y15))*K15</f>
        <v>12180.431253059825</v>
      </c>
      <c r="AG15" s="5">
        <f t="shared" ref="AG15:AG66" si="29">(1-EXP(-L$5*$Y15))*L15</f>
        <v>5147.267051328382</v>
      </c>
      <c r="AH15" s="5">
        <f t="shared" ref="AH15:AH66" si="30">(1-EXP(-M$5*$Y15))*M15</f>
        <v>149.71864274817756</v>
      </c>
      <c r="AI15" s="5">
        <f t="shared" ref="AI15:AI66" si="31">(1-EXP(-N$5*$Y15))*N15</f>
        <v>0.82167333280404453</v>
      </c>
      <c r="AJ15">
        <f t="shared" si="15"/>
        <v>1980</v>
      </c>
      <c r="AK15">
        <f t="shared" ref="AK15:AK66" si="32">SUM(AE15:AI15)</f>
        <v>19648.982042718228</v>
      </c>
      <c r="AL15">
        <f t="shared" ref="AL15:AL66" si="33">SUM(Z15:AD15)</f>
        <v>18124.065706663925</v>
      </c>
      <c r="AM15">
        <f t="shared" ref="AM15:AM66" si="34">AK15/(AK15+AL15)</f>
        <v>0.5201852435388834</v>
      </c>
      <c r="AN15">
        <v>8.6430823500739784</v>
      </c>
      <c r="AO15">
        <v>8.7495150000000006</v>
      </c>
      <c r="AP15">
        <v>14.675000000000001</v>
      </c>
      <c r="AQ15">
        <f>stressors!U10/stressors!U$49</f>
        <v>0.28598083036925875</v>
      </c>
      <c r="AR15">
        <f>CHOOSE(stockcode,Esc!F30,Esc!G30,Esc!H30,Esc!I30,Esc!J30,Esc!K30,Esc!L30,Esc!M30,Esc!N29,Esc!O29,Esc!P29)</f>
        <v>19514.502044922116</v>
      </c>
      <c r="AS15">
        <v>0</v>
      </c>
      <c r="AT15">
        <f t="shared" ref="AT15:AT66" si="35">AJ15</f>
        <v>1980</v>
      </c>
      <c r="AU15">
        <v>10000</v>
      </c>
      <c r="AV15" s="11">
        <f>AU14*J15/I14</f>
        <v>608.10062625217972</v>
      </c>
      <c r="AW15" s="11">
        <f>AV14*K15/J14</f>
        <v>0</v>
      </c>
      <c r="AX15" s="11">
        <f>AW14*L15/K14</f>
        <v>0</v>
      </c>
      <c r="AY15" s="11">
        <f>AX14*M15/L14</f>
        <v>0</v>
      </c>
      <c r="AZ15" s="11">
        <f>AY14*N15/M14</f>
        <v>0</v>
      </c>
      <c r="BA15" s="11">
        <f>AV15*Z15/J15</f>
        <v>38.948483421835576</v>
      </c>
      <c r="BB15" s="11">
        <f t="shared" ref="BB15:BB66" si="36">AW15*AA15/K15</f>
        <v>0</v>
      </c>
      <c r="BC15" s="11">
        <f t="shared" ref="BC15:BC66" si="37">AX15*AB15/L15</f>
        <v>0</v>
      </c>
      <c r="BD15" s="11">
        <f t="shared" ref="BD15:BD66" si="38">AY15*AC15/M15</f>
        <v>0</v>
      </c>
      <c r="BE15" s="11">
        <f t="shared" ref="BE15:BE66" si="39">AZ15*AD15/N15</f>
        <v>0</v>
      </c>
      <c r="BF15" s="11">
        <f t="shared" ref="BF15:BF66" si="40">AV15*AE15/J15</f>
        <v>17.972089557701228</v>
      </c>
      <c r="BG15" s="11">
        <f t="shared" ref="BG15:BG66" si="41">AW15*AF15/K15</f>
        <v>0</v>
      </c>
      <c r="BH15" s="11">
        <f t="shared" ref="BH15:BH66" si="42">AX15*AG15/L15</f>
        <v>0</v>
      </c>
      <c r="BI15" s="11">
        <f t="shared" ref="BI15:BI66" si="43">AY15*AH15/M15</f>
        <v>0</v>
      </c>
      <c r="BJ15" s="11">
        <f t="shared" ref="BJ15:BJ66" si="44">AZ15*AI15/N15</f>
        <v>0</v>
      </c>
      <c r="BK15" s="11">
        <f t="shared" ref="BK15:BK66" si="45">AT15-2</f>
        <v>1978</v>
      </c>
      <c r="BL15">
        <f t="shared" ref="BL15:BL66" si="46">(AE15+AF16+AG17+AH18+AI19)/(AE15+AF16+AG17+AH18+AI19+Z15+AA16+AB17+AC18+AD19)</f>
        <v>0.52018524353888329</v>
      </c>
      <c r="BM15">
        <f t="shared" ref="BM15:BM78" si="47">AT15</f>
        <v>1980</v>
      </c>
      <c r="BN15" s="11">
        <f t="shared" ref="BN15:BN78" si="48">BF16</f>
        <v>17.972089557701228</v>
      </c>
      <c r="BO15" s="11">
        <f t="shared" ref="BO15:BO78" si="49">BG17</f>
        <v>100.84462267061068</v>
      </c>
      <c r="BP15" s="11">
        <f t="shared" ref="BP15:BP78" si="50">BH18</f>
        <v>42.615420816539782</v>
      </c>
      <c r="BQ15" s="11">
        <f t="shared" ref="BQ15:BQ78" si="51">BI19</f>
        <v>1.2395554575215146</v>
      </c>
      <c r="BR15" s="11">
        <f t="shared" ref="BR15:BR78" si="52">BJ20</f>
        <v>6.8028245867166239E-3</v>
      </c>
      <c r="BS15" s="11">
        <f t="shared" ref="BS15:BS78" si="53">BA16</f>
        <v>38.948483421835583</v>
      </c>
      <c r="BT15" s="11">
        <f t="shared" ref="BT15:BT78" si="54">BB17</f>
        <v>39.777640657284437</v>
      </c>
      <c r="BU15" s="11">
        <f t="shared" ref="BU15:BU78" si="55">BC18</f>
        <v>69.211011938573691</v>
      </c>
      <c r="BV15" s="11">
        <f t="shared" ref="BV15:BV78" si="56">BD19</f>
        <v>2.1045516814889029</v>
      </c>
      <c r="BW15" s="11">
        <f t="shared" ref="BW15:BW78" si="57">BE20</f>
        <v>1.1666691429922828E-2</v>
      </c>
      <c r="BX15">
        <f t="shared" si="16"/>
        <v>608.10062625217972</v>
      </c>
      <c r="BY15">
        <f t="shared" si="17"/>
        <v>389.08839554948338</v>
      </c>
      <c r="BZ15">
        <f t="shared" si="18"/>
        <v>164.42290398896796</v>
      </c>
      <c r="CA15">
        <f t="shared" si="19"/>
        <v>4.7825717563243817</v>
      </c>
      <c r="CB15">
        <f t="shared" si="20"/>
        <v>2.6247310303254674E-2</v>
      </c>
      <c r="CC15">
        <f t="shared" ref="CC15:CC78" si="58">BX15/AU15</f>
        <v>6.0810062625217973E-2</v>
      </c>
    </row>
    <row r="16" spans="1:81" x14ac:dyDescent="0.55000000000000004">
      <c r="A16" t="s">
        <v>56</v>
      </c>
      <c r="B16">
        <f>MeUnf+SUM(Mo)</f>
        <v>7.8733326763371592</v>
      </c>
      <c r="C16" t="s">
        <v>57</v>
      </c>
      <c r="G16">
        <v>1981</v>
      </c>
      <c r="H16" s="5">
        <f t="shared" si="21"/>
        <v>24565666.368499182</v>
      </c>
      <c r="I16" s="5">
        <f t="shared" ref="I16:I47" si="59">IF(LHT=1,H15*EXP(-Q15),H14*EXP(-Q14))</f>
        <v>1354715.2890965994</v>
      </c>
      <c r="J16" s="4">
        <f t="shared" ref="J16:J66" si="60">I15*EXP(-R15-I$5*$Y15)*(1-I$6)</f>
        <v>82380.321569304477</v>
      </c>
      <c r="K16" s="5">
        <f t="shared" ref="K16:K66" si="61">J15*EXP(-S15-J$5*$Y15)*(1-J$6)</f>
        <v>46995.708128471219</v>
      </c>
      <c r="L16" s="5">
        <f t="shared" ref="L16:L66" si="62">K15*EXP(-T15-K$5*$Y15)*(1-K$6)</f>
        <v>19859.679429885389</v>
      </c>
      <c r="M16" s="5">
        <f t="shared" ref="M16:M66" si="63">L15*EXP(-U15-L$5*$Y15)*(1-L$6)</f>
        <v>577.65882749156947</v>
      </c>
      <c r="N16" s="5">
        <f t="shared" ref="N16:N66" si="64">M15*EXP(-V15-M$5*$Y15)*(1-M$6)</f>
        <v>3.1702588621980552</v>
      </c>
      <c r="O16">
        <v>0.16571233475587591</v>
      </c>
      <c r="P16" s="3">
        <f t="shared" si="6"/>
        <v>-0.83428766524412412</v>
      </c>
      <c r="Q16" s="3">
        <f t="shared" si="7"/>
        <v>2.0928096810440091</v>
      </c>
      <c r="R16" s="3">
        <f t="shared" si="8"/>
        <v>2.8</v>
      </c>
      <c r="S16" s="3">
        <f t="shared" si="22"/>
        <v>0.3</v>
      </c>
      <c r="T16" s="12">
        <f t="shared" si="9"/>
        <v>0.3</v>
      </c>
      <c r="U16" s="12">
        <f t="shared" si="10"/>
        <v>0.3</v>
      </c>
      <c r="V16" s="3">
        <f t="shared" si="23"/>
        <v>0.3</v>
      </c>
      <c r="W16" s="3">
        <f t="shared" si="24"/>
        <v>0.3</v>
      </c>
      <c r="X16" s="3">
        <f t="shared" si="25"/>
        <v>6.0928096810440078</v>
      </c>
      <c r="Y16" s="7">
        <f>IF(UseRetro,RetroF,Ftest*ER!$D23+AS16)</f>
        <v>0.3</v>
      </c>
      <c r="Z16" s="5">
        <f t="shared" si="26"/>
        <v>5276.4105978686093</v>
      </c>
      <c r="AA16" s="5">
        <f t="shared" si="11"/>
        <v>4804.508208806772</v>
      </c>
      <c r="AB16" s="5">
        <f t="shared" si="12"/>
        <v>8359.5927134960912</v>
      </c>
      <c r="AC16" s="5">
        <f t="shared" si="13"/>
        <v>254.19646973757483</v>
      </c>
      <c r="AD16" s="5">
        <f t="shared" si="14"/>
        <v>1.4091513176364063</v>
      </c>
      <c r="AE16" s="5">
        <f t="shared" si="27"/>
        <v>2434.7064500831193</v>
      </c>
      <c r="AF16" s="5">
        <f t="shared" si="28"/>
        <v>12180.431253059825</v>
      </c>
      <c r="AG16" s="5">
        <f t="shared" si="29"/>
        <v>5147.267051328382</v>
      </c>
      <c r="AH16" s="5">
        <f t="shared" si="30"/>
        <v>149.71864274817756</v>
      </c>
      <c r="AI16" s="5">
        <f t="shared" si="31"/>
        <v>0.82167333280404453</v>
      </c>
      <c r="AJ16">
        <f t="shared" si="15"/>
        <v>1981</v>
      </c>
      <c r="AK16">
        <f t="shared" si="32"/>
        <v>19912.945070552309</v>
      </c>
      <c r="AL16">
        <f t="shared" si="33"/>
        <v>18696.117141226681</v>
      </c>
      <c r="AM16">
        <f t="shared" si="34"/>
        <v>0.51575832019243395</v>
      </c>
      <c r="AN16">
        <v>9.9811618713809143</v>
      </c>
      <c r="AO16">
        <v>7.2747289999999998</v>
      </c>
      <c r="AP16">
        <v>15.689</v>
      </c>
      <c r="AQ16">
        <f>stressors!U11/stressors!U$49</f>
        <v>0.28832187805700898</v>
      </c>
      <c r="AR16">
        <f>CHOOSE(stockcode,Esc!F31,Esc!G31,Esc!H31,Esc!I31,Esc!J31,Esc!K31,Esc!L31,Esc!M31,Esc!N30,Esc!O30,Esc!P30)</f>
        <v>14214.613651975256</v>
      </c>
      <c r="AS16">
        <v>0</v>
      </c>
      <c r="AT16">
        <f t="shared" si="35"/>
        <v>1981</v>
      </c>
      <c r="AU16">
        <v>10000</v>
      </c>
      <c r="AV16" s="11">
        <f>AU15*J16/I15</f>
        <v>608.10062625217972</v>
      </c>
      <c r="AW16" s="11">
        <f t="shared" ref="AW16:AW66" si="65">AV15*K16/J15</f>
        <v>389.08839554948344</v>
      </c>
      <c r="AX16" s="11">
        <f t="shared" ref="AX16:AX66" si="66">AW15*L16/K15</f>
        <v>0</v>
      </c>
      <c r="AY16" s="11">
        <f t="shared" ref="AY16:AY66" si="67">AX15*M16/L15</f>
        <v>0</v>
      </c>
      <c r="AZ16" s="11">
        <f t="shared" ref="AZ16:AZ66" si="68">AY15*N16/M15</f>
        <v>0</v>
      </c>
      <c r="BA16" s="11">
        <f t="shared" ref="BA16:BA66" si="69">AV16*Z16/J16</f>
        <v>38.948483421835583</v>
      </c>
      <c r="BB16" s="11">
        <f t="shared" si="36"/>
        <v>39.777640657284437</v>
      </c>
      <c r="BC16" s="11">
        <f t="shared" si="37"/>
        <v>0</v>
      </c>
      <c r="BD16" s="11">
        <f t="shared" si="38"/>
        <v>0</v>
      </c>
      <c r="BE16" s="11">
        <f t="shared" si="39"/>
        <v>0</v>
      </c>
      <c r="BF16" s="11">
        <f t="shared" si="40"/>
        <v>17.972089557701228</v>
      </c>
      <c r="BG16" s="11">
        <f t="shared" si="41"/>
        <v>100.84462267061069</v>
      </c>
      <c r="BH16" s="11">
        <f t="shared" si="42"/>
        <v>0</v>
      </c>
      <c r="BI16" s="11">
        <f t="shared" si="43"/>
        <v>0</v>
      </c>
      <c r="BJ16" s="11">
        <f t="shared" si="44"/>
        <v>0</v>
      </c>
      <c r="BK16" s="11">
        <f t="shared" si="45"/>
        <v>1979</v>
      </c>
      <c r="BL16">
        <f t="shared" si="46"/>
        <v>0.52018524353888329</v>
      </c>
      <c r="BM16">
        <f t="shared" si="47"/>
        <v>1981</v>
      </c>
      <c r="BN16" s="11">
        <f t="shared" si="48"/>
        <v>17.972089557701228</v>
      </c>
      <c r="BO16" s="11">
        <f t="shared" si="49"/>
        <v>100.84462267061068</v>
      </c>
      <c r="BP16" s="11">
        <f t="shared" si="50"/>
        <v>42.615420816539782</v>
      </c>
      <c r="BQ16" s="11">
        <f t="shared" si="51"/>
        <v>1.2395554575215146</v>
      </c>
      <c r="BR16" s="11">
        <f t="shared" si="52"/>
        <v>6.8028245867166239E-3</v>
      </c>
      <c r="BS16" s="11">
        <f t="shared" si="53"/>
        <v>38.948483421835583</v>
      </c>
      <c r="BT16" s="11">
        <f t="shared" si="54"/>
        <v>39.777640657284437</v>
      </c>
      <c r="BU16" s="11">
        <f t="shared" si="55"/>
        <v>69.211011938573691</v>
      </c>
      <c r="BV16" s="11">
        <f t="shared" si="56"/>
        <v>2.1045516814889029</v>
      </c>
      <c r="BW16" s="11">
        <f t="shared" si="57"/>
        <v>1.1666691429922828E-2</v>
      </c>
      <c r="BX16">
        <f t="shared" si="16"/>
        <v>608.10062625217972</v>
      </c>
      <c r="BY16">
        <f t="shared" si="17"/>
        <v>389.08839554948338</v>
      </c>
      <c r="BZ16">
        <f t="shared" si="18"/>
        <v>164.42290398896796</v>
      </c>
      <c r="CA16">
        <f t="shared" si="19"/>
        <v>4.7825717563243817</v>
      </c>
      <c r="CB16">
        <f t="shared" si="20"/>
        <v>2.6247310303254674E-2</v>
      </c>
      <c r="CC16">
        <f t="shared" si="58"/>
        <v>6.0810062625217973E-2</v>
      </c>
    </row>
    <row r="17" spans="1:81" x14ac:dyDescent="0.55000000000000004">
      <c r="A17" t="s">
        <v>61</v>
      </c>
      <c r="B17">
        <f>-LN(1/2000)</f>
        <v>7.6009024595420822</v>
      </c>
      <c r="C17" t="s">
        <v>60</v>
      </c>
      <c r="G17">
        <v>1982</v>
      </c>
      <c r="H17" s="5">
        <f t="shared" si="21"/>
        <v>25442010.749681085</v>
      </c>
      <c r="I17" s="5">
        <f t="shared" si="59"/>
        <v>3124610.2915239101</v>
      </c>
      <c r="J17" s="5">
        <f t="shared" si="60"/>
        <v>82380.321569304477</v>
      </c>
      <c r="K17" s="4">
        <f t="shared" si="61"/>
        <v>52710.399826095039</v>
      </c>
      <c r="L17" s="5">
        <f t="shared" si="62"/>
        <v>19859.679429885389</v>
      </c>
      <c r="M17" s="5">
        <f t="shared" si="63"/>
        <v>577.65882749156947</v>
      </c>
      <c r="N17" s="5">
        <f t="shared" si="64"/>
        <v>3.1702588621980552</v>
      </c>
      <c r="O17">
        <v>-0.1844188033777785</v>
      </c>
      <c r="P17" s="3">
        <f t="shared" si="6"/>
        <v>-1.1844188033777785</v>
      </c>
      <c r="Q17" s="3">
        <f t="shared" si="7"/>
        <v>1.7568194755153388</v>
      </c>
      <c r="R17" s="3">
        <f t="shared" si="8"/>
        <v>2.8</v>
      </c>
      <c r="S17" s="3">
        <f t="shared" si="22"/>
        <v>0.3</v>
      </c>
      <c r="T17" s="12">
        <f t="shared" si="9"/>
        <v>0.3</v>
      </c>
      <c r="U17" s="12">
        <f t="shared" si="10"/>
        <v>0.3</v>
      </c>
      <c r="V17" s="3">
        <f t="shared" si="23"/>
        <v>0.3</v>
      </c>
      <c r="W17" s="3">
        <f t="shared" si="24"/>
        <v>0.3</v>
      </c>
      <c r="X17" s="3">
        <f t="shared" si="25"/>
        <v>5.7568194755153375</v>
      </c>
      <c r="Y17" s="7">
        <f>IF(UseRetro,RetroF,Ftest*ER!$D24+AS17)</f>
        <v>0.3</v>
      </c>
      <c r="Z17" s="5">
        <f t="shared" si="26"/>
        <v>5276.4105978686093</v>
      </c>
      <c r="AA17" s="5">
        <f t="shared" si="11"/>
        <v>5388.7377962613728</v>
      </c>
      <c r="AB17" s="5">
        <f t="shared" si="12"/>
        <v>8359.5927134960912</v>
      </c>
      <c r="AC17" s="5">
        <f t="shared" si="13"/>
        <v>254.19646973757483</v>
      </c>
      <c r="AD17" s="5">
        <f t="shared" si="14"/>
        <v>1.4091513176364063</v>
      </c>
      <c r="AE17" s="5">
        <f t="shared" si="27"/>
        <v>2434.7064500831193</v>
      </c>
      <c r="AF17" s="5">
        <f t="shared" si="28"/>
        <v>13661.575215505381</v>
      </c>
      <c r="AG17" s="5">
        <f t="shared" si="29"/>
        <v>5147.267051328382</v>
      </c>
      <c r="AH17" s="5">
        <f t="shared" si="30"/>
        <v>149.71864274817756</v>
      </c>
      <c r="AI17" s="5">
        <f t="shared" si="31"/>
        <v>0.82167333280404453</v>
      </c>
      <c r="AJ17">
        <f t="shared" si="15"/>
        <v>1982</v>
      </c>
      <c r="AK17">
        <f t="shared" si="32"/>
        <v>21394.089032997865</v>
      </c>
      <c r="AL17">
        <f t="shared" si="33"/>
        <v>19280.346728681281</v>
      </c>
      <c r="AM17">
        <f t="shared" si="34"/>
        <v>0.52598367088238773</v>
      </c>
      <c r="AN17">
        <v>11.487578007874774</v>
      </c>
      <c r="AO17">
        <v>10.804773000000001</v>
      </c>
      <c r="AP17">
        <v>15.307000000000002</v>
      </c>
      <c r="AQ17">
        <f>stressors!U12/stressors!U$49</f>
        <v>0.29501869612744985</v>
      </c>
      <c r="AR17">
        <f>CHOOSE(stockcode,Esc!F32,Esc!G32,Esc!H32,Esc!I32,Esc!J32,Esc!K32,Esc!L32,Esc!M32,Esc!N31,Esc!O31,Esc!P31)</f>
        <v>17650.493010655886</v>
      </c>
      <c r="AS17">
        <v>0</v>
      </c>
      <c r="AT17">
        <f t="shared" si="35"/>
        <v>1982</v>
      </c>
      <c r="AU17">
        <v>10000</v>
      </c>
      <c r="AV17" s="11">
        <f t="shared" ref="AV17:AV66" si="70">AU16*J17/I16</f>
        <v>608.10062625217972</v>
      </c>
      <c r="AW17" s="11">
        <f t="shared" si="65"/>
        <v>389.08839554948338</v>
      </c>
      <c r="AX17" s="11">
        <f t="shared" si="66"/>
        <v>164.42290398896799</v>
      </c>
      <c r="AY17" s="11">
        <f t="shared" si="67"/>
        <v>0</v>
      </c>
      <c r="AZ17" s="11">
        <f t="shared" si="68"/>
        <v>0</v>
      </c>
      <c r="BA17" s="11">
        <f t="shared" si="69"/>
        <v>38.948483421835583</v>
      </c>
      <c r="BB17" s="11">
        <f t="shared" si="36"/>
        <v>39.777640657284437</v>
      </c>
      <c r="BC17" s="11">
        <f t="shared" si="37"/>
        <v>69.211011938573705</v>
      </c>
      <c r="BD17" s="11">
        <f t="shared" si="38"/>
        <v>0</v>
      </c>
      <c r="BE17" s="11">
        <f t="shared" si="39"/>
        <v>0</v>
      </c>
      <c r="BF17" s="11">
        <f t="shared" si="40"/>
        <v>17.972089557701228</v>
      </c>
      <c r="BG17" s="11">
        <f t="shared" si="41"/>
        <v>100.84462267061068</v>
      </c>
      <c r="BH17" s="11">
        <f t="shared" si="42"/>
        <v>42.615420816539789</v>
      </c>
      <c r="BI17" s="11">
        <f t="shared" si="43"/>
        <v>0</v>
      </c>
      <c r="BJ17" s="11">
        <f t="shared" si="44"/>
        <v>0</v>
      </c>
      <c r="BK17" s="11">
        <f t="shared" si="45"/>
        <v>1980</v>
      </c>
      <c r="BL17">
        <f t="shared" si="46"/>
        <v>0.52018524353888329</v>
      </c>
      <c r="BM17">
        <f t="shared" si="47"/>
        <v>1982</v>
      </c>
      <c r="BN17" s="11">
        <f t="shared" si="48"/>
        <v>17.972089557701228</v>
      </c>
      <c r="BO17" s="11">
        <f t="shared" si="49"/>
        <v>100.84462267061068</v>
      </c>
      <c r="BP17" s="11">
        <f t="shared" si="50"/>
        <v>42.615420816539796</v>
      </c>
      <c r="BQ17" s="11">
        <f t="shared" si="51"/>
        <v>1.2395554575215149</v>
      </c>
      <c r="BR17" s="11">
        <f t="shared" si="52"/>
        <v>6.8028245867166257E-3</v>
      </c>
      <c r="BS17" s="11">
        <f t="shared" si="53"/>
        <v>38.948483421835576</v>
      </c>
      <c r="BT17" s="11">
        <f t="shared" si="54"/>
        <v>39.777640657284437</v>
      </c>
      <c r="BU17" s="11">
        <f t="shared" si="55"/>
        <v>69.211011938573705</v>
      </c>
      <c r="BV17" s="11">
        <f t="shared" si="56"/>
        <v>2.1045516814889029</v>
      </c>
      <c r="BW17" s="11">
        <f t="shared" si="57"/>
        <v>1.166669142992283E-2</v>
      </c>
      <c r="BX17">
        <f t="shared" si="16"/>
        <v>608.10062625217984</v>
      </c>
      <c r="BY17">
        <f t="shared" si="17"/>
        <v>389.08839554948349</v>
      </c>
      <c r="BZ17">
        <f t="shared" si="18"/>
        <v>164.42290398896802</v>
      </c>
      <c r="CA17">
        <f t="shared" si="19"/>
        <v>4.7825717563243817</v>
      </c>
      <c r="CB17">
        <f t="shared" si="20"/>
        <v>2.6247310303254678E-2</v>
      </c>
      <c r="CC17">
        <f t="shared" si="58"/>
        <v>6.0810062625217987E-2</v>
      </c>
    </row>
    <row r="18" spans="1:81" x14ac:dyDescent="0.55000000000000004">
      <c r="A18" t="s">
        <v>62</v>
      </c>
      <c r="B18">
        <f>0.2*B17</f>
        <v>1.5201804919084165</v>
      </c>
      <c r="C18" t="s">
        <v>63</v>
      </c>
      <c r="G18">
        <v>1983</v>
      </c>
      <c r="H18" s="5">
        <f t="shared" si="21"/>
        <v>27475068.532095514</v>
      </c>
      <c r="I18" s="5">
        <f t="shared" si="59"/>
        <v>3029931.7998087411</v>
      </c>
      <c r="J18" s="5">
        <f t="shared" si="60"/>
        <v>190007.74750696955</v>
      </c>
      <c r="K18" s="5">
        <f t="shared" si="61"/>
        <v>52710.399826095039</v>
      </c>
      <c r="L18" s="4">
        <f t="shared" si="62"/>
        <v>22274.622191151717</v>
      </c>
      <c r="M18" s="5">
        <f t="shared" si="63"/>
        <v>577.65882749156947</v>
      </c>
      <c r="N18" s="5">
        <f t="shared" si="64"/>
        <v>3.1702588621980552</v>
      </c>
      <c r="O18">
        <v>-4.6716085366959592E-2</v>
      </c>
      <c r="P18" s="3">
        <f t="shared" si="6"/>
        <v>-1.0467160853669597</v>
      </c>
      <c r="Q18" s="3">
        <f t="shared" si="7"/>
        <v>1.9273281699214047</v>
      </c>
      <c r="R18" s="3">
        <f t="shared" si="8"/>
        <v>2.8</v>
      </c>
      <c r="S18" s="3">
        <f t="shared" si="22"/>
        <v>0.3</v>
      </c>
      <c r="T18" s="12">
        <f t="shared" si="9"/>
        <v>0.3</v>
      </c>
      <c r="U18" s="12">
        <f t="shared" si="10"/>
        <v>0.3</v>
      </c>
      <c r="V18" s="3">
        <f t="shared" si="23"/>
        <v>0.3</v>
      </c>
      <c r="W18" s="3">
        <f t="shared" si="24"/>
        <v>0.3</v>
      </c>
      <c r="X18" s="3">
        <f t="shared" si="25"/>
        <v>5.9273281699214042</v>
      </c>
      <c r="Y18" s="7">
        <f>IF(UseRetro,RetroF,Ftest*ER!$D25+AS18)</f>
        <v>0.3</v>
      </c>
      <c r="Z18" s="5">
        <f t="shared" si="26"/>
        <v>12169.883213911584</v>
      </c>
      <c r="AA18" s="5">
        <f t="shared" si="11"/>
        <v>5388.7377962613728</v>
      </c>
      <c r="AB18" s="5">
        <f t="shared" si="12"/>
        <v>9376.1216047033049</v>
      </c>
      <c r="AC18" s="5">
        <f t="shared" si="13"/>
        <v>254.19646973757483</v>
      </c>
      <c r="AD18" s="5">
        <f t="shared" si="14"/>
        <v>1.4091513176364063</v>
      </c>
      <c r="AE18" s="5">
        <f t="shared" si="27"/>
        <v>5615.5775992182653</v>
      </c>
      <c r="AF18" s="5">
        <f t="shared" si="28"/>
        <v>13661.575215505381</v>
      </c>
      <c r="AG18" s="5">
        <f t="shared" si="29"/>
        <v>5773.1762131451942</v>
      </c>
      <c r="AH18" s="5">
        <f t="shared" si="30"/>
        <v>149.71864274817756</v>
      </c>
      <c r="AI18" s="5">
        <f t="shared" si="31"/>
        <v>0.82167333280404453</v>
      </c>
      <c r="AJ18">
        <f t="shared" si="15"/>
        <v>1983</v>
      </c>
      <c r="AK18">
        <f t="shared" si="32"/>
        <v>25200.869343949824</v>
      </c>
      <c r="AL18">
        <f t="shared" si="33"/>
        <v>27190.348235931469</v>
      </c>
      <c r="AM18">
        <f t="shared" si="34"/>
        <v>0.48101324054028449</v>
      </c>
      <c r="AN18">
        <v>13.16948248638537</v>
      </c>
      <c r="AO18">
        <v>12.547973000000001</v>
      </c>
      <c r="AP18">
        <v>14.999000000000001</v>
      </c>
      <c r="AQ18">
        <f>stressors!U13/stressors!U$49</f>
        <v>0.30518206007112042</v>
      </c>
      <c r="AR18">
        <f>CHOOSE(stockcode,Esc!F33,Esc!G33,Esc!H33,Esc!I33,Esc!J33,Esc!K33,Esc!L33,Esc!M33,Esc!N32,Esc!O32,Esc!P32)</f>
        <v>29204.887063911243</v>
      </c>
      <c r="AS18">
        <v>0</v>
      </c>
      <c r="AT18">
        <f t="shared" si="35"/>
        <v>1983</v>
      </c>
      <c r="AU18">
        <v>10000</v>
      </c>
      <c r="AV18" s="11">
        <f t="shared" si="70"/>
        <v>608.10062625217972</v>
      </c>
      <c r="AW18" s="11">
        <f t="shared" si="65"/>
        <v>389.08839554948338</v>
      </c>
      <c r="AX18" s="11">
        <f t="shared" si="66"/>
        <v>164.42290398896796</v>
      </c>
      <c r="AY18" s="11">
        <f t="shared" si="67"/>
        <v>4.7825717563243808</v>
      </c>
      <c r="AZ18" s="11">
        <f t="shared" si="68"/>
        <v>0</v>
      </c>
      <c r="BA18" s="11">
        <f t="shared" si="69"/>
        <v>38.948483421835576</v>
      </c>
      <c r="BB18" s="11">
        <f t="shared" si="36"/>
        <v>39.777640657284437</v>
      </c>
      <c r="BC18" s="11">
        <f t="shared" si="37"/>
        <v>69.211011938573691</v>
      </c>
      <c r="BD18" s="11">
        <f t="shared" si="38"/>
        <v>2.1045516814889029</v>
      </c>
      <c r="BE18" s="11">
        <f t="shared" si="39"/>
        <v>0</v>
      </c>
      <c r="BF18" s="11">
        <f t="shared" si="40"/>
        <v>17.972089557701228</v>
      </c>
      <c r="BG18" s="11">
        <f t="shared" si="41"/>
        <v>100.84462267061068</v>
      </c>
      <c r="BH18" s="11">
        <f t="shared" si="42"/>
        <v>42.615420816539782</v>
      </c>
      <c r="BI18" s="11">
        <f t="shared" si="43"/>
        <v>1.2395554575215146</v>
      </c>
      <c r="BJ18" s="11">
        <f t="shared" si="44"/>
        <v>0</v>
      </c>
      <c r="BK18" s="11">
        <f t="shared" si="45"/>
        <v>1981</v>
      </c>
      <c r="BL18">
        <f t="shared" si="46"/>
        <v>0.52018524353888351</v>
      </c>
      <c r="BM18">
        <f t="shared" si="47"/>
        <v>1983</v>
      </c>
      <c r="BN18" s="11">
        <f t="shared" si="48"/>
        <v>17.972089557701228</v>
      </c>
      <c r="BO18" s="11">
        <f t="shared" si="49"/>
        <v>100.84462267061066</v>
      </c>
      <c r="BP18" s="11">
        <f t="shared" si="50"/>
        <v>42.615420816539782</v>
      </c>
      <c r="BQ18" s="11">
        <f t="shared" si="51"/>
        <v>1.239555457521514</v>
      </c>
      <c r="BR18" s="11">
        <f t="shared" si="52"/>
        <v>6.8028245867166222E-3</v>
      </c>
      <c r="BS18" s="11">
        <f t="shared" si="53"/>
        <v>38.948483421835583</v>
      </c>
      <c r="BT18" s="11">
        <f t="shared" si="54"/>
        <v>39.777640657284429</v>
      </c>
      <c r="BU18" s="11">
        <f t="shared" si="55"/>
        <v>69.211011938573691</v>
      </c>
      <c r="BV18" s="11">
        <f t="shared" si="56"/>
        <v>2.1045516814889016</v>
      </c>
      <c r="BW18" s="11">
        <f t="shared" si="57"/>
        <v>1.1666691429922825E-2</v>
      </c>
      <c r="BX18">
        <f t="shared" si="16"/>
        <v>608.10062625217972</v>
      </c>
      <c r="BY18">
        <f t="shared" si="17"/>
        <v>389.08839554948338</v>
      </c>
      <c r="BZ18">
        <f t="shared" si="18"/>
        <v>164.42290398896796</v>
      </c>
      <c r="CA18">
        <f t="shared" si="19"/>
        <v>4.782571756324379</v>
      </c>
      <c r="CB18">
        <f t="shared" si="20"/>
        <v>2.6247310303254664E-2</v>
      </c>
      <c r="CC18">
        <f t="shared" si="58"/>
        <v>6.0810062625217973E-2</v>
      </c>
    </row>
    <row r="19" spans="1:81" x14ac:dyDescent="0.55000000000000004">
      <c r="A19" t="s">
        <v>104</v>
      </c>
      <c r="B19">
        <f>Ftest</f>
        <v>0.3</v>
      </c>
      <c r="C19" t="s">
        <v>105</v>
      </c>
      <c r="D19" t="s">
        <v>110</v>
      </c>
      <c r="E19">
        <v>0.12</v>
      </c>
      <c r="G19">
        <v>1984</v>
      </c>
      <c r="H19" s="5">
        <f t="shared" si="21"/>
        <v>38112681.553804889</v>
      </c>
      <c r="I19" s="5">
        <f t="shared" si="59"/>
        <v>4391111.1251287842</v>
      </c>
      <c r="J19" s="5">
        <f t="shared" si="60"/>
        <v>184250.34249650894</v>
      </c>
      <c r="K19" s="5">
        <f t="shared" si="61"/>
        <v>121574.96050464417</v>
      </c>
      <c r="L19" s="5">
        <f t="shared" si="62"/>
        <v>22274.622191151717</v>
      </c>
      <c r="M19" s="4">
        <f t="shared" si="63"/>
        <v>647.90230794942147</v>
      </c>
      <c r="N19" s="5">
        <f t="shared" si="64"/>
        <v>3.1702588621980552</v>
      </c>
      <c r="O19">
        <v>0.77674455786595342</v>
      </c>
      <c r="P19" s="3">
        <f t="shared" si="6"/>
        <v>-0.22325544213404658</v>
      </c>
      <c r="Q19" s="3">
        <f t="shared" si="7"/>
        <v>2.9224402461389363</v>
      </c>
      <c r="R19" s="3">
        <f t="shared" si="8"/>
        <v>2.8</v>
      </c>
      <c r="S19" s="3">
        <f t="shared" si="22"/>
        <v>0.3</v>
      </c>
      <c r="T19" s="12">
        <f t="shared" si="9"/>
        <v>0.3</v>
      </c>
      <c r="U19" s="12">
        <f t="shared" si="10"/>
        <v>0.3</v>
      </c>
      <c r="V19" s="3">
        <f t="shared" si="23"/>
        <v>0.3</v>
      </c>
      <c r="W19" s="3">
        <f t="shared" si="24"/>
        <v>0.3</v>
      </c>
      <c r="X19" s="3">
        <f t="shared" si="25"/>
        <v>6.9224402461389349</v>
      </c>
      <c r="Y19" s="7">
        <f>IF(UseRetro,RetroF,Ftest*ER!$D26+AS19)</f>
        <v>0.3</v>
      </c>
      <c r="Z19" s="5">
        <f t="shared" si="26"/>
        <v>11801.124847414319</v>
      </c>
      <c r="AA19" s="5">
        <f t="shared" si="11"/>
        <v>12428.962537029085</v>
      </c>
      <c r="AB19" s="5">
        <f t="shared" si="12"/>
        <v>9376.1216047033049</v>
      </c>
      <c r="AC19" s="5">
        <f t="shared" si="13"/>
        <v>285.10683396069732</v>
      </c>
      <c r="AD19" s="5">
        <f t="shared" si="14"/>
        <v>1.4091513176364063</v>
      </c>
      <c r="AE19" s="5">
        <f t="shared" si="27"/>
        <v>5445.4205659889558</v>
      </c>
      <c r="AF19" s="5">
        <f t="shared" si="28"/>
        <v>31510.014584143551</v>
      </c>
      <c r="AG19" s="5">
        <f t="shared" si="29"/>
        <v>5773.1762131451942</v>
      </c>
      <c r="AH19" s="5">
        <f t="shared" si="30"/>
        <v>167.92447299875263</v>
      </c>
      <c r="AI19" s="5">
        <f t="shared" si="31"/>
        <v>0.82167333280404453</v>
      </c>
      <c r="AJ19">
        <f t="shared" si="15"/>
        <v>1984</v>
      </c>
      <c r="AK19">
        <f t="shared" si="32"/>
        <v>42897.357509609254</v>
      </c>
      <c r="AL19">
        <f t="shared" si="33"/>
        <v>33892.724974425044</v>
      </c>
      <c r="AM19">
        <f t="shared" si="34"/>
        <v>0.5586314810708557</v>
      </c>
      <c r="AN19">
        <v>15.028156768279212</v>
      </c>
      <c r="AO19">
        <v>14.370433999999999</v>
      </c>
      <c r="AP19">
        <v>15.337</v>
      </c>
      <c r="AQ19">
        <f>stressors!U14/stressors!U$49</f>
        <v>0.30889098237082907</v>
      </c>
      <c r="AR19">
        <f>CHOOSE(stockcode,Esc!F34,Esc!G34,Esc!H34,Esc!I34,Esc!J34,Esc!K34,Esc!L34,Esc!M34,Esc!N33,Esc!O33,Esc!P33)</f>
        <v>36372.974865451521</v>
      </c>
      <c r="AS19">
        <v>0</v>
      </c>
      <c r="AT19">
        <f t="shared" si="35"/>
        <v>1984</v>
      </c>
      <c r="AU19">
        <v>10000</v>
      </c>
      <c r="AV19" s="11">
        <f t="shared" si="70"/>
        <v>608.10062625217972</v>
      </c>
      <c r="AW19" s="11">
        <f t="shared" si="65"/>
        <v>389.08839554948344</v>
      </c>
      <c r="AX19" s="11">
        <f t="shared" si="66"/>
        <v>164.42290398896796</v>
      </c>
      <c r="AY19" s="11">
        <f t="shared" si="67"/>
        <v>4.7825717563243808</v>
      </c>
      <c r="AZ19" s="11">
        <f t="shared" si="68"/>
        <v>2.6247310303254674E-2</v>
      </c>
      <c r="BA19" s="11">
        <f t="shared" si="69"/>
        <v>38.948483421835583</v>
      </c>
      <c r="BB19" s="11">
        <f t="shared" si="36"/>
        <v>39.777640657284437</v>
      </c>
      <c r="BC19" s="11">
        <f t="shared" si="37"/>
        <v>69.211011938573691</v>
      </c>
      <c r="BD19" s="11">
        <f t="shared" si="38"/>
        <v>2.1045516814889029</v>
      </c>
      <c r="BE19" s="11">
        <f t="shared" si="39"/>
        <v>1.1666691429922828E-2</v>
      </c>
      <c r="BF19" s="11">
        <f t="shared" si="40"/>
        <v>17.972089557701228</v>
      </c>
      <c r="BG19" s="11">
        <f t="shared" si="41"/>
        <v>100.84462267061068</v>
      </c>
      <c r="BH19" s="11">
        <f t="shared" si="42"/>
        <v>42.615420816539782</v>
      </c>
      <c r="BI19" s="11">
        <f t="shared" si="43"/>
        <v>1.2395554575215146</v>
      </c>
      <c r="BJ19" s="11">
        <f t="shared" si="44"/>
        <v>6.8028245867166257E-3</v>
      </c>
      <c r="BK19" s="11">
        <f t="shared" si="45"/>
        <v>1982</v>
      </c>
      <c r="BL19">
        <f t="shared" si="46"/>
        <v>0.52018524353888329</v>
      </c>
      <c r="BM19">
        <f t="shared" si="47"/>
        <v>1984</v>
      </c>
      <c r="BN19" s="11">
        <f t="shared" si="48"/>
        <v>17.972089557701228</v>
      </c>
      <c r="BO19" s="11">
        <f t="shared" si="49"/>
        <v>100.84462267061068</v>
      </c>
      <c r="BP19" s="11">
        <f t="shared" si="50"/>
        <v>42.615420816539796</v>
      </c>
      <c r="BQ19" s="11">
        <f t="shared" si="51"/>
        <v>1.2395554575215149</v>
      </c>
      <c r="BR19" s="11">
        <f t="shared" si="52"/>
        <v>6.8028245867166257E-3</v>
      </c>
      <c r="BS19" s="11">
        <f t="shared" si="53"/>
        <v>38.948483421835583</v>
      </c>
      <c r="BT19" s="11">
        <f t="shared" si="54"/>
        <v>39.777640657284437</v>
      </c>
      <c r="BU19" s="11">
        <f t="shared" si="55"/>
        <v>69.211011938573705</v>
      </c>
      <c r="BV19" s="11">
        <f t="shared" si="56"/>
        <v>2.1045516814889029</v>
      </c>
      <c r="BW19" s="11">
        <f t="shared" si="57"/>
        <v>1.166669142992283E-2</v>
      </c>
      <c r="BX19">
        <f t="shared" si="16"/>
        <v>608.10062625217984</v>
      </c>
      <c r="BY19">
        <f t="shared" si="17"/>
        <v>389.08839554948349</v>
      </c>
      <c r="BZ19">
        <f t="shared" si="18"/>
        <v>164.42290398896802</v>
      </c>
      <c r="CA19">
        <f t="shared" si="19"/>
        <v>4.7825717563243817</v>
      </c>
      <c r="CB19">
        <f t="shared" si="20"/>
        <v>2.6247310303254678E-2</v>
      </c>
      <c r="CC19">
        <f t="shared" si="58"/>
        <v>6.0810062625217987E-2</v>
      </c>
    </row>
    <row r="20" spans="1:81" x14ac:dyDescent="0.55000000000000004">
      <c r="A20" t="s">
        <v>107</v>
      </c>
      <c r="B20">
        <f>SUMPRODUCT(Lhist,fec,mat,EXP(-vul*Fhist)*Ssum)</f>
        <v>20.338486414108605</v>
      </c>
      <c r="C20" t="s">
        <v>108</v>
      </c>
      <c r="D20" t="s">
        <v>111</v>
      </c>
      <c r="E20">
        <f>1/B20</f>
        <v>4.9167867246321238E-2</v>
      </c>
      <c r="G20">
        <v>1985</v>
      </c>
      <c r="H20" s="5">
        <f t="shared" si="21"/>
        <v>62047527.388818726</v>
      </c>
      <c r="I20" s="5">
        <f t="shared" si="59"/>
        <v>3998626.0903637633</v>
      </c>
      <c r="J20" s="5">
        <f t="shared" si="60"/>
        <v>267023.74251337274</v>
      </c>
      <c r="K20" s="5">
        <f t="shared" si="61"/>
        <v>117891.13026119415</v>
      </c>
      <c r="L20" s="5">
        <f t="shared" si="62"/>
        <v>51375.749796617718</v>
      </c>
      <c r="M20" s="5">
        <f t="shared" si="63"/>
        <v>647.90230794942147</v>
      </c>
      <c r="N20" s="4">
        <f t="shared" si="64"/>
        <v>3.5557632565481803</v>
      </c>
      <c r="O20">
        <v>0.26434207409367605</v>
      </c>
      <c r="P20" s="3">
        <f t="shared" si="6"/>
        <v>-0.73565792590632395</v>
      </c>
      <c r="Q20" s="3">
        <f t="shared" si="7"/>
        <v>2.7962569806688742</v>
      </c>
      <c r="R20" s="3">
        <f t="shared" si="8"/>
        <v>2.8</v>
      </c>
      <c r="S20" s="3">
        <f t="shared" si="22"/>
        <v>0.3</v>
      </c>
      <c r="T20" s="12">
        <f t="shared" si="9"/>
        <v>0.3</v>
      </c>
      <c r="U20" s="12">
        <f t="shared" si="10"/>
        <v>0.3</v>
      </c>
      <c r="V20" s="3">
        <f t="shared" si="23"/>
        <v>0.3</v>
      </c>
      <c r="W20" s="3">
        <f t="shared" si="24"/>
        <v>0.3</v>
      </c>
      <c r="X20" s="3">
        <f t="shared" si="25"/>
        <v>6.7962569806688737</v>
      </c>
      <c r="Y20" s="7">
        <f>IF(UseRetro,RetroF,Ftest*ER!$D27+AS20)</f>
        <v>0.3</v>
      </c>
      <c r="Z20" s="5">
        <f t="shared" si="26"/>
        <v>17102.711886051624</v>
      </c>
      <c r="AA20" s="5">
        <f t="shared" si="11"/>
        <v>12052.353834887117</v>
      </c>
      <c r="AB20" s="5">
        <f t="shared" si="12"/>
        <v>21625.74401900516</v>
      </c>
      <c r="AC20" s="5">
        <f t="shared" si="13"/>
        <v>285.10683396069732</v>
      </c>
      <c r="AD20" s="5">
        <f t="shared" si="14"/>
        <v>1.5805045253288723</v>
      </c>
      <c r="AE20" s="5">
        <f t="shared" si="27"/>
        <v>7891.7442398632711</v>
      </c>
      <c r="AF20" s="5">
        <f t="shared" si="28"/>
        <v>30555.232906939673</v>
      </c>
      <c r="AG20" s="5">
        <f t="shared" si="29"/>
        <v>13315.658246098252</v>
      </c>
      <c r="AH20" s="5">
        <f t="shared" si="30"/>
        <v>167.92447299875263</v>
      </c>
      <c r="AI20" s="5">
        <f t="shared" si="31"/>
        <v>0.92158904766672667</v>
      </c>
      <c r="AJ20">
        <f t="shared" si="15"/>
        <v>1985</v>
      </c>
      <c r="AK20">
        <f t="shared" si="32"/>
        <v>51931.481454947621</v>
      </c>
      <c r="AL20">
        <f t="shared" si="33"/>
        <v>51067.497078429929</v>
      </c>
      <c r="AM20">
        <f t="shared" si="34"/>
        <v>0.50419414050906197</v>
      </c>
      <c r="AN20">
        <v>17.057706397553556</v>
      </c>
      <c r="AO20">
        <v>20.076246000000001</v>
      </c>
      <c r="AP20">
        <v>15.184999999999999</v>
      </c>
      <c r="AQ20">
        <f>stressors!U15/stressors!U$49</f>
        <v>0.32413602828633492</v>
      </c>
      <c r="AR20">
        <f>CHOOSE(stockcode,Esc!F35,Esc!G35,Esc!H35,Esc!I35,Esc!J35,Esc!K35,Esc!L35,Esc!M35,Esc!N34,Esc!O34,Esc!P34)</f>
        <v>52231.921173071489</v>
      </c>
      <c r="AS20">
        <v>0</v>
      </c>
      <c r="AT20">
        <f t="shared" si="35"/>
        <v>1985</v>
      </c>
      <c r="AU20">
        <v>10000</v>
      </c>
      <c r="AV20" s="11">
        <f t="shared" si="70"/>
        <v>608.10062625217984</v>
      </c>
      <c r="AW20" s="11">
        <f t="shared" si="65"/>
        <v>389.08839554948338</v>
      </c>
      <c r="AX20" s="11">
        <f t="shared" si="66"/>
        <v>164.42290398896802</v>
      </c>
      <c r="AY20" s="11">
        <f t="shared" si="67"/>
        <v>4.7825717563243808</v>
      </c>
      <c r="AZ20" s="11">
        <f t="shared" si="68"/>
        <v>2.6247310303254667E-2</v>
      </c>
      <c r="BA20" s="11">
        <f t="shared" si="69"/>
        <v>38.948483421835583</v>
      </c>
      <c r="BB20" s="11">
        <f t="shared" si="36"/>
        <v>39.777640657284429</v>
      </c>
      <c r="BC20" s="11">
        <f t="shared" si="37"/>
        <v>69.211011938573705</v>
      </c>
      <c r="BD20" s="11">
        <f t="shared" si="38"/>
        <v>2.1045516814889029</v>
      </c>
      <c r="BE20" s="11">
        <f t="shared" si="39"/>
        <v>1.1666691429922828E-2</v>
      </c>
      <c r="BF20" s="11">
        <f t="shared" si="40"/>
        <v>17.972089557701228</v>
      </c>
      <c r="BG20" s="11">
        <f t="shared" si="41"/>
        <v>100.84462267061066</v>
      </c>
      <c r="BH20" s="11">
        <f t="shared" si="42"/>
        <v>42.615420816539796</v>
      </c>
      <c r="BI20" s="11">
        <f t="shared" si="43"/>
        <v>1.2395554575215146</v>
      </c>
      <c r="BJ20" s="11">
        <f t="shared" si="44"/>
        <v>6.8028245867166239E-3</v>
      </c>
      <c r="BK20" s="11">
        <f t="shared" si="45"/>
        <v>1983</v>
      </c>
      <c r="BL20">
        <f t="shared" si="46"/>
        <v>0.52018524353888329</v>
      </c>
      <c r="BM20">
        <f t="shared" si="47"/>
        <v>1985</v>
      </c>
      <c r="BN20" s="11">
        <f t="shared" si="48"/>
        <v>17.972089557701228</v>
      </c>
      <c r="BO20" s="11">
        <f t="shared" si="49"/>
        <v>100.84462267061069</v>
      </c>
      <c r="BP20" s="11">
        <f t="shared" si="50"/>
        <v>42.615420816539789</v>
      </c>
      <c r="BQ20" s="11">
        <f t="shared" si="51"/>
        <v>1.2395554575215149</v>
      </c>
      <c r="BR20" s="11">
        <f t="shared" si="52"/>
        <v>6.8028245867166257E-3</v>
      </c>
      <c r="BS20" s="11">
        <f t="shared" si="53"/>
        <v>38.94848342183559</v>
      </c>
      <c r="BT20" s="11">
        <f t="shared" si="54"/>
        <v>39.777640657284437</v>
      </c>
      <c r="BU20" s="11">
        <f t="shared" si="55"/>
        <v>69.211011938573691</v>
      </c>
      <c r="BV20" s="11">
        <f t="shared" si="56"/>
        <v>2.1045516814889025</v>
      </c>
      <c r="BW20" s="11">
        <f t="shared" si="57"/>
        <v>1.166669142992283E-2</v>
      </c>
      <c r="BX20">
        <f t="shared" si="16"/>
        <v>608.10062625217984</v>
      </c>
      <c r="BY20">
        <f t="shared" si="17"/>
        <v>389.08839554948344</v>
      </c>
      <c r="BZ20">
        <f t="shared" si="18"/>
        <v>164.42290398896799</v>
      </c>
      <c r="CA20">
        <f t="shared" si="19"/>
        <v>4.7825717563243808</v>
      </c>
      <c r="CB20">
        <f t="shared" si="20"/>
        <v>2.6247310303254678E-2</v>
      </c>
      <c r="CC20">
        <f t="shared" si="58"/>
        <v>6.0810062625217987E-2</v>
      </c>
    </row>
    <row r="21" spans="1:81" x14ac:dyDescent="0.55000000000000004">
      <c r="A21" t="s">
        <v>176</v>
      </c>
      <c r="B21">
        <v>0.2</v>
      </c>
      <c r="C21" t="s">
        <v>177</v>
      </c>
      <c r="D21" t="s">
        <v>109</v>
      </c>
      <c r="E21">
        <f>-LN(1/EPRo)+LN(1/EPRhist)</f>
        <v>0.56081770273790532</v>
      </c>
      <c r="G21">
        <v>1986</v>
      </c>
      <c r="H21" s="5">
        <f t="shared" si="21"/>
        <v>69789852.73149392</v>
      </c>
      <c r="I21" s="5">
        <f t="shared" si="59"/>
        <v>2050547.4982151871</v>
      </c>
      <c r="J21" s="5">
        <f t="shared" si="60"/>
        <v>243156.70296985094</v>
      </c>
      <c r="K21" s="5">
        <f t="shared" si="61"/>
        <v>170853.03823558454</v>
      </c>
      <c r="L21" s="5">
        <f t="shared" si="62"/>
        <v>49819.018541307356</v>
      </c>
      <c r="M21" s="5">
        <f t="shared" si="63"/>
        <v>1494.3672929762743</v>
      </c>
      <c r="N21" s="5">
        <f t="shared" si="64"/>
        <v>3.5557632565481803</v>
      </c>
      <c r="O21">
        <v>0.71773053274771603</v>
      </c>
      <c r="P21" s="3">
        <f t="shared" si="6"/>
        <v>-0.28226946725228397</v>
      </c>
      <c r="Q21" s="3">
        <f t="shared" si="7"/>
        <v>3.374577718490348</v>
      </c>
      <c r="R21" s="3">
        <f t="shared" si="8"/>
        <v>2.8</v>
      </c>
      <c r="S21" s="3">
        <f t="shared" si="22"/>
        <v>0.3</v>
      </c>
      <c r="T21" s="12">
        <f t="shared" si="9"/>
        <v>0.3</v>
      </c>
      <c r="U21" s="12">
        <f t="shared" si="10"/>
        <v>0.3</v>
      </c>
      <c r="V21" s="3">
        <f t="shared" si="23"/>
        <v>0.3</v>
      </c>
      <c r="W21" s="3">
        <f t="shared" si="24"/>
        <v>0.3</v>
      </c>
      <c r="X21" s="3">
        <f t="shared" si="25"/>
        <v>7.3745777184903467</v>
      </c>
      <c r="Y21" s="7">
        <f>IF(UseRetro,RetroF,Ftest*ER!$D28+AS21)</f>
        <v>0.3</v>
      </c>
      <c r="Z21" s="5">
        <f t="shared" si="26"/>
        <v>15574.042199065227</v>
      </c>
      <c r="AA21" s="5">
        <f t="shared" si="11"/>
        <v>17466.804042157673</v>
      </c>
      <c r="AB21" s="5">
        <f t="shared" si="12"/>
        <v>20970.464596962687</v>
      </c>
      <c r="AC21" s="5">
        <f t="shared" si="13"/>
        <v>657.59038430241753</v>
      </c>
      <c r="AD21" s="5">
        <f t="shared" si="14"/>
        <v>1.5805045253288723</v>
      </c>
      <c r="AE21" s="5">
        <f t="shared" si="27"/>
        <v>7186.3666203778275</v>
      </c>
      <c r="AF21" s="5">
        <f t="shared" si="28"/>
        <v>44281.994451833292</v>
      </c>
      <c r="AG21" s="5">
        <f t="shared" si="29"/>
        <v>12912.181869426529</v>
      </c>
      <c r="AH21" s="5">
        <f t="shared" si="30"/>
        <v>387.31277394863537</v>
      </c>
      <c r="AI21" s="5">
        <f t="shared" si="31"/>
        <v>0.92158904766672667</v>
      </c>
      <c r="AJ21">
        <f t="shared" si="15"/>
        <v>1986</v>
      </c>
      <c r="AK21">
        <f t="shared" si="32"/>
        <v>64768.777304633957</v>
      </c>
      <c r="AL21">
        <f t="shared" si="33"/>
        <v>54670.481727013335</v>
      </c>
      <c r="AM21">
        <f t="shared" si="34"/>
        <v>0.54227377019705436</v>
      </c>
      <c r="AN21">
        <v>19.243187519096114</v>
      </c>
      <c r="AO21">
        <v>26.832445</v>
      </c>
      <c r="AP21">
        <v>15.359</v>
      </c>
      <c r="AQ21">
        <f>stressors!U16/stressors!U$49</f>
        <v>0.34020100532547598</v>
      </c>
      <c r="AR21">
        <f>CHOOSE(stockcode,Esc!F36,Esc!G36,Esc!H36,Esc!I36,Esc!J36,Esc!K36,Esc!L36,Esc!M36,Esc!N35,Esc!O35,Esc!P35)</f>
        <v>60718.43876340425</v>
      </c>
      <c r="AS21">
        <v>0</v>
      </c>
      <c r="AT21">
        <f t="shared" si="35"/>
        <v>1986</v>
      </c>
      <c r="AU21">
        <v>10000</v>
      </c>
      <c r="AV21" s="11">
        <f t="shared" si="70"/>
        <v>608.10062625217972</v>
      </c>
      <c r="AW21" s="11">
        <f t="shared" si="65"/>
        <v>389.08839554948338</v>
      </c>
      <c r="AX21" s="11">
        <f t="shared" si="66"/>
        <v>164.42290398896796</v>
      </c>
      <c r="AY21" s="11">
        <f t="shared" si="67"/>
        <v>4.7825717563243817</v>
      </c>
      <c r="AZ21" s="11">
        <f t="shared" si="68"/>
        <v>2.6247310303254667E-2</v>
      </c>
      <c r="BA21" s="11">
        <f t="shared" si="69"/>
        <v>38.94848342183559</v>
      </c>
      <c r="BB21" s="11">
        <f t="shared" si="36"/>
        <v>39.777640657284437</v>
      </c>
      <c r="BC21" s="11">
        <f t="shared" si="37"/>
        <v>69.211011938573691</v>
      </c>
      <c r="BD21" s="11">
        <f t="shared" si="38"/>
        <v>2.1045516814889029</v>
      </c>
      <c r="BE21" s="11">
        <f t="shared" si="39"/>
        <v>1.1666691429922828E-2</v>
      </c>
      <c r="BF21" s="11">
        <f t="shared" si="40"/>
        <v>17.972089557701228</v>
      </c>
      <c r="BG21" s="11">
        <f t="shared" si="41"/>
        <v>100.84462267061068</v>
      </c>
      <c r="BH21" s="11">
        <f t="shared" si="42"/>
        <v>42.615420816539782</v>
      </c>
      <c r="BI21" s="11">
        <f t="shared" si="43"/>
        <v>1.2395554575215149</v>
      </c>
      <c r="BJ21" s="11">
        <f t="shared" si="44"/>
        <v>6.8028245867166239E-3</v>
      </c>
      <c r="BK21" s="11">
        <f t="shared" si="45"/>
        <v>1984</v>
      </c>
      <c r="BL21">
        <f t="shared" si="46"/>
        <v>0.5201852435388834</v>
      </c>
      <c r="BM21">
        <f t="shared" si="47"/>
        <v>1986</v>
      </c>
      <c r="BN21" s="11">
        <f t="shared" si="48"/>
        <v>17.972089557701231</v>
      </c>
      <c r="BO21" s="11">
        <f t="shared" si="49"/>
        <v>100.84462267061069</v>
      </c>
      <c r="BP21" s="11">
        <f t="shared" si="50"/>
        <v>42.615420816539803</v>
      </c>
      <c r="BQ21" s="11">
        <f t="shared" si="51"/>
        <v>1.2395554575215149</v>
      </c>
      <c r="BR21" s="11">
        <f t="shared" si="52"/>
        <v>6.8028245867166257E-3</v>
      </c>
      <c r="BS21" s="11">
        <f t="shared" si="53"/>
        <v>38.94848342183559</v>
      </c>
      <c r="BT21" s="11">
        <f t="shared" si="54"/>
        <v>39.777640657284444</v>
      </c>
      <c r="BU21" s="11">
        <f t="shared" si="55"/>
        <v>69.211011938573719</v>
      </c>
      <c r="BV21" s="11">
        <f t="shared" si="56"/>
        <v>2.1045516814889034</v>
      </c>
      <c r="BW21" s="11">
        <f t="shared" si="57"/>
        <v>1.166669142992283E-2</v>
      </c>
      <c r="BX21">
        <f t="shared" si="16"/>
        <v>608.10062625217984</v>
      </c>
      <c r="BY21">
        <f t="shared" si="17"/>
        <v>389.08839554948349</v>
      </c>
      <c r="BZ21">
        <f t="shared" si="18"/>
        <v>164.42290398896805</v>
      </c>
      <c r="CA21">
        <f t="shared" si="19"/>
        <v>4.7825717563243826</v>
      </c>
      <c r="CB21">
        <f t="shared" si="20"/>
        <v>2.6247310303254678E-2</v>
      </c>
      <c r="CC21">
        <f t="shared" si="58"/>
        <v>6.0810062625217987E-2</v>
      </c>
    </row>
    <row r="22" spans="1:81" x14ac:dyDescent="0.55000000000000004">
      <c r="A22" t="s">
        <v>74</v>
      </c>
      <c r="B22" s="2">
        <v>0</v>
      </c>
      <c r="C22" t="s">
        <v>76</v>
      </c>
      <c r="G22">
        <v>1987</v>
      </c>
      <c r="H22" s="5">
        <f t="shared" si="21"/>
        <v>86246133.838032246</v>
      </c>
      <c r="I22" s="5">
        <f t="shared" si="59"/>
        <v>3787263.3290301757</v>
      </c>
      <c r="J22" s="5">
        <f t="shared" si="60"/>
        <v>124693.92178244957</v>
      </c>
      <c r="K22" s="5">
        <f t="shared" si="61"/>
        <v>155581.90099019403</v>
      </c>
      <c r="L22" s="5">
        <f t="shared" si="62"/>
        <v>72199.924293193937</v>
      </c>
      <c r="M22" s="5">
        <f t="shared" si="63"/>
        <v>1449.0866249354381</v>
      </c>
      <c r="N22" s="5">
        <f t="shared" si="64"/>
        <v>8.2012615898371095</v>
      </c>
      <c r="O22">
        <v>0.60899123214224216</v>
      </c>
      <c r="P22" s="3">
        <f t="shared" si="6"/>
        <v>-0.39100876785775784</v>
      </c>
      <c r="Q22" s="3">
        <f t="shared" si="7"/>
        <v>3.531381470425913</v>
      </c>
      <c r="R22" s="3">
        <f t="shared" si="8"/>
        <v>2.8</v>
      </c>
      <c r="S22" s="3">
        <f t="shared" si="22"/>
        <v>0.3</v>
      </c>
      <c r="T22" s="12">
        <f t="shared" si="9"/>
        <v>0.3</v>
      </c>
      <c r="U22" s="12">
        <f t="shared" si="10"/>
        <v>0.3</v>
      </c>
      <c r="V22" s="3">
        <f t="shared" si="23"/>
        <v>0.3</v>
      </c>
      <c r="W22" s="3">
        <f t="shared" si="24"/>
        <v>0.3</v>
      </c>
      <c r="X22" s="3">
        <f t="shared" si="25"/>
        <v>7.5313814704259121</v>
      </c>
      <c r="Y22" s="7">
        <f>IF(UseRetro,RetroF,Ftest*ER!$D29+AS22)</f>
        <v>0.3</v>
      </c>
      <c r="Z22" s="5">
        <f t="shared" si="26"/>
        <v>7986.5715239920646</v>
      </c>
      <c r="AA22" s="5">
        <f t="shared" si="11"/>
        <v>15905.591174533192</v>
      </c>
      <c r="AB22" s="5">
        <f t="shared" si="12"/>
        <v>30391.32445048921</v>
      </c>
      <c r="AC22" s="5">
        <f t="shared" si="13"/>
        <v>637.66480640841814</v>
      </c>
      <c r="AD22" s="5">
        <f t="shared" si="14"/>
        <v>3.6453864109970664</v>
      </c>
      <c r="AE22" s="5">
        <f t="shared" si="27"/>
        <v>3685.2623280243542</v>
      </c>
      <c r="AF22" s="5">
        <f t="shared" si="28"/>
        <v>40323.99392835929</v>
      </c>
      <c r="AG22" s="5">
        <f t="shared" si="29"/>
        <v>18712.904844955268</v>
      </c>
      <c r="AH22" s="5">
        <f t="shared" si="30"/>
        <v>375.57684983709095</v>
      </c>
      <c r="AI22" s="5">
        <f t="shared" si="31"/>
        <v>2.1256175715086654</v>
      </c>
      <c r="AJ22">
        <f t="shared" si="15"/>
        <v>1987</v>
      </c>
      <c r="AK22">
        <f t="shared" si="32"/>
        <v>63099.863568747518</v>
      </c>
      <c r="AL22">
        <f t="shared" si="33"/>
        <v>54924.797341833881</v>
      </c>
      <c r="AM22">
        <f t="shared" si="34"/>
        <v>0.53463287318023855</v>
      </c>
      <c r="AN22">
        <v>21.559445268677663</v>
      </c>
      <c r="AO22">
        <v>33.270881000000003</v>
      </c>
      <c r="AP22">
        <v>15.292999999999999</v>
      </c>
      <c r="AQ22">
        <f>stressors!U17/stressors!U$49</f>
        <v>0.34693537104014854</v>
      </c>
      <c r="AR22">
        <f>CHOOSE(stockcode,Esc!F37,Esc!G37,Esc!H37,Esc!I37,Esc!J37,Esc!K37,Esc!L37,Esc!M37,Esc!N36,Esc!O36,Esc!P36)</f>
        <v>61979.185105435718</v>
      </c>
      <c r="AS22">
        <v>0</v>
      </c>
      <c r="AT22">
        <f t="shared" si="35"/>
        <v>1987</v>
      </c>
      <c r="AU22">
        <v>10000</v>
      </c>
      <c r="AV22" s="11">
        <f t="shared" si="70"/>
        <v>608.10062625217984</v>
      </c>
      <c r="AW22" s="11">
        <f t="shared" si="65"/>
        <v>389.08839554948344</v>
      </c>
      <c r="AX22" s="11">
        <f t="shared" si="66"/>
        <v>164.42290398896802</v>
      </c>
      <c r="AY22" s="11">
        <f t="shared" si="67"/>
        <v>4.782571756324379</v>
      </c>
      <c r="AZ22" s="11">
        <f t="shared" si="68"/>
        <v>2.6247310303254674E-2</v>
      </c>
      <c r="BA22" s="11">
        <f t="shared" si="69"/>
        <v>38.94848342183559</v>
      </c>
      <c r="BB22" s="11">
        <f t="shared" si="36"/>
        <v>39.777640657284437</v>
      </c>
      <c r="BC22" s="11">
        <f t="shared" si="37"/>
        <v>69.211011938573705</v>
      </c>
      <c r="BD22" s="11">
        <f t="shared" si="38"/>
        <v>2.1045516814889016</v>
      </c>
      <c r="BE22" s="11">
        <f t="shared" si="39"/>
        <v>1.166669142992283E-2</v>
      </c>
      <c r="BF22" s="11">
        <f t="shared" si="40"/>
        <v>17.972089557701231</v>
      </c>
      <c r="BG22" s="11">
        <f t="shared" si="41"/>
        <v>100.84462267061069</v>
      </c>
      <c r="BH22" s="11">
        <f t="shared" si="42"/>
        <v>42.615420816539796</v>
      </c>
      <c r="BI22" s="11">
        <f t="shared" si="43"/>
        <v>1.239555457521514</v>
      </c>
      <c r="BJ22" s="11">
        <f t="shared" si="44"/>
        <v>6.8028245867166257E-3</v>
      </c>
      <c r="BK22" s="11">
        <f t="shared" si="45"/>
        <v>1985</v>
      </c>
      <c r="BL22">
        <f t="shared" si="46"/>
        <v>0.52018524353888329</v>
      </c>
      <c r="BM22">
        <f t="shared" si="47"/>
        <v>1987</v>
      </c>
      <c r="BN22" s="11">
        <f t="shared" si="48"/>
        <v>17.972089557701228</v>
      </c>
      <c r="BO22" s="11">
        <f t="shared" si="49"/>
        <v>100.84462267061068</v>
      </c>
      <c r="BP22" s="11">
        <f t="shared" si="50"/>
        <v>42.615420816539789</v>
      </c>
      <c r="BQ22" s="11">
        <f t="shared" si="51"/>
        <v>1.2395554575215144</v>
      </c>
      <c r="BR22" s="11">
        <f t="shared" si="52"/>
        <v>6.8028245867166257E-3</v>
      </c>
      <c r="BS22" s="11">
        <f t="shared" si="53"/>
        <v>38.948483421835576</v>
      </c>
      <c r="BT22" s="11">
        <f t="shared" si="54"/>
        <v>39.777640657284437</v>
      </c>
      <c r="BU22" s="11">
        <f t="shared" si="55"/>
        <v>69.211011938573691</v>
      </c>
      <c r="BV22" s="11">
        <f t="shared" si="56"/>
        <v>2.1045516814889025</v>
      </c>
      <c r="BW22" s="11">
        <f t="shared" si="57"/>
        <v>1.1666691429922826E-2</v>
      </c>
      <c r="BX22">
        <f t="shared" si="16"/>
        <v>608.10062625217972</v>
      </c>
      <c r="BY22">
        <f t="shared" si="17"/>
        <v>389.08839554948338</v>
      </c>
      <c r="BZ22">
        <f t="shared" si="18"/>
        <v>164.42290398896799</v>
      </c>
      <c r="CA22">
        <f t="shared" si="19"/>
        <v>4.7825717563243808</v>
      </c>
      <c r="CB22">
        <f t="shared" si="20"/>
        <v>2.6247310303254671E-2</v>
      </c>
      <c r="CC22">
        <f t="shared" si="58"/>
        <v>6.0810062625217973E-2</v>
      </c>
    </row>
    <row r="23" spans="1:81" x14ac:dyDescent="0.55000000000000004">
      <c r="A23" t="s">
        <v>77</v>
      </c>
      <c r="B23" s="2">
        <v>0</v>
      </c>
      <c r="C23" t="s">
        <v>78</v>
      </c>
      <c r="G23">
        <v>1988</v>
      </c>
      <c r="H23" s="5">
        <f t="shared" si="21"/>
        <v>69905617.705123544</v>
      </c>
      <c r="I23" s="5">
        <f t="shared" si="59"/>
        <v>2389086.0916185309</v>
      </c>
      <c r="J23" s="5">
        <f t="shared" si="60"/>
        <v>230303.72021651649</v>
      </c>
      <c r="K23" s="5">
        <f t="shared" si="61"/>
        <v>79784.423607855439</v>
      </c>
      <c r="L23" s="5">
        <f t="shared" si="62"/>
        <v>65746.571374366351</v>
      </c>
      <c r="M23" s="5">
        <f t="shared" si="63"/>
        <v>2100.08040459227</v>
      </c>
      <c r="N23" s="5">
        <f t="shared" si="64"/>
        <v>7.9527560147278926</v>
      </c>
      <c r="O23">
        <v>1.0271815868597909</v>
      </c>
      <c r="P23" s="3">
        <f t="shared" si="6"/>
        <v>2.7181586859790885E-2</v>
      </c>
      <c r="Q23" s="3">
        <f t="shared" si="7"/>
        <v>3.6858967878773159</v>
      </c>
      <c r="R23" s="3">
        <f t="shared" si="8"/>
        <v>2.8</v>
      </c>
      <c r="S23" s="3">
        <f t="shared" si="22"/>
        <v>0.3</v>
      </c>
      <c r="T23" s="12">
        <f t="shared" si="9"/>
        <v>0.3</v>
      </c>
      <c r="U23" s="12">
        <f t="shared" si="10"/>
        <v>0.3</v>
      </c>
      <c r="V23" s="3">
        <f t="shared" si="23"/>
        <v>0.3</v>
      </c>
      <c r="W23" s="3">
        <f t="shared" si="24"/>
        <v>0.3</v>
      </c>
      <c r="X23" s="3">
        <f t="shared" si="25"/>
        <v>7.685896787877315</v>
      </c>
      <c r="Y23" s="7">
        <f>IF(UseRetro,RetroF,Ftest*ER!$D30+AS23)</f>
        <v>0.3</v>
      </c>
      <c r="Z23" s="5">
        <f t="shared" si="26"/>
        <v>14750.816298485761</v>
      </c>
      <c r="AA23" s="5">
        <f t="shared" si="11"/>
        <v>8156.5941534697313</v>
      </c>
      <c r="AB23" s="5">
        <f t="shared" si="12"/>
        <v>27674.895807805868</v>
      </c>
      <c r="AC23" s="5">
        <f t="shared" si="13"/>
        <v>924.13203019944115</v>
      </c>
      <c r="AD23" s="5">
        <f t="shared" si="14"/>
        <v>3.5349279362079282</v>
      </c>
      <c r="AE23" s="5">
        <f t="shared" si="27"/>
        <v>6806.5035727928007</v>
      </c>
      <c r="AF23" s="5">
        <f t="shared" si="28"/>
        <v>20678.668872567527</v>
      </c>
      <c r="AG23" s="5">
        <f t="shared" si="29"/>
        <v>17040.313352884703</v>
      </c>
      <c r="AH23" s="5">
        <f t="shared" si="30"/>
        <v>544.30257597368234</v>
      </c>
      <c r="AI23" s="5">
        <f t="shared" si="31"/>
        <v>2.0612094543813453</v>
      </c>
      <c r="AJ23">
        <f t="shared" si="15"/>
        <v>1988</v>
      </c>
      <c r="AK23">
        <f t="shared" si="32"/>
        <v>45071.849583673102</v>
      </c>
      <c r="AL23">
        <f t="shared" si="33"/>
        <v>51509.973217897008</v>
      </c>
      <c r="AM23">
        <f t="shared" si="34"/>
        <v>0.46667010702701683</v>
      </c>
      <c r="AN23">
        <v>23.969612350715789</v>
      </c>
      <c r="AO23">
        <v>32.180594999999997</v>
      </c>
      <c r="AP23">
        <v>15.997</v>
      </c>
      <c r="AQ23">
        <f>stressors!U18/stressors!U$49</f>
        <v>0.36094410952241818</v>
      </c>
      <c r="AR23">
        <f>CHOOSE(stockcode,Esc!F38,Esc!G38,Esc!H38,Esc!I38,Esc!J38,Esc!K38,Esc!L38,Esc!M38,Esc!N37,Esc!O37,Esc!P37)</f>
        <v>54064.133542300639</v>
      </c>
      <c r="AS23">
        <v>0</v>
      </c>
      <c r="AT23">
        <f t="shared" si="35"/>
        <v>1988</v>
      </c>
      <c r="AU23">
        <v>10000</v>
      </c>
      <c r="AV23" s="11">
        <f t="shared" si="70"/>
        <v>608.10062625217972</v>
      </c>
      <c r="AW23" s="11">
        <f t="shared" si="65"/>
        <v>389.08839554948349</v>
      </c>
      <c r="AX23" s="11">
        <f t="shared" si="66"/>
        <v>164.42290398896799</v>
      </c>
      <c r="AY23" s="11">
        <f t="shared" si="67"/>
        <v>4.7825717563243817</v>
      </c>
      <c r="AZ23" s="11">
        <f t="shared" si="68"/>
        <v>2.6247310303254664E-2</v>
      </c>
      <c r="BA23" s="11">
        <f t="shared" si="69"/>
        <v>38.948483421835576</v>
      </c>
      <c r="BB23" s="11">
        <f t="shared" si="36"/>
        <v>39.777640657284444</v>
      </c>
      <c r="BC23" s="11">
        <f t="shared" si="37"/>
        <v>69.211011938573691</v>
      </c>
      <c r="BD23" s="11">
        <f t="shared" si="38"/>
        <v>2.1045516814889029</v>
      </c>
      <c r="BE23" s="11">
        <f t="shared" si="39"/>
        <v>1.1666691429922825E-2</v>
      </c>
      <c r="BF23" s="11">
        <f t="shared" si="40"/>
        <v>17.972089557701228</v>
      </c>
      <c r="BG23" s="11">
        <f t="shared" si="41"/>
        <v>100.84462267061069</v>
      </c>
      <c r="BH23" s="11">
        <f t="shared" si="42"/>
        <v>42.615420816539789</v>
      </c>
      <c r="BI23" s="11">
        <f t="shared" si="43"/>
        <v>1.2395554575215149</v>
      </c>
      <c r="BJ23" s="11">
        <f t="shared" si="44"/>
        <v>6.8028245867166222E-3</v>
      </c>
      <c r="BK23" s="11">
        <f t="shared" si="45"/>
        <v>1986</v>
      </c>
      <c r="BL23">
        <f t="shared" si="46"/>
        <v>0.5201852435388834</v>
      </c>
      <c r="BM23">
        <f t="shared" si="47"/>
        <v>1988</v>
      </c>
      <c r="BN23" s="11">
        <f t="shared" si="48"/>
        <v>17.972089557701224</v>
      </c>
      <c r="BO23" s="11">
        <f t="shared" si="49"/>
        <v>100.84462267061068</v>
      </c>
      <c r="BP23" s="11">
        <f t="shared" si="50"/>
        <v>42.615420816539796</v>
      </c>
      <c r="BQ23" s="11">
        <f t="shared" si="51"/>
        <v>1.2395554575215149</v>
      </c>
      <c r="BR23" s="11">
        <f t="shared" si="52"/>
        <v>6.8028245867166257E-3</v>
      </c>
      <c r="BS23" s="11">
        <f t="shared" si="53"/>
        <v>38.948483421835576</v>
      </c>
      <c r="BT23" s="11">
        <f t="shared" si="54"/>
        <v>39.777640657284444</v>
      </c>
      <c r="BU23" s="11">
        <f t="shared" si="55"/>
        <v>69.211011938573719</v>
      </c>
      <c r="BV23" s="11">
        <f t="shared" si="56"/>
        <v>2.1045516814889029</v>
      </c>
      <c r="BW23" s="11">
        <f t="shared" si="57"/>
        <v>1.166669142992283E-2</v>
      </c>
      <c r="BX23">
        <f t="shared" si="16"/>
        <v>608.10062625217984</v>
      </c>
      <c r="BY23">
        <f t="shared" si="17"/>
        <v>389.08839554948349</v>
      </c>
      <c r="BZ23">
        <f t="shared" si="18"/>
        <v>164.42290398896802</v>
      </c>
      <c r="CA23">
        <f t="shared" si="19"/>
        <v>4.7825717563243817</v>
      </c>
      <c r="CB23">
        <f t="shared" si="20"/>
        <v>2.6247310303254678E-2</v>
      </c>
      <c r="CC23">
        <f t="shared" si="58"/>
        <v>6.0810062625217987E-2</v>
      </c>
    </row>
    <row r="24" spans="1:81" x14ac:dyDescent="0.55000000000000004">
      <c r="A24" t="s">
        <v>75</v>
      </c>
      <c r="B24" s="2">
        <v>0</v>
      </c>
      <c r="C24" t="s">
        <v>79</v>
      </c>
      <c r="G24">
        <v>1989</v>
      </c>
      <c r="H24" s="5">
        <f t="shared" si="21"/>
        <v>53100551.179507256</v>
      </c>
      <c r="I24" s="5">
        <f t="shared" si="59"/>
        <v>2523946.5289591141</v>
      </c>
      <c r="J24" s="5">
        <f t="shared" si="60"/>
        <v>145280.47484836011</v>
      </c>
      <c r="K24" s="5">
        <f t="shared" si="61"/>
        <v>147358.02122157463</v>
      </c>
      <c r="L24" s="5">
        <f t="shared" si="62"/>
        <v>33715.697442385426</v>
      </c>
      <c r="M24" s="5">
        <f t="shared" si="63"/>
        <v>1912.3716203875517</v>
      </c>
      <c r="N24" s="5">
        <f t="shared" si="64"/>
        <v>11.525485627732898</v>
      </c>
      <c r="O24">
        <v>6.1937969259552479E-2</v>
      </c>
      <c r="P24" s="3">
        <f t="shared" si="6"/>
        <v>-0.93806203074044747</v>
      </c>
      <c r="Q24" s="3">
        <f t="shared" si="7"/>
        <v>2.4494820208249464</v>
      </c>
      <c r="R24" s="3">
        <f t="shared" si="8"/>
        <v>2.8</v>
      </c>
      <c r="S24" s="3">
        <f t="shared" si="22"/>
        <v>0.3</v>
      </c>
      <c r="T24" s="12">
        <f t="shared" si="9"/>
        <v>0.3</v>
      </c>
      <c r="U24" s="12">
        <f t="shared" si="10"/>
        <v>0.3</v>
      </c>
      <c r="V24" s="3">
        <f t="shared" si="23"/>
        <v>0.3</v>
      </c>
      <c r="W24" s="3">
        <f t="shared" si="24"/>
        <v>0.3</v>
      </c>
      <c r="X24" s="3">
        <f t="shared" si="25"/>
        <v>6.449482020824945</v>
      </c>
      <c r="Y24" s="7">
        <f>IF(UseRetro,RetroF,Ftest*ER!$D31+AS24)</f>
        <v>0.3</v>
      </c>
      <c r="Z24" s="5">
        <f t="shared" si="26"/>
        <v>9305.1280032742307</v>
      </c>
      <c r="AA24" s="5">
        <f t="shared" si="11"/>
        <v>15064.839977667312</v>
      </c>
      <c r="AB24" s="5">
        <f t="shared" si="12"/>
        <v>14192.046737958377</v>
      </c>
      <c r="AC24" s="5">
        <f t="shared" si="13"/>
        <v>841.53152621204549</v>
      </c>
      <c r="AD24" s="5">
        <f t="shared" si="14"/>
        <v>5.1229738531378786</v>
      </c>
      <c r="AE24" s="5">
        <f t="shared" si="27"/>
        <v>4293.6869199626635</v>
      </c>
      <c r="AF24" s="5">
        <f t="shared" si="28"/>
        <v>38192.514137028891</v>
      </c>
      <c r="AG24" s="5">
        <f t="shared" si="29"/>
        <v>8738.494454074309</v>
      </c>
      <c r="AH24" s="5">
        <f t="shared" si="30"/>
        <v>495.65187928983204</v>
      </c>
      <c r="AI24" s="5">
        <f t="shared" si="31"/>
        <v>2.9871958725031003</v>
      </c>
      <c r="AJ24">
        <f t="shared" si="15"/>
        <v>1989</v>
      </c>
      <c r="AK24">
        <f t="shared" si="32"/>
        <v>51723.334586228208</v>
      </c>
      <c r="AL24">
        <f t="shared" si="33"/>
        <v>39408.6692189651</v>
      </c>
      <c r="AM24">
        <f t="shared" si="34"/>
        <v>0.56756498734290606</v>
      </c>
      <c r="AN24">
        <v>26.424647779954054</v>
      </c>
      <c r="AO24">
        <v>30.065615999999999</v>
      </c>
      <c r="AP24">
        <v>16.347000000000001</v>
      </c>
      <c r="AQ24">
        <f>stressors!U19/stressors!U$49</f>
        <v>0.3711074734660888</v>
      </c>
      <c r="AR24">
        <f>CHOOSE(stockcode,Esc!F39,Esc!G39,Esc!H39,Esc!I39,Esc!J39,Esc!K39,Esc!L39,Esc!M39,Esc!N38,Esc!O38,Esc!P38)</f>
        <v>37950.628875676288</v>
      </c>
      <c r="AS24">
        <v>0</v>
      </c>
      <c r="AT24">
        <f t="shared" si="35"/>
        <v>1989</v>
      </c>
      <c r="AU24">
        <v>10000</v>
      </c>
      <c r="AV24" s="11">
        <f t="shared" si="70"/>
        <v>608.10062625217972</v>
      </c>
      <c r="AW24" s="11">
        <f t="shared" si="65"/>
        <v>389.08839554948338</v>
      </c>
      <c r="AX24" s="11">
        <f t="shared" si="66"/>
        <v>164.42290398896805</v>
      </c>
      <c r="AY24" s="11">
        <f t="shared" si="67"/>
        <v>4.7825717563243808</v>
      </c>
      <c r="AZ24" s="11">
        <f t="shared" si="68"/>
        <v>2.6247310303254678E-2</v>
      </c>
      <c r="BA24" s="11">
        <f t="shared" si="69"/>
        <v>38.948483421835576</v>
      </c>
      <c r="BB24" s="11">
        <f t="shared" si="36"/>
        <v>39.777640657284437</v>
      </c>
      <c r="BC24" s="11">
        <f t="shared" si="37"/>
        <v>69.211011938573719</v>
      </c>
      <c r="BD24" s="11">
        <f t="shared" si="38"/>
        <v>2.1045516814889025</v>
      </c>
      <c r="BE24" s="11">
        <f t="shared" si="39"/>
        <v>1.166669142992283E-2</v>
      </c>
      <c r="BF24" s="11">
        <f t="shared" si="40"/>
        <v>17.972089557701224</v>
      </c>
      <c r="BG24" s="11">
        <f t="shared" si="41"/>
        <v>100.84462267061068</v>
      </c>
      <c r="BH24" s="11">
        <f t="shared" si="42"/>
        <v>42.615420816539803</v>
      </c>
      <c r="BI24" s="11">
        <f t="shared" si="43"/>
        <v>1.2395554575215149</v>
      </c>
      <c r="BJ24" s="11">
        <f t="shared" si="44"/>
        <v>6.8028245867166257E-3</v>
      </c>
      <c r="BK24" s="11">
        <f t="shared" si="45"/>
        <v>1987</v>
      </c>
      <c r="BL24">
        <f t="shared" si="46"/>
        <v>0.52018524353888329</v>
      </c>
      <c r="BM24">
        <f t="shared" si="47"/>
        <v>1989</v>
      </c>
      <c r="BN24" s="11">
        <f t="shared" si="48"/>
        <v>17.972089557701224</v>
      </c>
      <c r="BO24" s="11">
        <f t="shared" si="49"/>
        <v>100.84462267061066</v>
      </c>
      <c r="BP24" s="11">
        <f t="shared" si="50"/>
        <v>42.615420816539789</v>
      </c>
      <c r="BQ24" s="11">
        <f t="shared" si="51"/>
        <v>1.2395554575215146</v>
      </c>
      <c r="BR24" s="11">
        <f t="shared" si="52"/>
        <v>6.8028245867166248E-3</v>
      </c>
      <c r="BS24" s="11">
        <f t="shared" si="53"/>
        <v>38.948483421835576</v>
      </c>
      <c r="BT24" s="11">
        <f t="shared" si="54"/>
        <v>39.777640657284437</v>
      </c>
      <c r="BU24" s="11">
        <f t="shared" si="55"/>
        <v>69.211011938573691</v>
      </c>
      <c r="BV24" s="11">
        <f t="shared" si="56"/>
        <v>2.104551681488902</v>
      </c>
      <c r="BW24" s="11">
        <f t="shared" si="57"/>
        <v>1.1666691429922826E-2</v>
      </c>
      <c r="BX24">
        <f t="shared" si="16"/>
        <v>608.10062625217972</v>
      </c>
      <c r="BY24">
        <f t="shared" si="17"/>
        <v>389.08839554948338</v>
      </c>
      <c r="BZ24">
        <f t="shared" si="18"/>
        <v>164.42290398896799</v>
      </c>
      <c r="CA24">
        <f t="shared" si="19"/>
        <v>4.7825717563243799</v>
      </c>
      <c r="CB24">
        <f t="shared" si="20"/>
        <v>2.6247310303254671E-2</v>
      </c>
      <c r="CC24">
        <f t="shared" si="58"/>
        <v>6.0810062625217973E-2</v>
      </c>
    </row>
    <row r="25" spans="1:81" x14ac:dyDescent="0.55000000000000004">
      <c r="A25" t="s">
        <v>227</v>
      </c>
      <c r="B25" s="2">
        <v>0</v>
      </c>
      <c r="C25" t="s">
        <v>228</v>
      </c>
      <c r="G25">
        <v>1990</v>
      </c>
      <c r="H25" s="5">
        <f t="shared" si="21"/>
        <v>67771762.721121073</v>
      </c>
      <c r="I25" s="5">
        <f t="shared" si="59"/>
        <v>1752860.8522696646</v>
      </c>
      <c r="J25" s="5">
        <f t="shared" si="60"/>
        <v>153481.34648870525</v>
      </c>
      <c r="K25" s="5">
        <f t="shared" si="61"/>
        <v>92956.567421744039</v>
      </c>
      <c r="L25" s="5">
        <f t="shared" si="62"/>
        <v>62271.283473006784</v>
      </c>
      <c r="M25" s="5">
        <f t="shared" si="63"/>
        <v>980.68905499655727</v>
      </c>
      <c r="N25" s="5">
        <f t="shared" si="64"/>
        <v>10.495317978046776</v>
      </c>
      <c r="O25">
        <v>0.28646753671562714</v>
      </c>
      <c r="P25" s="3">
        <f t="shared" si="6"/>
        <v>-0.71353246328437292</v>
      </c>
      <c r="Q25" s="3">
        <f t="shared" si="7"/>
        <v>2.9107502701261905</v>
      </c>
      <c r="R25" s="3">
        <f t="shared" si="8"/>
        <v>2.8</v>
      </c>
      <c r="S25" s="3">
        <f t="shared" si="22"/>
        <v>0.3</v>
      </c>
      <c r="T25" s="12">
        <f t="shared" si="9"/>
        <v>0.3</v>
      </c>
      <c r="U25" s="12">
        <f t="shared" si="10"/>
        <v>0.3</v>
      </c>
      <c r="V25" s="3">
        <f t="shared" si="23"/>
        <v>0.3</v>
      </c>
      <c r="W25" s="3">
        <f t="shared" si="24"/>
        <v>0.3</v>
      </c>
      <c r="X25" s="3">
        <f t="shared" si="25"/>
        <v>6.91075027012619</v>
      </c>
      <c r="Y25" s="7">
        <f>IF(UseRetro,RetroF,Ftest*ER!$D32+AS25)</f>
        <v>0.3</v>
      </c>
      <c r="Z25" s="5">
        <f t="shared" si="26"/>
        <v>9830.3889540763503</v>
      </c>
      <c r="AA25" s="5">
        <f t="shared" si="11"/>
        <v>9503.2208051718062</v>
      </c>
      <c r="AB25" s="5">
        <f t="shared" si="12"/>
        <v>26212.032748002985</v>
      </c>
      <c r="AC25" s="5">
        <f t="shared" si="13"/>
        <v>431.54831853416346</v>
      </c>
      <c r="AD25" s="5">
        <f t="shared" si="14"/>
        <v>4.6650736739912748</v>
      </c>
      <c r="AE25" s="5">
        <f t="shared" si="27"/>
        <v>4536.0593057302349</v>
      </c>
      <c r="AF25" s="5">
        <f t="shared" si="28"/>
        <v>24092.648543687475</v>
      </c>
      <c r="AG25" s="5">
        <f t="shared" si="29"/>
        <v>16139.582050967034</v>
      </c>
      <c r="AH25" s="5">
        <f t="shared" si="30"/>
        <v>254.17673423197235</v>
      </c>
      <c r="AI25" s="5">
        <f t="shared" si="31"/>
        <v>2.7201951880613184</v>
      </c>
      <c r="AJ25">
        <f t="shared" si="15"/>
        <v>1990</v>
      </c>
      <c r="AK25">
        <f t="shared" si="32"/>
        <v>45025.186829804778</v>
      </c>
      <c r="AL25">
        <f t="shared" si="33"/>
        <v>45981.855899459297</v>
      </c>
      <c r="AM25">
        <f t="shared" si="34"/>
        <v>0.4947439833173104</v>
      </c>
      <c r="AN25">
        <v>28.864553192787938</v>
      </c>
      <c r="AO25">
        <v>33.204686000000002</v>
      </c>
      <c r="AP25">
        <v>15.516</v>
      </c>
      <c r="AQ25">
        <f>stressors!U20/stressors!U$49</f>
        <v>0.38108890109123872</v>
      </c>
      <c r="AR25">
        <f>CHOOSE(stockcode,Esc!F40,Esc!G40,Esc!H40,Esc!I40,Esc!J40,Esc!K40,Esc!L40,Esc!M40,Esc!N39,Esc!O39,Esc!P39)</f>
        <v>51157.854853381767</v>
      </c>
      <c r="AS25">
        <v>0</v>
      </c>
      <c r="AT25">
        <f t="shared" si="35"/>
        <v>1990</v>
      </c>
      <c r="AU25">
        <v>10000</v>
      </c>
      <c r="AV25" s="11">
        <f t="shared" si="70"/>
        <v>608.10062625217972</v>
      </c>
      <c r="AW25" s="11">
        <f t="shared" si="65"/>
        <v>389.08839554948344</v>
      </c>
      <c r="AX25" s="11">
        <f t="shared" si="66"/>
        <v>164.42290398896799</v>
      </c>
      <c r="AY25" s="11">
        <f t="shared" si="67"/>
        <v>4.7825717563243817</v>
      </c>
      <c r="AZ25" s="11">
        <f t="shared" si="68"/>
        <v>2.6247310303254674E-2</v>
      </c>
      <c r="BA25" s="11">
        <f t="shared" si="69"/>
        <v>38.948483421835576</v>
      </c>
      <c r="BB25" s="11">
        <f t="shared" si="36"/>
        <v>39.777640657284444</v>
      </c>
      <c r="BC25" s="11">
        <f t="shared" si="37"/>
        <v>69.211011938573691</v>
      </c>
      <c r="BD25" s="11">
        <f t="shared" si="38"/>
        <v>2.1045516814889034</v>
      </c>
      <c r="BE25" s="11">
        <f t="shared" si="39"/>
        <v>1.166669142992283E-2</v>
      </c>
      <c r="BF25" s="11">
        <f t="shared" si="40"/>
        <v>17.972089557701224</v>
      </c>
      <c r="BG25" s="11">
        <f t="shared" si="41"/>
        <v>100.84462267061068</v>
      </c>
      <c r="BH25" s="11">
        <f t="shared" si="42"/>
        <v>42.615420816539789</v>
      </c>
      <c r="BI25" s="11">
        <f t="shared" si="43"/>
        <v>1.2395554575215149</v>
      </c>
      <c r="BJ25" s="11">
        <f t="shared" si="44"/>
        <v>6.8028245867166257E-3</v>
      </c>
      <c r="BK25" s="11">
        <f t="shared" si="45"/>
        <v>1988</v>
      </c>
      <c r="BL25">
        <f t="shared" si="46"/>
        <v>0.52018524353888329</v>
      </c>
      <c r="BM25">
        <f t="shared" si="47"/>
        <v>1990</v>
      </c>
      <c r="BN25" s="11">
        <f t="shared" si="48"/>
        <v>17.972089557701224</v>
      </c>
      <c r="BO25" s="11">
        <f t="shared" si="49"/>
        <v>100.84462267061068</v>
      </c>
      <c r="BP25" s="11">
        <f t="shared" si="50"/>
        <v>42.615420816539789</v>
      </c>
      <c r="BQ25" s="11">
        <f t="shared" si="51"/>
        <v>1.2395554575215146</v>
      </c>
      <c r="BR25" s="11">
        <f t="shared" si="52"/>
        <v>5.2884073272957124E-3</v>
      </c>
      <c r="BS25" s="11">
        <f t="shared" si="53"/>
        <v>38.948483421835576</v>
      </c>
      <c r="BT25" s="11">
        <f t="shared" si="54"/>
        <v>39.777640657284437</v>
      </c>
      <c r="BU25" s="11">
        <f t="shared" si="55"/>
        <v>69.211011938573691</v>
      </c>
      <c r="BV25" s="11">
        <f t="shared" si="56"/>
        <v>2.1045516814889025</v>
      </c>
      <c r="BW25" s="11">
        <f t="shared" si="57"/>
        <v>1.2575341785575374E-2</v>
      </c>
      <c r="BX25">
        <f t="shared" si="16"/>
        <v>608.10062625217972</v>
      </c>
      <c r="BY25">
        <f t="shared" si="17"/>
        <v>389.08839554948338</v>
      </c>
      <c r="BZ25">
        <f t="shared" si="18"/>
        <v>164.42290398896799</v>
      </c>
      <c r="CA25">
        <f t="shared" si="19"/>
        <v>4.7825717563243808</v>
      </c>
      <c r="CB25">
        <f t="shared" si="20"/>
        <v>2.6247310303254671E-2</v>
      </c>
      <c r="CC25">
        <f t="shared" si="58"/>
        <v>6.0810062625217973E-2</v>
      </c>
    </row>
    <row r="26" spans="1:81" x14ac:dyDescent="0.55000000000000004">
      <c r="B26" s="2"/>
      <c r="G26">
        <v>1991</v>
      </c>
      <c r="H26" s="5">
        <f t="shared" si="21"/>
        <v>50129508.695243664</v>
      </c>
      <c r="I26" s="5">
        <f t="shared" si="59"/>
        <v>4584611.1245363234</v>
      </c>
      <c r="J26" s="5">
        <f t="shared" si="60"/>
        <v>106591.57819981125</v>
      </c>
      <c r="K26" s="5">
        <f t="shared" si="61"/>
        <v>98203.83054053894</v>
      </c>
      <c r="L26" s="5">
        <f t="shared" si="62"/>
        <v>39282.047306357257</v>
      </c>
      <c r="M26" s="5">
        <f t="shared" si="63"/>
        <v>1811.2858631182769</v>
      </c>
      <c r="N26" s="5">
        <f t="shared" si="64"/>
        <v>5.3821356477216566</v>
      </c>
      <c r="O26">
        <v>0.67064635597307332</v>
      </c>
      <c r="P26" s="3">
        <f t="shared" si="6"/>
        <v>-0.32935364402692668</v>
      </c>
      <c r="Q26" s="3">
        <f t="shared" si="7"/>
        <v>3.0102488534660221</v>
      </c>
      <c r="R26" s="3">
        <f t="shared" si="8"/>
        <v>2.8</v>
      </c>
      <c r="S26" s="3">
        <f t="shared" si="22"/>
        <v>0.3</v>
      </c>
      <c r="T26" s="12">
        <f t="shared" si="9"/>
        <v>0.3</v>
      </c>
      <c r="U26" s="12">
        <f t="shared" si="10"/>
        <v>0.3</v>
      </c>
      <c r="V26" s="3">
        <f t="shared" si="23"/>
        <v>0.3</v>
      </c>
      <c r="W26" s="3">
        <f t="shared" si="24"/>
        <v>0.3</v>
      </c>
      <c r="X26" s="3">
        <f t="shared" si="25"/>
        <v>7.0102488534660212</v>
      </c>
      <c r="Y26" s="7">
        <f>IF(UseRetro,RetroF,Ftest*ER!$D33+AS26)</f>
        <v>0.3</v>
      </c>
      <c r="Z26" s="5">
        <f t="shared" si="26"/>
        <v>6827.127184540961</v>
      </c>
      <c r="AA26" s="5">
        <f t="shared" si="11"/>
        <v>10039.663806713599</v>
      </c>
      <c r="AB26" s="5">
        <f t="shared" si="12"/>
        <v>16535.106600929055</v>
      </c>
      <c r="AC26" s="5">
        <f t="shared" si="13"/>
        <v>797.04914073517148</v>
      </c>
      <c r="AD26" s="5">
        <f t="shared" si="14"/>
        <v>2.3923104924076819</v>
      </c>
      <c r="AE26" s="5">
        <f t="shared" si="27"/>
        <v>3150.257221917891</v>
      </c>
      <c r="AF26" s="5">
        <f t="shared" si="28"/>
        <v>25452.643535367937</v>
      </c>
      <c r="AG26" s="5">
        <f t="shared" si="29"/>
        <v>10181.190916126605</v>
      </c>
      <c r="AH26" s="5">
        <f t="shared" si="30"/>
        <v>469.45229285704539</v>
      </c>
      <c r="AI26" s="5">
        <f t="shared" si="31"/>
        <v>1.3949514937088539</v>
      </c>
      <c r="AJ26">
        <f t="shared" si="15"/>
        <v>1991</v>
      </c>
      <c r="AK26">
        <f t="shared" si="32"/>
        <v>39254.938917763189</v>
      </c>
      <c r="AL26">
        <f t="shared" si="33"/>
        <v>34201.339043411193</v>
      </c>
      <c r="AM26">
        <f t="shared" si="34"/>
        <v>0.53439869276403518</v>
      </c>
      <c r="AN26">
        <v>31.221510695298321</v>
      </c>
      <c r="AO26">
        <v>27.483294000000001</v>
      </c>
      <c r="AP26">
        <v>16.360999999999997</v>
      </c>
      <c r="AQ26">
        <f>stressors!U21/stressors!U$49</f>
        <v>0.39160239933391472</v>
      </c>
      <c r="AR26">
        <f>CHOOSE(stockcode,Esc!F41,Esc!G41,Esc!H41,Esc!I41,Esc!J41,Esc!K41,Esc!L41,Esc!M41,Esc!N40,Esc!O40,Esc!P40)</f>
        <v>34767.351578448506</v>
      </c>
      <c r="AS26">
        <v>0</v>
      </c>
      <c r="AT26">
        <f t="shared" si="35"/>
        <v>1991</v>
      </c>
      <c r="AU26">
        <v>10000</v>
      </c>
      <c r="AV26" s="11">
        <f t="shared" si="70"/>
        <v>608.10062625217972</v>
      </c>
      <c r="AW26" s="11">
        <f t="shared" si="65"/>
        <v>389.08839554948338</v>
      </c>
      <c r="AX26" s="11">
        <f t="shared" si="66"/>
        <v>164.42290398896802</v>
      </c>
      <c r="AY26" s="11">
        <f t="shared" si="67"/>
        <v>4.7825717563243808</v>
      </c>
      <c r="AZ26" s="11">
        <f t="shared" si="68"/>
        <v>2.6247310303254674E-2</v>
      </c>
      <c r="BA26" s="11">
        <f t="shared" si="69"/>
        <v>38.948483421835576</v>
      </c>
      <c r="BB26" s="11">
        <f t="shared" si="36"/>
        <v>39.777640657284437</v>
      </c>
      <c r="BC26" s="11">
        <f t="shared" si="37"/>
        <v>69.211011938573719</v>
      </c>
      <c r="BD26" s="11">
        <f t="shared" si="38"/>
        <v>2.1045516814889025</v>
      </c>
      <c r="BE26" s="11">
        <f t="shared" si="39"/>
        <v>1.166669142992283E-2</v>
      </c>
      <c r="BF26" s="11">
        <f t="shared" si="40"/>
        <v>17.972089557701224</v>
      </c>
      <c r="BG26" s="11">
        <f t="shared" si="41"/>
        <v>100.84462267061066</v>
      </c>
      <c r="BH26" s="11">
        <f t="shared" si="42"/>
        <v>42.615420816539796</v>
      </c>
      <c r="BI26" s="11">
        <f t="shared" si="43"/>
        <v>1.2395554575215144</v>
      </c>
      <c r="BJ26" s="11">
        <f t="shared" si="44"/>
        <v>6.8028245867166257E-3</v>
      </c>
      <c r="BK26" s="11">
        <f t="shared" si="45"/>
        <v>1989</v>
      </c>
      <c r="BL26">
        <f t="shared" si="46"/>
        <v>0.52018140859660111</v>
      </c>
      <c r="BM26">
        <f t="shared" si="47"/>
        <v>1991</v>
      </c>
      <c r="BN26" s="11">
        <f t="shared" si="48"/>
        <v>17.972089557701228</v>
      </c>
      <c r="BO26" s="11">
        <f t="shared" si="49"/>
        <v>100.84462267061065</v>
      </c>
      <c r="BP26" s="11">
        <f t="shared" si="50"/>
        <v>42.615420816539789</v>
      </c>
      <c r="BQ26" s="11">
        <f t="shared" si="51"/>
        <v>0.96361064151884346</v>
      </c>
      <c r="BR26" s="11">
        <f t="shared" si="52"/>
        <v>5.7002904415142048E-3</v>
      </c>
      <c r="BS26" s="11">
        <f t="shared" si="53"/>
        <v>38.948483421835576</v>
      </c>
      <c r="BT26" s="11">
        <f t="shared" si="54"/>
        <v>39.777640657284437</v>
      </c>
      <c r="BU26" s="11">
        <f t="shared" si="55"/>
        <v>69.211011938573705</v>
      </c>
      <c r="BV26" s="11">
        <f t="shared" si="56"/>
        <v>2.2684629021944893</v>
      </c>
      <c r="BW26" s="11">
        <f t="shared" si="57"/>
        <v>1.355476160262894E-2</v>
      </c>
      <c r="BX26">
        <f t="shared" si="16"/>
        <v>608.10062625217984</v>
      </c>
      <c r="BY26">
        <f t="shared" si="17"/>
        <v>389.08839554948344</v>
      </c>
      <c r="BZ26">
        <f t="shared" si="18"/>
        <v>164.42290398896802</v>
      </c>
      <c r="CA26">
        <f t="shared" si="19"/>
        <v>4.7825717563243817</v>
      </c>
      <c r="CB26">
        <f t="shared" si="20"/>
        <v>2.8291559779229106E-2</v>
      </c>
      <c r="CC26">
        <f t="shared" si="58"/>
        <v>6.0810062625217987E-2</v>
      </c>
    </row>
    <row r="27" spans="1:81" x14ac:dyDescent="0.55000000000000004">
      <c r="A27" t="s">
        <v>100</v>
      </c>
      <c r="B27" s="2">
        <v>11</v>
      </c>
      <c r="C27" t="s">
        <v>235</v>
      </c>
      <c r="G27">
        <v>1992</v>
      </c>
      <c r="H27" s="5">
        <f t="shared" si="21"/>
        <v>46665923.272814266</v>
      </c>
      <c r="I27" s="5">
        <f t="shared" si="59"/>
        <v>3689147.3431320079</v>
      </c>
      <c r="J27" s="5">
        <f t="shared" si="60"/>
        <v>278790.48959532479</v>
      </c>
      <c r="K27" s="5">
        <f t="shared" si="61"/>
        <v>68201.781663110378</v>
      </c>
      <c r="L27" s="5">
        <f t="shared" si="62"/>
        <v>41499.461780433347</v>
      </c>
      <c r="M27" s="5">
        <f t="shared" si="63"/>
        <v>1142.5975665202191</v>
      </c>
      <c r="N27" s="5">
        <f t="shared" si="64"/>
        <v>9.9405475797192313</v>
      </c>
      <c r="O27">
        <v>0.56179561964637559</v>
      </c>
      <c r="P27" s="3">
        <f t="shared" si="6"/>
        <v>-0.43820438035362441</v>
      </c>
      <c r="Q27" s="3">
        <f t="shared" si="7"/>
        <v>2.8455087555117378</v>
      </c>
      <c r="R27" s="3">
        <f t="shared" si="8"/>
        <v>2.8</v>
      </c>
      <c r="S27" s="3">
        <f t="shared" si="22"/>
        <v>0.3</v>
      </c>
      <c r="T27" s="12">
        <f t="shared" si="9"/>
        <v>0.3</v>
      </c>
      <c r="U27" s="12">
        <f t="shared" si="10"/>
        <v>0.3</v>
      </c>
      <c r="V27" s="3">
        <f t="shared" si="23"/>
        <v>0.3</v>
      </c>
      <c r="W27" s="3">
        <f t="shared" si="24"/>
        <v>0.3</v>
      </c>
      <c r="X27" s="3">
        <f t="shared" si="25"/>
        <v>6.8455087555117373</v>
      </c>
      <c r="Y27" s="7">
        <f>IF(UseRetro,RetroF,Ftest*ER!$D34+AS27)</f>
        <v>0.3</v>
      </c>
      <c r="Z27" s="5">
        <f t="shared" si="26"/>
        <v>17856.365037956592</v>
      </c>
      <c r="AA27" s="5">
        <f t="shared" si="11"/>
        <v>6972.4669103804054</v>
      </c>
      <c r="AB27" s="5">
        <f t="shared" si="12"/>
        <v>17468.489334811089</v>
      </c>
      <c r="AC27" s="5">
        <f t="shared" si="13"/>
        <v>502.79551513375304</v>
      </c>
      <c r="AD27" s="5">
        <f t="shared" si="14"/>
        <v>4.4184832623657346</v>
      </c>
      <c r="AE27" s="5">
        <f t="shared" si="27"/>
        <v>8239.5041717400127</v>
      </c>
      <c r="AF27" s="5">
        <f t="shared" si="28"/>
        <v>17676.659124121936</v>
      </c>
      <c r="AG27" s="5">
        <f t="shared" si="29"/>
        <v>10755.904345003759</v>
      </c>
      <c r="AH27" s="5">
        <f t="shared" si="30"/>
        <v>296.14047033544961</v>
      </c>
      <c r="AI27" s="5">
        <f t="shared" si="31"/>
        <v>2.5764088091096733</v>
      </c>
      <c r="AJ27">
        <f t="shared" si="15"/>
        <v>1992</v>
      </c>
      <c r="AK27">
        <f t="shared" si="32"/>
        <v>36970.784520010267</v>
      </c>
      <c r="AL27">
        <f t="shared" si="33"/>
        <v>42804.535281544202</v>
      </c>
      <c r="AM27">
        <f t="shared" si="34"/>
        <v>0.46343636869118354</v>
      </c>
      <c r="AN27">
        <v>33.424903500724518</v>
      </c>
      <c r="AO27">
        <v>26.055395999999998</v>
      </c>
      <c r="AP27">
        <v>16.343</v>
      </c>
      <c r="AQ27">
        <f>stressors!U22/stressors!U$49</f>
        <v>0.37870725438402669</v>
      </c>
      <c r="AR27">
        <f>CHOOSE(stockcode,Esc!F42,Esc!G42,Esc!H42,Esc!I42,Esc!J42,Esc!K42,Esc!L42,Esc!M42,Esc!N41,Esc!O41,Esc!P41)</f>
        <v>42483.844334993897</v>
      </c>
      <c r="AS27">
        <v>0</v>
      </c>
      <c r="AT27">
        <f t="shared" si="35"/>
        <v>1992</v>
      </c>
      <c r="AU27">
        <v>10000</v>
      </c>
      <c r="AV27" s="11">
        <f t="shared" si="70"/>
        <v>608.10062625217972</v>
      </c>
      <c r="AW27" s="11">
        <f t="shared" si="65"/>
        <v>389.08839554948338</v>
      </c>
      <c r="AX27" s="11">
        <f t="shared" si="66"/>
        <v>164.42290398896799</v>
      </c>
      <c r="AY27" s="11">
        <f t="shared" si="67"/>
        <v>4.7825717563243817</v>
      </c>
      <c r="AZ27" s="11">
        <f t="shared" si="68"/>
        <v>2.6247310303254671E-2</v>
      </c>
      <c r="BA27" s="11">
        <f t="shared" si="69"/>
        <v>38.948483421835576</v>
      </c>
      <c r="BB27" s="11">
        <f t="shared" si="36"/>
        <v>39.777640657284437</v>
      </c>
      <c r="BC27" s="11">
        <f t="shared" si="37"/>
        <v>69.211011938573691</v>
      </c>
      <c r="BD27" s="11">
        <f t="shared" si="38"/>
        <v>2.1045516814889029</v>
      </c>
      <c r="BE27" s="11">
        <f t="shared" si="39"/>
        <v>1.1666691429922826E-2</v>
      </c>
      <c r="BF27" s="11">
        <f t="shared" si="40"/>
        <v>17.972089557701228</v>
      </c>
      <c r="BG27" s="11">
        <f t="shared" si="41"/>
        <v>100.84462267061068</v>
      </c>
      <c r="BH27" s="11">
        <f t="shared" si="42"/>
        <v>42.615420816539789</v>
      </c>
      <c r="BI27" s="11">
        <f t="shared" si="43"/>
        <v>1.2395554575215149</v>
      </c>
      <c r="BJ27" s="11">
        <f t="shared" si="44"/>
        <v>6.8028245867166257E-3</v>
      </c>
      <c r="BK27" s="11">
        <f t="shared" si="45"/>
        <v>1990</v>
      </c>
      <c r="BL27">
        <f t="shared" si="46"/>
        <v>0.51948414529716391</v>
      </c>
      <c r="BM27">
        <f t="shared" si="47"/>
        <v>1992</v>
      </c>
      <c r="BN27" s="11">
        <f t="shared" si="48"/>
        <v>17.972089557701228</v>
      </c>
      <c r="BO27" s="11">
        <f t="shared" si="49"/>
        <v>100.84462267061068</v>
      </c>
      <c r="BP27" s="11">
        <f t="shared" si="50"/>
        <v>33.128548418261175</v>
      </c>
      <c r="BQ27" s="11">
        <f t="shared" si="51"/>
        <v>1.0386606381169339</v>
      </c>
      <c r="BR27" s="11">
        <f t="shared" si="52"/>
        <v>5.6833684755320637E-3</v>
      </c>
      <c r="BS27" s="11">
        <f t="shared" si="53"/>
        <v>38.948483421835583</v>
      </c>
      <c r="BT27" s="11">
        <f t="shared" si="54"/>
        <v>39.777640657284437</v>
      </c>
      <c r="BU27" s="11">
        <f t="shared" si="55"/>
        <v>74.601452835275637</v>
      </c>
      <c r="BV27" s="11">
        <f t="shared" si="56"/>
        <v>2.4451402091451944</v>
      </c>
      <c r="BW27" s="11">
        <f t="shared" si="57"/>
        <v>1.4886993248582461E-2</v>
      </c>
      <c r="BX27">
        <f t="shared" si="16"/>
        <v>608.10062625217984</v>
      </c>
      <c r="BY27">
        <f t="shared" si="17"/>
        <v>389.08839554948349</v>
      </c>
      <c r="BZ27">
        <f t="shared" si="18"/>
        <v>164.42290398896805</v>
      </c>
      <c r="CA27">
        <f t="shared" si="19"/>
        <v>5.1550582966105267</v>
      </c>
      <c r="CB27">
        <f t="shared" si="20"/>
        <v>3.0495023889836166E-2</v>
      </c>
      <c r="CC27">
        <f t="shared" si="58"/>
        <v>6.0810062625217987E-2</v>
      </c>
    </row>
    <row r="28" spans="1:81" x14ac:dyDescent="0.55000000000000004">
      <c r="A28" t="s">
        <v>178</v>
      </c>
      <c r="B28">
        <f>SUMPRODUCT(Lhist,(1-EXP(-vul*Fhist)))</f>
        <v>1.6267849132695991E-2</v>
      </c>
      <c r="E28" t="s">
        <v>241</v>
      </c>
      <c r="G28">
        <v>1993</v>
      </c>
      <c r="H28" s="5">
        <f t="shared" si="21"/>
        <v>52954512.55134441</v>
      </c>
      <c r="I28" s="5">
        <f t="shared" si="59"/>
        <v>2470352.8066690997</v>
      </c>
      <c r="J28" s="5">
        <f t="shared" si="60"/>
        <v>224337.2809695139</v>
      </c>
      <c r="K28" s="5">
        <f t="shared" si="61"/>
        <v>178381.89866641504</v>
      </c>
      <c r="L28" s="5">
        <f t="shared" si="62"/>
        <v>28821.047161875566</v>
      </c>
      <c r="M28" s="5">
        <f t="shared" si="63"/>
        <v>1207.0955383872815</v>
      </c>
      <c r="N28" s="5">
        <f t="shared" si="64"/>
        <v>6.2707083987901511</v>
      </c>
      <c r="O28">
        <v>0.69701128664998702</v>
      </c>
      <c r="P28" s="3">
        <f t="shared" si="6"/>
        <v>-0.30298871335001298</v>
      </c>
      <c r="Q28" s="3">
        <f t="shared" si="7"/>
        <v>3.08219881897144</v>
      </c>
      <c r="R28" s="3">
        <f t="shared" si="8"/>
        <v>2.8</v>
      </c>
      <c r="S28" s="3">
        <f t="shared" si="22"/>
        <v>0.3</v>
      </c>
      <c r="T28" s="12">
        <f t="shared" si="9"/>
        <v>0.3</v>
      </c>
      <c r="U28" s="12">
        <f t="shared" si="10"/>
        <v>0.3</v>
      </c>
      <c r="V28" s="3">
        <f t="shared" si="23"/>
        <v>0.3</v>
      </c>
      <c r="W28" s="3">
        <f t="shared" si="24"/>
        <v>0.3</v>
      </c>
      <c r="X28" s="3">
        <f t="shared" si="25"/>
        <v>7.0821988189714391</v>
      </c>
      <c r="Y28" s="7">
        <f>IF(UseRetro,RetroF,Ftest*ER!$D35+AS28)</f>
        <v>0.3</v>
      </c>
      <c r="Z28" s="5">
        <f t="shared" si="26"/>
        <v>14368.66941346858</v>
      </c>
      <c r="AA28" s="5">
        <f t="shared" si="11"/>
        <v>18236.501386519456</v>
      </c>
      <c r="AB28" s="5">
        <f t="shared" si="12"/>
        <v>12131.727337309421</v>
      </c>
      <c r="AC28" s="5">
        <f t="shared" si="13"/>
        <v>531.17759115089814</v>
      </c>
      <c r="AD28" s="5">
        <f t="shared" si="14"/>
        <v>2.7872730230433742</v>
      </c>
      <c r="AE28" s="5">
        <f t="shared" si="27"/>
        <v>6630.1686442323989</v>
      </c>
      <c r="AF28" s="5">
        <f t="shared" si="28"/>
        <v>46233.337894534947</v>
      </c>
      <c r="AG28" s="5">
        <f t="shared" si="29"/>
        <v>7469.8902852310339</v>
      </c>
      <c r="AH28" s="5">
        <f t="shared" si="30"/>
        <v>312.85716944637534</v>
      </c>
      <c r="AI28" s="5">
        <f t="shared" si="31"/>
        <v>1.6252533603845272</v>
      </c>
      <c r="AJ28">
        <f t="shared" si="15"/>
        <v>1993</v>
      </c>
      <c r="AK28">
        <f t="shared" si="32"/>
        <v>60647.87924680514</v>
      </c>
      <c r="AL28">
        <f t="shared" si="33"/>
        <v>45270.8630014714</v>
      </c>
      <c r="AM28">
        <f t="shared" si="34"/>
        <v>0.57258874075982502</v>
      </c>
      <c r="AN28">
        <v>35.407846174608039</v>
      </c>
      <c r="AO28">
        <v>22.782776999999999</v>
      </c>
      <c r="AP28">
        <v>16.461000000000002</v>
      </c>
      <c r="AQ28">
        <f>stressors!U23/stressors!U$49</f>
        <v>0.37865475071146704</v>
      </c>
      <c r="AR28">
        <f>CHOOSE(stockcode,Esc!F43,Esc!G43,Esc!H43,Esc!I43,Esc!J43,Esc!K43,Esc!L43,Esc!M43,Esc!N42,Esc!O42,Esc!P42)</f>
        <v>43757.977809358563</v>
      </c>
      <c r="AS28">
        <v>0</v>
      </c>
      <c r="AT28">
        <f t="shared" si="35"/>
        <v>1993</v>
      </c>
      <c r="AU28">
        <v>10000</v>
      </c>
      <c r="AV28" s="11">
        <f t="shared" si="70"/>
        <v>608.10062625217972</v>
      </c>
      <c r="AW28" s="11">
        <f t="shared" si="65"/>
        <v>389.08839554948332</v>
      </c>
      <c r="AX28" s="11">
        <f t="shared" si="66"/>
        <v>164.42290398896799</v>
      </c>
      <c r="AY28" s="11">
        <f t="shared" si="67"/>
        <v>4.7825717563243808</v>
      </c>
      <c r="AZ28" s="11">
        <f t="shared" si="68"/>
        <v>2.6247310303254674E-2</v>
      </c>
      <c r="BA28" s="11">
        <f t="shared" si="69"/>
        <v>38.948483421835583</v>
      </c>
      <c r="BB28" s="11">
        <f t="shared" si="36"/>
        <v>39.777640657284437</v>
      </c>
      <c r="BC28" s="11">
        <f t="shared" si="37"/>
        <v>69.211011938573691</v>
      </c>
      <c r="BD28" s="11">
        <f t="shared" si="38"/>
        <v>2.104551681488902</v>
      </c>
      <c r="BE28" s="11">
        <f t="shared" si="39"/>
        <v>1.166669142992283E-2</v>
      </c>
      <c r="BF28" s="11">
        <f t="shared" si="40"/>
        <v>17.972089557701228</v>
      </c>
      <c r="BG28" s="11">
        <f t="shared" si="41"/>
        <v>100.84462267061065</v>
      </c>
      <c r="BH28" s="11">
        <f t="shared" si="42"/>
        <v>42.615420816539789</v>
      </c>
      <c r="BI28" s="11">
        <f t="shared" si="43"/>
        <v>1.2395554575215146</v>
      </c>
      <c r="BJ28" s="11">
        <f t="shared" si="44"/>
        <v>6.8028245867166257E-3</v>
      </c>
      <c r="BK28" s="11">
        <f t="shared" si="45"/>
        <v>1991</v>
      </c>
      <c r="BL28">
        <f t="shared" si="46"/>
        <v>0.49546922605659599</v>
      </c>
      <c r="BM28">
        <f t="shared" si="47"/>
        <v>1993</v>
      </c>
      <c r="BN28" s="11">
        <f t="shared" si="48"/>
        <v>17.972089557701224</v>
      </c>
      <c r="BO28" s="11">
        <f t="shared" si="49"/>
        <v>78.395001172157052</v>
      </c>
      <c r="BP28" s="11">
        <f t="shared" si="50"/>
        <v>35.708737281857843</v>
      </c>
      <c r="BQ28" s="11">
        <f t="shared" si="51"/>
        <v>1.0355772548813706</v>
      </c>
      <c r="BR28" s="11">
        <f t="shared" si="52"/>
        <v>5.7261963693117108E-3</v>
      </c>
      <c r="BS28" s="11">
        <f t="shared" si="53"/>
        <v>38.948483421835576</v>
      </c>
      <c r="BT28" s="11">
        <f t="shared" si="54"/>
        <v>42.875688424071022</v>
      </c>
      <c r="BU28" s="11">
        <f t="shared" si="55"/>
        <v>80.411723644110936</v>
      </c>
      <c r="BV28" s="11">
        <f t="shared" si="56"/>
        <v>2.6854611576733358</v>
      </c>
      <c r="BW28" s="11">
        <f t="shared" si="57"/>
        <v>1.6659621133336494E-2</v>
      </c>
      <c r="BX28">
        <f t="shared" si="16"/>
        <v>608.10062625217961</v>
      </c>
      <c r="BY28">
        <f t="shared" si="17"/>
        <v>389.08839554948332</v>
      </c>
      <c r="BZ28">
        <f t="shared" si="18"/>
        <v>177.22884225213406</v>
      </c>
      <c r="CA28">
        <f t="shared" si="19"/>
        <v>5.5565556348028116</v>
      </c>
      <c r="CB28">
        <f t="shared" si="20"/>
        <v>3.3492231591539204E-2</v>
      </c>
      <c r="CC28">
        <f t="shared" si="58"/>
        <v>6.0810062625217959E-2</v>
      </c>
    </row>
    <row r="29" spans="1:81" x14ac:dyDescent="0.55000000000000004">
      <c r="A29" t="s">
        <v>58</v>
      </c>
      <c r="G29">
        <v>1994</v>
      </c>
      <c r="H29" s="5">
        <f t="shared" si="21"/>
        <v>86404032.051949084</v>
      </c>
      <c r="I29" s="5">
        <f t="shared" si="59"/>
        <v>2711509.3848846918</v>
      </c>
      <c r="J29" s="5">
        <f t="shared" si="60"/>
        <v>150222.30887993093</v>
      </c>
      <c r="K29" s="5">
        <f t="shared" si="61"/>
        <v>143540.44206848726</v>
      </c>
      <c r="L29" s="5">
        <f t="shared" si="62"/>
        <v>75381.507475639039</v>
      </c>
      <c r="M29" s="5">
        <f t="shared" si="63"/>
        <v>838.31828048315811</v>
      </c>
      <c r="N29" s="5">
        <f t="shared" si="64"/>
        <v>6.6246807734412414</v>
      </c>
      <c r="O29">
        <v>1.2131540270482826</v>
      </c>
      <c r="P29" s="3">
        <f t="shared" si="6"/>
        <v>0.21315402704828257</v>
      </c>
      <c r="Q29" s="3">
        <f t="shared" si="7"/>
        <v>4.1380921540950837</v>
      </c>
      <c r="R29" s="3">
        <f t="shared" si="8"/>
        <v>2.8</v>
      </c>
      <c r="S29" s="3">
        <f t="shared" si="22"/>
        <v>0.3</v>
      </c>
      <c r="T29" s="12">
        <f t="shared" si="9"/>
        <v>0.3</v>
      </c>
      <c r="U29" s="12">
        <f t="shared" si="10"/>
        <v>0.3</v>
      </c>
      <c r="V29" s="3">
        <f t="shared" si="23"/>
        <v>0.3</v>
      </c>
      <c r="W29" s="3">
        <f t="shared" si="24"/>
        <v>0.3</v>
      </c>
      <c r="X29" s="3">
        <f t="shared" si="25"/>
        <v>8.1380921540950837</v>
      </c>
      <c r="Y29" s="7">
        <f>IF(UseRetro,RetroF,Ftest*ER!$D36+AS29)</f>
        <v>0.3</v>
      </c>
      <c r="Z29" s="5">
        <f t="shared" si="26"/>
        <v>9621.6495336636417</v>
      </c>
      <c r="AA29" s="5">
        <f t="shared" si="11"/>
        <v>14674.557734688062</v>
      </c>
      <c r="AB29" s="5">
        <f t="shared" si="12"/>
        <v>31730.557527400124</v>
      </c>
      <c r="AC29" s="5">
        <f t="shared" si="13"/>
        <v>368.89862540601933</v>
      </c>
      <c r="AD29" s="5">
        <f t="shared" si="14"/>
        <v>2.944610533899076</v>
      </c>
      <c r="AE29" s="5">
        <f t="shared" si="27"/>
        <v>4439.7401880575644</v>
      </c>
      <c r="AF29" s="5">
        <f t="shared" si="28"/>
        <v>37203.067179443322</v>
      </c>
      <c r="AG29" s="5">
        <f t="shared" si="29"/>
        <v>19537.513235230512</v>
      </c>
      <c r="AH29" s="5">
        <f t="shared" si="30"/>
        <v>217.27682357066763</v>
      </c>
      <c r="AI29" s="5">
        <f t="shared" si="31"/>
        <v>1.7169965502761144</v>
      </c>
      <c r="AJ29">
        <f t="shared" si="15"/>
        <v>1994</v>
      </c>
      <c r="AK29">
        <f t="shared" si="32"/>
        <v>61399.314422852345</v>
      </c>
      <c r="AL29">
        <f t="shared" si="33"/>
        <v>56398.608031691751</v>
      </c>
      <c r="AM29">
        <f t="shared" si="34"/>
        <v>0.5212257834729227</v>
      </c>
      <c r="AN29">
        <v>37.11452731587984</v>
      </c>
      <c r="AO29">
        <v>24.666446000000001</v>
      </c>
      <c r="AP29">
        <v>16.314999999999998</v>
      </c>
      <c r="AQ29">
        <f>stressors!U24/stressors!U$49</f>
        <v>0.39280696102555673</v>
      </c>
      <c r="AR29">
        <f>CHOOSE(stockcode,Esc!F44,Esc!G44,Esc!H44,Esc!I44,Esc!J44,Esc!K44,Esc!L44,Esc!M44,Esc!N43,Esc!O43,Esc!P43)</f>
        <v>65814.375650069414</v>
      </c>
      <c r="AS29">
        <v>0</v>
      </c>
      <c r="AT29">
        <f t="shared" si="35"/>
        <v>1994</v>
      </c>
      <c r="AU29">
        <v>10000</v>
      </c>
      <c r="AV29" s="11">
        <f t="shared" si="70"/>
        <v>608.10062625217961</v>
      </c>
      <c r="AW29" s="11">
        <f t="shared" si="65"/>
        <v>389.08839554948344</v>
      </c>
      <c r="AX29" s="11">
        <f t="shared" si="66"/>
        <v>164.42290398896799</v>
      </c>
      <c r="AY29" s="11">
        <f t="shared" si="67"/>
        <v>4.7825717563243808</v>
      </c>
      <c r="AZ29" s="11">
        <f t="shared" si="68"/>
        <v>2.6247310303254671E-2</v>
      </c>
      <c r="BA29" s="11">
        <f t="shared" si="69"/>
        <v>38.948483421835576</v>
      </c>
      <c r="BB29" s="11">
        <f t="shared" si="36"/>
        <v>39.777640657284437</v>
      </c>
      <c r="BC29" s="11">
        <f t="shared" si="37"/>
        <v>69.211011938573705</v>
      </c>
      <c r="BD29" s="11">
        <f t="shared" si="38"/>
        <v>2.1045516814889025</v>
      </c>
      <c r="BE29" s="11">
        <f t="shared" si="39"/>
        <v>1.1666691429922826E-2</v>
      </c>
      <c r="BF29" s="11">
        <f t="shared" si="40"/>
        <v>17.972089557701224</v>
      </c>
      <c r="BG29" s="11">
        <f t="shared" si="41"/>
        <v>100.84462267061068</v>
      </c>
      <c r="BH29" s="11">
        <f t="shared" si="42"/>
        <v>42.615420816539789</v>
      </c>
      <c r="BI29" s="11">
        <f t="shared" si="43"/>
        <v>1.2395554575215146</v>
      </c>
      <c r="BJ29" s="11">
        <f t="shared" si="44"/>
        <v>6.8028245867166248E-3</v>
      </c>
      <c r="BK29" s="11">
        <f t="shared" si="45"/>
        <v>1992</v>
      </c>
      <c r="BL29">
        <f t="shared" si="46"/>
        <v>0.44661913231827172</v>
      </c>
      <c r="BM29">
        <f t="shared" si="47"/>
        <v>1994</v>
      </c>
      <c r="BN29" s="11">
        <f t="shared" si="48"/>
        <v>13.529486596068374</v>
      </c>
      <c r="BO29" s="11">
        <f t="shared" si="49"/>
        <v>78.985174062855549</v>
      </c>
      <c r="BP29" s="11">
        <f t="shared" si="50"/>
        <v>33.27886034269693</v>
      </c>
      <c r="BQ29" s="11">
        <f t="shared" si="51"/>
        <v>0.97527714940240195</v>
      </c>
      <c r="BR29" s="11">
        <f t="shared" si="52"/>
        <v>5.4400476059183241E-3</v>
      </c>
      <c r="BS29" s="11">
        <f t="shared" si="53"/>
        <v>39.241695217303345</v>
      </c>
      <c r="BT29" s="11">
        <f t="shared" si="54"/>
        <v>43.19846498634638</v>
      </c>
      <c r="BU29" s="11">
        <f t="shared" si="55"/>
        <v>82.550479753732048</v>
      </c>
      <c r="BV29" s="11">
        <f t="shared" si="56"/>
        <v>2.8090671876290259</v>
      </c>
      <c r="BW29" s="11">
        <f t="shared" si="57"/>
        <v>1.7756255837607936E-2</v>
      </c>
      <c r="BX29">
        <f t="shared" si="16"/>
        <v>608.10062625217995</v>
      </c>
      <c r="BY29">
        <f t="shared" si="17"/>
        <v>392.0175290363801</v>
      </c>
      <c r="BZ29">
        <f t="shared" si="18"/>
        <v>178.56305561501665</v>
      </c>
      <c r="CA29">
        <f t="shared" si="19"/>
        <v>5.7043464888452071</v>
      </c>
      <c r="CB29">
        <f t="shared" si="20"/>
        <v>3.5033807335264885E-2</v>
      </c>
      <c r="CC29">
        <f t="shared" si="58"/>
        <v>6.0810062625217993E-2</v>
      </c>
    </row>
    <row r="30" spans="1:81" x14ac:dyDescent="0.55000000000000004">
      <c r="B30">
        <f>AK79</f>
        <v>1815.2355555263691</v>
      </c>
      <c r="G30">
        <v>1995</v>
      </c>
      <c r="H30" s="5">
        <f t="shared" si="21"/>
        <v>73537479.801195696</v>
      </c>
      <c r="I30" s="5">
        <f t="shared" si="59"/>
        <v>2428404.5363712902</v>
      </c>
      <c r="J30" s="5">
        <f t="shared" si="60"/>
        <v>164887.05550370438</v>
      </c>
      <c r="K30" s="5">
        <f t="shared" si="61"/>
        <v>96118.5609988043</v>
      </c>
      <c r="L30" s="5">
        <f t="shared" si="62"/>
        <v>60658.031940095061</v>
      </c>
      <c r="M30" s="5">
        <f t="shared" si="63"/>
        <v>2192.6231677937976</v>
      </c>
      <c r="N30" s="5">
        <f t="shared" si="64"/>
        <v>4.6007882707949328</v>
      </c>
      <c r="O30">
        <v>1.1191616650248393</v>
      </c>
      <c r="P30" s="3">
        <f t="shared" si="6"/>
        <v>0.11916166502483927</v>
      </c>
      <c r="Q30" s="3">
        <f t="shared" si="7"/>
        <v>3.8364815860976091</v>
      </c>
      <c r="R30" s="3">
        <f t="shared" si="8"/>
        <v>2.8</v>
      </c>
      <c r="S30" s="3">
        <f t="shared" si="22"/>
        <v>0.3</v>
      </c>
      <c r="T30" s="12">
        <f t="shared" si="9"/>
        <v>0.3</v>
      </c>
      <c r="U30" s="12">
        <f t="shared" si="10"/>
        <v>0.3</v>
      </c>
      <c r="V30" s="3">
        <f t="shared" si="23"/>
        <v>0.3</v>
      </c>
      <c r="W30" s="3">
        <f t="shared" si="24"/>
        <v>0.3</v>
      </c>
      <c r="X30" s="3">
        <f t="shared" si="25"/>
        <v>7.8364815860976087</v>
      </c>
      <c r="Y30" s="7">
        <f>IF(UseRetro,RetroF,Ftest*ER!$D37+AS30)</f>
        <v>0.22499999999999995</v>
      </c>
      <c r="Z30" s="5">
        <f t="shared" si="26"/>
        <v>10640.422486050275</v>
      </c>
      <c r="AA30" s="5">
        <f t="shared" si="11"/>
        <v>10591.807723627369</v>
      </c>
      <c r="AB30" s="5">
        <f t="shared" si="12"/>
        <v>27521.575152104488</v>
      </c>
      <c r="AC30" s="5">
        <f t="shared" si="13"/>
        <v>1040.0020256998807</v>
      </c>
      <c r="AD30" s="5">
        <f t="shared" si="14"/>
        <v>2.2042824319845975</v>
      </c>
      <c r="AE30" s="5">
        <f t="shared" si="27"/>
        <v>3668.532987791104</v>
      </c>
      <c r="AF30" s="5">
        <f t="shared" si="28"/>
        <v>19366.331117446556</v>
      </c>
      <c r="AG30" s="5">
        <f t="shared" si="29"/>
        <v>12221.609637904832</v>
      </c>
      <c r="AH30" s="5">
        <f t="shared" si="30"/>
        <v>441.77800668288722</v>
      </c>
      <c r="AI30" s="5">
        <f t="shared" si="31"/>
        <v>0.92698421748727011</v>
      </c>
      <c r="AJ30">
        <f t="shared" si="15"/>
        <v>1995</v>
      </c>
      <c r="AK30">
        <f t="shared" si="32"/>
        <v>35699.178734042864</v>
      </c>
      <c r="AL30">
        <f t="shared" si="33"/>
        <v>49796.011669913998</v>
      </c>
      <c r="AM30">
        <f t="shared" si="34"/>
        <v>0.41755774290188197</v>
      </c>
      <c r="AN30">
        <v>38.5071403643434</v>
      </c>
      <c r="AO30">
        <v>20.354689</v>
      </c>
      <c r="AP30">
        <v>15.488</v>
      </c>
      <c r="AQ30">
        <f>stressors!U25/stressors!U$49</f>
        <v>0.41029720140938414</v>
      </c>
      <c r="AR30">
        <f>CHOOSE(stockcode,Esc!F45,Esc!G45,Esc!H45,Esc!I45,Esc!J45,Esc!K45,Esc!L45,Esc!M45,Esc!N44,Esc!O44,Esc!P44)</f>
        <v>52326.451713539391</v>
      </c>
      <c r="AS30">
        <v>0</v>
      </c>
      <c r="AT30">
        <f t="shared" si="35"/>
        <v>1995</v>
      </c>
      <c r="AU30">
        <v>10000</v>
      </c>
      <c r="AV30" s="11">
        <f t="shared" si="70"/>
        <v>608.10062625217972</v>
      </c>
      <c r="AW30" s="11">
        <f t="shared" si="65"/>
        <v>389.08839554948327</v>
      </c>
      <c r="AX30" s="11">
        <f t="shared" si="66"/>
        <v>164.42290398896802</v>
      </c>
      <c r="AY30" s="11">
        <f t="shared" si="67"/>
        <v>4.7825717563243808</v>
      </c>
      <c r="AZ30" s="11">
        <f t="shared" si="68"/>
        <v>2.6247310303254671E-2</v>
      </c>
      <c r="BA30" s="11">
        <f t="shared" si="69"/>
        <v>39.241695217303345</v>
      </c>
      <c r="BB30" s="11">
        <f t="shared" si="36"/>
        <v>42.875688424071022</v>
      </c>
      <c r="BC30" s="11">
        <f t="shared" si="37"/>
        <v>74.601452835275637</v>
      </c>
      <c r="BD30" s="11">
        <f t="shared" si="38"/>
        <v>2.2684629021944893</v>
      </c>
      <c r="BE30" s="11">
        <f t="shared" si="39"/>
        <v>1.2575341785575374E-2</v>
      </c>
      <c r="BF30" s="11">
        <f t="shared" si="40"/>
        <v>13.529486596068374</v>
      </c>
      <c r="BG30" s="11">
        <f t="shared" si="41"/>
        <v>78.395001172157052</v>
      </c>
      <c r="BH30" s="11">
        <f t="shared" si="42"/>
        <v>33.128548418261175</v>
      </c>
      <c r="BI30" s="11">
        <f t="shared" si="43"/>
        <v>0.96361064151884346</v>
      </c>
      <c r="BJ30" s="11">
        <f t="shared" si="44"/>
        <v>5.2884073272957124E-3</v>
      </c>
      <c r="BK30" s="11">
        <f t="shared" si="45"/>
        <v>1993</v>
      </c>
      <c r="BL30">
        <f t="shared" si="46"/>
        <v>0.43033879607033032</v>
      </c>
      <c r="BM30">
        <f t="shared" si="47"/>
        <v>1995</v>
      </c>
      <c r="BN30" s="11">
        <f t="shared" si="48"/>
        <v>13.529486596068374</v>
      </c>
      <c r="BO30" s="11">
        <f t="shared" si="49"/>
        <v>73.060446662706553</v>
      </c>
      <c r="BP30" s="11">
        <f t="shared" si="50"/>
        <v>31.106903525079723</v>
      </c>
      <c r="BQ30" s="11">
        <f t="shared" si="51"/>
        <v>0.9196176611028114</v>
      </c>
      <c r="BR30" s="11">
        <f t="shared" si="52"/>
        <v>5.1622929892341744E-3</v>
      </c>
      <c r="BS30" s="11">
        <f t="shared" si="53"/>
        <v>39.241695217303352</v>
      </c>
      <c r="BT30" s="11">
        <f t="shared" si="54"/>
        <v>44.016077367566929</v>
      </c>
      <c r="BU30" s="11">
        <f t="shared" si="55"/>
        <v>85.704898445184881</v>
      </c>
      <c r="BV30" s="11">
        <f t="shared" si="56"/>
        <v>2.9716057596819523</v>
      </c>
      <c r="BW30" s="11">
        <f t="shared" si="57"/>
        <v>1.9139186746410308E-2</v>
      </c>
      <c r="BX30">
        <f t="shared" si="16"/>
        <v>608.10062625217972</v>
      </c>
      <c r="BY30">
        <f t="shared" si="17"/>
        <v>392.01752903637998</v>
      </c>
      <c r="BZ30">
        <f t="shared" si="18"/>
        <v>181.94269804318057</v>
      </c>
      <c r="CA30">
        <f t="shared" si="19"/>
        <v>5.9223209602306781</v>
      </c>
      <c r="CB30">
        <f t="shared" si="20"/>
        <v>3.7060937566584684E-2</v>
      </c>
      <c r="CC30">
        <f t="shared" si="58"/>
        <v>6.0810062625217973E-2</v>
      </c>
    </row>
    <row r="31" spans="1:81" x14ac:dyDescent="0.55000000000000004">
      <c r="A31">
        <v>0</v>
      </c>
      <c r="B31">
        <f t="dataTable" ref="B31:B43" dt2D="0" dtr="0" r1="B21"/>
        <v>0</v>
      </c>
      <c r="G31">
        <v>1996</v>
      </c>
      <c r="H31" s="5">
        <f t="shared" si="21"/>
        <v>59572785.541918002</v>
      </c>
      <c r="I31" s="5">
        <f t="shared" si="59"/>
        <v>1378425.8888865551</v>
      </c>
      <c r="J31" s="5">
        <f t="shared" si="60"/>
        <v>147671.43193610158</v>
      </c>
      <c r="K31" s="5">
        <f t="shared" si="61"/>
        <v>106295.92090214517</v>
      </c>
      <c r="L31" s="5">
        <f t="shared" si="62"/>
        <v>43781.776788027448</v>
      </c>
      <c r="M31" s="5">
        <f t="shared" si="63"/>
        <v>1901.7769618631344</v>
      </c>
      <c r="N31" s="5">
        <f t="shared" si="64"/>
        <v>12.970579969433816</v>
      </c>
      <c r="O31">
        <v>1.3409606290714751</v>
      </c>
      <c r="P31" s="3">
        <f t="shared" si="6"/>
        <v>0.34096062907147506</v>
      </c>
      <c r="Q31" s="3">
        <f t="shared" si="7"/>
        <v>3.8329424243913008</v>
      </c>
      <c r="R31" s="3">
        <f t="shared" si="8"/>
        <v>2.8</v>
      </c>
      <c r="S31" s="3">
        <f t="shared" si="22"/>
        <v>0.3</v>
      </c>
      <c r="T31" s="12">
        <f t="shared" si="9"/>
        <v>0.3</v>
      </c>
      <c r="U31" s="12">
        <f t="shared" si="10"/>
        <v>0.3</v>
      </c>
      <c r="V31" s="3">
        <f t="shared" si="23"/>
        <v>0.3</v>
      </c>
      <c r="W31" s="3">
        <f t="shared" si="24"/>
        <v>0.3</v>
      </c>
      <c r="X31" s="3">
        <f t="shared" si="25"/>
        <v>7.8329424243913</v>
      </c>
      <c r="Y31" s="7">
        <f>IF(UseRetro,RetroF,Ftest*ER!$D38+AS31)</f>
        <v>0.22499999999999995</v>
      </c>
      <c r="Z31" s="5">
        <f t="shared" si="26"/>
        <v>9529.4710680599019</v>
      </c>
      <c r="AA31" s="5">
        <f t="shared" si="11"/>
        <v>11713.304322309097</v>
      </c>
      <c r="AB31" s="5">
        <f t="shared" si="12"/>
        <v>19864.532719332947</v>
      </c>
      <c r="AC31" s="5">
        <f t="shared" si="13"/>
        <v>902.04825061532381</v>
      </c>
      <c r="AD31" s="5">
        <f t="shared" si="14"/>
        <v>6.2143310833850434</v>
      </c>
      <c r="AE31" s="5">
        <f t="shared" si="27"/>
        <v>3285.5066624667006</v>
      </c>
      <c r="AF31" s="5">
        <f t="shared" si="28"/>
        <v>21416.904073818376</v>
      </c>
      <c r="AG31" s="5">
        <f t="shared" si="29"/>
        <v>8821.3179366847053</v>
      </c>
      <c r="AH31" s="5">
        <f t="shared" si="30"/>
        <v>383.17721335248825</v>
      </c>
      <c r="AI31" s="5">
        <f t="shared" si="31"/>
        <v>2.6133614971254087</v>
      </c>
      <c r="AJ31">
        <f t="shared" si="15"/>
        <v>1996</v>
      </c>
      <c r="AK31">
        <f t="shared" si="32"/>
        <v>33909.519247819393</v>
      </c>
      <c r="AL31">
        <f t="shared" si="33"/>
        <v>42015.570691400651</v>
      </c>
      <c r="AM31">
        <f t="shared" si="34"/>
        <v>0.44661809785098466</v>
      </c>
      <c r="AN31">
        <v>39.570877519069803</v>
      </c>
      <c r="AO31">
        <v>25.425556</v>
      </c>
      <c r="AP31">
        <v>16.018000000000001</v>
      </c>
      <c r="AQ31">
        <f>stressors!U26/stressors!U$49</f>
        <v>0.42394206725461253</v>
      </c>
      <c r="AR31">
        <f>CHOOSE(stockcode,Esc!F46,Esc!G46,Esc!H46,Esc!I46,Esc!J46,Esc!K46,Esc!L46,Esc!M46,Esc!N45,Esc!O45,Esc!P45)</f>
        <v>41132.629017196632</v>
      </c>
      <c r="AS31">
        <v>0</v>
      </c>
      <c r="AT31">
        <f t="shared" si="35"/>
        <v>1996</v>
      </c>
      <c r="AU31">
        <v>10000</v>
      </c>
      <c r="AV31" s="11">
        <f t="shared" si="70"/>
        <v>608.10062625217972</v>
      </c>
      <c r="AW31" s="11">
        <f t="shared" si="65"/>
        <v>392.01752903638004</v>
      </c>
      <c r="AX31" s="11">
        <f t="shared" si="66"/>
        <v>177.22884225213403</v>
      </c>
      <c r="AY31" s="11">
        <f t="shared" si="67"/>
        <v>5.1550582966105276</v>
      </c>
      <c r="AZ31" s="11">
        <f t="shared" si="68"/>
        <v>2.8291559779229109E-2</v>
      </c>
      <c r="BA31" s="11">
        <f t="shared" si="69"/>
        <v>39.241695217303352</v>
      </c>
      <c r="BB31" s="11">
        <f t="shared" si="36"/>
        <v>43.19846498634638</v>
      </c>
      <c r="BC31" s="11">
        <f t="shared" si="37"/>
        <v>80.411723644110936</v>
      </c>
      <c r="BD31" s="11">
        <f t="shared" si="38"/>
        <v>2.4451402091451944</v>
      </c>
      <c r="BE31" s="11">
        <f t="shared" si="39"/>
        <v>1.355476160262894E-2</v>
      </c>
      <c r="BF31" s="11">
        <f t="shared" si="40"/>
        <v>13.529486596068374</v>
      </c>
      <c r="BG31" s="11">
        <f t="shared" si="41"/>
        <v>78.985174062855549</v>
      </c>
      <c r="BH31" s="11">
        <f t="shared" si="42"/>
        <v>35.708737281857843</v>
      </c>
      <c r="BI31" s="11">
        <f t="shared" si="43"/>
        <v>1.0386606381169339</v>
      </c>
      <c r="BJ31" s="11">
        <f t="shared" si="44"/>
        <v>5.7002904415142048E-3</v>
      </c>
      <c r="BK31" s="11">
        <f t="shared" si="45"/>
        <v>1994</v>
      </c>
      <c r="BL31">
        <f t="shared" si="46"/>
        <v>0.40823058894576464</v>
      </c>
      <c r="BM31">
        <f t="shared" si="47"/>
        <v>1996</v>
      </c>
      <c r="BN31" s="11">
        <f t="shared" si="48"/>
        <v>12.413619911110079</v>
      </c>
      <c r="BO31" s="11">
        <f t="shared" si="49"/>
        <v>67.149369734078235</v>
      </c>
      <c r="BP31" s="11">
        <f t="shared" si="50"/>
        <v>28.840800953776608</v>
      </c>
      <c r="BQ31" s="11">
        <f t="shared" si="51"/>
        <v>0.85806173106972528</v>
      </c>
      <c r="BR31" s="11">
        <f t="shared" si="52"/>
        <v>5.4712431555936861E-3</v>
      </c>
      <c r="BS31" s="11">
        <f t="shared" si="53"/>
        <v>39.315342418510596</v>
      </c>
      <c r="BT31" s="11">
        <f t="shared" si="54"/>
        <v>44.93333567369514</v>
      </c>
      <c r="BU31" s="11">
        <f t="shared" si="55"/>
        <v>89.146847507998785</v>
      </c>
      <c r="BV31" s="11">
        <f t="shared" si="56"/>
        <v>3.149448841375154</v>
      </c>
      <c r="BW31" s="11">
        <f t="shared" si="57"/>
        <v>2.0284618619731083E-2</v>
      </c>
      <c r="BX31">
        <f t="shared" si="16"/>
        <v>608.10062625217984</v>
      </c>
      <c r="BY31">
        <f t="shared" si="17"/>
        <v>392.75325142752126</v>
      </c>
      <c r="BZ31">
        <f t="shared" si="18"/>
        <v>185.7342319780617</v>
      </c>
      <c r="CA31">
        <f t="shared" si="19"/>
        <v>6.1601641576272241</v>
      </c>
      <c r="CB31">
        <f t="shared" si="20"/>
        <v>3.9278940855145494E-2</v>
      </c>
      <c r="CC31">
        <f t="shared" si="58"/>
        <v>6.0810062625217987E-2</v>
      </c>
    </row>
    <row r="32" spans="1:81" x14ac:dyDescent="0.55000000000000004">
      <c r="A32">
        <v>0.1</v>
      </c>
      <c r="B32">
        <v>1626.4016384410113</v>
      </c>
      <c r="G32">
        <v>1997</v>
      </c>
      <c r="H32" s="5">
        <f t="shared" si="21"/>
        <v>62475591.629187882</v>
      </c>
      <c r="I32" s="5">
        <f t="shared" si="59"/>
        <v>1586156.2226774448</v>
      </c>
      <c r="J32" s="5">
        <f t="shared" si="60"/>
        <v>83822.164627413164</v>
      </c>
      <c r="K32" s="5">
        <f t="shared" si="61"/>
        <v>95197.714584900925</v>
      </c>
      <c r="L32" s="5">
        <f t="shared" si="62"/>
        <v>48417.540109380476</v>
      </c>
      <c r="M32" s="5">
        <f t="shared" si="63"/>
        <v>1372.6652807848129</v>
      </c>
      <c r="N32" s="5">
        <f t="shared" si="64"/>
        <v>11.250063636193621</v>
      </c>
      <c r="O32">
        <v>0.98731597455197329</v>
      </c>
      <c r="P32" s="3">
        <f t="shared" si="6"/>
        <v>-1.2684025448026714E-2</v>
      </c>
      <c r="Q32" s="3">
        <f t="shared" si="7"/>
        <v>3.5261382427804744</v>
      </c>
      <c r="R32" s="3">
        <f t="shared" si="8"/>
        <v>2.8</v>
      </c>
      <c r="S32" s="3">
        <f t="shared" si="22"/>
        <v>0.3</v>
      </c>
      <c r="T32" s="12">
        <f t="shared" si="9"/>
        <v>0.3</v>
      </c>
      <c r="U32" s="12">
        <f t="shared" si="10"/>
        <v>0.3</v>
      </c>
      <c r="V32" s="3">
        <f t="shared" si="23"/>
        <v>0.3</v>
      </c>
      <c r="W32" s="3">
        <f t="shared" si="24"/>
        <v>0.3</v>
      </c>
      <c r="X32" s="3">
        <f t="shared" si="25"/>
        <v>7.5261382427804735</v>
      </c>
      <c r="Y32" s="7">
        <f>IF(UseRetro,RetroF,Ftest*ER!$D39+AS32)</f>
        <v>0.20624999999999999</v>
      </c>
      <c r="Z32" s="5">
        <f t="shared" si="26"/>
        <v>5419.3285820114752</v>
      </c>
      <c r="AA32" s="5">
        <f t="shared" si="11"/>
        <v>10688.884195266923</v>
      </c>
      <c r="AB32" s="5">
        <f t="shared" si="12"/>
        <v>22383.640057897817</v>
      </c>
      <c r="AC32" s="5">
        <f t="shared" si="13"/>
        <v>663.40365080591766</v>
      </c>
      <c r="AD32" s="5">
        <f t="shared" si="14"/>
        <v>5.4920311590232131</v>
      </c>
      <c r="AE32" s="5">
        <f t="shared" si="27"/>
        <v>1711.1255060271749</v>
      </c>
      <c r="AF32" s="5">
        <f t="shared" si="28"/>
        <v>17742.032010502931</v>
      </c>
      <c r="AG32" s="5">
        <f t="shared" si="29"/>
        <v>9023.594213748971</v>
      </c>
      <c r="AH32" s="5">
        <f t="shared" si="30"/>
        <v>255.82411781188762</v>
      </c>
      <c r="AI32" s="5">
        <f t="shared" si="31"/>
        <v>2.0966783711549324</v>
      </c>
      <c r="AJ32">
        <f t="shared" si="15"/>
        <v>1997</v>
      </c>
      <c r="AK32">
        <f t="shared" si="32"/>
        <v>28734.672526462124</v>
      </c>
      <c r="AL32">
        <f t="shared" si="33"/>
        <v>39160.748517141154</v>
      </c>
      <c r="AM32">
        <f t="shared" si="34"/>
        <v>0.42321959396950148</v>
      </c>
      <c r="AN32">
        <v>40.315663430773391</v>
      </c>
      <c r="AO32">
        <v>21.199694000000001</v>
      </c>
      <c r="AP32">
        <v>16.984999999999999</v>
      </c>
      <c r="AQ32">
        <f>stressors!U27/stressors!U$49</f>
        <v>0.43843159037214069</v>
      </c>
      <c r="AR32">
        <f>CHOOSE(stockcode,Esc!F47,Esc!G47,Esc!H47,Esc!I47,Esc!J47,Esc!K47,Esc!L47,Esc!M47,Esc!N46,Esc!O46,Esc!P46)</f>
        <v>41380.395737668499</v>
      </c>
      <c r="AS32">
        <v>0</v>
      </c>
      <c r="AT32">
        <f t="shared" si="35"/>
        <v>1997</v>
      </c>
      <c r="AU32">
        <v>10000</v>
      </c>
      <c r="AV32" s="11">
        <f t="shared" si="70"/>
        <v>608.10062625217972</v>
      </c>
      <c r="AW32" s="11">
        <f t="shared" si="65"/>
        <v>392.01752903637998</v>
      </c>
      <c r="AX32" s="11">
        <f t="shared" si="66"/>
        <v>178.56305561501665</v>
      </c>
      <c r="AY32" s="11">
        <f t="shared" si="67"/>
        <v>5.5565556348028116</v>
      </c>
      <c r="AZ32" s="11">
        <f t="shared" si="68"/>
        <v>3.0495023889836166E-2</v>
      </c>
      <c r="BA32" s="11">
        <f t="shared" si="69"/>
        <v>39.315342418510596</v>
      </c>
      <c r="BB32" s="11">
        <f t="shared" si="36"/>
        <v>44.016077367566929</v>
      </c>
      <c r="BC32" s="11">
        <f t="shared" si="37"/>
        <v>82.550479753732048</v>
      </c>
      <c r="BD32" s="11">
        <f t="shared" si="38"/>
        <v>2.6854611576733358</v>
      </c>
      <c r="BE32" s="11">
        <f t="shared" si="39"/>
        <v>1.4886993248582461E-2</v>
      </c>
      <c r="BF32" s="11">
        <f t="shared" si="40"/>
        <v>12.413619911110079</v>
      </c>
      <c r="BG32" s="11">
        <f t="shared" si="41"/>
        <v>73.060446662706553</v>
      </c>
      <c r="BH32" s="11">
        <f t="shared" si="42"/>
        <v>33.27886034269693</v>
      </c>
      <c r="BI32" s="11">
        <f t="shared" si="43"/>
        <v>1.0355772548813706</v>
      </c>
      <c r="BJ32" s="11">
        <f t="shared" si="44"/>
        <v>5.6833684755320637E-3</v>
      </c>
      <c r="BK32" s="11">
        <f t="shared" si="45"/>
        <v>1995</v>
      </c>
      <c r="BL32">
        <f t="shared" si="46"/>
        <v>0.38227735468960539</v>
      </c>
      <c r="BM32">
        <f t="shared" si="47"/>
        <v>1997</v>
      </c>
      <c r="BN32" s="11">
        <f t="shared" si="48"/>
        <v>11.29565901340651</v>
      </c>
      <c r="BO32" s="11">
        <f t="shared" si="49"/>
        <v>61.10115983016825</v>
      </c>
      <c r="BP32" s="11">
        <f t="shared" si="50"/>
        <v>26.410433250951861</v>
      </c>
      <c r="BQ32" s="11">
        <f t="shared" si="51"/>
        <v>0.89252189407873739</v>
      </c>
      <c r="BR32" s="11">
        <f t="shared" si="52"/>
        <v>5.6909708560338992E-3</v>
      </c>
      <c r="BS32" s="11">
        <f t="shared" si="53"/>
        <v>39.389127837759027</v>
      </c>
      <c r="BT32" s="11">
        <f t="shared" si="54"/>
        <v>45.869708877162665</v>
      </c>
      <c r="BU32" s="11">
        <f t="shared" si="55"/>
        <v>92.727026865299095</v>
      </c>
      <c r="BV32" s="11">
        <f t="shared" si="56"/>
        <v>3.2759321892888651</v>
      </c>
      <c r="BW32" s="11">
        <f t="shared" si="57"/>
        <v>2.1099258451459893E-2</v>
      </c>
      <c r="BX32">
        <f t="shared" si="16"/>
        <v>608.10062625217984</v>
      </c>
      <c r="BY32">
        <f t="shared" si="17"/>
        <v>393.49035459221665</v>
      </c>
      <c r="BZ32">
        <f t="shared" si="18"/>
        <v>189.60477831483624</v>
      </c>
      <c r="CA32">
        <f t="shared" si="19"/>
        <v>6.4075592497838976</v>
      </c>
      <c r="CB32">
        <f t="shared" si="20"/>
        <v>4.0856401608467055E-2</v>
      </c>
      <c r="CC32">
        <f t="shared" si="58"/>
        <v>6.0810062625217987E-2</v>
      </c>
    </row>
    <row r="33" spans="1:81" x14ac:dyDescent="0.55000000000000004">
      <c r="A33">
        <v>0.2</v>
      </c>
      <c r="B33">
        <v>1815.2355555263691</v>
      </c>
      <c r="G33">
        <v>1998</v>
      </c>
      <c r="H33" s="5">
        <f t="shared" si="21"/>
        <v>52832373.362757601</v>
      </c>
      <c r="I33" s="5">
        <f t="shared" si="59"/>
        <v>1289502.4250806069</v>
      </c>
      <c r="J33" s="5">
        <f t="shared" si="60"/>
        <v>96454.259234394602</v>
      </c>
      <c r="K33" s="5">
        <f t="shared" si="61"/>
        <v>54138.124971206569</v>
      </c>
      <c r="L33" s="5">
        <f t="shared" si="62"/>
        <v>44183.047328769164</v>
      </c>
      <c r="M33" s="5">
        <f t="shared" si="63"/>
        <v>1546.7389039137818</v>
      </c>
      <c r="N33" s="5">
        <f t="shared" si="64"/>
        <v>8.2737628313770379</v>
      </c>
      <c r="O33">
        <v>0.27820787926944296</v>
      </c>
      <c r="P33" s="3">
        <f t="shared" si="6"/>
        <v>-0.7217921207305571</v>
      </c>
      <c r="Q33" s="3">
        <f t="shared" si="7"/>
        <v>2.6614245402401782</v>
      </c>
      <c r="R33" s="3">
        <f t="shared" si="8"/>
        <v>2.8</v>
      </c>
      <c r="S33" s="3">
        <f t="shared" si="22"/>
        <v>0.3</v>
      </c>
      <c r="T33" s="12">
        <f t="shared" si="9"/>
        <v>0.3</v>
      </c>
      <c r="U33" s="12">
        <f t="shared" si="10"/>
        <v>0.3</v>
      </c>
      <c r="V33" s="3">
        <f t="shared" si="23"/>
        <v>0.3</v>
      </c>
      <c r="W33" s="3">
        <f t="shared" si="24"/>
        <v>0.3</v>
      </c>
      <c r="X33" s="3">
        <f t="shared" si="25"/>
        <v>6.6614245402401773</v>
      </c>
      <c r="Y33" s="7">
        <f>IF(UseRetro,RetroF,Ftest*ER!$D40+AS33)</f>
        <v>0.1875</v>
      </c>
      <c r="Z33" s="5">
        <f t="shared" si="26"/>
        <v>6247.7310225698848</v>
      </c>
      <c r="AA33" s="5">
        <f t="shared" si="11"/>
        <v>6193.7273166651185</v>
      </c>
      <c r="AB33" s="5">
        <f t="shared" si="12"/>
        <v>20812.616417352776</v>
      </c>
      <c r="AC33" s="5">
        <f t="shared" si="13"/>
        <v>761.68120420277501</v>
      </c>
      <c r="AD33" s="5">
        <f t="shared" si="14"/>
        <v>4.1155141824781669</v>
      </c>
      <c r="AE33" s="5">
        <f t="shared" si="27"/>
        <v>1791.6679833357305</v>
      </c>
      <c r="AF33" s="5">
        <f t="shared" si="28"/>
        <v>9256.0429663868745</v>
      </c>
      <c r="AG33" s="5">
        <f t="shared" si="29"/>
        <v>7554.0145632767699</v>
      </c>
      <c r="AH33" s="5">
        <f t="shared" si="30"/>
        <v>264.44731434682024</v>
      </c>
      <c r="AI33" s="5">
        <f t="shared" si="31"/>
        <v>1.4145725272467595</v>
      </c>
      <c r="AJ33">
        <f t="shared" si="15"/>
        <v>1998</v>
      </c>
      <c r="AK33">
        <f t="shared" si="32"/>
        <v>18867.587399873442</v>
      </c>
      <c r="AL33">
        <f t="shared" si="33"/>
        <v>34019.871474973035</v>
      </c>
      <c r="AM33">
        <f t="shared" si="34"/>
        <v>0.35674974372510371</v>
      </c>
      <c r="AN33">
        <v>40.77401060535589</v>
      </c>
      <c r="AO33">
        <v>25.866125</v>
      </c>
      <c r="AP33">
        <v>15.562999999999999</v>
      </c>
      <c r="AQ33">
        <f>stressors!U28/stressors!U$49</f>
        <v>0.43969567532927178</v>
      </c>
      <c r="AR33">
        <f>CHOOSE(stockcode,Esc!F48,Esc!G48,Esc!H48,Esc!I48,Esc!J48,Esc!K48,Esc!L48,Esc!M48,Esc!N47,Esc!O47,Esc!P47)</f>
        <v>34563.517459108894</v>
      </c>
      <c r="AS33">
        <v>0</v>
      </c>
      <c r="AT33">
        <f t="shared" si="35"/>
        <v>1998</v>
      </c>
      <c r="AU33">
        <v>10000</v>
      </c>
      <c r="AV33" s="11">
        <f t="shared" si="70"/>
        <v>608.10062625217972</v>
      </c>
      <c r="AW33" s="11">
        <f t="shared" si="65"/>
        <v>392.75325142752126</v>
      </c>
      <c r="AX33" s="11">
        <f t="shared" si="66"/>
        <v>181.94269804318057</v>
      </c>
      <c r="AY33" s="11">
        <f t="shared" si="67"/>
        <v>5.7043464888452071</v>
      </c>
      <c r="AZ33" s="11">
        <f t="shared" si="68"/>
        <v>3.3492231591539204E-2</v>
      </c>
      <c r="BA33" s="11">
        <f t="shared" si="69"/>
        <v>39.389127837759027</v>
      </c>
      <c r="BB33" s="11">
        <f t="shared" si="36"/>
        <v>44.93333567369514</v>
      </c>
      <c r="BC33" s="11">
        <f t="shared" si="37"/>
        <v>85.704898445184881</v>
      </c>
      <c r="BD33" s="11">
        <f t="shared" si="38"/>
        <v>2.8090671876290259</v>
      </c>
      <c r="BE33" s="11">
        <f t="shared" si="39"/>
        <v>1.6659621133336494E-2</v>
      </c>
      <c r="BF33" s="11">
        <f t="shared" si="40"/>
        <v>11.29565901340651</v>
      </c>
      <c r="BG33" s="11">
        <f t="shared" si="41"/>
        <v>67.149369734078235</v>
      </c>
      <c r="BH33" s="11">
        <f t="shared" si="42"/>
        <v>31.106903525079723</v>
      </c>
      <c r="BI33" s="11">
        <f t="shared" si="43"/>
        <v>0.97527714940240195</v>
      </c>
      <c r="BJ33" s="11">
        <f t="shared" si="44"/>
        <v>5.7261963693117108E-3</v>
      </c>
      <c r="BK33" s="11">
        <f t="shared" si="45"/>
        <v>1996</v>
      </c>
      <c r="BL33">
        <f t="shared" si="46"/>
        <v>0.35483841737758948</v>
      </c>
      <c r="BM33">
        <f t="shared" si="47"/>
        <v>1998</v>
      </c>
      <c r="BN33" s="11">
        <f t="shared" si="48"/>
        <v>10.17559997262541</v>
      </c>
      <c r="BO33" s="11">
        <f t="shared" si="49"/>
        <v>54.912933031466189</v>
      </c>
      <c r="BP33" s="11">
        <f t="shared" si="50"/>
        <v>26.960804631517686</v>
      </c>
      <c r="BQ33" s="11">
        <f t="shared" si="51"/>
        <v>0.91112130524181034</v>
      </c>
      <c r="BR33" s="11">
        <f t="shared" si="52"/>
        <v>5.8095659376455359E-3</v>
      </c>
      <c r="BS33" s="11">
        <f t="shared" si="53"/>
        <v>39.463051734450588</v>
      </c>
      <c r="BT33" s="11">
        <f t="shared" si="54"/>
        <v>46.825595316472288</v>
      </c>
      <c r="BU33" s="11">
        <f t="shared" si="55"/>
        <v>94.659380693299241</v>
      </c>
      <c r="BV33" s="11">
        <f t="shared" si="56"/>
        <v>3.3441998812470781</v>
      </c>
      <c r="BW33" s="11">
        <f t="shared" si="57"/>
        <v>2.1538949383164953E-2</v>
      </c>
      <c r="BX33">
        <f t="shared" si="16"/>
        <v>608.10062625217984</v>
      </c>
      <c r="BY33">
        <f t="shared" si="17"/>
        <v>394.22884112184511</v>
      </c>
      <c r="BZ33">
        <f t="shared" si="18"/>
        <v>193.55598360599717</v>
      </c>
      <c r="CA33">
        <f t="shared" si="19"/>
        <v>6.5410874352873964</v>
      </c>
      <c r="CB33">
        <f t="shared" si="20"/>
        <v>4.1707814909587124E-2</v>
      </c>
      <c r="CC33">
        <f t="shared" si="58"/>
        <v>6.0810062625217987E-2</v>
      </c>
    </row>
    <row r="34" spans="1:81" x14ac:dyDescent="0.55000000000000004">
      <c r="A34">
        <v>0.3</v>
      </c>
      <c r="B34">
        <v>1433.0521649008567</v>
      </c>
      <c r="G34">
        <v>1999</v>
      </c>
      <c r="H34" s="5">
        <f t="shared" si="21"/>
        <v>37308452.231799543</v>
      </c>
      <c r="I34" s="5">
        <f t="shared" si="59"/>
        <v>1837925.8929979461</v>
      </c>
      <c r="J34" s="5">
        <f t="shared" si="60"/>
        <v>78414.723224522153</v>
      </c>
      <c r="K34" s="5">
        <f t="shared" si="61"/>
        <v>62413.717449999865</v>
      </c>
      <c r="L34" s="5">
        <f t="shared" si="62"/>
        <v>25602.087381102134</v>
      </c>
      <c r="M34" s="5">
        <f t="shared" si="63"/>
        <v>1438.1791085670955</v>
      </c>
      <c r="N34" s="5">
        <f t="shared" si="64"/>
        <v>9.4994497377812888</v>
      </c>
      <c r="O34">
        <v>0.71415201254465677</v>
      </c>
      <c r="P34" s="3">
        <f t="shared" si="6"/>
        <v>-0.28584798745534323</v>
      </c>
      <c r="Q34" s="3">
        <f t="shared" si="7"/>
        <v>2.8468704365301778</v>
      </c>
      <c r="R34" s="3">
        <f t="shared" si="8"/>
        <v>2.8</v>
      </c>
      <c r="S34" s="3">
        <f t="shared" si="22"/>
        <v>0.3</v>
      </c>
      <c r="T34" s="12">
        <f t="shared" si="9"/>
        <v>0.3</v>
      </c>
      <c r="U34" s="12">
        <f t="shared" si="10"/>
        <v>0.3</v>
      </c>
      <c r="V34" s="3">
        <f t="shared" si="23"/>
        <v>0.3</v>
      </c>
      <c r="W34" s="3">
        <f t="shared" si="24"/>
        <v>0.3</v>
      </c>
      <c r="X34" s="3">
        <f t="shared" si="25"/>
        <v>6.8468704365301765</v>
      </c>
      <c r="Y34" s="7">
        <f>IF(UseRetro,RetroF,Ftest*ER!$D41+AS34)</f>
        <v>0.16874999999999998</v>
      </c>
      <c r="Z34" s="5">
        <f t="shared" si="26"/>
        <v>5088.7700912655482</v>
      </c>
      <c r="AA34" s="5">
        <f t="shared" si="11"/>
        <v>7275.6524167914404</v>
      </c>
      <c r="AB34" s="5">
        <f t="shared" si="12"/>
        <v>12288.232251764741</v>
      </c>
      <c r="AC34" s="5">
        <f t="shared" si="13"/>
        <v>721.6260907118708</v>
      </c>
      <c r="AD34" s="5">
        <f t="shared" si="14"/>
        <v>4.8146254344087511</v>
      </c>
      <c r="AE34" s="5">
        <f t="shared" si="27"/>
        <v>1312.1460841350624</v>
      </c>
      <c r="AF34" s="5">
        <f t="shared" si="28"/>
        <v>9691.598487743051</v>
      </c>
      <c r="AG34" s="5">
        <f t="shared" si="29"/>
        <v>3975.4906690909725</v>
      </c>
      <c r="AH34" s="5">
        <f t="shared" si="30"/>
        <v>223.32036999492234</v>
      </c>
      <c r="AI34" s="5">
        <f t="shared" si="31"/>
        <v>1.4750740137667036</v>
      </c>
      <c r="AJ34">
        <f t="shared" si="15"/>
        <v>1999</v>
      </c>
      <c r="AK34">
        <f t="shared" si="32"/>
        <v>15204.030684977773</v>
      </c>
      <c r="AL34">
        <f t="shared" si="33"/>
        <v>25379.09547596801</v>
      </c>
      <c r="AM34">
        <f t="shared" si="34"/>
        <v>0.37463921888819429</v>
      </c>
      <c r="AN34">
        <v>40.99535550633302</v>
      </c>
      <c r="AO34">
        <v>27.720839999999999</v>
      </c>
      <c r="AP34">
        <v>15.443</v>
      </c>
      <c r="AQ34">
        <f>stressors!U29/stressors!U$49</f>
        <v>0.45077695814876728</v>
      </c>
      <c r="AR34">
        <f>CHOOSE(stockcode,Esc!F49,Esc!G49,Esc!H49,Esc!I49,Esc!J49,Esc!K49,Esc!L49,Esc!M49,Esc!N48,Esc!O48,Esc!P48)</f>
        <v>23548.53071040885</v>
      </c>
      <c r="AS34">
        <v>0</v>
      </c>
      <c r="AT34">
        <f t="shared" si="35"/>
        <v>1999</v>
      </c>
      <c r="AU34">
        <v>10000</v>
      </c>
      <c r="AV34" s="11">
        <f t="shared" si="70"/>
        <v>608.10062625217972</v>
      </c>
      <c r="AW34" s="11">
        <f t="shared" si="65"/>
        <v>393.49035459221659</v>
      </c>
      <c r="AX34" s="11">
        <f t="shared" si="66"/>
        <v>185.7342319780617</v>
      </c>
      <c r="AY34" s="11">
        <f t="shared" si="67"/>
        <v>5.9223209602306772</v>
      </c>
      <c r="AZ34" s="11">
        <f t="shared" si="68"/>
        <v>3.5033807335264885E-2</v>
      </c>
      <c r="BA34" s="11">
        <f t="shared" si="69"/>
        <v>39.463051734450588</v>
      </c>
      <c r="BB34" s="11">
        <f t="shared" si="36"/>
        <v>45.869708877162665</v>
      </c>
      <c r="BC34" s="11">
        <f t="shared" si="37"/>
        <v>89.146847507998785</v>
      </c>
      <c r="BD34" s="11">
        <f t="shared" si="38"/>
        <v>2.9716057596819523</v>
      </c>
      <c r="BE34" s="11">
        <f t="shared" si="39"/>
        <v>1.7756255837607936E-2</v>
      </c>
      <c r="BF34" s="11">
        <f t="shared" si="40"/>
        <v>10.17559997262541</v>
      </c>
      <c r="BG34" s="11">
        <f t="shared" si="41"/>
        <v>61.10115983016825</v>
      </c>
      <c r="BH34" s="11">
        <f t="shared" si="42"/>
        <v>28.840800953776608</v>
      </c>
      <c r="BI34" s="11">
        <f t="shared" si="43"/>
        <v>0.9196176611028114</v>
      </c>
      <c r="BJ34" s="11">
        <f t="shared" si="44"/>
        <v>5.4400476059183241E-3</v>
      </c>
      <c r="BK34" s="11">
        <f t="shared" si="45"/>
        <v>1997</v>
      </c>
      <c r="BL34">
        <f t="shared" si="46"/>
        <v>0.33527934486670191</v>
      </c>
      <c r="BM34">
        <f t="shared" si="47"/>
        <v>1999</v>
      </c>
      <c r="BN34" s="11">
        <f t="shared" si="48"/>
        <v>9.05343885105788</v>
      </c>
      <c r="BO34" s="11">
        <f t="shared" si="49"/>
        <v>55.015991367897712</v>
      </c>
      <c r="BP34" s="11">
        <f t="shared" si="50"/>
        <v>27.011403561875085</v>
      </c>
      <c r="BQ34" s="11">
        <f t="shared" si="51"/>
        <v>0.91283126027101524</v>
      </c>
      <c r="BR34" s="11">
        <f t="shared" si="52"/>
        <v>5.8204690922918183E-3</v>
      </c>
      <c r="BS34" s="11">
        <f t="shared" si="53"/>
        <v>39.537114368474036</v>
      </c>
      <c r="BT34" s="11">
        <f t="shared" si="54"/>
        <v>46.913475669775707</v>
      </c>
      <c r="BU34" s="11">
        <f t="shared" si="55"/>
        <v>94.837033529586463</v>
      </c>
      <c r="BV34" s="11">
        <f t="shared" si="56"/>
        <v>3.3504761381765413</v>
      </c>
      <c r="BW34" s="11">
        <f t="shared" si="57"/>
        <v>2.157937279836734E-2</v>
      </c>
      <c r="BX34">
        <f t="shared" si="16"/>
        <v>608.10062625217984</v>
      </c>
      <c r="BY34">
        <f t="shared" si="17"/>
        <v>394.9687136126492</v>
      </c>
      <c r="BZ34">
        <f t="shared" si="18"/>
        <v>193.91924152313254</v>
      </c>
      <c r="CA34">
        <f t="shared" si="19"/>
        <v>6.5533634794234423</v>
      </c>
      <c r="CB34">
        <f t="shared" si="20"/>
        <v>4.1786090422904057E-2</v>
      </c>
      <c r="CC34">
        <f t="shared" si="58"/>
        <v>6.0810062625217987E-2</v>
      </c>
    </row>
    <row r="35" spans="1:81" x14ac:dyDescent="0.55000000000000004">
      <c r="A35">
        <v>0.4</v>
      </c>
      <c r="B35">
        <v>966.88201252472231</v>
      </c>
      <c r="G35">
        <v>2000</v>
      </c>
      <c r="H35" s="5">
        <f t="shared" si="21"/>
        <v>39572431.703063726</v>
      </c>
      <c r="I35" s="5">
        <f t="shared" si="59"/>
        <v>3690269.8831904172</v>
      </c>
      <c r="J35" s="5">
        <f t="shared" si="60"/>
        <v>111764.38865371478</v>
      </c>
      <c r="K35" s="5">
        <f t="shared" si="61"/>
        <v>50835.904666333656</v>
      </c>
      <c r="L35" s="5">
        <f t="shared" si="62"/>
        <v>30074.279897345496</v>
      </c>
      <c r="M35" s="5">
        <f t="shared" si="63"/>
        <v>849.13297546644026</v>
      </c>
      <c r="N35" s="5">
        <f t="shared" si="64"/>
        <v>8.9998948908867433</v>
      </c>
      <c r="O35">
        <v>1.1568049473330086</v>
      </c>
      <c r="P35" s="3">
        <f t="shared" si="6"/>
        <v>0.15680494733300865</v>
      </c>
      <c r="Q35" s="3">
        <f t="shared" si="7"/>
        <v>3.3260555632395148</v>
      </c>
      <c r="R35" s="3">
        <f t="shared" si="8"/>
        <v>2.8</v>
      </c>
      <c r="S35" s="3">
        <f t="shared" si="22"/>
        <v>0.3</v>
      </c>
      <c r="T35" s="12">
        <f t="shared" si="9"/>
        <v>0.3</v>
      </c>
      <c r="U35" s="12">
        <f t="shared" si="10"/>
        <v>0.3</v>
      </c>
      <c r="V35" s="3">
        <f t="shared" si="23"/>
        <v>0.3</v>
      </c>
      <c r="W35" s="3">
        <f t="shared" si="24"/>
        <v>0.3</v>
      </c>
      <c r="X35" s="3">
        <f t="shared" si="25"/>
        <v>7.3260555632395139</v>
      </c>
      <c r="Y35" s="7">
        <f>IF(UseRetro,RetroF,Ftest*ER!$D42+AS35)</f>
        <v>0.15</v>
      </c>
      <c r="Z35" s="5">
        <f t="shared" si="26"/>
        <v>7266.6286232239581</v>
      </c>
      <c r="AA35" s="5">
        <f t="shared" si="11"/>
        <v>6038.1718716434125</v>
      </c>
      <c r="AB35" s="5">
        <f t="shared" si="12"/>
        <v>14707.955067277277</v>
      </c>
      <c r="AC35" s="5">
        <f t="shared" si="13"/>
        <v>434.12818186752776</v>
      </c>
      <c r="AD35" s="5">
        <f t="shared" si="14"/>
        <v>4.6477687917440074</v>
      </c>
      <c r="AE35" s="5">
        <f t="shared" si="27"/>
        <v>1663.9549685032853</v>
      </c>
      <c r="AF35" s="5">
        <f t="shared" si="28"/>
        <v>7081.036031236461</v>
      </c>
      <c r="AG35" s="5">
        <f t="shared" si="29"/>
        <v>4189.1073044604591</v>
      </c>
      <c r="AH35" s="5">
        <f t="shared" si="30"/>
        <v>118.27745043693221</v>
      </c>
      <c r="AI35" s="5">
        <f t="shared" si="31"/>
        <v>1.253613571313398</v>
      </c>
      <c r="AJ35">
        <f t="shared" si="15"/>
        <v>2000</v>
      </c>
      <c r="AK35">
        <f t="shared" si="32"/>
        <v>13053.629368208449</v>
      </c>
      <c r="AL35">
        <f t="shared" si="33"/>
        <v>28451.531512803915</v>
      </c>
      <c r="AM35">
        <f t="shared" si="34"/>
        <v>0.31450617444010864</v>
      </c>
      <c r="AN35">
        <v>41.038144426395398</v>
      </c>
      <c r="AO35">
        <v>24.000294</v>
      </c>
      <c r="AP35">
        <v>15.262</v>
      </c>
      <c r="AQ35">
        <f>stressors!U30/stressors!U$49</f>
        <v>0.45673107491679743</v>
      </c>
      <c r="AR35">
        <f>CHOOSE(stockcode,Esc!F50,Esc!G50,Esc!H50,Esc!I50,Esc!J50,Esc!K50,Esc!L50,Esc!M50,Esc!N49,Esc!O49,Esc!P49)</f>
        <v>29009.824479775059</v>
      </c>
      <c r="AS35">
        <v>0</v>
      </c>
      <c r="AT35">
        <f t="shared" si="35"/>
        <v>2000</v>
      </c>
      <c r="AU35">
        <v>10000</v>
      </c>
      <c r="AV35" s="11">
        <f t="shared" si="70"/>
        <v>608.10062625217972</v>
      </c>
      <c r="AW35" s="11">
        <f t="shared" si="65"/>
        <v>394.22884112184511</v>
      </c>
      <c r="AX35" s="11">
        <f t="shared" si="66"/>
        <v>189.60477831483624</v>
      </c>
      <c r="AY35" s="11">
        <f t="shared" si="67"/>
        <v>6.1601641576272241</v>
      </c>
      <c r="AZ35" s="11">
        <f t="shared" si="68"/>
        <v>3.7060937566584684E-2</v>
      </c>
      <c r="BA35" s="11">
        <f t="shared" si="69"/>
        <v>39.537114368474036</v>
      </c>
      <c r="BB35" s="11">
        <f t="shared" si="36"/>
        <v>46.825595316472288</v>
      </c>
      <c r="BC35" s="11">
        <f t="shared" si="37"/>
        <v>92.727026865299095</v>
      </c>
      <c r="BD35" s="11">
        <f t="shared" si="38"/>
        <v>3.149448841375154</v>
      </c>
      <c r="BE35" s="11">
        <f t="shared" si="39"/>
        <v>1.9139186746410308E-2</v>
      </c>
      <c r="BF35" s="11">
        <f t="shared" si="40"/>
        <v>9.05343885105788</v>
      </c>
      <c r="BG35" s="11">
        <f t="shared" si="41"/>
        <v>54.912933031466189</v>
      </c>
      <c r="BH35" s="11">
        <f t="shared" si="42"/>
        <v>26.410433250951861</v>
      </c>
      <c r="BI35" s="11">
        <f t="shared" si="43"/>
        <v>0.85806173106972528</v>
      </c>
      <c r="BJ35" s="11">
        <f t="shared" si="44"/>
        <v>5.1622929892341744E-3</v>
      </c>
      <c r="BK35" s="11">
        <f t="shared" si="45"/>
        <v>1998</v>
      </c>
      <c r="BL35">
        <f t="shared" si="46"/>
        <v>0.33253727794221133</v>
      </c>
      <c r="BM35">
        <f t="shared" si="47"/>
        <v>2000</v>
      </c>
      <c r="BN35" s="11">
        <f t="shared" si="48"/>
        <v>9.05343885105788</v>
      </c>
      <c r="BO35" s="11">
        <f t="shared" si="49"/>
        <v>55.015991367897719</v>
      </c>
      <c r="BP35" s="11">
        <f t="shared" si="50"/>
        <v>27.011403561875081</v>
      </c>
      <c r="BQ35" s="11">
        <f t="shared" si="51"/>
        <v>0.91283126027101513</v>
      </c>
      <c r="BR35" s="11">
        <f t="shared" si="52"/>
        <v>5.8204690922918183E-3</v>
      </c>
      <c r="BS35" s="11">
        <f t="shared" si="53"/>
        <v>39.53711436847405</v>
      </c>
      <c r="BT35" s="11">
        <f t="shared" si="54"/>
        <v>46.913475669775693</v>
      </c>
      <c r="BU35" s="11">
        <f t="shared" si="55"/>
        <v>94.837033529586449</v>
      </c>
      <c r="BV35" s="11">
        <f t="shared" si="56"/>
        <v>3.35047613817654</v>
      </c>
      <c r="BW35" s="11">
        <f t="shared" si="57"/>
        <v>2.1579372798367347E-2</v>
      </c>
      <c r="BX35">
        <f t="shared" si="16"/>
        <v>608.10062625217972</v>
      </c>
      <c r="BY35">
        <f t="shared" si="17"/>
        <v>394.96871361264908</v>
      </c>
      <c r="BZ35">
        <f t="shared" si="18"/>
        <v>193.91924152313248</v>
      </c>
      <c r="CA35">
        <f t="shared" si="19"/>
        <v>6.5533634794234406</v>
      </c>
      <c r="CB35">
        <f t="shared" si="20"/>
        <v>4.1786090422904071E-2</v>
      </c>
      <c r="CC35">
        <f t="shared" si="58"/>
        <v>6.0810062625217973E-2</v>
      </c>
    </row>
    <row r="36" spans="1:81" x14ac:dyDescent="0.55000000000000004">
      <c r="A36">
        <v>0.5</v>
      </c>
      <c r="B36">
        <v>596.91084773750856</v>
      </c>
      <c r="G36">
        <v>2001</v>
      </c>
      <c r="H36" s="5">
        <f t="shared" si="21"/>
        <v>38653647.251541995</v>
      </c>
      <c r="I36" s="5">
        <f t="shared" si="59"/>
        <v>2164846.5164313223</v>
      </c>
      <c r="J36" s="5">
        <f t="shared" si="60"/>
        <v>224405.54270076507</v>
      </c>
      <c r="K36" s="5">
        <f t="shared" si="61"/>
        <v>72592.322567277821</v>
      </c>
      <c r="L36" s="5">
        <f t="shared" si="62"/>
        <v>24959.091024879559</v>
      </c>
      <c r="M36" s="5">
        <f t="shared" si="63"/>
        <v>1016.3389976219148</v>
      </c>
      <c r="N36" s="5">
        <f t="shared" si="64"/>
        <v>5.4143108962776347</v>
      </c>
      <c r="O36">
        <v>0.91651504957411589</v>
      </c>
      <c r="P36" s="3">
        <f t="shared" si="6"/>
        <v>-8.3484950425884108E-2</v>
      </c>
      <c r="Q36" s="3">
        <f t="shared" si="7"/>
        <v>3.0709399082937576</v>
      </c>
      <c r="R36" s="3">
        <f t="shared" si="8"/>
        <v>2.8</v>
      </c>
      <c r="S36" s="3">
        <f t="shared" si="22"/>
        <v>0.3</v>
      </c>
      <c r="T36" s="12">
        <f t="shared" si="9"/>
        <v>0.3</v>
      </c>
      <c r="U36" s="12">
        <f t="shared" si="10"/>
        <v>0.3</v>
      </c>
      <c r="V36" s="3">
        <f t="shared" si="23"/>
        <v>0.3</v>
      </c>
      <c r="W36" s="3">
        <f t="shared" si="24"/>
        <v>0.3</v>
      </c>
      <c r="X36" s="3">
        <f t="shared" si="25"/>
        <v>7.0709399082937567</v>
      </c>
      <c r="Y36" s="7">
        <f>IF(UseRetro,RetroF,Ftest*ER!$D43+AS36)</f>
        <v>0.15</v>
      </c>
      <c r="Z36" s="5">
        <f t="shared" si="26"/>
        <v>14590.262242223487</v>
      </c>
      <c r="AA36" s="5">
        <f t="shared" si="11"/>
        <v>8622.3491664009925</v>
      </c>
      <c r="AB36" s="5">
        <f t="shared" si="12"/>
        <v>12206.350096063776</v>
      </c>
      <c r="AC36" s="5">
        <f t="shared" si="13"/>
        <v>519.6140227109878</v>
      </c>
      <c r="AD36" s="5">
        <f t="shared" si="14"/>
        <v>2.7960843451627584</v>
      </c>
      <c r="AE36" s="5">
        <f t="shared" si="27"/>
        <v>3340.9632731364945</v>
      </c>
      <c r="AF36" s="5">
        <f t="shared" si="28"/>
        <v>10111.53150640107</v>
      </c>
      <c r="AG36" s="5">
        <f t="shared" si="29"/>
        <v>3476.6022954466516</v>
      </c>
      <c r="AH36" s="5">
        <f t="shared" si="30"/>
        <v>141.56791561688487</v>
      </c>
      <c r="AI36" s="5">
        <f t="shared" si="31"/>
        <v>0.75417032100637071</v>
      </c>
      <c r="AJ36">
        <f t="shared" si="15"/>
        <v>2001</v>
      </c>
      <c r="AK36">
        <f t="shared" si="32"/>
        <v>17071.419160922109</v>
      </c>
      <c r="AL36">
        <f t="shared" si="33"/>
        <v>35941.371611744406</v>
      </c>
      <c r="AM36">
        <f t="shared" si="34"/>
        <v>0.32202453242141255</v>
      </c>
      <c r="AN36">
        <v>40.961460373567668</v>
      </c>
      <c r="AO36">
        <v>29.483872000000002</v>
      </c>
      <c r="AP36">
        <v>16.061</v>
      </c>
      <c r="AQ36">
        <f>stressors!U31/stressors!U$49</f>
        <v>0.47732398853681313</v>
      </c>
      <c r="AR36">
        <f>CHOOSE(stockcode,Esc!F51,Esc!G51,Esc!H51,Esc!I51,Esc!J51,Esc!K51,Esc!L51,Esc!M51,Esc!N50,Esc!O50,Esc!P50)</f>
        <v>34058.805641715604</v>
      </c>
      <c r="AS36">
        <v>0</v>
      </c>
      <c r="AT36">
        <f t="shared" si="35"/>
        <v>2001</v>
      </c>
      <c r="AU36">
        <v>10000</v>
      </c>
      <c r="AV36" s="11">
        <f t="shared" si="70"/>
        <v>608.10062625217972</v>
      </c>
      <c r="AW36" s="11">
        <f t="shared" si="65"/>
        <v>394.96871361264914</v>
      </c>
      <c r="AX36" s="11">
        <f t="shared" si="66"/>
        <v>193.5559836059972</v>
      </c>
      <c r="AY36" s="11">
        <f t="shared" si="67"/>
        <v>6.4075592497838967</v>
      </c>
      <c r="AZ36" s="11">
        <f t="shared" si="68"/>
        <v>3.9278940855145494E-2</v>
      </c>
      <c r="BA36" s="11">
        <f t="shared" si="69"/>
        <v>39.53711436847405</v>
      </c>
      <c r="BB36" s="11">
        <f t="shared" si="36"/>
        <v>46.913475669775707</v>
      </c>
      <c r="BC36" s="11">
        <f t="shared" si="37"/>
        <v>94.659380693299241</v>
      </c>
      <c r="BD36" s="11">
        <f t="shared" si="38"/>
        <v>3.2759321892888651</v>
      </c>
      <c r="BE36" s="11">
        <f t="shared" si="39"/>
        <v>2.0284618619731083E-2</v>
      </c>
      <c r="BF36" s="11">
        <f t="shared" si="40"/>
        <v>9.05343885105788</v>
      </c>
      <c r="BG36" s="11">
        <f t="shared" si="41"/>
        <v>55.015991367897712</v>
      </c>
      <c r="BH36" s="11">
        <f t="shared" si="42"/>
        <v>26.960804631517686</v>
      </c>
      <c r="BI36" s="11">
        <f t="shared" si="43"/>
        <v>0.89252189407873739</v>
      </c>
      <c r="BJ36" s="11">
        <f t="shared" si="44"/>
        <v>5.4712431555936861E-3</v>
      </c>
      <c r="BK36" s="11">
        <f t="shared" si="45"/>
        <v>1999</v>
      </c>
      <c r="BL36">
        <f t="shared" si="46"/>
        <v>0.33253727794221133</v>
      </c>
      <c r="BM36">
        <f t="shared" si="47"/>
        <v>2001</v>
      </c>
      <c r="BN36" s="11">
        <f t="shared" si="48"/>
        <v>9.0534388510578818</v>
      </c>
      <c r="BO36" s="11">
        <f t="shared" si="49"/>
        <v>55.015991367897726</v>
      </c>
      <c r="BP36" s="11">
        <f t="shared" si="50"/>
        <v>27.011403561875088</v>
      </c>
      <c r="BQ36" s="11">
        <f t="shared" si="51"/>
        <v>0.91283126027101535</v>
      </c>
      <c r="BR36" s="11">
        <f t="shared" si="52"/>
        <v>5.8204690922918174E-3</v>
      </c>
      <c r="BS36" s="11">
        <f t="shared" si="53"/>
        <v>39.537114368474043</v>
      </c>
      <c r="BT36" s="11">
        <f t="shared" si="54"/>
        <v>46.913475669775707</v>
      </c>
      <c r="BU36" s="11">
        <f t="shared" si="55"/>
        <v>94.837033529586478</v>
      </c>
      <c r="BV36" s="11">
        <f t="shared" si="56"/>
        <v>3.3504761381765413</v>
      </c>
      <c r="BW36" s="11">
        <f t="shared" si="57"/>
        <v>2.157937279836734E-2</v>
      </c>
      <c r="BX36">
        <f t="shared" si="16"/>
        <v>608.10062625217995</v>
      </c>
      <c r="BY36">
        <f t="shared" si="17"/>
        <v>394.96871361264925</v>
      </c>
      <c r="BZ36">
        <f t="shared" si="18"/>
        <v>193.91924152313254</v>
      </c>
      <c r="CA36">
        <f t="shared" si="19"/>
        <v>6.5533634794234423</v>
      </c>
      <c r="CB36">
        <f t="shared" si="20"/>
        <v>4.178609042290405E-2</v>
      </c>
      <c r="CC36">
        <f t="shared" si="58"/>
        <v>6.0810062625217993E-2</v>
      </c>
    </row>
    <row r="37" spans="1:81" x14ac:dyDescent="0.55000000000000004">
      <c r="A37">
        <v>0.6</v>
      </c>
      <c r="B37">
        <v>349.00140789095138</v>
      </c>
      <c r="G37">
        <v>2002</v>
      </c>
      <c r="H37" s="5">
        <f t="shared" si="21"/>
        <v>61917324.345053807</v>
      </c>
      <c r="I37" s="5">
        <f t="shared" si="59"/>
        <v>1422018.2189045318</v>
      </c>
      <c r="J37" s="5">
        <f t="shared" si="60"/>
        <v>131644.45223817369</v>
      </c>
      <c r="K37" s="5">
        <f t="shared" si="61"/>
        <v>145754.11486472201</v>
      </c>
      <c r="L37" s="5">
        <f t="shared" si="62"/>
        <v>35640.919514588772</v>
      </c>
      <c r="M37" s="5">
        <f t="shared" si="63"/>
        <v>843.47481104673864</v>
      </c>
      <c r="N37" s="5">
        <f t="shared" si="64"/>
        <v>6.4804635647478799</v>
      </c>
      <c r="O37">
        <v>2.0770644057307086</v>
      </c>
      <c r="P37" s="3">
        <f t="shared" si="6"/>
        <v>1.0770644057307086</v>
      </c>
      <c r="Q37" s="3">
        <f t="shared" si="7"/>
        <v>4.6068783203826627</v>
      </c>
      <c r="R37" s="3">
        <f t="shared" si="8"/>
        <v>2.8</v>
      </c>
      <c r="S37" s="3">
        <f t="shared" si="22"/>
        <v>0.3</v>
      </c>
      <c r="T37" s="12">
        <f t="shared" si="9"/>
        <v>0.3</v>
      </c>
      <c r="U37" s="12">
        <f t="shared" si="10"/>
        <v>0.3</v>
      </c>
      <c r="V37" s="3">
        <f t="shared" si="23"/>
        <v>0.3</v>
      </c>
      <c r="W37" s="3">
        <f t="shared" si="24"/>
        <v>0.3</v>
      </c>
      <c r="X37" s="3">
        <f t="shared" si="25"/>
        <v>8.6068783203826644</v>
      </c>
      <c r="Y37" s="7">
        <f>IF(UseRetro,RetroF,Ftest*ER!$D44+AS37)</f>
        <v>0.15</v>
      </c>
      <c r="Z37" s="5">
        <f t="shared" si="26"/>
        <v>8559.1784310337807</v>
      </c>
      <c r="AA37" s="5">
        <f t="shared" si="11"/>
        <v>17312.338637995963</v>
      </c>
      <c r="AB37" s="5">
        <f t="shared" si="12"/>
        <v>17430.343953914136</v>
      </c>
      <c r="AC37" s="5">
        <f t="shared" si="13"/>
        <v>431.23538568223847</v>
      </c>
      <c r="AD37" s="5">
        <f t="shared" si="14"/>
        <v>3.3466720086662782</v>
      </c>
      <c r="AE37" s="5">
        <f t="shared" si="27"/>
        <v>1959.9305558436645</v>
      </c>
      <c r="AF37" s="5">
        <f t="shared" si="28"/>
        <v>20302.385603881692</v>
      </c>
      <c r="AG37" s="5">
        <f t="shared" si="29"/>
        <v>4964.4958012587167</v>
      </c>
      <c r="AH37" s="5">
        <f t="shared" si="30"/>
        <v>117.48931326519222</v>
      </c>
      <c r="AI37" s="5">
        <f t="shared" si="31"/>
        <v>0.90267688363741561</v>
      </c>
      <c r="AJ37">
        <f t="shared" si="15"/>
        <v>2002</v>
      </c>
      <c r="AK37">
        <f t="shared" si="32"/>
        <v>27345.203951132902</v>
      </c>
      <c r="AL37">
        <f t="shared" si="33"/>
        <v>43736.443080634781</v>
      </c>
      <c r="AM37">
        <f t="shared" si="34"/>
        <v>0.38470132717819316</v>
      </c>
      <c r="AN37">
        <v>40.817933156609598</v>
      </c>
      <c r="AO37">
        <v>25.436934000000001</v>
      </c>
      <c r="AP37">
        <v>16.760750000000002</v>
      </c>
      <c r="AQ37">
        <f>stressors!U32/stressors!U$49</f>
        <v>0.48530259812012033</v>
      </c>
      <c r="AR37">
        <f>CHOOSE(stockcode,Esc!F52,Esc!G52,Esc!H52,Esc!I52,Esc!J52,Esc!K52,Esc!L52,Esc!M52,Esc!N51,Esc!O51,Esc!P51)</f>
        <v>44481.593733378955</v>
      </c>
      <c r="AS37">
        <v>0</v>
      </c>
      <c r="AT37">
        <f t="shared" si="35"/>
        <v>2002</v>
      </c>
      <c r="AU37">
        <v>10000</v>
      </c>
      <c r="AV37" s="11">
        <f t="shared" si="70"/>
        <v>608.10062625217984</v>
      </c>
      <c r="AW37" s="11">
        <f t="shared" si="65"/>
        <v>394.96871361264914</v>
      </c>
      <c r="AX37" s="11">
        <f t="shared" si="66"/>
        <v>193.91924152313251</v>
      </c>
      <c r="AY37" s="11">
        <f t="shared" si="67"/>
        <v>6.5410874352873973</v>
      </c>
      <c r="AZ37" s="11">
        <f t="shared" si="68"/>
        <v>4.0856401608467062E-2</v>
      </c>
      <c r="BA37" s="11">
        <f t="shared" si="69"/>
        <v>39.537114368474043</v>
      </c>
      <c r="BB37" s="11">
        <f t="shared" si="36"/>
        <v>46.913475669775693</v>
      </c>
      <c r="BC37" s="11">
        <f t="shared" si="37"/>
        <v>94.837033529586463</v>
      </c>
      <c r="BD37" s="11">
        <f t="shared" si="38"/>
        <v>3.3441998812470781</v>
      </c>
      <c r="BE37" s="11">
        <f t="shared" si="39"/>
        <v>2.1099258451459893E-2</v>
      </c>
      <c r="BF37" s="11">
        <f t="shared" si="40"/>
        <v>9.0534388510578818</v>
      </c>
      <c r="BG37" s="11">
        <f t="shared" si="41"/>
        <v>55.015991367897719</v>
      </c>
      <c r="BH37" s="11">
        <f t="shared" si="42"/>
        <v>27.011403561875085</v>
      </c>
      <c r="BI37" s="11">
        <f t="shared" si="43"/>
        <v>0.91112130524181034</v>
      </c>
      <c r="BJ37" s="11">
        <f t="shared" si="44"/>
        <v>5.6909708560338992E-3</v>
      </c>
      <c r="BK37" s="11">
        <f t="shared" si="45"/>
        <v>2000</v>
      </c>
      <c r="BL37">
        <f t="shared" si="46"/>
        <v>0.33253727794221133</v>
      </c>
      <c r="BM37">
        <f t="shared" si="47"/>
        <v>2002</v>
      </c>
      <c r="BN37" s="11">
        <f t="shared" si="48"/>
        <v>9.05343885105788</v>
      </c>
      <c r="BO37" s="11">
        <f t="shared" si="49"/>
        <v>55.015991367897719</v>
      </c>
      <c r="BP37" s="11">
        <f t="shared" si="50"/>
        <v>27.011403561875088</v>
      </c>
      <c r="BQ37" s="11">
        <f t="shared" si="51"/>
        <v>0.91283126027101491</v>
      </c>
      <c r="BR37" s="11">
        <f t="shared" si="52"/>
        <v>5.8204690922918165E-3</v>
      </c>
      <c r="BS37" s="11">
        <f t="shared" si="53"/>
        <v>39.537114368474043</v>
      </c>
      <c r="BT37" s="11">
        <f t="shared" si="54"/>
        <v>46.913475669775686</v>
      </c>
      <c r="BU37" s="11">
        <f t="shared" si="55"/>
        <v>94.837033529586478</v>
      </c>
      <c r="BV37" s="11">
        <f t="shared" si="56"/>
        <v>3.3504761381765404</v>
      </c>
      <c r="BW37" s="11">
        <f t="shared" si="57"/>
        <v>2.157937279836734E-2</v>
      </c>
      <c r="BX37">
        <f t="shared" si="16"/>
        <v>608.10062625217972</v>
      </c>
      <c r="BY37">
        <f t="shared" si="17"/>
        <v>394.96871361264914</v>
      </c>
      <c r="BZ37">
        <f t="shared" si="18"/>
        <v>193.91924152313254</v>
      </c>
      <c r="CA37">
        <f t="shared" si="19"/>
        <v>6.5533634794234397</v>
      </c>
      <c r="CB37">
        <f t="shared" si="20"/>
        <v>4.178609042290405E-2</v>
      </c>
      <c r="CC37">
        <f t="shared" si="58"/>
        <v>6.0810062625217973E-2</v>
      </c>
    </row>
    <row r="38" spans="1:81" x14ac:dyDescent="0.55000000000000004">
      <c r="A38">
        <v>0.8</v>
      </c>
      <c r="B38">
        <v>108.95195502813164</v>
      </c>
      <c r="G38">
        <v>2003</v>
      </c>
      <c r="H38" s="5">
        <f t="shared" si="21"/>
        <v>86776734.955976054</v>
      </c>
      <c r="I38" s="5">
        <f t="shared" si="59"/>
        <v>1792661.2156325395</v>
      </c>
      <c r="J38" s="5">
        <f t="shared" si="60"/>
        <v>86473.016945785494</v>
      </c>
      <c r="K38" s="5">
        <f t="shared" si="61"/>
        <v>85504.66437637042</v>
      </c>
      <c r="L38" s="5">
        <f t="shared" si="62"/>
        <v>71561.433676394459</v>
      </c>
      <c r="M38" s="5">
        <f t="shared" si="63"/>
        <v>1204.4596425059456</v>
      </c>
      <c r="N38" s="5">
        <f t="shared" si="64"/>
        <v>5.3782328470725691</v>
      </c>
      <c r="O38">
        <v>1.9450729805460947</v>
      </c>
      <c r="P38" s="3">
        <f t="shared" si="6"/>
        <v>0.94507298054609468</v>
      </c>
      <c r="Q38" s="3">
        <f t="shared" si="7"/>
        <v>4.876025143582285</v>
      </c>
      <c r="R38" s="3">
        <f t="shared" si="8"/>
        <v>2.8</v>
      </c>
      <c r="S38" s="3">
        <f t="shared" si="22"/>
        <v>0.3</v>
      </c>
      <c r="T38" s="12">
        <f t="shared" si="9"/>
        <v>0.3</v>
      </c>
      <c r="U38" s="12">
        <f t="shared" si="10"/>
        <v>0.3</v>
      </c>
      <c r="V38" s="3">
        <f t="shared" si="23"/>
        <v>0.3</v>
      </c>
      <c r="W38" s="3">
        <f t="shared" si="24"/>
        <v>0.3</v>
      </c>
      <c r="X38" s="3">
        <f t="shared" si="25"/>
        <v>8.8760251435822859</v>
      </c>
      <c r="Y38" s="7">
        <f>IF(UseRetro,RetroF,Ftest*ER!$D45+AS38)</f>
        <v>0.15</v>
      </c>
      <c r="Z38" s="5">
        <f t="shared" si="26"/>
        <v>5622.2496954882226</v>
      </c>
      <c r="AA38" s="5">
        <f t="shared" si="11"/>
        <v>10156.047437739953</v>
      </c>
      <c r="AB38" s="5">
        <f t="shared" si="12"/>
        <v>34997.424864535271</v>
      </c>
      <c r="AC38" s="5">
        <f t="shared" si="13"/>
        <v>615.79268482264297</v>
      </c>
      <c r="AD38" s="5">
        <f t="shared" si="14"/>
        <v>2.777452746327965</v>
      </c>
      <c r="AE38" s="5">
        <f t="shared" si="27"/>
        <v>1287.4154989942415</v>
      </c>
      <c r="AF38" s="5">
        <f t="shared" si="28"/>
        <v>11910.117726080909</v>
      </c>
      <c r="AG38" s="5">
        <f t="shared" si="29"/>
        <v>9967.9369067089992</v>
      </c>
      <c r="AH38" s="5">
        <f t="shared" si="30"/>
        <v>167.77162091900462</v>
      </c>
      <c r="AI38" s="5">
        <f t="shared" si="31"/>
        <v>0.74914493652596081</v>
      </c>
      <c r="AJ38">
        <f t="shared" si="15"/>
        <v>2003</v>
      </c>
      <c r="AK38">
        <f t="shared" si="32"/>
        <v>23333.99089763968</v>
      </c>
      <c r="AL38">
        <f t="shared" si="33"/>
        <v>51394.292135332413</v>
      </c>
      <c r="AM38">
        <f t="shared" si="34"/>
        <v>0.31225113103888802</v>
      </c>
      <c r="AN38">
        <v>40.649112872019266</v>
      </c>
      <c r="AO38">
        <v>25.292628000000001</v>
      </c>
      <c r="AP38">
        <v>16.89</v>
      </c>
      <c r="AQ38">
        <f>stressors!U33/stressors!U$49</f>
        <v>0.52412845342637437</v>
      </c>
      <c r="AR38">
        <f>CHOOSE(stockcode,Esc!F53,Esc!G53,Esc!H53,Esc!I53,Esc!J53,Esc!K53,Esc!L53,Esc!M53,Esc!N52,Esc!O52,Esc!P52)</f>
        <v>55297.149868077388</v>
      </c>
      <c r="AS38">
        <v>0</v>
      </c>
      <c r="AT38">
        <f t="shared" si="35"/>
        <v>2003</v>
      </c>
      <c r="AU38">
        <v>10000</v>
      </c>
      <c r="AV38" s="11">
        <f t="shared" si="70"/>
        <v>608.10062625217972</v>
      </c>
      <c r="AW38" s="11">
        <f t="shared" si="65"/>
        <v>394.9687136126492</v>
      </c>
      <c r="AX38" s="11">
        <f t="shared" si="66"/>
        <v>193.91924152313251</v>
      </c>
      <c r="AY38" s="11">
        <f t="shared" si="67"/>
        <v>6.5533634794234414</v>
      </c>
      <c r="AZ38" s="11">
        <f t="shared" si="68"/>
        <v>4.1707814909587124E-2</v>
      </c>
      <c r="BA38" s="11">
        <f t="shared" si="69"/>
        <v>39.537114368474043</v>
      </c>
      <c r="BB38" s="11">
        <f t="shared" si="36"/>
        <v>46.913475669775707</v>
      </c>
      <c r="BC38" s="11">
        <f t="shared" si="37"/>
        <v>94.837033529586449</v>
      </c>
      <c r="BD38" s="11">
        <f t="shared" si="38"/>
        <v>3.3504761381765413</v>
      </c>
      <c r="BE38" s="11">
        <f t="shared" si="39"/>
        <v>2.1538949383164953E-2</v>
      </c>
      <c r="BF38" s="11">
        <f t="shared" si="40"/>
        <v>9.05343885105788</v>
      </c>
      <c r="BG38" s="11">
        <f t="shared" si="41"/>
        <v>55.015991367897726</v>
      </c>
      <c r="BH38" s="11">
        <f t="shared" si="42"/>
        <v>27.011403561875081</v>
      </c>
      <c r="BI38" s="11">
        <f t="shared" si="43"/>
        <v>0.91283126027101524</v>
      </c>
      <c r="BJ38" s="11">
        <f t="shared" si="44"/>
        <v>5.8095659376455359E-3</v>
      </c>
      <c r="BK38" s="11">
        <f t="shared" si="45"/>
        <v>2001</v>
      </c>
      <c r="BL38">
        <f t="shared" si="46"/>
        <v>0.33253727794221133</v>
      </c>
      <c r="BM38">
        <f t="shared" si="47"/>
        <v>2003</v>
      </c>
      <c r="BN38" s="11">
        <f t="shared" si="48"/>
        <v>9.05343885105788</v>
      </c>
      <c r="BO38" s="11">
        <f t="shared" si="49"/>
        <v>55.015991367897719</v>
      </c>
      <c r="BP38" s="11">
        <f t="shared" si="50"/>
        <v>27.011403561875085</v>
      </c>
      <c r="BQ38" s="11">
        <f t="shared" si="51"/>
        <v>0.91283126027101524</v>
      </c>
      <c r="BR38" s="11">
        <f t="shared" si="52"/>
        <v>5.8204690922918191E-3</v>
      </c>
      <c r="BS38" s="11">
        <f t="shared" si="53"/>
        <v>39.537114368474036</v>
      </c>
      <c r="BT38" s="11">
        <f t="shared" si="54"/>
        <v>46.913475669775707</v>
      </c>
      <c r="BU38" s="11">
        <f t="shared" si="55"/>
        <v>94.837033529586463</v>
      </c>
      <c r="BV38" s="11">
        <f t="shared" si="56"/>
        <v>3.3504761381765418</v>
      </c>
      <c r="BW38" s="11">
        <f t="shared" si="57"/>
        <v>2.1579372798367344E-2</v>
      </c>
      <c r="BX38">
        <f t="shared" si="16"/>
        <v>608.10062625217984</v>
      </c>
      <c r="BY38">
        <f t="shared" si="17"/>
        <v>394.9687136126492</v>
      </c>
      <c r="BZ38">
        <f t="shared" si="18"/>
        <v>193.91924152313254</v>
      </c>
      <c r="CA38">
        <f t="shared" si="19"/>
        <v>6.5533634794234423</v>
      </c>
      <c r="CB38">
        <f t="shared" si="20"/>
        <v>4.1786090422904064E-2</v>
      </c>
      <c r="CC38">
        <f t="shared" si="58"/>
        <v>6.0810062625217987E-2</v>
      </c>
    </row>
    <row r="39" spans="1:81" x14ac:dyDescent="0.55000000000000004">
      <c r="A39">
        <v>1</v>
      </c>
      <c r="B39">
        <v>32.094453930347775</v>
      </c>
      <c r="G39">
        <v>2004</v>
      </c>
      <c r="H39" s="5">
        <f t="shared" si="21"/>
        <v>54171235.58339598</v>
      </c>
      <c r="I39" s="5">
        <f t="shared" si="59"/>
        <v>618116.51511114975</v>
      </c>
      <c r="J39" s="5">
        <f t="shared" si="60"/>
        <v>109011.84078841411</v>
      </c>
      <c r="K39" s="5">
        <f t="shared" si="61"/>
        <v>56165.270665447344</v>
      </c>
      <c r="L39" s="5">
        <f t="shared" si="62"/>
        <v>41980.539448035772</v>
      </c>
      <c r="M39" s="5">
        <f t="shared" si="63"/>
        <v>2418.3679881716289</v>
      </c>
      <c r="N39" s="5">
        <f t="shared" si="64"/>
        <v>7.6799737555408862</v>
      </c>
      <c r="O39">
        <v>1.20346701641596</v>
      </c>
      <c r="P39" s="3">
        <f t="shared" si="6"/>
        <v>0.20346701641595999</v>
      </c>
      <c r="Q39" s="3">
        <f t="shared" si="7"/>
        <v>3.6082879243425237</v>
      </c>
      <c r="R39" s="3">
        <f t="shared" si="8"/>
        <v>2.8</v>
      </c>
      <c r="S39" s="3">
        <f t="shared" si="22"/>
        <v>0.3</v>
      </c>
      <c r="T39" s="12">
        <f t="shared" si="9"/>
        <v>0.3</v>
      </c>
      <c r="U39" s="12">
        <f t="shared" si="10"/>
        <v>0.3</v>
      </c>
      <c r="V39" s="3">
        <f t="shared" si="23"/>
        <v>0.3</v>
      </c>
      <c r="W39" s="3">
        <f t="shared" si="24"/>
        <v>0.3</v>
      </c>
      <c r="X39" s="3">
        <f t="shared" si="25"/>
        <v>7.6082879243425232</v>
      </c>
      <c r="Y39" s="7">
        <f>IF(UseRetro,RetroF,Ftest*ER!$D46+AS39)</f>
        <v>0.15</v>
      </c>
      <c r="Z39" s="5">
        <f t="shared" si="26"/>
        <v>7087.6651506391408</v>
      </c>
      <c r="AA39" s="5">
        <f t="shared" si="11"/>
        <v>6671.1817114555515</v>
      </c>
      <c r="AB39" s="5">
        <f t="shared" si="12"/>
        <v>20530.762166520581</v>
      </c>
      <c r="AC39" s="5">
        <f t="shared" si="13"/>
        <v>1236.4161187061022</v>
      </c>
      <c r="AD39" s="5">
        <f t="shared" si="14"/>
        <v>3.9661288020774883</v>
      </c>
      <c r="AE39" s="5">
        <f t="shared" si="27"/>
        <v>1622.974869639228</v>
      </c>
      <c r="AF39" s="5">
        <f t="shared" si="28"/>
        <v>7823.374205624501</v>
      </c>
      <c r="AG39" s="5">
        <f t="shared" si="29"/>
        <v>5847.5542904845897</v>
      </c>
      <c r="AH39" s="5">
        <f t="shared" si="30"/>
        <v>336.85937082128805</v>
      </c>
      <c r="AI39" s="5">
        <f t="shared" si="31"/>
        <v>1.0697590854117385</v>
      </c>
      <c r="AJ39">
        <f t="shared" si="15"/>
        <v>2004</v>
      </c>
      <c r="AK39">
        <f t="shared" si="32"/>
        <v>15631.83249565502</v>
      </c>
      <c r="AL39">
        <f t="shared" si="33"/>
        <v>35529.991276123459</v>
      </c>
      <c r="AM39">
        <f t="shared" si="34"/>
        <v>0.30553704585249247</v>
      </c>
      <c r="AN39">
        <v>40.483678405937269</v>
      </c>
      <c r="AO39">
        <v>23.240472</v>
      </c>
      <c r="AP39">
        <v>16.316000000000003</v>
      </c>
      <c r="AQ39">
        <f>stressors!U34/stressors!U$49</f>
        <v>0.57064505780982644</v>
      </c>
      <c r="AR39">
        <f>CHOOSE(stockcode,Esc!F54,Esc!G54,Esc!H54,Esc!I54,Esc!J54,Esc!K54,Esc!L54,Esc!M54,Esc!N53,Esc!O53,Esc!P53)</f>
        <v>35737.059915210368</v>
      </c>
      <c r="AS39">
        <v>0</v>
      </c>
      <c r="AT39">
        <f t="shared" si="35"/>
        <v>2004</v>
      </c>
      <c r="AU39">
        <v>10000</v>
      </c>
      <c r="AV39" s="11">
        <f t="shared" si="70"/>
        <v>608.10062625217972</v>
      </c>
      <c r="AW39" s="11">
        <f t="shared" si="65"/>
        <v>394.96871361264914</v>
      </c>
      <c r="AX39" s="11">
        <f t="shared" si="66"/>
        <v>193.91924152313254</v>
      </c>
      <c r="AY39" s="11">
        <f t="shared" si="67"/>
        <v>6.5533634794234406</v>
      </c>
      <c r="AZ39" s="11">
        <f t="shared" si="68"/>
        <v>4.1786090422904057E-2</v>
      </c>
      <c r="BA39" s="11">
        <f t="shared" si="69"/>
        <v>39.537114368474036</v>
      </c>
      <c r="BB39" s="11">
        <f t="shared" si="36"/>
        <v>46.913475669775686</v>
      </c>
      <c r="BC39" s="11">
        <f t="shared" si="37"/>
        <v>94.837033529586478</v>
      </c>
      <c r="BD39" s="11">
        <f t="shared" si="38"/>
        <v>3.35047613817654</v>
      </c>
      <c r="BE39" s="11">
        <f t="shared" si="39"/>
        <v>2.157937279836734E-2</v>
      </c>
      <c r="BF39" s="11">
        <f t="shared" si="40"/>
        <v>9.05343885105788</v>
      </c>
      <c r="BG39" s="11">
        <f t="shared" si="41"/>
        <v>55.015991367897719</v>
      </c>
      <c r="BH39" s="11">
        <f t="shared" si="42"/>
        <v>27.011403561875088</v>
      </c>
      <c r="BI39" s="11">
        <f t="shared" si="43"/>
        <v>0.91283126027101513</v>
      </c>
      <c r="BJ39" s="11">
        <f t="shared" si="44"/>
        <v>5.8204690922918183E-3</v>
      </c>
      <c r="BK39" s="11">
        <f t="shared" si="45"/>
        <v>2002</v>
      </c>
      <c r="BL39">
        <f t="shared" si="46"/>
        <v>0.33253727794221138</v>
      </c>
      <c r="BM39">
        <f t="shared" si="47"/>
        <v>2004</v>
      </c>
      <c r="BN39" s="11">
        <f t="shared" si="48"/>
        <v>9.0534388510578783</v>
      </c>
      <c r="BO39" s="11">
        <f t="shared" si="49"/>
        <v>55.015991367897705</v>
      </c>
      <c r="BP39" s="11">
        <f t="shared" si="50"/>
        <v>27.011403561875081</v>
      </c>
      <c r="BQ39" s="11">
        <f t="shared" si="51"/>
        <v>0.91283126027101502</v>
      </c>
      <c r="BR39" s="11">
        <f t="shared" si="52"/>
        <v>5.8204690922918157E-3</v>
      </c>
      <c r="BS39" s="11">
        <f t="shared" si="53"/>
        <v>39.537114368474036</v>
      </c>
      <c r="BT39" s="11">
        <f t="shared" si="54"/>
        <v>46.913475669775693</v>
      </c>
      <c r="BU39" s="11">
        <f t="shared" si="55"/>
        <v>94.837033529586449</v>
      </c>
      <c r="BV39" s="11">
        <f t="shared" si="56"/>
        <v>3.3504761381765404</v>
      </c>
      <c r="BW39" s="11">
        <f t="shared" si="57"/>
        <v>2.1579372798367337E-2</v>
      </c>
      <c r="BX39">
        <f t="shared" si="16"/>
        <v>608.10062625217972</v>
      </c>
      <c r="BY39">
        <f t="shared" si="17"/>
        <v>394.96871361264908</v>
      </c>
      <c r="BZ39">
        <f t="shared" si="18"/>
        <v>193.91924152313248</v>
      </c>
      <c r="CA39">
        <f t="shared" si="19"/>
        <v>6.5533634794234397</v>
      </c>
      <c r="CB39">
        <f t="shared" si="20"/>
        <v>4.1786090422904043E-2</v>
      </c>
      <c r="CC39">
        <f t="shared" si="58"/>
        <v>6.0810062625217973E-2</v>
      </c>
    </row>
    <row r="40" spans="1:81" x14ac:dyDescent="0.55000000000000004">
      <c r="A40">
        <v>1.2</v>
      </c>
      <c r="B40">
        <v>9.2702935135746145</v>
      </c>
      <c r="G40">
        <v>2005</v>
      </c>
      <c r="H40" s="5">
        <f t="shared" si="21"/>
        <v>41424199.911635756</v>
      </c>
      <c r="I40" s="5">
        <f t="shared" si="59"/>
        <v>661869.68802621705</v>
      </c>
      <c r="J40" s="5">
        <f t="shared" si="60"/>
        <v>37587.703993590505</v>
      </c>
      <c r="K40" s="5">
        <f t="shared" si="61"/>
        <v>70804.509428167206</v>
      </c>
      <c r="L40" s="5">
        <f t="shared" si="62"/>
        <v>27575.669444204264</v>
      </c>
      <c r="M40" s="5">
        <f t="shared" si="63"/>
        <v>1418.7026099338088</v>
      </c>
      <c r="N40" s="5">
        <f t="shared" si="64"/>
        <v>15.420195102391437</v>
      </c>
      <c r="O40">
        <v>1.0923904781508453</v>
      </c>
      <c r="P40" s="3">
        <f t="shared" si="6"/>
        <v>9.2390478150845334E-2</v>
      </c>
      <c r="Q40" s="3">
        <f t="shared" si="7"/>
        <v>3.2915217323084383</v>
      </c>
      <c r="R40" s="3">
        <f t="shared" si="8"/>
        <v>2.8</v>
      </c>
      <c r="S40" s="3">
        <f t="shared" si="22"/>
        <v>0.3</v>
      </c>
      <c r="T40" s="12">
        <f t="shared" si="9"/>
        <v>0.3</v>
      </c>
      <c r="U40" s="12">
        <f t="shared" si="10"/>
        <v>0.3</v>
      </c>
      <c r="V40" s="3">
        <f t="shared" si="23"/>
        <v>0.3</v>
      </c>
      <c r="W40" s="3">
        <f t="shared" si="24"/>
        <v>0.3</v>
      </c>
      <c r="X40" s="3">
        <f t="shared" si="25"/>
        <v>7.2915217323084374</v>
      </c>
      <c r="Y40" s="7">
        <f>IF(UseRetro,RetroF,Ftest*ER!$D47+AS40)</f>
        <v>0.15</v>
      </c>
      <c r="Z40" s="5">
        <f t="shared" si="26"/>
        <v>2443.854335099214</v>
      </c>
      <c r="AA40" s="5">
        <f t="shared" si="11"/>
        <v>8409.996832372768</v>
      </c>
      <c r="AB40" s="5">
        <f t="shared" si="12"/>
        <v>13485.99895059319</v>
      </c>
      <c r="AC40" s="5">
        <f t="shared" si="13"/>
        <v>725.32665961177554</v>
      </c>
      <c r="AD40" s="5">
        <f t="shared" si="14"/>
        <v>7.9633709535953532</v>
      </c>
      <c r="AE40" s="5">
        <f t="shared" si="27"/>
        <v>559.60800723877878</v>
      </c>
      <c r="AF40" s="5">
        <f t="shared" si="28"/>
        <v>9862.5033964804825</v>
      </c>
      <c r="AG40" s="5">
        <f t="shared" si="29"/>
        <v>3841.0707983169136</v>
      </c>
      <c r="AH40" s="5">
        <f t="shared" si="30"/>
        <v>197.61395738873213</v>
      </c>
      <c r="AI40" s="5">
        <f t="shared" si="31"/>
        <v>2.1479101797325164</v>
      </c>
      <c r="AJ40">
        <f t="shared" si="15"/>
        <v>2005</v>
      </c>
      <c r="AK40">
        <f t="shared" si="32"/>
        <v>14462.94406960464</v>
      </c>
      <c r="AL40">
        <f t="shared" si="33"/>
        <v>25073.140148630544</v>
      </c>
      <c r="AM40">
        <f t="shared" si="34"/>
        <v>0.3658163006171945</v>
      </c>
      <c r="AN40">
        <v>40.338114083904415</v>
      </c>
      <c r="AO40">
        <v>21.452684999999999</v>
      </c>
      <c r="AP40">
        <v>16.329999999999998</v>
      </c>
      <c r="AQ40">
        <f>stressors!U35/stressors!U$49</f>
        <v>0.60014030179161193</v>
      </c>
      <c r="AR40">
        <f>CHOOSE(stockcode,Esc!F55,Esc!G55,Esc!H55,Esc!I55,Esc!J55,Esc!K55,Esc!L55,Esc!M55,Esc!N54,Esc!O54,Esc!P54)</f>
        <v>24122.325347298593</v>
      </c>
      <c r="AS40">
        <v>0</v>
      </c>
      <c r="AT40">
        <f t="shared" si="35"/>
        <v>2005</v>
      </c>
      <c r="AU40">
        <v>10000</v>
      </c>
      <c r="AV40" s="11">
        <f t="shared" si="70"/>
        <v>608.10062625217961</v>
      </c>
      <c r="AW40" s="11">
        <f t="shared" si="65"/>
        <v>394.9687136126492</v>
      </c>
      <c r="AX40" s="11">
        <f t="shared" si="66"/>
        <v>193.91924152313254</v>
      </c>
      <c r="AY40" s="11">
        <f t="shared" si="67"/>
        <v>6.5533634794234414</v>
      </c>
      <c r="AZ40" s="11">
        <f t="shared" si="68"/>
        <v>4.1786090422904057E-2</v>
      </c>
      <c r="BA40" s="11">
        <f t="shared" si="69"/>
        <v>39.537114368474036</v>
      </c>
      <c r="BB40" s="11">
        <f t="shared" si="36"/>
        <v>46.913475669775707</v>
      </c>
      <c r="BC40" s="11">
        <f t="shared" si="37"/>
        <v>94.837033529586478</v>
      </c>
      <c r="BD40" s="11">
        <f t="shared" si="38"/>
        <v>3.3504761381765413</v>
      </c>
      <c r="BE40" s="11">
        <f t="shared" si="39"/>
        <v>2.1579372798367347E-2</v>
      </c>
      <c r="BF40" s="11">
        <f t="shared" si="40"/>
        <v>9.0534388510578783</v>
      </c>
      <c r="BG40" s="11">
        <f t="shared" si="41"/>
        <v>55.015991367897719</v>
      </c>
      <c r="BH40" s="11">
        <f t="shared" si="42"/>
        <v>27.011403561875088</v>
      </c>
      <c r="BI40" s="11">
        <f t="shared" si="43"/>
        <v>0.91283126027101535</v>
      </c>
      <c r="BJ40" s="11">
        <f t="shared" si="44"/>
        <v>5.8204690922918183E-3</v>
      </c>
      <c r="BK40" s="11">
        <f t="shared" si="45"/>
        <v>2003</v>
      </c>
      <c r="BL40">
        <f t="shared" si="46"/>
        <v>0.33253727794221127</v>
      </c>
      <c r="BM40">
        <f t="shared" si="47"/>
        <v>2005</v>
      </c>
      <c r="BN40" s="11">
        <f t="shared" si="48"/>
        <v>9.05343885105788</v>
      </c>
      <c r="BO40" s="11">
        <f t="shared" si="49"/>
        <v>55.015991367897712</v>
      </c>
      <c r="BP40" s="11">
        <f t="shared" si="50"/>
        <v>27.011403561875081</v>
      </c>
      <c r="BQ40" s="11">
        <f t="shared" si="51"/>
        <v>0.91283126027101513</v>
      </c>
      <c r="BR40" s="11">
        <f t="shared" si="52"/>
        <v>5.8204690922918183E-3</v>
      </c>
      <c r="BS40" s="11">
        <f t="shared" si="53"/>
        <v>39.537114368474036</v>
      </c>
      <c r="BT40" s="11">
        <f t="shared" si="54"/>
        <v>46.913475669775693</v>
      </c>
      <c r="BU40" s="11">
        <f t="shared" si="55"/>
        <v>94.837033529586463</v>
      </c>
      <c r="BV40" s="11">
        <f t="shared" si="56"/>
        <v>3.3504761381765409</v>
      </c>
      <c r="BW40" s="11">
        <f t="shared" si="57"/>
        <v>2.1579372798367344E-2</v>
      </c>
      <c r="BX40">
        <f t="shared" si="16"/>
        <v>608.10062625217972</v>
      </c>
      <c r="BY40">
        <f t="shared" si="17"/>
        <v>394.96871361264914</v>
      </c>
      <c r="BZ40">
        <f t="shared" si="18"/>
        <v>193.91924152313251</v>
      </c>
      <c r="CA40">
        <f t="shared" si="19"/>
        <v>6.5533634794234406</v>
      </c>
      <c r="CB40">
        <f t="shared" si="20"/>
        <v>4.1786090422904057E-2</v>
      </c>
      <c r="CC40">
        <f t="shared" si="58"/>
        <v>6.0810062625217973E-2</v>
      </c>
    </row>
    <row r="41" spans="1:81" x14ac:dyDescent="0.55000000000000004">
      <c r="A41">
        <v>1.4</v>
      </c>
      <c r="B41">
        <v>2.6745312517667306</v>
      </c>
      <c r="G41">
        <v>2006</v>
      </c>
      <c r="H41" s="5">
        <f t="shared" si="21"/>
        <v>39556957.813371278</v>
      </c>
      <c r="I41" s="5">
        <f t="shared" si="59"/>
        <v>1467943.0489313535</v>
      </c>
      <c r="J41" s="5">
        <f t="shared" si="60"/>
        <v>40248.33717860774</v>
      </c>
      <c r="K41" s="5">
        <f t="shared" si="61"/>
        <v>24413.668483618439</v>
      </c>
      <c r="L41" s="5">
        <f t="shared" si="62"/>
        <v>34763.150324339884</v>
      </c>
      <c r="M41" s="5">
        <f t="shared" si="63"/>
        <v>931.90022628437259</v>
      </c>
      <c r="N41" s="5">
        <f t="shared" si="64"/>
        <v>9.04604722873081</v>
      </c>
      <c r="O41">
        <v>1.4947317510910783</v>
      </c>
      <c r="P41" s="3">
        <f t="shared" si="6"/>
        <v>0.49473175109107825</v>
      </c>
      <c r="Q41" s="3">
        <f t="shared" si="7"/>
        <v>3.6637326760815743</v>
      </c>
      <c r="R41" s="3">
        <f t="shared" si="8"/>
        <v>2.8</v>
      </c>
      <c r="S41" s="3">
        <f t="shared" si="22"/>
        <v>0.3</v>
      </c>
      <c r="T41" s="12">
        <f t="shared" si="9"/>
        <v>0.3</v>
      </c>
      <c r="U41" s="12">
        <f t="shared" si="10"/>
        <v>0.3</v>
      </c>
      <c r="V41" s="3">
        <f t="shared" si="23"/>
        <v>0.3</v>
      </c>
      <c r="W41" s="3">
        <f t="shared" si="24"/>
        <v>0.3</v>
      </c>
      <c r="X41" s="3">
        <f t="shared" si="25"/>
        <v>7.6637326760815734</v>
      </c>
      <c r="Y41" s="7">
        <f>IF(UseRetro,RetroF,Ftest*ER!$D48+AS41)</f>
        <v>0.15</v>
      </c>
      <c r="Z41" s="5">
        <f t="shared" si="26"/>
        <v>2616.8417552518777</v>
      </c>
      <c r="AA41" s="5">
        <f t="shared" si="11"/>
        <v>2899.7994092753465</v>
      </c>
      <c r="AB41" s="5">
        <f t="shared" si="12"/>
        <v>17001.06718141324</v>
      </c>
      <c r="AC41" s="5">
        <f t="shared" si="13"/>
        <v>476.44381104919381</v>
      </c>
      <c r="AD41" s="5">
        <f t="shared" si="14"/>
        <v>4.6716030029318381</v>
      </c>
      <c r="AE41" s="5">
        <f t="shared" si="27"/>
        <v>599.21967479141119</v>
      </c>
      <c r="AF41" s="5">
        <f t="shared" si="28"/>
        <v>3400.6292859710029</v>
      </c>
      <c r="AG41" s="5">
        <f t="shared" si="29"/>
        <v>4842.2295545172101</v>
      </c>
      <c r="AH41" s="5">
        <f t="shared" si="30"/>
        <v>129.80626828909678</v>
      </c>
      <c r="AI41" s="5">
        <f t="shared" si="31"/>
        <v>1.2600422238444124</v>
      </c>
      <c r="AJ41">
        <f t="shared" si="15"/>
        <v>2006</v>
      </c>
      <c r="AK41">
        <f t="shared" si="32"/>
        <v>8973.144825792564</v>
      </c>
      <c r="AL41">
        <f t="shared" si="33"/>
        <v>22998.823759992589</v>
      </c>
      <c r="AM41">
        <f t="shared" si="34"/>
        <v>0.28065662587264195</v>
      </c>
      <c r="AN41">
        <v>40.219033581664959</v>
      </c>
      <c r="AO41">
        <v>21.566597000000002</v>
      </c>
      <c r="AP41">
        <v>15.98</v>
      </c>
      <c r="AQ41">
        <f>stressors!U36/stressors!U$49</f>
        <v>0.59454425575798575</v>
      </c>
      <c r="AR41">
        <f>CHOOSE(stockcode,Esc!F56,Esc!G56,Esc!H56,Esc!I56,Esc!J56,Esc!K56,Esc!L56,Esc!M56,Esc!N55,Esc!O55,Esc!P55)</f>
        <v>24357.474158242523</v>
      </c>
      <c r="AS41">
        <v>0</v>
      </c>
      <c r="AT41">
        <f t="shared" si="35"/>
        <v>2006</v>
      </c>
      <c r="AU41">
        <v>10000</v>
      </c>
      <c r="AV41" s="11">
        <f t="shared" si="70"/>
        <v>608.10062625217972</v>
      </c>
      <c r="AW41" s="11">
        <f t="shared" si="65"/>
        <v>394.96871361264908</v>
      </c>
      <c r="AX41" s="11">
        <f t="shared" si="66"/>
        <v>193.91924152313254</v>
      </c>
      <c r="AY41" s="11">
        <f t="shared" si="67"/>
        <v>6.5533634794234406</v>
      </c>
      <c r="AZ41" s="11">
        <f t="shared" si="68"/>
        <v>4.1786090422904057E-2</v>
      </c>
      <c r="BA41" s="11">
        <f t="shared" si="69"/>
        <v>39.537114368474036</v>
      </c>
      <c r="BB41" s="11">
        <f t="shared" si="36"/>
        <v>46.913475669775693</v>
      </c>
      <c r="BC41" s="11">
        <f t="shared" si="37"/>
        <v>94.837033529586463</v>
      </c>
      <c r="BD41" s="11">
        <f t="shared" si="38"/>
        <v>3.3504761381765404</v>
      </c>
      <c r="BE41" s="11">
        <f t="shared" si="39"/>
        <v>2.157937279836734E-2</v>
      </c>
      <c r="BF41" s="11">
        <f t="shared" si="40"/>
        <v>9.05343885105788</v>
      </c>
      <c r="BG41" s="11">
        <f t="shared" si="41"/>
        <v>55.015991367897705</v>
      </c>
      <c r="BH41" s="11">
        <f t="shared" si="42"/>
        <v>27.011403561875085</v>
      </c>
      <c r="BI41" s="11">
        <f t="shared" si="43"/>
        <v>0.91283126027101491</v>
      </c>
      <c r="BJ41" s="11">
        <f t="shared" si="44"/>
        <v>5.8204690922918174E-3</v>
      </c>
      <c r="BK41" s="11">
        <f t="shared" si="45"/>
        <v>2004</v>
      </c>
      <c r="BL41">
        <f t="shared" si="46"/>
        <v>0.33253727794221138</v>
      </c>
      <c r="BM41">
        <f t="shared" si="47"/>
        <v>2006</v>
      </c>
      <c r="BN41" s="11">
        <f t="shared" si="48"/>
        <v>9.05343885105788</v>
      </c>
      <c r="BO41" s="11">
        <f t="shared" si="49"/>
        <v>55.015991367897712</v>
      </c>
      <c r="BP41" s="11">
        <f t="shared" si="50"/>
        <v>27.011403561875088</v>
      </c>
      <c r="BQ41" s="11">
        <f t="shared" si="51"/>
        <v>0.91283126027101513</v>
      </c>
      <c r="BR41" s="11">
        <f t="shared" si="52"/>
        <v>5.8204690922918183E-3</v>
      </c>
      <c r="BS41" s="11">
        <f t="shared" si="53"/>
        <v>39.537114368474043</v>
      </c>
      <c r="BT41" s="11">
        <f t="shared" si="54"/>
        <v>46.9134756697757</v>
      </c>
      <c r="BU41" s="11">
        <f t="shared" si="55"/>
        <v>94.837033529586492</v>
      </c>
      <c r="BV41" s="11">
        <f t="shared" si="56"/>
        <v>3.3504761381765413</v>
      </c>
      <c r="BW41" s="11">
        <f t="shared" si="57"/>
        <v>2.157937279836734E-2</v>
      </c>
      <c r="BX41">
        <f t="shared" si="16"/>
        <v>608.10062625217972</v>
      </c>
      <c r="BY41">
        <f t="shared" si="17"/>
        <v>394.96871361264914</v>
      </c>
      <c r="BZ41">
        <f t="shared" si="18"/>
        <v>193.91924152313254</v>
      </c>
      <c r="CA41">
        <f t="shared" si="19"/>
        <v>6.5533634794234414</v>
      </c>
      <c r="CB41">
        <f t="shared" si="20"/>
        <v>4.1786090422904057E-2</v>
      </c>
      <c r="CC41">
        <f t="shared" si="58"/>
        <v>6.0810062625217973E-2</v>
      </c>
    </row>
    <row r="42" spans="1:81" x14ac:dyDescent="0.55000000000000004">
      <c r="A42">
        <v>1.6</v>
      </c>
      <c r="B42">
        <v>0.77767208241812136</v>
      </c>
      <c r="G42">
        <v>2007</v>
      </c>
      <c r="H42" s="5">
        <f t="shared" si="21"/>
        <v>17892431.494708832</v>
      </c>
      <c r="I42" s="5">
        <f t="shared" si="59"/>
        <v>1540864.3368511491</v>
      </c>
      <c r="J42" s="5">
        <f t="shared" si="60"/>
        <v>89265.708735769018</v>
      </c>
      <c r="K42" s="5">
        <f t="shared" si="61"/>
        <v>26141.781925892035</v>
      </c>
      <c r="L42" s="5">
        <f t="shared" si="62"/>
        <v>11986.468578327604</v>
      </c>
      <c r="M42" s="5">
        <f t="shared" si="63"/>
        <v>1174.7960541505117</v>
      </c>
      <c r="N42" s="5">
        <f t="shared" si="64"/>
        <v>5.9420581878161736</v>
      </c>
      <c r="O42">
        <v>1.8202556568900399</v>
      </c>
      <c r="P42" s="3">
        <f t="shared" si="6"/>
        <v>0.82025565689003987</v>
      </c>
      <c r="Q42" s="3">
        <f t="shared" si="7"/>
        <v>3.6396718602007629</v>
      </c>
      <c r="R42" s="3">
        <f t="shared" si="8"/>
        <v>2.8</v>
      </c>
      <c r="S42" s="3">
        <f t="shared" si="22"/>
        <v>0.3</v>
      </c>
      <c r="T42" s="12">
        <f t="shared" si="9"/>
        <v>0.3</v>
      </c>
      <c r="U42" s="12">
        <f t="shared" si="10"/>
        <v>0.3</v>
      </c>
      <c r="V42" s="3">
        <f t="shared" si="23"/>
        <v>0.3</v>
      </c>
      <c r="W42" s="3">
        <f t="shared" si="24"/>
        <v>0.3</v>
      </c>
      <c r="X42" s="3">
        <f t="shared" si="25"/>
        <v>7.6396718602007621</v>
      </c>
      <c r="Y42" s="7">
        <f>IF(UseRetro,RetroF,Ftest*ER!$D49+AS42)</f>
        <v>0.15</v>
      </c>
      <c r="Z42" s="5">
        <f t="shared" si="26"/>
        <v>5803.8232212005405</v>
      </c>
      <c r="AA42" s="5">
        <f t="shared" si="11"/>
        <v>3105.0607505779963</v>
      </c>
      <c r="AB42" s="5">
        <f t="shared" si="12"/>
        <v>5862.0336668787249</v>
      </c>
      <c r="AC42" s="5">
        <f t="shared" si="13"/>
        <v>600.6268626811376</v>
      </c>
      <c r="AD42" s="5">
        <f t="shared" si="14"/>
        <v>3.068626127181123</v>
      </c>
      <c r="AE42" s="5">
        <f t="shared" si="27"/>
        <v>1328.9932630335475</v>
      </c>
      <c r="AF42" s="5">
        <f t="shared" si="28"/>
        <v>3641.3417043123509</v>
      </c>
      <c r="AG42" s="5">
        <f t="shared" si="29"/>
        <v>1669.6194637927124</v>
      </c>
      <c r="AH42" s="5">
        <f t="shared" si="30"/>
        <v>163.63971967048215</v>
      </c>
      <c r="AI42" s="5">
        <f t="shared" si="31"/>
        <v>0.82768130918096872</v>
      </c>
      <c r="AJ42">
        <f t="shared" si="15"/>
        <v>2007</v>
      </c>
      <c r="AK42">
        <f t="shared" si="32"/>
        <v>6804.4218321182734</v>
      </c>
      <c r="AL42">
        <f t="shared" si="33"/>
        <v>15374.61312746558</v>
      </c>
      <c r="AM42">
        <f t="shared" si="34"/>
        <v>0.30679521649691949</v>
      </c>
      <c r="AN42">
        <v>40.126215173096199</v>
      </c>
      <c r="AO42">
        <v>18.791229000000001</v>
      </c>
      <c r="AP42">
        <v>15.610000000000001</v>
      </c>
      <c r="AQ42">
        <f>stressors!U37/stressors!U$49</f>
        <v>0.59915705774766037</v>
      </c>
      <c r="AR42">
        <f>CHOOSE(stockcode,Esc!F57,Esc!G57,Esc!H57,Esc!I57,Esc!J57,Esc!K57,Esc!L57,Esc!M57,Esc!N56,Esc!O56,Esc!P56)</f>
        <v>13201.512444477912</v>
      </c>
      <c r="AS42">
        <v>0</v>
      </c>
      <c r="AT42">
        <f t="shared" si="35"/>
        <v>2007</v>
      </c>
      <c r="AU42">
        <v>10000</v>
      </c>
      <c r="AV42" s="11">
        <f t="shared" si="70"/>
        <v>608.10062625217972</v>
      </c>
      <c r="AW42" s="11">
        <f t="shared" si="65"/>
        <v>394.96871361264914</v>
      </c>
      <c r="AX42" s="11">
        <f t="shared" si="66"/>
        <v>193.91924152313248</v>
      </c>
      <c r="AY42" s="11">
        <f t="shared" si="67"/>
        <v>6.5533634794234423</v>
      </c>
      <c r="AZ42" s="11">
        <f t="shared" si="68"/>
        <v>4.178609042290405E-2</v>
      </c>
      <c r="BA42" s="11">
        <f t="shared" si="69"/>
        <v>39.537114368474043</v>
      </c>
      <c r="BB42" s="11">
        <f t="shared" si="36"/>
        <v>46.913475669775693</v>
      </c>
      <c r="BC42" s="11">
        <f t="shared" si="37"/>
        <v>94.837033529586449</v>
      </c>
      <c r="BD42" s="11">
        <f t="shared" si="38"/>
        <v>3.3504761381765418</v>
      </c>
      <c r="BE42" s="11">
        <f t="shared" si="39"/>
        <v>2.157937279836734E-2</v>
      </c>
      <c r="BF42" s="11">
        <f t="shared" si="40"/>
        <v>9.05343885105788</v>
      </c>
      <c r="BG42" s="11">
        <f t="shared" si="41"/>
        <v>55.015991367897712</v>
      </c>
      <c r="BH42" s="11">
        <f t="shared" si="42"/>
        <v>27.011403561875081</v>
      </c>
      <c r="BI42" s="11">
        <f t="shared" si="43"/>
        <v>0.91283126027101524</v>
      </c>
      <c r="BJ42" s="11">
        <f t="shared" si="44"/>
        <v>5.8204690922918165E-3</v>
      </c>
      <c r="BK42" s="11">
        <f t="shared" si="45"/>
        <v>2005</v>
      </c>
      <c r="BL42">
        <f t="shared" si="46"/>
        <v>0.33253727794221138</v>
      </c>
      <c r="BM42">
        <f t="shared" si="47"/>
        <v>2007</v>
      </c>
      <c r="BN42" s="11">
        <f t="shared" si="48"/>
        <v>9.05343885105788</v>
      </c>
      <c r="BO42" s="11">
        <f t="shared" si="49"/>
        <v>55.015991367897712</v>
      </c>
      <c r="BP42" s="11">
        <f t="shared" si="50"/>
        <v>27.011403561875085</v>
      </c>
      <c r="BQ42" s="11">
        <f t="shared" si="51"/>
        <v>0.91283126027101535</v>
      </c>
      <c r="BR42" s="11">
        <f t="shared" si="52"/>
        <v>5.8204690922918191E-3</v>
      </c>
      <c r="BS42" s="11">
        <f t="shared" si="53"/>
        <v>39.537114368474043</v>
      </c>
      <c r="BT42" s="11">
        <f t="shared" si="54"/>
        <v>46.913475669775693</v>
      </c>
      <c r="BU42" s="11">
        <f t="shared" si="55"/>
        <v>94.837033529586478</v>
      </c>
      <c r="BV42" s="11">
        <f t="shared" si="56"/>
        <v>3.3504761381765418</v>
      </c>
      <c r="BW42" s="11">
        <f t="shared" si="57"/>
        <v>2.1579372798367344E-2</v>
      </c>
      <c r="BX42">
        <f t="shared" si="16"/>
        <v>608.10062625217972</v>
      </c>
      <c r="BY42">
        <f t="shared" si="17"/>
        <v>394.96871361264914</v>
      </c>
      <c r="BZ42">
        <f t="shared" si="18"/>
        <v>193.91924152313254</v>
      </c>
      <c r="CA42">
        <f t="shared" si="19"/>
        <v>6.5533634794234432</v>
      </c>
      <c r="CB42">
        <f t="shared" si="20"/>
        <v>4.1786090422904064E-2</v>
      </c>
      <c r="CC42">
        <f t="shared" si="58"/>
        <v>6.0810062625217973E-2</v>
      </c>
    </row>
    <row r="43" spans="1:81" x14ac:dyDescent="0.55000000000000004">
      <c r="A43">
        <v>1.8</v>
      </c>
      <c r="B43">
        <v>0.22881896612139596</v>
      </c>
      <c r="G43">
        <v>2008</v>
      </c>
      <c r="H43" s="5">
        <f t="shared" si="21"/>
        <v>23413249.645735648</v>
      </c>
      <c r="I43" s="5">
        <f t="shared" si="59"/>
        <v>1014107.5119817996</v>
      </c>
      <c r="J43" s="5">
        <f t="shared" si="60"/>
        <v>93700.056820883343</v>
      </c>
      <c r="K43" s="5">
        <f t="shared" si="61"/>
        <v>57979.157769304678</v>
      </c>
      <c r="L43" s="5">
        <f t="shared" si="62"/>
        <v>12834.926788919634</v>
      </c>
      <c r="M43" s="5">
        <f t="shared" si="63"/>
        <v>405.07421961578962</v>
      </c>
      <c r="N43" s="5">
        <f t="shared" si="64"/>
        <v>7.4908303654054418</v>
      </c>
      <c r="O43">
        <v>1.9091115345356728</v>
      </c>
      <c r="P43" s="3">
        <f t="shared" si="6"/>
        <v>0.90911153453567284</v>
      </c>
      <c r="Q43" s="3">
        <f t="shared" si="7"/>
        <v>3.8176131694124118</v>
      </c>
      <c r="R43" s="3">
        <f t="shared" si="8"/>
        <v>2.8</v>
      </c>
      <c r="S43" s="3">
        <f t="shared" si="22"/>
        <v>0.3</v>
      </c>
      <c r="T43" s="12">
        <f t="shared" si="9"/>
        <v>0.3</v>
      </c>
      <c r="U43" s="12">
        <f t="shared" si="10"/>
        <v>0.3</v>
      </c>
      <c r="V43" s="3">
        <f t="shared" si="23"/>
        <v>0.3</v>
      </c>
      <c r="W43" s="3">
        <f t="shared" si="24"/>
        <v>0.3</v>
      </c>
      <c r="X43" s="3">
        <f t="shared" si="25"/>
        <v>7.8176131694124109</v>
      </c>
      <c r="Y43" s="7">
        <f>IF(UseRetro,RetroF,Ftest*ER!$D50+AS43)</f>
        <v>0.15</v>
      </c>
      <c r="Z43" s="5">
        <f t="shared" si="26"/>
        <v>6092.1329512386792</v>
      </c>
      <c r="AA43" s="5">
        <f t="shared" si="11"/>
        <v>6886.6310510657413</v>
      </c>
      <c r="AB43" s="5">
        <f t="shared" si="12"/>
        <v>6276.9757795559281</v>
      </c>
      <c r="AC43" s="5">
        <f t="shared" si="13"/>
        <v>207.09846344927465</v>
      </c>
      <c r="AD43" s="5">
        <f t="shared" si="14"/>
        <v>3.8684504673308959</v>
      </c>
      <c r="AE43" s="5">
        <f t="shared" si="27"/>
        <v>1395.0121051457729</v>
      </c>
      <c r="AF43" s="5">
        <f t="shared" si="28"/>
        <v>8076.0342108572804</v>
      </c>
      <c r="AG43" s="5">
        <f t="shared" si="29"/>
        <v>1787.8029248648509</v>
      </c>
      <c r="AH43" s="5">
        <f t="shared" si="30"/>
        <v>56.423607748323882</v>
      </c>
      <c r="AI43" s="5">
        <f t="shared" si="31"/>
        <v>1.0434129198539477</v>
      </c>
      <c r="AJ43">
        <f t="shared" si="15"/>
        <v>2008</v>
      </c>
      <c r="AK43">
        <f t="shared" si="32"/>
        <v>11316.316261536083</v>
      </c>
      <c r="AL43">
        <f t="shared" si="33"/>
        <v>19466.706695776953</v>
      </c>
      <c r="AM43">
        <f t="shared" si="34"/>
        <v>0.36761549628275536</v>
      </c>
      <c r="AN43">
        <v>39.960157702391662</v>
      </c>
      <c r="AO43">
        <v>17.881678000000001</v>
      </c>
      <c r="AP43">
        <v>16.651</v>
      </c>
      <c r="AQ43">
        <f>stressors!U38/stressors!U$49</f>
        <v>0.63721548560283869</v>
      </c>
      <c r="AR43">
        <f>CHOOSE(stockcode,Esc!F58,Esc!G58,Esc!H58,Esc!I58,Esc!J58,Esc!K58,Esc!L58,Esc!M58,Esc!N57,Esc!O57,Esc!P57)</f>
        <v>18415.973958867569</v>
      </c>
      <c r="AS43">
        <v>0</v>
      </c>
      <c r="AT43">
        <f t="shared" si="35"/>
        <v>2008</v>
      </c>
      <c r="AU43">
        <v>10000</v>
      </c>
      <c r="AV43" s="11">
        <f t="shared" si="70"/>
        <v>608.10062625217972</v>
      </c>
      <c r="AW43" s="11">
        <f t="shared" si="65"/>
        <v>394.96871361264914</v>
      </c>
      <c r="AX43" s="11">
        <f t="shared" si="66"/>
        <v>193.91924152313251</v>
      </c>
      <c r="AY43" s="11">
        <f t="shared" si="67"/>
        <v>6.5533634794234397</v>
      </c>
      <c r="AZ43" s="11">
        <f t="shared" si="68"/>
        <v>4.1786090422904064E-2</v>
      </c>
      <c r="BA43" s="11">
        <f t="shared" si="69"/>
        <v>39.537114368474043</v>
      </c>
      <c r="BB43" s="11">
        <f t="shared" si="36"/>
        <v>46.9134756697757</v>
      </c>
      <c r="BC43" s="11">
        <f t="shared" si="37"/>
        <v>94.837033529586463</v>
      </c>
      <c r="BD43" s="11">
        <f t="shared" si="38"/>
        <v>3.3504761381765404</v>
      </c>
      <c r="BE43" s="11">
        <f t="shared" si="39"/>
        <v>2.1579372798367344E-2</v>
      </c>
      <c r="BF43" s="11">
        <f t="shared" si="40"/>
        <v>9.05343885105788</v>
      </c>
      <c r="BG43" s="11">
        <f t="shared" si="41"/>
        <v>55.015991367897712</v>
      </c>
      <c r="BH43" s="11">
        <f t="shared" si="42"/>
        <v>27.011403561875081</v>
      </c>
      <c r="BI43" s="11">
        <f t="shared" si="43"/>
        <v>0.91283126027101502</v>
      </c>
      <c r="BJ43" s="11">
        <f t="shared" si="44"/>
        <v>5.8204690922918191E-3</v>
      </c>
      <c r="BK43" s="11">
        <f t="shared" si="45"/>
        <v>2006</v>
      </c>
      <c r="BL43">
        <f t="shared" si="46"/>
        <v>0.33253727794221138</v>
      </c>
      <c r="BM43">
        <f t="shared" si="47"/>
        <v>2008</v>
      </c>
      <c r="BN43" s="11">
        <f t="shared" si="48"/>
        <v>9.05343885105788</v>
      </c>
      <c r="BO43" s="11">
        <f t="shared" si="49"/>
        <v>55.015991367897712</v>
      </c>
      <c r="BP43" s="11">
        <f t="shared" si="50"/>
        <v>27.011403561875088</v>
      </c>
      <c r="BQ43" s="11">
        <f t="shared" si="51"/>
        <v>0.91283126027101513</v>
      </c>
      <c r="BR43" s="11">
        <f t="shared" si="52"/>
        <v>5.8204690922918183E-3</v>
      </c>
      <c r="BS43" s="11">
        <f t="shared" si="53"/>
        <v>39.537114368474043</v>
      </c>
      <c r="BT43" s="11">
        <f t="shared" si="54"/>
        <v>46.9134756697757</v>
      </c>
      <c r="BU43" s="11">
        <f t="shared" si="55"/>
        <v>94.837033529586463</v>
      </c>
      <c r="BV43" s="11">
        <f t="shared" si="56"/>
        <v>3.35047613817654</v>
      </c>
      <c r="BW43" s="11">
        <f t="shared" si="57"/>
        <v>2.1579372798367344E-2</v>
      </c>
      <c r="BX43">
        <f t="shared" si="16"/>
        <v>608.10062625217972</v>
      </c>
      <c r="BY43">
        <f t="shared" si="17"/>
        <v>394.96871361264914</v>
      </c>
      <c r="BZ43">
        <f t="shared" si="18"/>
        <v>193.91924152313254</v>
      </c>
      <c r="CA43">
        <f t="shared" si="19"/>
        <v>6.5533634794234397</v>
      </c>
      <c r="CB43">
        <f t="shared" si="20"/>
        <v>4.1786090422904057E-2</v>
      </c>
      <c r="CC43">
        <f t="shared" si="58"/>
        <v>6.0810062625217973E-2</v>
      </c>
    </row>
    <row r="44" spans="1:81" x14ac:dyDescent="0.55000000000000004">
      <c r="G44">
        <v>2009</v>
      </c>
      <c r="H44" s="5">
        <f t="shared" si="21"/>
        <v>39244564.285891227</v>
      </c>
      <c r="I44" s="5">
        <f t="shared" si="59"/>
        <v>469872.42453049624</v>
      </c>
      <c r="J44" s="5">
        <f t="shared" si="60"/>
        <v>61667.94131231722</v>
      </c>
      <c r="K44" s="5">
        <f t="shared" si="61"/>
        <v>60859.320497770612</v>
      </c>
      <c r="L44" s="5">
        <f t="shared" si="62"/>
        <v>28466.240264792268</v>
      </c>
      <c r="M44" s="5">
        <f t="shared" si="63"/>
        <v>433.74726416483969</v>
      </c>
      <c r="N44" s="5">
        <f t="shared" si="64"/>
        <v>2.5828672592324842</v>
      </c>
      <c r="O44">
        <v>0.90387425651547104</v>
      </c>
      <c r="P44" s="3">
        <f t="shared" si="6"/>
        <v>-9.6125743484528958E-2</v>
      </c>
      <c r="Q44" s="3">
        <f t="shared" si="7"/>
        <v>3.0678343141104678</v>
      </c>
      <c r="R44" s="3">
        <f t="shared" si="8"/>
        <v>2.8</v>
      </c>
      <c r="S44" s="3">
        <f t="shared" si="22"/>
        <v>0.3</v>
      </c>
      <c r="T44" s="12">
        <f t="shared" si="9"/>
        <v>0.3</v>
      </c>
      <c r="U44" s="12">
        <f t="shared" si="10"/>
        <v>0.3</v>
      </c>
      <c r="V44" s="3">
        <f t="shared" si="23"/>
        <v>0.3</v>
      </c>
      <c r="W44" s="3">
        <f t="shared" si="24"/>
        <v>0.3</v>
      </c>
      <c r="X44" s="3">
        <f t="shared" si="25"/>
        <v>7.0678343141104669</v>
      </c>
      <c r="Y44" s="7">
        <f>IF(UseRetro,RetroF,Ftest*ER!$D51+AS44)</f>
        <v>0.15</v>
      </c>
      <c r="Z44" s="5">
        <f t="shared" si="26"/>
        <v>4009.4884683153073</v>
      </c>
      <c r="AA44" s="5">
        <f t="shared" si="11"/>
        <v>7228.7301577291446</v>
      </c>
      <c r="AB44" s="5">
        <f t="shared" si="12"/>
        <v>13921.536415102617</v>
      </c>
      <c r="AC44" s="5">
        <f t="shared" si="13"/>
        <v>221.75785963141914</v>
      </c>
      <c r="AD44" s="5">
        <f t="shared" si="14"/>
        <v>1.333856671241116</v>
      </c>
      <c r="AE44" s="5">
        <f t="shared" si="27"/>
        <v>918.11603481256691</v>
      </c>
      <c r="AF44" s="5">
        <f t="shared" si="28"/>
        <v>8477.2179055304259</v>
      </c>
      <c r="AG44" s="5">
        <f t="shared" si="29"/>
        <v>3965.1202100534133</v>
      </c>
      <c r="AH44" s="5">
        <f t="shared" si="30"/>
        <v>60.417534145615527</v>
      </c>
      <c r="AI44" s="5">
        <f t="shared" si="31"/>
        <v>0.35977280716395749</v>
      </c>
      <c r="AJ44">
        <f t="shared" si="15"/>
        <v>2009</v>
      </c>
      <c r="AK44">
        <f t="shared" si="32"/>
        <v>13421.231457349186</v>
      </c>
      <c r="AL44">
        <f t="shared" si="33"/>
        <v>25382.84675744973</v>
      </c>
      <c r="AM44">
        <f t="shared" si="34"/>
        <v>0.34587167315394857</v>
      </c>
      <c r="AN44">
        <v>39.730051865144837</v>
      </c>
      <c r="AO44">
        <v>17.952368</v>
      </c>
      <c r="AP44">
        <v>16.042999999999999</v>
      </c>
      <c r="AQ44">
        <f>stressors!U39/stressors!U$49</f>
        <v>0.68691199304370354</v>
      </c>
      <c r="AR44">
        <f>CHOOSE(stockcode,Esc!F59,Esc!G59,Esc!H59,Esc!I59,Esc!J59,Esc!K59,Esc!L59,Esc!M59,Esc!N58,Esc!O58,Esc!P58)</f>
        <v>29362.512144301156</v>
      </c>
      <c r="AS44">
        <v>0</v>
      </c>
      <c r="AT44">
        <f t="shared" si="35"/>
        <v>2009</v>
      </c>
      <c r="AU44">
        <v>10000</v>
      </c>
      <c r="AV44" s="11">
        <f t="shared" si="70"/>
        <v>608.10062625217972</v>
      </c>
      <c r="AW44" s="11">
        <f t="shared" si="65"/>
        <v>394.96871361264914</v>
      </c>
      <c r="AX44" s="11">
        <f t="shared" si="66"/>
        <v>193.91924152313254</v>
      </c>
      <c r="AY44" s="11">
        <f t="shared" si="67"/>
        <v>6.5533634794234414</v>
      </c>
      <c r="AZ44" s="11">
        <f t="shared" si="68"/>
        <v>4.1786090422904043E-2</v>
      </c>
      <c r="BA44" s="11">
        <f t="shared" si="69"/>
        <v>39.537114368474043</v>
      </c>
      <c r="BB44" s="11">
        <f t="shared" si="36"/>
        <v>46.913475669775693</v>
      </c>
      <c r="BC44" s="11">
        <f t="shared" si="37"/>
        <v>94.837033529586492</v>
      </c>
      <c r="BD44" s="11">
        <f t="shared" si="38"/>
        <v>3.3504761381765409</v>
      </c>
      <c r="BE44" s="11">
        <f t="shared" si="39"/>
        <v>2.1579372798367337E-2</v>
      </c>
      <c r="BF44" s="11">
        <f t="shared" si="40"/>
        <v>9.05343885105788</v>
      </c>
      <c r="BG44" s="11">
        <f t="shared" si="41"/>
        <v>55.015991367897712</v>
      </c>
      <c r="BH44" s="11">
        <f t="shared" si="42"/>
        <v>27.011403561875088</v>
      </c>
      <c r="BI44" s="11">
        <f t="shared" si="43"/>
        <v>0.91283126027101513</v>
      </c>
      <c r="BJ44" s="11">
        <f t="shared" si="44"/>
        <v>5.8204690922918157E-3</v>
      </c>
      <c r="BK44" s="11">
        <f t="shared" si="45"/>
        <v>2007</v>
      </c>
      <c r="BL44">
        <f t="shared" si="46"/>
        <v>0.33253727794221133</v>
      </c>
      <c r="BM44">
        <f t="shared" si="47"/>
        <v>2009</v>
      </c>
      <c r="BN44" s="11">
        <f t="shared" si="48"/>
        <v>9.0534388510578783</v>
      </c>
      <c r="BO44" s="11">
        <f t="shared" si="49"/>
        <v>55.015991367897705</v>
      </c>
      <c r="BP44" s="11">
        <f t="shared" si="50"/>
        <v>27.011403561875081</v>
      </c>
      <c r="BQ44" s="11">
        <f t="shared" si="51"/>
        <v>0.91283126027101502</v>
      </c>
      <c r="BR44" s="11">
        <f t="shared" si="52"/>
        <v>5.8204690922918165E-3</v>
      </c>
      <c r="BS44" s="11">
        <f t="shared" si="53"/>
        <v>39.537114368474029</v>
      </c>
      <c r="BT44" s="11">
        <f t="shared" si="54"/>
        <v>46.913475669775693</v>
      </c>
      <c r="BU44" s="11">
        <f t="shared" si="55"/>
        <v>94.837033529586449</v>
      </c>
      <c r="BV44" s="11">
        <f t="shared" si="56"/>
        <v>3.3504761381765404</v>
      </c>
      <c r="BW44" s="11">
        <f t="shared" si="57"/>
        <v>2.157937279836734E-2</v>
      </c>
      <c r="BX44">
        <f t="shared" si="16"/>
        <v>608.10062625217972</v>
      </c>
      <c r="BY44">
        <f t="shared" si="17"/>
        <v>394.96871361264908</v>
      </c>
      <c r="BZ44">
        <f t="shared" si="18"/>
        <v>193.91924152313248</v>
      </c>
      <c r="CA44">
        <f t="shared" si="19"/>
        <v>6.5533634794234397</v>
      </c>
      <c r="CB44">
        <f t="shared" si="20"/>
        <v>4.178609042290405E-2</v>
      </c>
      <c r="CC44">
        <f t="shared" si="58"/>
        <v>6.0810062625217973E-2</v>
      </c>
    </row>
    <row r="45" spans="1:81" x14ac:dyDescent="0.55000000000000004">
      <c r="A45" t="s">
        <v>101</v>
      </c>
      <c r="B45">
        <f>SUMPRODUCT(LN(AL14:AL59/AR14:AR59)^2)</f>
        <v>0.40975677469266958</v>
      </c>
      <c r="G45">
        <v>2010</v>
      </c>
      <c r="H45" s="5">
        <f t="shared" si="21"/>
        <v>37596358.628417745</v>
      </c>
      <c r="I45" s="5">
        <f t="shared" si="59"/>
        <v>514627.94148943835</v>
      </c>
      <c r="J45" s="5">
        <f t="shared" si="60"/>
        <v>28572.971561562481</v>
      </c>
      <c r="K45" s="5">
        <f t="shared" si="61"/>
        <v>40054.073947237557</v>
      </c>
      <c r="L45" s="5">
        <f t="shared" si="62"/>
        <v>29880.324349221944</v>
      </c>
      <c r="M45" s="5">
        <f t="shared" si="63"/>
        <v>961.9964366740229</v>
      </c>
      <c r="N45" s="5">
        <f t="shared" si="64"/>
        <v>2.7656946632042798</v>
      </c>
      <c r="O45">
        <v>0.76163716800336734</v>
      </c>
      <c r="P45" s="3">
        <f t="shared" si="6"/>
        <v>-0.23836283199663266</v>
      </c>
      <c r="Q45" s="3">
        <f t="shared" si="7"/>
        <v>2.8990013283438483</v>
      </c>
      <c r="R45" s="3">
        <f t="shared" si="8"/>
        <v>2.8</v>
      </c>
      <c r="S45" s="3">
        <f t="shared" si="22"/>
        <v>0.3</v>
      </c>
      <c r="T45" s="12">
        <f t="shared" si="9"/>
        <v>0.3</v>
      </c>
      <c r="U45" s="12">
        <f t="shared" si="10"/>
        <v>0.3</v>
      </c>
      <c r="V45" s="3">
        <f t="shared" si="23"/>
        <v>0.3</v>
      </c>
      <c r="W45" s="3">
        <f t="shared" si="24"/>
        <v>0.3</v>
      </c>
      <c r="X45" s="3">
        <f t="shared" si="25"/>
        <v>6.8990013283438474</v>
      </c>
      <c r="Y45" s="7">
        <f>IF(UseRetro,RetroF,Ftest*ER!$D52+AS45)</f>
        <v>0.15</v>
      </c>
      <c r="Z45" s="5">
        <f t="shared" si="26"/>
        <v>1857.7399787254417</v>
      </c>
      <c r="AA45" s="5">
        <f t="shared" si="11"/>
        <v>4757.5308089894925</v>
      </c>
      <c r="AB45" s="5">
        <f t="shared" si="12"/>
        <v>14613.100277849646</v>
      </c>
      <c r="AC45" s="5">
        <f t="shared" si="13"/>
        <v>491.83081576466185</v>
      </c>
      <c r="AD45" s="5">
        <f t="shared" si="14"/>
        <v>1.4282732741856825</v>
      </c>
      <c r="AE45" s="5">
        <f t="shared" si="27"/>
        <v>425.39612632851561</v>
      </c>
      <c r="AF45" s="5">
        <f t="shared" si="28"/>
        <v>5579.2130125310914</v>
      </c>
      <c r="AG45" s="5">
        <f t="shared" si="29"/>
        <v>4162.0908436787422</v>
      </c>
      <c r="AH45" s="5">
        <f t="shared" si="30"/>
        <v>133.99843033620837</v>
      </c>
      <c r="AI45" s="5">
        <f t="shared" si="31"/>
        <v>0.38523920622814234</v>
      </c>
      <c r="AJ45">
        <f t="shared" si="15"/>
        <v>2010</v>
      </c>
      <c r="AK45">
        <f t="shared" si="32"/>
        <v>10301.083652080788</v>
      </c>
      <c r="AL45">
        <f t="shared" si="33"/>
        <v>21721.630154603426</v>
      </c>
      <c r="AM45">
        <f t="shared" si="34"/>
        <v>0.32168053320735751</v>
      </c>
      <c r="AN45">
        <v>39.261613435013146</v>
      </c>
      <c r="AO45">
        <v>16.094467000000002</v>
      </c>
      <c r="AP45">
        <v>15.809000000000001</v>
      </c>
      <c r="AQ45">
        <f>stressors!U40/stressors!U$49</f>
        <v>0.71569414693191136</v>
      </c>
      <c r="AR45">
        <f>CHOOSE(stockcode,Esc!F60,Esc!G60,Esc!H60,Esc!I60,Esc!J60,Esc!K60,Esc!L60,Esc!M60,Esc!N59,Esc!O59,Esc!P59)</f>
        <v>20592.98856897053</v>
      </c>
      <c r="AS45">
        <v>0</v>
      </c>
      <c r="AT45">
        <f t="shared" si="35"/>
        <v>2010</v>
      </c>
      <c r="AU45">
        <v>10000</v>
      </c>
      <c r="AV45" s="11">
        <f t="shared" si="70"/>
        <v>608.10062625217961</v>
      </c>
      <c r="AW45" s="11">
        <f t="shared" si="65"/>
        <v>394.96871361264914</v>
      </c>
      <c r="AX45" s="11">
        <f t="shared" si="66"/>
        <v>193.91924152313254</v>
      </c>
      <c r="AY45" s="11">
        <f t="shared" si="67"/>
        <v>6.5533634794234414</v>
      </c>
      <c r="AZ45" s="11">
        <f t="shared" si="68"/>
        <v>4.1786090422904057E-2</v>
      </c>
      <c r="BA45" s="11">
        <f t="shared" si="69"/>
        <v>39.537114368474029</v>
      </c>
      <c r="BB45" s="11">
        <f t="shared" si="36"/>
        <v>46.9134756697757</v>
      </c>
      <c r="BC45" s="11">
        <f t="shared" si="37"/>
        <v>94.837033529586478</v>
      </c>
      <c r="BD45" s="11">
        <f t="shared" si="38"/>
        <v>3.3504761381765413</v>
      </c>
      <c r="BE45" s="11">
        <f t="shared" si="39"/>
        <v>2.1579372798367344E-2</v>
      </c>
      <c r="BF45" s="11">
        <f t="shared" si="40"/>
        <v>9.0534388510578783</v>
      </c>
      <c r="BG45" s="11">
        <f t="shared" si="41"/>
        <v>55.015991367897712</v>
      </c>
      <c r="BH45" s="11">
        <f t="shared" si="42"/>
        <v>27.011403561875085</v>
      </c>
      <c r="BI45" s="11">
        <f t="shared" si="43"/>
        <v>0.91283126027101513</v>
      </c>
      <c r="BJ45" s="11">
        <f t="shared" si="44"/>
        <v>5.8204690922918183E-3</v>
      </c>
      <c r="BK45" s="11">
        <f t="shared" si="45"/>
        <v>2008</v>
      </c>
      <c r="BL45">
        <f t="shared" si="46"/>
        <v>0.33253727794221144</v>
      </c>
      <c r="BM45">
        <f t="shared" si="47"/>
        <v>2010</v>
      </c>
      <c r="BN45" s="11">
        <f t="shared" si="48"/>
        <v>9.05343885105788</v>
      </c>
      <c r="BO45" s="11">
        <f t="shared" si="49"/>
        <v>55.015991367897712</v>
      </c>
      <c r="BP45" s="11">
        <f t="shared" si="50"/>
        <v>27.011403561875088</v>
      </c>
      <c r="BQ45" s="11">
        <f t="shared" si="51"/>
        <v>0.91283126027101524</v>
      </c>
      <c r="BR45" s="11">
        <f t="shared" si="52"/>
        <v>5.139751911542618E-3</v>
      </c>
      <c r="BS45" s="11">
        <f t="shared" si="53"/>
        <v>39.537114368474036</v>
      </c>
      <c r="BT45" s="11">
        <f t="shared" si="54"/>
        <v>46.9134756697757</v>
      </c>
      <c r="BU45" s="11">
        <f t="shared" si="55"/>
        <v>94.837033529586478</v>
      </c>
      <c r="BV45" s="11">
        <f t="shared" si="56"/>
        <v>3.3504761381765409</v>
      </c>
      <c r="BW45" s="11">
        <f t="shared" si="57"/>
        <v>2.1987803106816865E-2</v>
      </c>
      <c r="BX45">
        <f t="shared" si="16"/>
        <v>608.10062625217972</v>
      </c>
      <c r="BY45">
        <f t="shared" si="17"/>
        <v>394.96871361264914</v>
      </c>
      <c r="BZ45">
        <f t="shared" si="18"/>
        <v>193.91924152313254</v>
      </c>
      <c r="CA45">
        <f t="shared" si="19"/>
        <v>6.5533634794234406</v>
      </c>
      <c r="CB45">
        <f t="shared" si="20"/>
        <v>4.1786090422904057E-2</v>
      </c>
      <c r="CC45">
        <f t="shared" si="58"/>
        <v>6.0810062625217973E-2</v>
      </c>
    </row>
    <row r="46" spans="1:81" x14ac:dyDescent="0.55000000000000004">
      <c r="A46" t="s">
        <v>115</v>
      </c>
      <c r="B46">
        <f>SUMPRODUCT((RelmYr-1)^2)</f>
        <v>15.165340806541284</v>
      </c>
      <c r="G46">
        <v>2011</v>
      </c>
      <c r="H46" s="5">
        <f t="shared" ref="H46:H66" si="71">SUMPRODUCT(J$7:N$7,Z46:AD46)</f>
        <v>23841652.391987827</v>
      </c>
      <c r="I46" s="5">
        <f t="shared" si="59"/>
        <v>1825727.6702607796</v>
      </c>
      <c r="J46" s="5">
        <f t="shared" si="60"/>
        <v>31294.557350659758</v>
      </c>
      <c r="K46" s="5">
        <f t="shared" si="61"/>
        <v>18558.490707886667</v>
      </c>
      <c r="L46" s="5">
        <f t="shared" si="62"/>
        <v>19665.49595464216</v>
      </c>
      <c r="M46" s="5">
        <f t="shared" si="63"/>
        <v>1009.7844071866341</v>
      </c>
      <c r="N46" s="5">
        <f t="shared" si="64"/>
        <v>6.1339600978319009</v>
      </c>
      <c r="O46">
        <v>1.1529667303551054</v>
      </c>
      <c r="P46" s="3">
        <f t="shared" ref="P46:P66" si="72">O46-1</f>
        <v>0.15296673035510544</v>
      </c>
      <c r="Q46" s="3">
        <f t="shared" ref="Q46:Q66" si="73">MeMin+Mden*H46+P46</f>
        <v>3.0683811891086541</v>
      </c>
      <c r="R46" s="3">
        <f t="shared" ref="R46:R66" si="74">I$4+Mseal*AN46/40+Mhatch*AO46/30+Mtemp*(AP46-14.5)</f>
        <v>2.8</v>
      </c>
      <c r="S46" s="3">
        <f t="shared" si="22"/>
        <v>0.3</v>
      </c>
      <c r="T46" s="12">
        <f t="shared" ref="T46:T79" si="75">K$4+MSSLNRKWq*AQ46</f>
        <v>0.3</v>
      </c>
      <c r="U46" s="12">
        <f t="shared" ref="U46:U79" si="76">L$4+MSSLNRKWq*AQ46</f>
        <v>0.3</v>
      </c>
      <c r="V46" s="3">
        <f t="shared" si="23"/>
        <v>0.3</v>
      </c>
      <c r="W46" s="3">
        <f t="shared" si="24"/>
        <v>0.3</v>
      </c>
      <c r="X46" s="3">
        <f t="shared" si="25"/>
        <v>7.0683811891086528</v>
      </c>
      <c r="Y46" s="7">
        <f>IF(UseRetro,RetroF,Ftest*ER!$D53+AS46)</f>
        <v>0.15</v>
      </c>
      <c r="Z46" s="5">
        <f t="shared" ref="Z46:Z66" si="77">Ssum*J46*EXP(-J$5*$Y46)*J$6</f>
        <v>2034.690377988029</v>
      </c>
      <c r="AA46" s="5">
        <f t="shared" ref="AA46:AA66" si="78">Ssum*K46*EXP(-K$5*$Y46)*K$6</f>
        <v>2204.3348556109954</v>
      </c>
      <c r="AB46" s="5">
        <f t="shared" ref="AB46:AB66" si="79">Ssum*L46*EXP(-L$5*$Y46)*L$6</f>
        <v>9617.4948116423438</v>
      </c>
      <c r="AC46" s="5">
        <f t="shared" ref="AC46:AC66" si="80">Ssum*M46*EXP(-M$5*$Y46)*M$6</f>
        <v>516.26291927869954</v>
      </c>
      <c r="AD46" s="5">
        <f t="shared" ref="AD46:AD66" si="81">Ssum*N46*EXP(-N$5*$Y46)*N$6</f>
        <v>3.1677290299661669</v>
      </c>
      <c r="AE46" s="5">
        <f t="shared" si="27"/>
        <v>465.91525993204226</v>
      </c>
      <c r="AF46" s="5">
        <f t="shared" si="28"/>
        <v>2585.0497251982952</v>
      </c>
      <c r="AG46" s="5">
        <f t="shared" si="29"/>
        <v>2739.2467261269462</v>
      </c>
      <c r="AH46" s="5">
        <f t="shared" si="30"/>
        <v>140.65491345144966</v>
      </c>
      <c r="AI46" s="5">
        <f t="shared" si="31"/>
        <v>0.8544117145549559</v>
      </c>
      <c r="AJ46">
        <f t="shared" ref="AJ46:AJ66" si="82">G46</f>
        <v>2011</v>
      </c>
      <c r="AK46">
        <f t="shared" si="32"/>
        <v>5931.7210364232878</v>
      </c>
      <c r="AL46">
        <f t="shared" si="33"/>
        <v>14375.950693550034</v>
      </c>
      <c r="AM46">
        <f t="shared" si="34"/>
        <v>0.29209261973977557</v>
      </c>
      <c r="AN46">
        <v>38.395457562205827</v>
      </c>
      <c r="AO46">
        <v>17.743708999999999</v>
      </c>
      <c r="AP46">
        <v>15.368000000000002</v>
      </c>
      <c r="AQ46">
        <f>stressors!U41/stressors!U$49</f>
        <v>0.74426567013523415</v>
      </c>
      <c r="AR46">
        <f>CHOOSE(stockcode,Esc!F61,Esc!G61,Esc!H61,Esc!I61,Esc!J61,Esc!K61,Esc!L61,Esc!M61,Esc!N60,Esc!O60,Esc!P60)</f>
        <v>13471.582043405921</v>
      </c>
      <c r="AS46">
        <v>0</v>
      </c>
      <c r="AT46">
        <f t="shared" si="35"/>
        <v>2011</v>
      </c>
      <c r="AU46">
        <v>10000</v>
      </c>
      <c r="AV46" s="11">
        <f t="shared" si="70"/>
        <v>608.10062625217972</v>
      </c>
      <c r="AW46" s="11">
        <f t="shared" si="65"/>
        <v>394.96871361264908</v>
      </c>
      <c r="AX46" s="11">
        <f t="shared" si="66"/>
        <v>193.91924152313251</v>
      </c>
      <c r="AY46" s="11">
        <f t="shared" si="67"/>
        <v>6.5533634794234423</v>
      </c>
      <c r="AZ46" s="11">
        <f t="shared" si="68"/>
        <v>4.1786090422904057E-2</v>
      </c>
      <c r="BA46" s="11">
        <f t="shared" si="69"/>
        <v>39.537114368474036</v>
      </c>
      <c r="BB46" s="11">
        <f t="shared" si="36"/>
        <v>46.913475669775693</v>
      </c>
      <c r="BC46" s="11">
        <f t="shared" si="37"/>
        <v>94.837033529586463</v>
      </c>
      <c r="BD46" s="11">
        <f t="shared" si="38"/>
        <v>3.3504761381765418</v>
      </c>
      <c r="BE46" s="11">
        <f t="shared" si="39"/>
        <v>2.157937279836734E-2</v>
      </c>
      <c r="BF46" s="11">
        <f t="shared" si="40"/>
        <v>9.05343885105788</v>
      </c>
      <c r="BG46" s="11">
        <f t="shared" si="41"/>
        <v>55.015991367897705</v>
      </c>
      <c r="BH46" s="11">
        <f t="shared" si="42"/>
        <v>27.011403561875088</v>
      </c>
      <c r="BI46" s="11">
        <f t="shared" si="43"/>
        <v>0.91283126027101535</v>
      </c>
      <c r="BJ46" s="11">
        <f t="shared" si="44"/>
        <v>5.8204690922918183E-3</v>
      </c>
      <c r="BK46" s="11">
        <f t="shared" si="45"/>
        <v>2009</v>
      </c>
      <c r="BL46">
        <f t="shared" si="46"/>
        <v>0.33253514473174234</v>
      </c>
      <c r="BM46">
        <f t="shared" si="47"/>
        <v>2011</v>
      </c>
      <c r="BN46" s="11">
        <f t="shared" si="48"/>
        <v>9.05343885105788</v>
      </c>
      <c r="BO46" s="11">
        <f t="shared" si="49"/>
        <v>55.015991367897712</v>
      </c>
      <c r="BP46" s="11">
        <f t="shared" si="50"/>
        <v>27.011403561875085</v>
      </c>
      <c r="BQ46" s="11">
        <f t="shared" si="51"/>
        <v>0.80607355532686664</v>
      </c>
      <c r="BR46" s="11">
        <f t="shared" si="52"/>
        <v>4.530302661494779E-3</v>
      </c>
      <c r="BS46" s="11">
        <f t="shared" si="53"/>
        <v>39.537114368474036</v>
      </c>
      <c r="BT46" s="11">
        <f t="shared" si="54"/>
        <v>46.9134756697757</v>
      </c>
      <c r="BU46" s="11">
        <f t="shared" si="55"/>
        <v>94.837033529586478</v>
      </c>
      <c r="BV46" s="11">
        <f t="shared" si="56"/>
        <v>3.4138902149133652</v>
      </c>
      <c r="BW46" s="11">
        <f t="shared" si="57"/>
        <v>2.2828000974970293E-2</v>
      </c>
      <c r="BX46">
        <f t="shared" ref="BX46:BX77" si="83">BY46*EXP(J$4)+BN46+BS46/Ssum</f>
        <v>608.10062625217972</v>
      </c>
      <c r="BY46">
        <f t="shared" ref="BY46:BY77" si="84">BZ46*EXP(K$4)+BO46+BT46/Ssum</f>
        <v>394.96871361264914</v>
      </c>
      <c r="BZ46">
        <f t="shared" ref="BZ46:BZ77" si="85">CA46*EXP(L$4)+BP46+BU46/Ssum</f>
        <v>193.91924152313254</v>
      </c>
      <c r="CA46">
        <f t="shared" ref="CA46:CA77" si="86">CB46*EXP(M$4)+BQ46+BV46/Ssum</f>
        <v>6.5533634794234414</v>
      </c>
      <c r="CB46">
        <f t="shared" ref="CB46:CB79" si="87">BR46+BW46/Ssum</f>
        <v>4.2576970953111942E-2</v>
      </c>
      <c r="CC46">
        <f t="shared" si="58"/>
        <v>6.0810062625217973E-2</v>
      </c>
    </row>
    <row r="47" spans="1:81" x14ac:dyDescent="0.55000000000000004">
      <c r="A47" t="s">
        <v>162</v>
      </c>
      <c r="B47">
        <f>SUMPRODUCT(fanom^2)</f>
        <v>0</v>
      </c>
      <c r="G47">
        <v>2012</v>
      </c>
      <c r="H47" s="5">
        <f t="shared" si="71"/>
        <v>13393120.208670218</v>
      </c>
      <c r="I47" s="5">
        <f t="shared" si="59"/>
        <v>2070739.6708702573</v>
      </c>
      <c r="J47" s="5">
        <f t="shared" si="60"/>
        <v>111022.61396515131</v>
      </c>
      <c r="K47" s="5">
        <f t="shared" si="61"/>
        <v>20326.193603920914</v>
      </c>
      <c r="L47" s="5">
        <f t="shared" si="62"/>
        <v>9111.7304177589158</v>
      </c>
      <c r="M47" s="5">
        <f t="shared" si="63"/>
        <v>664.58151332304942</v>
      </c>
      <c r="N47" s="5">
        <f t="shared" si="64"/>
        <v>6.4386696509090227</v>
      </c>
      <c r="O47">
        <v>1.3698059367665489</v>
      </c>
      <c r="P47" s="3">
        <f t="shared" si="72"/>
        <v>0.36980593676654894</v>
      </c>
      <c r="Q47" s="3">
        <f t="shared" si="73"/>
        <v>3.1166200226552299</v>
      </c>
      <c r="R47" s="3">
        <f t="shared" si="74"/>
        <v>2.8</v>
      </c>
      <c r="S47" s="3">
        <f t="shared" si="22"/>
        <v>0.3</v>
      </c>
      <c r="T47" s="12">
        <f t="shared" si="75"/>
        <v>0.3</v>
      </c>
      <c r="U47" s="12">
        <f t="shared" si="76"/>
        <v>0.3</v>
      </c>
      <c r="V47" s="3">
        <f t="shared" si="23"/>
        <v>0.3</v>
      </c>
      <c r="W47" s="3">
        <f t="shared" si="24"/>
        <v>0.3</v>
      </c>
      <c r="X47" s="3">
        <f t="shared" si="25"/>
        <v>7.116620022655229</v>
      </c>
      <c r="Y47" s="7">
        <f>IF(UseRetro,RetroF,Ftest*ER!$D54+AS47)</f>
        <v>0.15</v>
      </c>
      <c r="Z47" s="5">
        <f t="shared" si="77"/>
        <v>7218.4003704788092</v>
      </c>
      <c r="AA47" s="5">
        <f t="shared" si="78"/>
        <v>2414.2985412051517</v>
      </c>
      <c r="AB47" s="5">
        <f t="shared" si="79"/>
        <v>4456.1306879826761</v>
      </c>
      <c r="AC47" s="5">
        <f t="shared" si="80"/>
        <v>339.77430204405994</v>
      </c>
      <c r="AD47" s="5">
        <f t="shared" si="81"/>
        <v>3.3250885956620024</v>
      </c>
      <c r="AE47" s="5">
        <f t="shared" si="27"/>
        <v>1652.9113821390331</v>
      </c>
      <c r="AF47" s="5">
        <f t="shared" si="28"/>
        <v>2831.276638666191</v>
      </c>
      <c r="AG47" s="5">
        <f t="shared" si="29"/>
        <v>1269.1913681589929</v>
      </c>
      <c r="AH47" s="5">
        <f t="shared" si="30"/>
        <v>92.570903821264963</v>
      </c>
      <c r="AI47" s="5">
        <f t="shared" si="31"/>
        <v>0.89685532480568442</v>
      </c>
      <c r="AJ47">
        <f t="shared" si="82"/>
        <v>2012</v>
      </c>
      <c r="AK47">
        <f t="shared" si="32"/>
        <v>5846.8471481102888</v>
      </c>
      <c r="AL47">
        <f t="shared" si="33"/>
        <v>14431.92899030636</v>
      </c>
      <c r="AM47">
        <f t="shared" si="34"/>
        <v>0.28832347219583276</v>
      </c>
      <c r="AN47">
        <v>37.701417262081868</v>
      </c>
      <c r="AO47">
        <v>14.362679</v>
      </c>
      <c r="AP47">
        <v>16.097000000000001</v>
      </c>
      <c r="AQ47">
        <f>stressors!U42/stressors!U$49</f>
        <v>0.78542677122660098</v>
      </c>
      <c r="AR47">
        <f>CHOOSE(stockcode,Esc!F62,Esc!G62,Esc!H62,Esc!I62,Esc!J62,Esc!K62,Esc!L62,Esc!M62,Esc!N61,Esc!O61,Esc!P61)</f>
        <v>12879.133243515074</v>
      </c>
      <c r="AS47">
        <v>0</v>
      </c>
      <c r="AT47">
        <f t="shared" si="35"/>
        <v>2012</v>
      </c>
      <c r="AU47">
        <v>10000</v>
      </c>
      <c r="AV47" s="11">
        <f t="shared" si="70"/>
        <v>608.10062625217972</v>
      </c>
      <c r="AW47" s="11">
        <f t="shared" si="65"/>
        <v>394.96871361264914</v>
      </c>
      <c r="AX47" s="11">
        <f t="shared" si="66"/>
        <v>193.91924152313248</v>
      </c>
      <c r="AY47" s="11">
        <f t="shared" si="67"/>
        <v>6.5533634794234406</v>
      </c>
      <c r="AZ47" s="11">
        <f t="shared" si="68"/>
        <v>4.1786090422904064E-2</v>
      </c>
      <c r="BA47" s="11">
        <f t="shared" si="69"/>
        <v>39.537114368474036</v>
      </c>
      <c r="BB47" s="11">
        <f t="shared" si="36"/>
        <v>46.9134756697757</v>
      </c>
      <c r="BC47" s="11">
        <f t="shared" si="37"/>
        <v>94.837033529586449</v>
      </c>
      <c r="BD47" s="11">
        <f t="shared" si="38"/>
        <v>3.35047613817654</v>
      </c>
      <c r="BE47" s="11">
        <f t="shared" si="39"/>
        <v>2.1579372798367344E-2</v>
      </c>
      <c r="BF47" s="11">
        <f t="shared" si="40"/>
        <v>9.05343885105788</v>
      </c>
      <c r="BG47" s="11">
        <f t="shared" si="41"/>
        <v>55.015991367897712</v>
      </c>
      <c r="BH47" s="11">
        <f t="shared" si="42"/>
        <v>27.011403561875081</v>
      </c>
      <c r="BI47" s="11">
        <f t="shared" si="43"/>
        <v>0.91283126027101513</v>
      </c>
      <c r="BJ47" s="11">
        <f t="shared" si="44"/>
        <v>5.8204690922918191E-3</v>
      </c>
      <c r="BK47" s="11">
        <f t="shared" si="45"/>
        <v>2010</v>
      </c>
      <c r="BL47">
        <f t="shared" si="46"/>
        <v>0.33219882766865066</v>
      </c>
      <c r="BM47">
        <f t="shared" si="47"/>
        <v>2012</v>
      </c>
      <c r="BN47" s="11">
        <f t="shared" si="48"/>
        <v>9.0534388510578783</v>
      </c>
      <c r="BO47" s="11">
        <f t="shared" si="49"/>
        <v>55.015991367897719</v>
      </c>
      <c r="BP47" s="11">
        <f t="shared" si="50"/>
        <v>23.852358098500137</v>
      </c>
      <c r="BQ47" s="11">
        <f t="shared" si="51"/>
        <v>0.71049288679807987</v>
      </c>
      <c r="BR47" s="11">
        <f t="shared" si="52"/>
        <v>4.7034145735756006E-3</v>
      </c>
      <c r="BS47" s="11">
        <f t="shared" si="53"/>
        <v>39.537114368474036</v>
      </c>
      <c r="BT47" s="11">
        <f t="shared" si="54"/>
        <v>46.9134756697757</v>
      </c>
      <c r="BU47" s="11">
        <f t="shared" si="55"/>
        <v>96.632003161876113</v>
      </c>
      <c r="BV47" s="11">
        <f t="shared" si="56"/>
        <v>3.544341777843306</v>
      </c>
      <c r="BW47" s="11">
        <f t="shared" si="57"/>
        <v>2.3700304481609751E-2</v>
      </c>
      <c r="BX47">
        <f t="shared" si="83"/>
        <v>608.10062625217972</v>
      </c>
      <c r="BY47">
        <f t="shared" si="84"/>
        <v>394.96871361264914</v>
      </c>
      <c r="BZ47">
        <f t="shared" si="85"/>
        <v>193.91924152313254</v>
      </c>
      <c r="CA47">
        <f t="shared" si="86"/>
        <v>6.6773982367026354</v>
      </c>
      <c r="CB47">
        <f t="shared" si="87"/>
        <v>4.4203922042925184E-2</v>
      </c>
      <c r="CC47">
        <f t="shared" si="58"/>
        <v>6.0810062625217973E-2</v>
      </c>
    </row>
    <row r="48" spans="1:81" x14ac:dyDescent="0.55000000000000004">
      <c r="A48" t="s">
        <v>116</v>
      </c>
      <c r="B48">
        <v>0.05</v>
      </c>
      <c r="G48">
        <v>2013</v>
      </c>
      <c r="H48" s="5">
        <f t="shared" si="71"/>
        <v>23008981.292033236</v>
      </c>
      <c r="I48" s="5">
        <f t="shared" ref="I48:I79" si="88">IF(LHT=1,H47*EXP(-Q47),H46*EXP(-Q46))</f>
        <v>1108550.1190304747</v>
      </c>
      <c r="J48" s="5">
        <f t="shared" si="60"/>
        <v>125921.8090661436</v>
      </c>
      <c r="K48" s="5">
        <f t="shared" si="61"/>
        <v>72110.530932991896</v>
      </c>
      <c r="L48" s="5">
        <f t="shared" si="62"/>
        <v>9979.6260080242919</v>
      </c>
      <c r="M48" s="5">
        <f t="shared" si="63"/>
        <v>307.92447869063011</v>
      </c>
      <c r="N48" s="5">
        <f t="shared" si="64"/>
        <v>4.237558819421773</v>
      </c>
      <c r="O48">
        <v>1.9008163721764086</v>
      </c>
      <c r="P48" s="3">
        <f t="shared" si="72"/>
        <v>0.90081637217640864</v>
      </c>
      <c r="Q48" s="3">
        <f t="shared" si="73"/>
        <v>3.8027946223350035</v>
      </c>
      <c r="R48" s="3">
        <f t="shared" si="74"/>
        <v>2.8</v>
      </c>
      <c r="S48" s="3">
        <f t="shared" si="22"/>
        <v>0.3</v>
      </c>
      <c r="T48" s="12">
        <f t="shared" si="75"/>
        <v>0.3</v>
      </c>
      <c r="U48" s="12">
        <f t="shared" si="76"/>
        <v>0.3</v>
      </c>
      <c r="V48" s="3">
        <f t="shared" si="23"/>
        <v>0.3</v>
      </c>
      <c r="W48" s="3">
        <f t="shared" si="24"/>
        <v>0.3</v>
      </c>
      <c r="X48" s="3">
        <f t="shared" si="25"/>
        <v>7.8027946223350027</v>
      </c>
      <c r="Y48" s="7">
        <f>IF(UseRetro,RetroF,Ftest*ER!$D55+AS48)</f>
        <v>0.15</v>
      </c>
      <c r="Z48" s="5">
        <f t="shared" si="77"/>
        <v>8187.1071194533652</v>
      </c>
      <c r="AA48" s="5">
        <f t="shared" si="78"/>
        <v>8565.1230638415345</v>
      </c>
      <c r="AB48" s="5">
        <f t="shared" si="79"/>
        <v>4880.5787342295935</v>
      </c>
      <c r="AC48" s="5">
        <f t="shared" si="80"/>
        <v>157.42963463765852</v>
      </c>
      <c r="AD48" s="5">
        <f t="shared" si="81"/>
        <v>2.1883804058680028</v>
      </c>
      <c r="AE48" s="5">
        <f t="shared" si="27"/>
        <v>1874.7314986683593</v>
      </c>
      <c r="AF48" s="5">
        <f t="shared" si="28"/>
        <v>10044.421774719905</v>
      </c>
      <c r="AG48" s="5">
        <f t="shared" si="29"/>
        <v>1390.0823011788259</v>
      </c>
      <c r="AH48" s="5">
        <f t="shared" si="30"/>
        <v>42.891423745077034</v>
      </c>
      <c r="AI48" s="5">
        <f t="shared" si="31"/>
        <v>0.59025814297510182</v>
      </c>
      <c r="AJ48">
        <f t="shared" si="82"/>
        <v>2013</v>
      </c>
      <c r="AK48">
        <f t="shared" si="32"/>
        <v>13352.717256455142</v>
      </c>
      <c r="AL48">
        <f t="shared" si="33"/>
        <v>21792.426932568022</v>
      </c>
      <c r="AM48">
        <f t="shared" si="34"/>
        <v>0.37993064375093893</v>
      </c>
      <c r="AN48">
        <v>37.1949588692855</v>
      </c>
      <c r="AO48">
        <v>11.426698</v>
      </c>
      <c r="AP48">
        <v>16.384999999999998</v>
      </c>
      <c r="AQ48">
        <f>stressors!U43/stressors!U$49</f>
        <v>0.8332437520564141</v>
      </c>
      <c r="AR48">
        <f>CHOOSE(stockcode,Esc!F63,Esc!G63,Esc!H63,Esc!I63,Esc!J63,Esc!K63,Esc!L63,Esc!M63,Esc!N62,Esc!O62,Esc!P62)</f>
        <v>19732.349976641919</v>
      </c>
      <c r="AS48">
        <v>0</v>
      </c>
      <c r="AT48">
        <f t="shared" si="35"/>
        <v>2013</v>
      </c>
      <c r="AU48">
        <v>10000</v>
      </c>
      <c r="AV48" s="11">
        <f t="shared" si="70"/>
        <v>608.10062625217972</v>
      </c>
      <c r="AW48" s="11">
        <f t="shared" si="65"/>
        <v>394.96871361264914</v>
      </c>
      <c r="AX48" s="11">
        <f t="shared" si="66"/>
        <v>193.91924152313254</v>
      </c>
      <c r="AY48" s="11">
        <f t="shared" si="67"/>
        <v>6.5533634794234397</v>
      </c>
      <c r="AZ48" s="11">
        <f t="shared" si="68"/>
        <v>4.1786090422904057E-2</v>
      </c>
      <c r="BA48" s="11">
        <f t="shared" si="69"/>
        <v>39.537114368474036</v>
      </c>
      <c r="BB48" s="11">
        <f t="shared" si="36"/>
        <v>46.9134756697757</v>
      </c>
      <c r="BC48" s="11">
        <f t="shared" si="37"/>
        <v>94.837033529586478</v>
      </c>
      <c r="BD48" s="11">
        <f t="shared" si="38"/>
        <v>3.3504761381765404</v>
      </c>
      <c r="BE48" s="11">
        <f t="shared" si="39"/>
        <v>2.1579372798367344E-2</v>
      </c>
      <c r="BF48" s="11">
        <f t="shared" si="40"/>
        <v>9.0534388510578783</v>
      </c>
      <c r="BG48" s="11">
        <f t="shared" si="41"/>
        <v>55.015991367897712</v>
      </c>
      <c r="BH48" s="11">
        <f t="shared" si="42"/>
        <v>27.011403561875088</v>
      </c>
      <c r="BI48" s="11">
        <f t="shared" si="43"/>
        <v>0.91283126027101502</v>
      </c>
      <c r="BJ48" s="11">
        <f t="shared" si="44"/>
        <v>5.8204690922918183E-3</v>
      </c>
      <c r="BK48" s="11">
        <f t="shared" si="45"/>
        <v>2011</v>
      </c>
      <c r="BL48">
        <f t="shared" si="46"/>
        <v>0.32197955233371489</v>
      </c>
      <c r="BM48">
        <f t="shared" si="47"/>
        <v>2013</v>
      </c>
      <c r="BN48" s="11">
        <f t="shared" si="48"/>
        <v>9.05343885105788</v>
      </c>
      <c r="BO48" s="11">
        <f t="shared" si="49"/>
        <v>48.581745270847897</v>
      </c>
      <c r="BP48" s="11">
        <f t="shared" si="50"/>
        <v>21.024050039047452</v>
      </c>
      <c r="BQ48" s="11">
        <f t="shared" si="51"/>
        <v>0.73764223891506586</v>
      </c>
      <c r="BR48" s="11">
        <f t="shared" si="52"/>
        <v>4.8831414375356888E-3</v>
      </c>
      <c r="BS48" s="11">
        <f t="shared" si="53"/>
        <v>39.537114368474043</v>
      </c>
      <c r="BT48" s="11">
        <f t="shared" si="54"/>
        <v>47.801401631168581</v>
      </c>
      <c r="BU48" s="11">
        <f t="shared" si="55"/>
        <v>100.32450498470865</v>
      </c>
      <c r="BV48" s="11">
        <f t="shared" si="56"/>
        <v>3.6797781555152458</v>
      </c>
      <c r="BW48" s="11">
        <f t="shared" si="57"/>
        <v>2.4605940447299402E-2</v>
      </c>
      <c r="BX48">
        <f t="shared" si="83"/>
        <v>608.10062625217995</v>
      </c>
      <c r="BY48">
        <f t="shared" si="84"/>
        <v>394.96871361264925</v>
      </c>
      <c r="BZ48">
        <f t="shared" si="85"/>
        <v>197.58952871681703</v>
      </c>
      <c r="CA48">
        <f t="shared" si="86"/>
        <v>6.9325549586377022</v>
      </c>
      <c r="CB48">
        <f t="shared" si="87"/>
        <v>4.5893042183034694E-2</v>
      </c>
      <c r="CC48">
        <f t="shared" si="58"/>
        <v>6.0810062625217993E-2</v>
      </c>
    </row>
    <row r="49" spans="1:81" x14ac:dyDescent="0.55000000000000004">
      <c r="A49" t="s">
        <v>117</v>
      </c>
      <c r="B49">
        <v>0.6</v>
      </c>
      <c r="G49">
        <v>2014</v>
      </c>
      <c r="H49" s="5">
        <f t="shared" si="71"/>
        <v>49635262.556419544</v>
      </c>
      <c r="I49" s="5">
        <f t="shared" si="88"/>
        <v>593404.57294782659</v>
      </c>
      <c r="J49" s="5">
        <f t="shared" si="60"/>
        <v>67411.002161436001</v>
      </c>
      <c r="K49" s="5">
        <f t="shared" si="61"/>
        <v>81787.738403030598</v>
      </c>
      <c r="L49" s="5">
        <f t="shared" si="62"/>
        <v>35404.372504476618</v>
      </c>
      <c r="M49" s="5">
        <f t="shared" si="63"/>
        <v>337.25439572477489</v>
      </c>
      <c r="N49" s="5">
        <f t="shared" si="64"/>
        <v>1.963413161866048</v>
      </c>
      <c r="O49">
        <v>1.9754292711191341</v>
      </c>
      <c r="P49" s="3">
        <f t="shared" si="72"/>
        <v>0.97542927111913413</v>
      </c>
      <c r="Q49" s="3">
        <f t="shared" si="73"/>
        <v>4.3070564777453129</v>
      </c>
      <c r="R49" s="3">
        <f t="shared" si="74"/>
        <v>2.8</v>
      </c>
      <c r="S49" s="3">
        <f t="shared" si="22"/>
        <v>0.3</v>
      </c>
      <c r="T49" s="12">
        <f t="shared" si="75"/>
        <v>0.3</v>
      </c>
      <c r="U49" s="12">
        <f t="shared" si="76"/>
        <v>0.3</v>
      </c>
      <c r="V49" s="3">
        <f t="shared" si="23"/>
        <v>0.3</v>
      </c>
      <c r="W49" s="3">
        <f t="shared" si="24"/>
        <v>0.3</v>
      </c>
      <c r="X49" s="3">
        <f t="shared" si="25"/>
        <v>8.3070564777453129</v>
      </c>
      <c r="Y49" s="7">
        <f>IF(UseRetro,RetroF,Ftest*ER!$D56+AS49)</f>
        <v>0.15</v>
      </c>
      <c r="Z49" s="5">
        <f t="shared" si="77"/>
        <v>4382.887283929339</v>
      </c>
      <c r="AA49" s="5">
        <f t="shared" si="78"/>
        <v>9714.5595167811152</v>
      </c>
      <c r="AB49" s="5">
        <f t="shared" si="79"/>
        <v>17314.659628041536</v>
      </c>
      <c r="AC49" s="5">
        <f t="shared" si="80"/>
        <v>172.42486379992764</v>
      </c>
      <c r="AD49" s="5">
        <f t="shared" si="81"/>
        <v>1.0139552216616303</v>
      </c>
      <c r="AE49" s="5">
        <f t="shared" si="27"/>
        <v>1003.6190715975337</v>
      </c>
      <c r="AF49" s="5">
        <f t="shared" si="28"/>
        <v>11392.379585776143</v>
      </c>
      <c r="AG49" s="5">
        <f t="shared" si="29"/>
        <v>4931.546689549592</v>
      </c>
      <c r="AH49" s="5">
        <f t="shared" si="30"/>
        <v>46.97684724004823</v>
      </c>
      <c r="AI49" s="5">
        <f t="shared" si="31"/>
        <v>0.27348779242999732</v>
      </c>
      <c r="AJ49">
        <f t="shared" si="82"/>
        <v>2014</v>
      </c>
      <c r="AK49">
        <f t="shared" si="32"/>
        <v>17374.795681955744</v>
      </c>
      <c r="AL49">
        <f t="shared" si="33"/>
        <v>31585.545247773578</v>
      </c>
      <c r="AM49">
        <f t="shared" si="34"/>
        <v>0.35487489163715263</v>
      </c>
      <c r="AN49">
        <v>36.834118791905105</v>
      </c>
      <c r="AO49">
        <v>13.835594</v>
      </c>
      <c r="AP49">
        <v>16.364000000000001</v>
      </c>
      <c r="AQ49">
        <f>stressors!U44/stressors!U$49</f>
        <v>0.87010992493203909</v>
      </c>
      <c r="AR49">
        <f>CHOOSE(stockcode,Esc!F64,Esc!G64,Esc!H64,Esc!I64,Esc!J64,Esc!K64,Esc!L64,Esc!M64,Esc!N63,Esc!O63,Esc!P63)</f>
        <v>40935.952520080631</v>
      </c>
      <c r="AS49">
        <v>0</v>
      </c>
      <c r="AT49">
        <f t="shared" si="35"/>
        <v>2014</v>
      </c>
      <c r="AU49">
        <v>10000</v>
      </c>
      <c r="AV49" s="11">
        <f t="shared" si="70"/>
        <v>608.10062625217972</v>
      </c>
      <c r="AW49" s="11">
        <f t="shared" si="65"/>
        <v>394.96871361264914</v>
      </c>
      <c r="AX49" s="11">
        <f t="shared" si="66"/>
        <v>193.91924152313254</v>
      </c>
      <c r="AY49" s="11">
        <f t="shared" si="67"/>
        <v>6.5533634794234414</v>
      </c>
      <c r="AZ49" s="11">
        <f t="shared" si="68"/>
        <v>4.178609042290405E-2</v>
      </c>
      <c r="BA49" s="11">
        <f t="shared" si="69"/>
        <v>39.537114368474043</v>
      </c>
      <c r="BB49" s="11">
        <f t="shared" si="36"/>
        <v>46.9134756697757</v>
      </c>
      <c r="BC49" s="11">
        <f t="shared" si="37"/>
        <v>94.837033529586478</v>
      </c>
      <c r="BD49" s="11">
        <f t="shared" si="38"/>
        <v>3.3504761381765409</v>
      </c>
      <c r="BE49" s="11">
        <f t="shared" si="39"/>
        <v>2.157937279836734E-2</v>
      </c>
      <c r="BF49" s="11">
        <f t="shared" si="40"/>
        <v>9.05343885105788</v>
      </c>
      <c r="BG49" s="11">
        <f t="shared" si="41"/>
        <v>55.015991367897719</v>
      </c>
      <c r="BH49" s="11">
        <f t="shared" si="42"/>
        <v>27.011403561875085</v>
      </c>
      <c r="BI49" s="11">
        <f t="shared" si="43"/>
        <v>0.91283126027101524</v>
      </c>
      <c r="BJ49" s="11">
        <f t="shared" si="44"/>
        <v>5.8204690922918165E-3</v>
      </c>
      <c r="BK49" s="11">
        <f t="shared" si="45"/>
        <v>2012</v>
      </c>
      <c r="BL49">
        <f t="shared" si="46"/>
        <v>0.29324520630797846</v>
      </c>
      <c r="BM49">
        <f t="shared" si="47"/>
        <v>2014</v>
      </c>
      <c r="BN49" s="11">
        <f t="shared" si="48"/>
        <v>7.9291717036051388</v>
      </c>
      <c r="BO49" s="11">
        <f t="shared" si="49"/>
        <v>42.104591080057212</v>
      </c>
      <c r="BP49" s="11">
        <f t="shared" si="50"/>
        <v>21.462173690224535</v>
      </c>
      <c r="BQ49" s="11">
        <f t="shared" si="51"/>
        <v>0.75301408736366016</v>
      </c>
      <c r="BR49" s="11">
        <f t="shared" si="52"/>
        <v>3.3851753859782474E-3</v>
      </c>
      <c r="BS49" s="11">
        <f t="shared" si="53"/>
        <v>39.611316000205932</v>
      </c>
      <c r="BT49" s="11">
        <f t="shared" si="54"/>
        <v>48.797542934824762</v>
      </c>
      <c r="BU49" s="11">
        <f t="shared" si="55"/>
        <v>102.41518391406804</v>
      </c>
      <c r="BV49" s="11">
        <f t="shared" si="56"/>
        <v>3.7564616602644114</v>
      </c>
      <c r="BW49" s="11">
        <f t="shared" si="57"/>
        <v>2.6078543689788555E-2</v>
      </c>
      <c r="BX49">
        <f t="shared" si="83"/>
        <v>608.10062625217995</v>
      </c>
      <c r="BY49">
        <f t="shared" si="84"/>
        <v>395.70997466574397</v>
      </c>
      <c r="BZ49">
        <f t="shared" si="85"/>
        <v>201.70712954039709</v>
      </c>
      <c r="CA49">
        <f t="shared" si="86"/>
        <v>7.0770236164283258</v>
      </c>
      <c r="CB49">
        <f t="shared" si="87"/>
        <v>4.6849414868959174E-2</v>
      </c>
      <c r="CC49">
        <f t="shared" si="58"/>
        <v>6.0810062625217993E-2</v>
      </c>
    </row>
    <row r="50" spans="1:81" x14ac:dyDescent="0.55000000000000004">
      <c r="A50" t="s">
        <v>163</v>
      </c>
      <c r="B50">
        <v>0.01</v>
      </c>
      <c r="G50">
        <v>2015</v>
      </c>
      <c r="H50" s="5">
        <f t="shared" si="71"/>
        <v>49530085.023304902</v>
      </c>
      <c r="I50" s="5">
        <f t="shared" si="88"/>
        <v>513292.20700830291</v>
      </c>
      <c r="J50" s="5">
        <f t="shared" si="60"/>
        <v>36084.969243048065</v>
      </c>
      <c r="K50" s="5">
        <f t="shared" si="61"/>
        <v>43784.261448861573</v>
      </c>
      <c r="L50" s="5">
        <f t="shared" si="62"/>
        <v>40155.626636702138</v>
      </c>
      <c r="M50" s="5">
        <f t="shared" si="63"/>
        <v>1196.4657037659836</v>
      </c>
      <c r="N50" s="5">
        <f t="shared" si="64"/>
        <v>2.1504289697230652</v>
      </c>
      <c r="O50">
        <v>1.4994355819365424</v>
      </c>
      <c r="P50" s="3">
        <f t="shared" si="72"/>
        <v>0.49943558193654236</v>
      </c>
      <c r="Q50" s="3">
        <f t="shared" si="73"/>
        <v>3.8293656151235229</v>
      </c>
      <c r="R50" s="3">
        <f t="shared" si="74"/>
        <v>2.8</v>
      </c>
      <c r="S50" s="3">
        <f t="shared" si="22"/>
        <v>0.3</v>
      </c>
      <c r="T50" s="12">
        <f t="shared" si="75"/>
        <v>0.3</v>
      </c>
      <c r="U50" s="12">
        <f t="shared" si="76"/>
        <v>0.3</v>
      </c>
      <c r="V50" s="3">
        <f t="shared" si="23"/>
        <v>0.3</v>
      </c>
      <c r="W50" s="3">
        <f t="shared" si="24"/>
        <v>0.3</v>
      </c>
      <c r="X50" s="3">
        <f t="shared" si="25"/>
        <v>7.829365615123522</v>
      </c>
      <c r="Y50" s="7">
        <f>IF(UseRetro,RetroF,Ftest*ER!$D57+AS50)</f>
        <v>0.13124999999999998</v>
      </c>
      <c r="Z50" s="5">
        <f t="shared" si="77"/>
        <v>2350.5536055003608</v>
      </c>
      <c r="AA50" s="5">
        <f t="shared" si="78"/>
        <v>5299.0249468055454</v>
      </c>
      <c r="AB50" s="5">
        <f t="shared" si="79"/>
        <v>20009.972242295702</v>
      </c>
      <c r="AC50" s="5">
        <f t="shared" si="80"/>
        <v>623.28338285998507</v>
      </c>
      <c r="AD50" s="5">
        <f t="shared" si="81"/>
        <v>1.1315537850736239</v>
      </c>
      <c r="AE50" s="5">
        <f t="shared" si="27"/>
        <v>470.52067486077971</v>
      </c>
      <c r="AF50" s="5">
        <f t="shared" si="28"/>
        <v>5385.5299502706639</v>
      </c>
      <c r="AG50" s="5">
        <f t="shared" si="29"/>
        <v>4939.2024158367694</v>
      </c>
      <c r="AH50" s="5">
        <f t="shared" si="30"/>
        <v>147.16707942257437</v>
      </c>
      <c r="AI50" s="5">
        <f t="shared" si="31"/>
        <v>0.26450599460035829</v>
      </c>
      <c r="AJ50">
        <f t="shared" si="82"/>
        <v>2015</v>
      </c>
      <c r="AK50">
        <f t="shared" si="32"/>
        <v>10942.684626385388</v>
      </c>
      <c r="AL50">
        <f t="shared" si="33"/>
        <v>28283.965731246666</v>
      </c>
      <c r="AM50">
        <f t="shared" si="34"/>
        <v>0.27896046505679645</v>
      </c>
      <c r="AN50" s="1">
        <f>AN49</f>
        <v>36.834118791905105</v>
      </c>
      <c r="AO50">
        <v>12</v>
      </c>
      <c r="AP50">
        <v>16.013999999999999</v>
      </c>
      <c r="AQ50">
        <f>stressors!U45/stressors!U$49</f>
        <v>0.90169553428540616</v>
      </c>
      <c r="AR50">
        <f>CHOOSE(stockcode,Esc!F65,Esc!G65,Esc!H65,Esc!I65,Esc!J65,Esc!K65,Esc!L65,Esc!M65,Esc!N64,Esc!O64,Esc!P64)</f>
        <v>27967.583715754059</v>
      </c>
      <c r="AS50">
        <v>0</v>
      </c>
      <c r="AT50">
        <f t="shared" si="35"/>
        <v>2015</v>
      </c>
      <c r="AU50">
        <v>10000</v>
      </c>
      <c r="AV50" s="11">
        <f t="shared" si="70"/>
        <v>608.10062625217984</v>
      </c>
      <c r="AW50" s="11">
        <f t="shared" si="65"/>
        <v>394.9687136126492</v>
      </c>
      <c r="AX50" s="11">
        <f t="shared" si="66"/>
        <v>193.91924152313251</v>
      </c>
      <c r="AY50" s="11">
        <f t="shared" si="67"/>
        <v>6.5533634794234414</v>
      </c>
      <c r="AZ50" s="11">
        <f t="shared" si="68"/>
        <v>4.1786090422904064E-2</v>
      </c>
      <c r="BA50" s="11">
        <f t="shared" si="69"/>
        <v>39.611316000205932</v>
      </c>
      <c r="BB50" s="11">
        <f t="shared" si="36"/>
        <v>47.801401631168581</v>
      </c>
      <c r="BC50" s="11">
        <f t="shared" si="37"/>
        <v>96.632003161876113</v>
      </c>
      <c r="BD50" s="11">
        <f t="shared" si="38"/>
        <v>3.4138902149133652</v>
      </c>
      <c r="BE50" s="11">
        <f t="shared" si="39"/>
        <v>2.1987803106816865E-2</v>
      </c>
      <c r="BF50" s="11">
        <f t="shared" si="40"/>
        <v>7.9291717036051388</v>
      </c>
      <c r="BG50" s="11">
        <f t="shared" si="41"/>
        <v>48.581745270847897</v>
      </c>
      <c r="BH50" s="11">
        <f t="shared" si="42"/>
        <v>23.852358098500137</v>
      </c>
      <c r="BI50" s="11">
        <f t="shared" si="43"/>
        <v>0.80607355532686664</v>
      </c>
      <c r="BJ50" s="11">
        <f t="shared" si="44"/>
        <v>5.139751911542618E-3</v>
      </c>
      <c r="BK50" s="11">
        <f t="shared" si="45"/>
        <v>2013</v>
      </c>
      <c r="BL50">
        <f t="shared" si="46"/>
        <v>0.2707510622628968</v>
      </c>
      <c r="BM50">
        <f t="shared" si="47"/>
        <v>2015</v>
      </c>
      <c r="BN50" s="11">
        <f t="shared" si="48"/>
        <v>6.8027945777643524</v>
      </c>
      <c r="BO50" s="11">
        <f t="shared" si="49"/>
        <v>42.183611246587986</v>
      </c>
      <c r="BP50" s="11">
        <f t="shared" si="50"/>
        <v>21.502453015960995</v>
      </c>
      <c r="BQ50" s="11">
        <f t="shared" si="51"/>
        <v>0.51232075510819663</v>
      </c>
      <c r="BR50" s="11">
        <f t="shared" si="52"/>
        <v>3.5211256228795907E-3</v>
      </c>
      <c r="BS50" s="11">
        <f t="shared" si="53"/>
        <v>39.685656890511417</v>
      </c>
      <c r="BT50" s="11">
        <f t="shared" si="54"/>
        <v>48.889124158394218</v>
      </c>
      <c r="BU50" s="11">
        <f t="shared" si="55"/>
        <v>102.60739252316679</v>
      </c>
      <c r="BV50" s="11">
        <f t="shared" si="56"/>
        <v>3.9073229287053599</v>
      </c>
      <c r="BW50" s="11">
        <f t="shared" si="57"/>
        <v>2.7125870279528671E-2</v>
      </c>
      <c r="BX50">
        <f t="shared" si="83"/>
        <v>608.10062625217972</v>
      </c>
      <c r="BY50">
        <f t="shared" si="84"/>
        <v>396.4526268871258</v>
      </c>
      <c r="BZ50">
        <f t="shared" si="85"/>
        <v>202.0856851933049</v>
      </c>
      <c r="CA50">
        <f t="shared" si="86"/>
        <v>7.0903054835683985</v>
      </c>
      <c r="CB50">
        <f t="shared" si="87"/>
        <v>4.8730909422094043E-2</v>
      </c>
      <c r="CC50">
        <f t="shared" si="58"/>
        <v>6.0810062625217973E-2</v>
      </c>
    </row>
    <row r="51" spans="1:81" x14ac:dyDescent="0.55000000000000004">
      <c r="A51" t="s">
        <v>118</v>
      </c>
      <c r="B51">
        <f>Ssspawn/varlnS+Ssrecanom/varanom+Ssfanom/varfanom</f>
        <v>33.470703504755534</v>
      </c>
      <c r="G51">
        <v>2016</v>
      </c>
      <c r="H51" s="5">
        <f t="shared" si="71"/>
        <v>28433806.752952646</v>
      </c>
      <c r="I51" s="5">
        <f t="shared" si="88"/>
        <v>668743.32777932798</v>
      </c>
      <c r="J51" s="5">
        <f t="shared" si="60"/>
        <v>31213.331253211247</v>
      </c>
      <c r="K51" s="5">
        <f t="shared" si="61"/>
        <v>23481.610852772104</v>
      </c>
      <c r="L51" s="5">
        <f t="shared" si="62"/>
        <v>21903.789557820288</v>
      </c>
      <c r="M51" s="5">
        <f t="shared" si="63"/>
        <v>1382.7153426939251</v>
      </c>
      <c r="N51" s="5">
        <f t="shared" si="64"/>
        <v>7.773395398498594</v>
      </c>
      <c r="O51">
        <v>1.3182386451539423</v>
      </c>
      <c r="P51" s="3">
        <f t="shared" si="72"/>
        <v>0.31823864515394229</v>
      </c>
      <c r="Q51" s="3">
        <f t="shared" si="73"/>
        <v>3.3077533625780693</v>
      </c>
      <c r="R51" s="3">
        <f t="shared" si="74"/>
        <v>2.8</v>
      </c>
      <c r="S51" s="3">
        <f t="shared" si="22"/>
        <v>0.3</v>
      </c>
      <c r="T51" s="12">
        <f t="shared" si="75"/>
        <v>0.3</v>
      </c>
      <c r="U51" s="12">
        <f t="shared" si="76"/>
        <v>0.3</v>
      </c>
      <c r="V51" s="3">
        <f t="shared" si="23"/>
        <v>0.3</v>
      </c>
      <c r="W51" s="3">
        <f t="shared" si="24"/>
        <v>0.3</v>
      </c>
      <c r="X51" s="3">
        <f t="shared" si="25"/>
        <v>7.3077533625780688</v>
      </c>
      <c r="Y51" s="7">
        <f>IF(UseRetro,RetroF,Ftest*ER!$D58+AS51)</f>
        <v>0.11249999999999998</v>
      </c>
      <c r="Z51" s="5">
        <f t="shared" si="77"/>
        <v>2037.0338411904866</v>
      </c>
      <c r="AA51" s="5">
        <f t="shared" si="78"/>
        <v>2895.668512614292</v>
      </c>
      <c r="AB51" s="5">
        <f t="shared" si="79"/>
        <v>11121.474194247223</v>
      </c>
      <c r="AC51" s="5">
        <f t="shared" si="80"/>
        <v>733.94091265029499</v>
      </c>
      <c r="AD51" s="5">
        <f t="shared" si="81"/>
        <v>4.167771303674332</v>
      </c>
      <c r="AE51" s="5">
        <f t="shared" si="27"/>
        <v>349.18214426447804</v>
      </c>
      <c r="AF51" s="5">
        <f t="shared" si="28"/>
        <v>2498.5056889004213</v>
      </c>
      <c r="AG51" s="5">
        <f t="shared" si="29"/>
        <v>2330.6213173288706</v>
      </c>
      <c r="AH51" s="5">
        <f t="shared" si="30"/>
        <v>147.12458065639149</v>
      </c>
      <c r="AI51" s="5">
        <f t="shared" si="31"/>
        <v>0.82710989237470733</v>
      </c>
      <c r="AJ51">
        <f t="shared" si="82"/>
        <v>2016</v>
      </c>
      <c r="AK51">
        <f t="shared" si="32"/>
        <v>5326.2608410425364</v>
      </c>
      <c r="AL51">
        <f t="shared" si="33"/>
        <v>16792.285232005968</v>
      </c>
      <c r="AM51">
        <f t="shared" si="34"/>
        <v>0.24080519684485935</v>
      </c>
      <c r="AN51" s="1">
        <f>AN50</f>
        <v>36.834118791905105</v>
      </c>
      <c r="AO51">
        <v>12</v>
      </c>
      <c r="AP51">
        <v>15.414999999999999</v>
      </c>
      <c r="AQ51">
        <f>stressors!U46/stressors!U$49</f>
        <v>0.93503752957229247</v>
      </c>
      <c r="AR51">
        <f>CHOOSE(stockcode,Esc!F66,Esc!G66,Esc!H66,Esc!I66,Esc!J66,Esc!K66,Esc!L66,Esc!M66,Esc!N65,Esc!O65,Esc!P65)</f>
        <v>15971.250132277619</v>
      </c>
      <c r="AS51">
        <v>0</v>
      </c>
      <c r="AT51">
        <f t="shared" si="35"/>
        <v>2016</v>
      </c>
      <c r="AU51">
        <v>10000</v>
      </c>
      <c r="AV51" s="11">
        <f t="shared" si="70"/>
        <v>608.10062625217972</v>
      </c>
      <c r="AW51" s="11">
        <f t="shared" si="65"/>
        <v>395.70997466574397</v>
      </c>
      <c r="AX51" s="11">
        <f t="shared" si="66"/>
        <v>197.589528716817</v>
      </c>
      <c r="AY51" s="11">
        <f t="shared" si="67"/>
        <v>6.6773982367026345</v>
      </c>
      <c r="AZ51" s="11">
        <f t="shared" si="68"/>
        <v>4.2576970953111935E-2</v>
      </c>
      <c r="BA51" s="11">
        <f t="shared" si="69"/>
        <v>39.685656890511417</v>
      </c>
      <c r="BB51" s="11">
        <f t="shared" si="36"/>
        <v>48.797542934824762</v>
      </c>
      <c r="BC51" s="11">
        <f t="shared" si="37"/>
        <v>100.32450498470865</v>
      </c>
      <c r="BD51" s="11">
        <f t="shared" si="38"/>
        <v>3.544341777843306</v>
      </c>
      <c r="BE51" s="11">
        <f t="shared" si="39"/>
        <v>2.2828000974970293E-2</v>
      </c>
      <c r="BF51" s="11">
        <f t="shared" si="40"/>
        <v>6.8027945777643524</v>
      </c>
      <c r="BG51" s="11">
        <f t="shared" si="41"/>
        <v>42.104591080057212</v>
      </c>
      <c r="BH51" s="11">
        <f t="shared" si="42"/>
        <v>21.024050039047452</v>
      </c>
      <c r="BI51" s="11">
        <f t="shared" si="43"/>
        <v>0.71049288679807987</v>
      </c>
      <c r="BJ51" s="11">
        <f t="shared" si="44"/>
        <v>4.530302661494779E-3</v>
      </c>
      <c r="BK51" s="11">
        <f t="shared" si="45"/>
        <v>2014</v>
      </c>
      <c r="BL51">
        <f t="shared" si="46"/>
        <v>0.2668132710901579</v>
      </c>
      <c r="BM51">
        <f t="shared" si="47"/>
        <v>2016</v>
      </c>
      <c r="BN51" s="11">
        <f t="shared" si="48"/>
        <v>6.8027945777643524</v>
      </c>
      <c r="BO51" s="11">
        <f t="shared" si="49"/>
        <v>42.183611246587986</v>
      </c>
      <c r="BP51" s="11">
        <f t="shared" si="50"/>
        <v>14.602007074973798</v>
      </c>
      <c r="BQ51" s="11">
        <f t="shared" si="51"/>
        <v>0.53189755430734942</v>
      </c>
      <c r="BR51" s="11">
        <f t="shared" si="52"/>
        <v>3.6556748649058052E-3</v>
      </c>
      <c r="BS51" s="11">
        <f t="shared" si="53"/>
        <v>39.685656890511417</v>
      </c>
      <c r="BT51" s="11">
        <f t="shared" si="54"/>
        <v>48.889124158394218</v>
      </c>
      <c r="BU51" s="11">
        <f t="shared" si="55"/>
        <v>106.52822590683571</v>
      </c>
      <c r="BV51" s="11">
        <f t="shared" si="56"/>
        <v>4.0566295410547974</v>
      </c>
      <c r="BW51" s="11">
        <f t="shared" si="57"/>
        <v>2.816240395549199E-2</v>
      </c>
      <c r="BX51">
        <f t="shared" si="83"/>
        <v>608.10062625217972</v>
      </c>
      <c r="BY51">
        <f t="shared" si="84"/>
        <v>396.4526268871258</v>
      </c>
      <c r="BZ51">
        <f t="shared" si="85"/>
        <v>202.0856851933049</v>
      </c>
      <c r="CA51">
        <f t="shared" si="86"/>
        <v>7.3612402160157631</v>
      </c>
      <c r="CB51">
        <f t="shared" si="87"/>
        <v>5.0593014790725789E-2</v>
      </c>
      <c r="CC51">
        <f t="shared" si="58"/>
        <v>6.0810062625217973E-2</v>
      </c>
    </row>
    <row r="52" spans="1:81" x14ac:dyDescent="0.55000000000000004">
      <c r="G52">
        <v>2017</v>
      </c>
      <c r="H52" s="5">
        <f t="shared" si="71"/>
        <v>16953416.436760973</v>
      </c>
      <c r="I52" s="5">
        <f t="shared" si="88"/>
        <v>1075961.4651894225</v>
      </c>
      <c r="J52" s="5">
        <f t="shared" si="60"/>
        <v>40666.323642457603</v>
      </c>
      <c r="K52" s="5">
        <f t="shared" si="61"/>
        <v>20349.604382913207</v>
      </c>
      <c r="L52" s="5">
        <f t="shared" si="62"/>
        <v>11969.393306545126</v>
      </c>
      <c r="M52" s="5">
        <f t="shared" si="63"/>
        <v>768.50846245831315</v>
      </c>
      <c r="N52" s="5">
        <f t="shared" si="64"/>
        <v>9.153481498234143</v>
      </c>
      <c r="O52">
        <v>0.60309680501727203</v>
      </c>
      <c r="P52" s="3">
        <f t="shared" si="72"/>
        <v>-0.39690319498272797</v>
      </c>
      <c r="Q52" s="3">
        <f t="shared" si="73"/>
        <v>2.4073608045429982</v>
      </c>
      <c r="R52" s="3">
        <f t="shared" si="74"/>
        <v>2.8</v>
      </c>
      <c r="S52" s="3">
        <f t="shared" si="22"/>
        <v>0.3</v>
      </c>
      <c r="T52" s="12">
        <f t="shared" si="75"/>
        <v>0.3</v>
      </c>
      <c r="U52" s="12">
        <f t="shared" si="76"/>
        <v>0.3</v>
      </c>
      <c r="V52" s="3">
        <f t="shared" si="23"/>
        <v>0.3</v>
      </c>
      <c r="W52" s="3">
        <f t="shared" si="24"/>
        <v>0.3</v>
      </c>
      <c r="X52" s="3">
        <f t="shared" si="25"/>
        <v>6.4073608045429973</v>
      </c>
      <c r="Y52" s="7">
        <f>IF(UseRetro,RetroF,Ftest*ER!$D59+AS52)</f>
        <v>0.11249999999999998</v>
      </c>
      <c r="Z52" s="5">
        <f t="shared" si="77"/>
        <v>2653.9518254069221</v>
      </c>
      <c r="AA52" s="5">
        <f t="shared" si="78"/>
        <v>2509.4406437965108</v>
      </c>
      <c r="AB52" s="5">
        <f t="shared" si="79"/>
        <v>6077.3638473900655</v>
      </c>
      <c r="AC52" s="5">
        <f t="shared" si="80"/>
        <v>407.92185123021659</v>
      </c>
      <c r="AD52" s="5">
        <f t="shared" si="81"/>
        <v>4.9077160701773463</v>
      </c>
      <c r="AE52" s="5">
        <f t="shared" si="27"/>
        <v>454.93234841333009</v>
      </c>
      <c r="AF52" s="5">
        <f t="shared" si="28"/>
        <v>2165.2518916341419</v>
      </c>
      <c r="AG52" s="5">
        <f t="shared" si="29"/>
        <v>1273.5752013179767</v>
      </c>
      <c r="AH52" s="5">
        <f t="shared" si="30"/>
        <v>81.771339175120204</v>
      </c>
      <c r="AI52" s="5">
        <f t="shared" si="31"/>
        <v>0.97395471460523131</v>
      </c>
      <c r="AJ52">
        <f t="shared" si="82"/>
        <v>2017</v>
      </c>
      <c r="AK52">
        <f t="shared" si="32"/>
        <v>3976.5047352551742</v>
      </c>
      <c r="AL52">
        <f t="shared" si="33"/>
        <v>11653.585883893893</v>
      </c>
      <c r="AM52">
        <f t="shared" si="34"/>
        <v>0.25441341526090672</v>
      </c>
      <c r="AN52" s="1">
        <f t="shared" ref="AN52:AN79" si="89">AN51</f>
        <v>36.834118791905105</v>
      </c>
      <c r="AO52">
        <v>12</v>
      </c>
      <c r="AP52" s="1">
        <f>AP51</f>
        <v>15.414999999999999</v>
      </c>
      <c r="AQ52">
        <f>stressors!U47/stressors!U$49</f>
        <v>0.97949133579413827</v>
      </c>
      <c r="AR52">
        <f>CHOOSE(stockcode,Esc!F67,Esc!G67,Esc!H67,Esc!I67,Esc!J67,Esc!K67,Esc!L67,Esc!M67,Esc!N66,Esc!O66,Esc!P66)</f>
        <v>10921.815202119611</v>
      </c>
      <c r="AS52">
        <v>0</v>
      </c>
      <c r="AT52">
        <f t="shared" si="35"/>
        <v>2017</v>
      </c>
      <c r="AU52">
        <v>10000</v>
      </c>
      <c r="AV52" s="11">
        <f t="shared" si="70"/>
        <v>608.10062625217972</v>
      </c>
      <c r="AW52" s="11">
        <f t="shared" si="65"/>
        <v>396.4526268871258</v>
      </c>
      <c r="AX52" s="11">
        <f t="shared" si="66"/>
        <v>201.70712954039709</v>
      </c>
      <c r="AY52" s="11">
        <f t="shared" si="67"/>
        <v>6.9325549586377022</v>
      </c>
      <c r="AZ52" s="11">
        <f t="shared" si="68"/>
        <v>4.4203922042925191E-2</v>
      </c>
      <c r="BA52" s="11">
        <f t="shared" si="69"/>
        <v>39.685656890511417</v>
      </c>
      <c r="BB52" s="11">
        <f t="shared" si="36"/>
        <v>48.889124158394218</v>
      </c>
      <c r="BC52" s="11">
        <f t="shared" si="37"/>
        <v>102.41518391406804</v>
      </c>
      <c r="BD52" s="11">
        <f t="shared" si="38"/>
        <v>3.6797781555152458</v>
      </c>
      <c r="BE52" s="11">
        <f t="shared" si="39"/>
        <v>2.3700304481609751E-2</v>
      </c>
      <c r="BF52" s="11">
        <f t="shared" si="40"/>
        <v>6.8027945777643524</v>
      </c>
      <c r="BG52" s="11">
        <f t="shared" si="41"/>
        <v>42.183611246587986</v>
      </c>
      <c r="BH52" s="11">
        <f t="shared" si="42"/>
        <v>21.462173690224535</v>
      </c>
      <c r="BI52" s="11">
        <f t="shared" si="43"/>
        <v>0.73764223891506586</v>
      </c>
      <c r="BJ52" s="11">
        <f t="shared" si="44"/>
        <v>4.7034145735756006E-3</v>
      </c>
      <c r="BK52" s="11">
        <f t="shared" si="45"/>
        <v>2015</v>
      </c>
      <c r="BL52">
        <f t="shared" si="46"/>
        <v>0.24352867833830044</v>
      </c>
      <c r="BM52">
        <f t="shared" si="47"/>
        <v>2017</v>
      </c>
      <c r="BN52" s="11">
        <f t="shared" si="48"/>
        <v>6.8027945777643533</v>
      </c>
      <c r="BO52" s="11">
        <f t="shared" si="49"/>
        <v>28.646284654750737</v>
      </c>
      <c r="BP52" s="11">
        <f t="shared" si="50"/>
        <v>15.159978926711485</v>
      </c>
      <c r="BQ52" s="11">
        <f t="shared" si="51"/>
        <v>0.55222242210037187</v>
      </c>
      <c r="BR52" s="11">
        <f t="shared" si="52"/>
        <v>3.7953655021756875E-3</v>
      </c>
      <c r="BS52" s="11">
        <f t="shared" si="53"/>
        <v>39.68565689051141</v>
      </c>
      <c r="BT52" s="11">
        <f t="shared" si="54"/>
        <v>50.757275228067762</v>
      </c>
      <c r="BU52" s="11">
        <f t="shared" si="55"/>
        <v>110.59888216431972</v>
      </c>
      <c r="BV52" s="11">
        <f t="shared" si="56"/>
        <v>4.2116414572396295</v>
      </c>
      <c r="BW52" s="11">
        <f t="shared" si="57"/>
        <v>2.9238545653256426E-2</v>
      </c>
      <c r="BX52">
        <f t="shared" si="83"/>
        <v>608.10062625217972</v>
      </c>
      <c r="BY52">
        <f t="shared" si="84"/>
        <v>396.4526268871258</v>
      </c>
      <c r="BZ52">
        <f t="shared" si="85"/>
        <v>209.80778280619009</v>
      </c>
      <c r="CA52">
        <f t="shared" si="86"/>
        <v>7.6425279056687723</v>
      </c>
      <c r="CB52">
        <f t="shared" si="87"/>
        <v>5.2526274924269728E-2</v>
      </c>
      <c r="CC52">
        <f t="shared" si="58"/>
        <v>6.0810062625217973E-2</v>
      </c>
    </row>
    <row r="53" spans="1:81" x14ac:dyDescent="0.55000000000000004">
      <c r="A53" t="s">
        <v>134</v>
      </c>
      <c r="G53">
        <v>2018</v>
      </c>
      <c r="H53" s="5">
        <f t="shared" si="71"/>
        <v>16003114.787291432</v>
      </c>
      <c r="I53" s="5">
        <f t="shared" si="88"/>
        <v>1040629.1199347629</v>
      </c>
      <c r="J53" s="5">
        <f t="shared" si="60"/>
        <v>65429.28408049007</v>
      </c>
      <c r="K53" s="5">
        <f t="shared" si="61"/>
        <v>26512.504901135278</v>
      </c>
      <c r="L53" s="5">
        <f t="shared" si="62"/>
        <v>10372.900735765661</v>
      </c>
      <c r="M53" s="5">
        <f t="shared" si="63"/>
        <v>419.95381768483338</v>
      </c>
      <c r="N53" s="5">
        <f t="shared" si="64"/>
        <v>5.08747373746737</v>
      </c>
      <c r="O53">
        <v>0.83940211539658516</v>
      </c>
      <c r="P53" s="3">
        <f t="shared" si="72"/>
        <v>-0.16059788460341484</v>
      </c>
      <c r="Q53" s="3">
        <f t="shared" si="73"/>
        <v>2.6283317876097652</v>
      </c>
      <c r="R53" s="3">
        <f t="shared" si="74"/>
        <v>2.8</v>
      </c>
      <c r="S53" s="3">
        <f t="shared" si="22"/>
        <v>0.3</v>
      </c>
      <c r="T53" s="12">
        <f t="shared" si="75"/>
        <v>0.3</v>
      </c>
      <c r="U53" s="12">
        <f t="shared" si="76"/>
        <v>0.3</v>
      </c>
      <c r="V53" s="3">
        <f t="shared" si="23"/>
        <v>0.3</v>
      </c>
      <c r="W53" s="3">
        <f t="shared" si="24"/>
        <v>0.3</v>
      </c>
      <c r="X53" s="3">
        <f t="shared" si="25"/>
        <v>6.6283317876097643</v>
      </c>
      <c r="Y53" s="7">
        <f>IF(UseRetro,RetroF,Ftest*ER!$D60+AS53)</f>
        <v>0.11249999999999998</v>
      </c>
      <c r="Z53" s="5">
        <f t="shared" si="77"/>
        <v>4270.0237534919361</v>
      </c>
      <c r="AA53" s="5">
        <f t="shared" si="78"/>
        <v>3269.4275581901288</v>
      </c>
      <c r="AB53" s="5">
        <f t="shared" si="79"/>
        <v>5266.7574963583529</v>
      </c>
      <c r="AC53" s="5">
        <f t="shared" si="80"/>
        <v>222.91015273040867</v>
      </c>
      <c r="AD53" s="5">
        <f t="shared" si="81"/>
        <v>2.7276918211710521</v>
      </c>
      <c r="AE53" s="5">
        <f t="shared" si="27"/>
        <v>731.95448212739916</v>
      </c>
      <c r="AF53" s="5">
        <f t="shared" si="28"/>
        <v>2821.0008562792736</v>
      </c>
      <c r="AG53" s="5">
        <f t="shared" si="29"/>
        <v>1103.704156465496</v>
      </c>
      <c r="AH53" s="5">
        <f t="shared" si="30"/>
        <v>44.684200293573014</v>
      </c>
      <c r="AI53" s="5">
        <f t="shared" si="31"/>
        <v>0.54132070218228301</v>
      </c>
      <c r="AJ53">
        <f t="shared" si="82"/>
        <v>2018</v>
      </c>
      <c r="AK53">
        <f t="shared" si="32"/>
        <v>4701.8850158679234</v>
      </c>
      <c r="AL53">
        <f t="shared" si="33"/>
        <v>13031.846652591998</v>
      </c>
      <c r="AM53">
        <f t="shared" si="34"/>
        <v>0.26513793620946657</v>
      </c>
      <c r="AN53" s="1">
        <f t="shared" si="89"/>
        <v>36.834118791905105</v>
      </c>
      <c r="AO53">
        <v>12</v>
      </c>
      <c r="AP53" s="1">
        <f t="shared" ref="AP53:AQ79" si="90">AP52</f>
        <v>15.414999999999999</v>
      </c>
      <c r="AQ53">
        <f>stressors!U48/stressors!U$49</f>
        <v>0.98974566789706919</v>
      </c>
      <c r="AR53">
        <f>CHOOSE(stockcode,Esc!F68,Esc!G68,Esc!H68,Esc!I68,Esc!J68,Esc!K68,Esc!L68,Esc!M68,Esc!N67,Esc!O67,Esc!P67)</f>
        <v>11071.534948265014</v>
      </c>
      <c r="AS53">
        <v>0</v>
      </c>
      <c r="AT53">
        <f t="shared" si="35"/>
        <v>2018</v>
      </c>
      <c r="AU53">
        <v>10000</v>
      </c>
      <c r="AV53" s="11">
        <f t="shared" si="70"/>
        <v>608.10062625217972</v>
      </c>
      <c r="AW53" s="11">
        <f t="shared" si="65"/>
        <v>396.4526268871258</v>
      </c>
      <c r="AX53" s="11">
        <f t="shared" si="66"/>
        <v>202.0856851933049</v>
      </c>
      <c r="AY53" s="11">
        <f t="shared" si="67"/>
        <v>7.0770236164283258</v>
      </c>
      <c r="AZ53" s="11">
        <f t="shared" si="68"/>
        <v>4.5893042183034694E-2</v>
      </c>
      <c r="BA53" s="11">
        <f t="shared" si="69"/>
        <v>39.68565689051141</v>
      </c>
      <c r="BB53" s="11">
        <f t="shared" si="36"/>
        <v>48.889124158394218</v>
      </c>
      <c r="BC53" s="11">
        <f t="shared" si="37"/>
        <v>102.60739252316679</v>
      </c>
      <c r="BD53" s="11">
        <f t="shared" si="38"/>
        <v>3.7564616602644114</v>
      </c>
      <c r="BE53" s="11">
        <f t="shared" si="39"/>
        <v>2.4605940447299402E-2</v>
      </c>
      <c r="BF53" s="11">
        <f t="shared" si="40"/>
        <v>6.8027945777643533</v>
      </c>
      <c r="BG53" s="11">
        <f t="shared" si="41"/>
        <v>42.183611246587986</v>
      </c>
      <c r="BH53" s="11">
        <f t="shared" si="42"/>
        <v>21.502453015960995</v>
      </c>
      <c r="BI53" s="11">
        <f t="shared" si="43"/>
        <v>0.75301408736366016</v>
      </c>
      <c r="BJ53" s="11">
        <f t="shared" si="44"/>
        <v>4.8831414375356888E-3</v>
      </c>
      <c r="BK53" s="11">
        <f t="shared" si="45"/>
        <v>2016</v>
      </c>
      <c r="BL53">
        <f t="shared" si="46"/>
        <v>0.19951460642616567</v>
      </c>
      <c r="BM53">
        <f t="shared" si="47"/>
        <v>2018</v>
      </c>
      <c r="BN53" s="11">
        <f t="shared" si="48"/>
        <v>4.5436945438038849</v>
      </c>
      <c r="BO53" s="11">
        <f t="shared" si="49"/>
        <v>28.753909893405229</v>
      </c>
      <c r="BP53" s="11">
        <f t="shared" si="50"/>
        <v>15.216935574655496</v>
      </c>
      <c r="BQ53" s="11">
        <f t="shared" si="51"/>
        <v>0.55429714385522466</v>
      </c>
      <c r="BR53" s="11">
        <f t="shared" si="52"/>
        <v>3.8096248423615349E-3</v>
      </c>
      <c r="BS53" s="11">
        <f t="shared" si="53"/>
        <v>39.834757492752814</v>
      </c>
      <c r="BT53" s="11">
        <f t="shared" si="54"/>
        <v>50.947972343791854</v>
      </c>
      <c r="BU53" s="11">
        <f t="shared" si="55"/>
        <v>111.01440659379863</v>
      </c>
      <c r="BV53" s="11">
        <f t="shared" si="56"/>
        <v>4.2274647628593831</v>
      </c>
      <c r="BW53" s="11">
        <f t="shared" si="57"/>
        <v>2.9348396040200769E-2</v>
      </c>
      <c r="BX53">
        <f t="shared" si="83"/>
        <v>608.10062625217984</v>
      </c>
      <c r="BY53">
        <f t="shared" si="84"/>
        <v>397.94211528320136</v>
      </c>
      <c r="BZ53">
        <f t="shared" si="85"/>
        <v>210.59603904842993</v>
      </c>
      <c r="CA53">
        <f t="shared" si="86"/>
        <v>7.6712411890730419</v>
      </c>
      <c r="CB53">
        <f t="shared" si="87"/>
        <v>5.2723618242696148E-2</v>
      </c>
      <c r="CC53">
        <f t="shared" si="58"/>
        <v>6.0810062625217987E-2</v>
      </c>
    </row>
    <row r="54" spans="1:81" s="1" customFormat="1" x14ac:dyDescent="0.55000000000000004">
      <c r="A54"/>
      <c r="B54">
        <f>F14</f>
        <v>0.80967263670036094</v>
      </c>
      <c r="C54">
        <f>MAX(0,Rhist*YPR)</f>
        <v>23883.029915257564</v>
      </c>
      <c r="D54"/>
      <c r="E54"/>
      <c r="F54"/>
      <c r="G54">
        <v>2019</v>
      </c>
      <c r="H54" s="4">
        <f t="shared" si="71"/>
        <v>22945981.033101987</v>
      </c>
      <c r="I54" s="5">
        <f t="shared" si="88"/>
        <v>1526700.0387525151</v>
      </c>
      <c r="J54" s="4">
        <f t="shared" si="60"/>
        <v>63280.721952858403</v>
      </c>
      <c r="K54" s="4">
        <f t="shared" si="61"/>
        <v>42656.77493036673</v>
      </c>
      <c r="L54" s="4">
        <f t="shared" si="62"/>
        <v>13514.345361273639</v>
      </c>
      <c r="M54" s="4">
        <f t="shared" si="63"/>
        <v>363.93985500238966</v>
      </c>
      <c r="N54" s="4">
        <f t="shared" si="64"/>
        <v>2.7800657023170277</v>
      </c>
      <c r="O54" s="1">
        <v>1.8149526608740312</v>
      </c>
      <c r="P54" s="7">
        <f t="shared" si="72"/>
        <v>0.81495266087403118</v>
      </c>
      <c r="Q54" s="7">
        <f t="shared" si="73"/>
        <v>3.7159143216246564</v>
      </c>
      <c r="R54" s="7">
        <f t="shared" si="74"/>
        <v>2.8</v>
      </c>
      <c r="S54" s="7">
        <f t="shared" si="22"/>
        <v>0.3</v>
      </c>
      <c r="T54" s="12">
        <f t="shared" si="75"/>
        <v>0.3</v>
      </c>
      <c r="U54" s="12">
        <f t="shared" si="76"/>
        <v>0.3</v>
      </c>
      <c r="V54" s="7">
        <f t="shared" si="23"/>
        <v>0.3</v>
      </c>
      <c r="W54" s="7">
        <f t="shared" si="24"/>
        <v>0.3</v>
      </c>
      <c r="X54" s="7">
        <f t="shared" si="25"/>
        <v>7.7159143216246555</v>
      </c>
      <c r="Y54" s="7">
        <f>IF(UseRetro,RetroF,Ftest*ER!$D61+AS54)</f>
        <v>7.4999999999999997E-2</v>
      </c>
      <c r="Z54" s="4">
        <f t="shared" si="77"/>
        <v>4145.3208632498063</v>
      </c>
      <c r="AA54" s="4">
        <f t="shared" si="78"/>
        <v>5461.287222341457</v>
      </c>
      <c r="AB54" s="4">
        <f t="shared" si="79"/>
        <v>7124.0040295365343</v>
      </c>
      <c r="AC54" s="4">
        <f t="shared" si="80"/>
        <v>200.55984095693205</v>
      </c>
      <c r="AD54" s="4">
        <f t="shared" si="81"/>
        <v>1.5475127081340216</v>
      </c>
      <c r="AE54" s="4">
        <f t="shared" si="27"/>
        <v>472.83008543710213</v>
      </c>
      <c r="AF54" s="4">
        <f t="shared" si="28"/>
        <v>3082.2298409358873</v>
      </c>
      <c r="AG54" s="4">
        <f t="shared" si="29"/>
        <v>976.49948035752698</v>
      </c>
      <c r="AH54" s="4">
        <f t="shared" si="30"/>
        <v>26.297025108564661</v>
      </c>
      <c r="AI54" s="4">
        <f t="shared" si="31"/>
        <v>0.2008778554269916</v>
      </c>
      <c r="AJ54" s="1">
        <f t="shared" si="82"/>
        <v>2019</v>
      </c>
      <c r="AK54" s="1">
        <f t="shared" si="32"/>
        <v>4558.0573096945081</v>
      </c>
      <c r="AL54" s="1">
        <f t="shared" si="33"/>
        <v>16932.719468792864</v>
      </c>
      <c r="AM54" s="1">
        <f t="shared" si="34"/>
        <v>0.21209365099623573</v>
      </c>
      <c r="AN54" s="1">
        <f t="shared" si="89"/>
        <v>36.834118791905105</v>
      </c>
      <c r="AO54" s="1">
        <v>12</v>
      </c>
      <c r="AP54" s="1">
        <f t="shared" si="90"/>
        <v>15.414999999999999</v>
      </c>
      <c r="AQ54">
        <f>stressors!U49/stressors!U$49</f>
        <v>1</v>
      </c>
      <c r="AR54">
        <f>CHOOSE(stockcode,Esc!F69,Esc!G69,Esc!H69,Esc!I69,Esc!J69,Esc!K69,Esc!L69,Esc!M69,Esc!N68,Esc!O68,Esc!P68)</f>
        <v>16823.238677359746</v>
      </c>
      <c r="AS54">
        <v>0</v>
      </c>
      <c r="AT54">
        <f t="shared" si="35"/>
        <v>2019</v>
      </c>
      <c r="AU54">
        <v>10000</v>
      </c>
      <c r="AV54" s="11">
        <f t="shared" si="70"/>
        <v>608.10062625217972</v>
      </c>
      <c r="AW54" s="11">
        <f t="shared" si="65"/>
        <v>396.45262688712575</v>
      </c>
      <c r="AX54" s="11">
        <f t="shared" si="66"/>
        <v>202.0856851933049</v>
      </c>
      <c r="AY54" s="11">
        <f t="shared" si="67"/>
        <v>7.0903054835683985</v>
      </c>
      <c r="AZ54" s="11">
        <f t="shared" si="68"/>
        <v>4.6849414868959174E-2</v>
      </c>
      <c r="BA54" s="11">
        <f t="shared" si="69"/>
        <v>39.834757492752814</v>
      </c>
      <c r="BB54" s="11">
        <f t="shared" si="36"/>
        <v>50.757275228067762</v>
      </c>
      <c r="BC54" s="11">
        <f t="shared" si="37"/>
        <v>106.52822590683571</v>
      </c>
      <c r="BD54" s="11">
        <f t="shared" si="38"/>
        <v>3.9073229287053599</v>
      </c>
      <c r="BE54" s="11">
        <f t="shared" si="39"/>
        <v>2.6078543689788555E-2</v>
      </c>
      <c r="BF54" s="11">
        <f t="shared" si="40"/>
        <v>4.5436945438038849</v>
      </c>
      <c r="BG54" s="11">
        <f t="shared" si="41"/>
        <v>28.646284654750737</v>
      </c>
      <c r="BH54" s="11">
        <f t="shared" si="42"/>
        <v>14.602007074973798</v>
      </c>
      <c r="BI54" s="11">
        <f t="shared" si="43"/>
        <v>0.51232075510819663</v>
      </c>
      <c r="BJ54" s="11">
        <f t="shared" si="44"/>
        <v>3.3851753859782474E-3</v>
      </c>
      <c r="BK54" s="11">
        <f t="shared" si="45"/>
        <v>2017</v>
      </c>
      <c r="BL54">
        <f t="shared" si="46"/>
        <v>0.19234626055776471</v>
      </c>
      <c r="BM54">
        <f t="shared" si="47"/>
        <v>2019</v>
      </c>
      <c r="BN54" s="11">
        <f t="shared" si="48"/>
        <v>4.5436945438038858</v>
      </c>
      <c r="BO54" s="11">
        <f t="shared" si="49"/>
        <v>28.753909893405236</v>
      </c>
      <c r="BP54" s="11">
        <f t="shared" si="50"/>
        <v>15.216935574655496</v>
      </c>
      <c r="BQ54" s="11">
        <f t="shared" si="51"/>
        <v>0.55429714385522466</v>
      </c>
      <c r="BR54" s="11">
        <f t="shared" si="52"/>
        <v>9.5571705738575138E-3</v>
      </c>
      <c r="BS54" s="11">
        <f t="shared" si="53"/>
        <v>39.834757492752807</v>
      </c>
      <c r="BT54" s="11">
        <f t="shared" si="54"/>
        <v>50.947972343791868</v>
      </c>
      <c r="BU54" s="11">
        <f t="shared" si="55"/>
        <v>111.01440659379863</v>
      </c>
      <c r="BV54" s="11">
        <f t="shared" si="56"/>
        <v>4.2274647628593831</v>
      </c>
      <c r="BW54" s="11">
        <f t="shared" si="57"/>
        <v>2.5899868601303191E-2</v>
      </c>
      <c r="BX54">
        <f t="shared" si="83"/>
        <v>608.10062625217995</v>
      </c>
      <c r="BY54">
        <f t="shared" si="84"/>
        <v>397.94211528320142</v>
      </c>
      <c r="BZ54">
        <f t="shared" si="85"/>
        <v>210.59603904842993</v>
      </c>
      <c r="CA54">
        <f t="shared" si="86"/>
        <v>7.6712411890730419</v>
      </c>
      <c r="CB54">
        <f t="shared" si="87"/>
        <v>5.2723618242696169E-2</v>
      </c>
      <c r="CC54">
        <f t="shared" si="58"/>
        <v>6.0810062625217993E-2</v>
      </c>
    </row>
    <row r="55" spans="1:81" x14ac:dyDescent="0.55000000000000004">
      <c r="A55">
        <v>0</v>
      </c>
      <c r="B55">
        <f t="dataTable" ref="B55:C75" dt2D="0" dtr="0" r1="B19"/>
        <v>1.0000000000000002</v>
      </c>
      <c r="C55">
        <v>0</v>
      </c>
      <c r="G55">
        <v>2020</v>
      </c>
      <c r="H55" s="5">
        <f t="shared" si="71"/>
        <v>32435106.637813933</v>
      </c>
      <c r="I55" s="5">
        <f t="shared" si="88"/>
        <v>1155405.7602889482</v>
      </c>
      <c r="J55" s="5">
        <f t="shared" si="60"/>
        <v>92838.724966463153</v>
      </c>
      <c r="K55" s="5">
        <f t="shared" si="61"/>
        <v>41411.015321213585</v>
      </c>
      <c r="L55" s="5">
        <f t="shared" si="62"/>
        <v>22574.508939629242</v>
      </c>
      <c r="M55" s="5">
        <f t="shared" si="63"/>
        <v>492.27802786414014</v>
      </c>
      <c r="N55" s="5">
        <f t="shared" si="64"/>
        <v>2.5013196046788364</v>
      </c>
      <c r="O55">
        <v>1.8781091493656543</v>
      </c>
      <c r="P55" s="3">
        <f t="shared" si="72"/>
        <v>0.87810914936565432</v>
      </c>
      <c r="Q55" s="3">
        <f t="shared" si="73"/>
        <v>3.9321899360419659</v>
      </c>
      <c r="R55" s="3">
        <f t="shared" si="74"/>
        <v>2.8</v>
      </c>
      <c r="S55" s="3">
        <f t="shared" si="22"/>
        <v>0.3</v>
      </c>
      <c r="T55" s="12">
        <f t="shared" si="75"/>
        <v>0.3</v>
      </c>
      <c r="U55" s="12">
        <f t="shared" si="76"/>
        <v>0.3</v>
      </c>
      <c r="V55" s="3">
        <f t="shared" si="23"/>
        <v>0.3</v>
      </c>
      <c r="W55" s="3">
        <f t="shared" si="24"/>
        <v>0.3</v>
      </c>
      <c r="X55" s="3">
        <f t="shared" si="25"/>
        <v>7.932189936041965</v>
      </c>
      <c r="Y55" s="7">
        <f>IF(UseRetro,RetroF,Ftest*ER!$D62+AS55)</f>
        <v>7.4999999999999997E-2</v>
      </c>
      <c r="Z55" s="5">
        <f t="shared" si="77"/>
        <v>6081.5725807882754</v>
      </c>
      <c r="AA55" s="5">
        <f t="shared" si="78"/>
        <v>5301.7943622580769</v>
      </c>
      <c r="AB55" s="5">
        <f t="shared" si="79"/>
        <v>11900.013530183374</v>
      </c>
      <c r="AC55" s="5">
        <f t="shared" si="80"/>
        <v>271.28439388529137</v>
      </c>
      <c r="AD55" s="5">
        <f t="shared" si="81"/>
        <v>1.3923497822800206</v>
      </c>
      <c r="AE55" s="5">
        <f t="shared" si="27"/>
        <v>693.68586361049836</v>
      </c>
      <c r="AF55" s="5">
        <f t="shared" si="28"/>
        <v>2992.2155947057763</v>
      </c>
      <c r="AG55" s="5">
        <f t="shared" si="29"/>
        <v>1631.1553138225261</v>
      </c>
      <c r="AH55" s="5">
        <f t="shared" si="30"/>
        <v>35.570294050518278</v>
      </c>
      <c r="AI55" s="5">
        <f t="shared" si="31"/>
        <v>0.18073663421213509</v>
      </c>
      <c r="AJ55">
        <f t="shared" si="82"/>
        <v>2020</v>
      </c>
      <c r="AK55">
        <f t="shared" si="32"/>
        <v>5352.8078028235304</v>
      </c>
      <c r="AL55">
        <f t="shared" si="33"/>
        <v>23556.057216897301</v>
      </c>
      <c r="AM55">
        <f t="shared" si="34"/>
        <v>0.18516146514821638</v>
      </c>
      <c r="AN55" s="1">
        <f t="shared" si="89"/>
        <v>36.834118791905105</v>
      </c>
      <c r="AO55">
        <v>12</v>
      </c>
      <c r="AP55" s="1">
        <f t="shared" si="90"/>
        <v>15.414999999999999</v>
      </c>
      <c r="AQ55" s="1">
        <f>AQ54</f>
        <v>1</v>
      </c>
      <c r="AR55">
        <f>CHOOSE(stockcode,Esc!F70,Esc!G70,Esc!H70,Esc!I70,Esc!J70,Esc!K70,Esc!L70,Esc!M70,Esc!N69,Esc!O69,Esc!P69)</f>
        <v>25678.051029304661</v>
      </c>
      <c r="AS55">
        <v>0</v>
      </c>
      <c r="AT55">
        <f t="shared" si="35"/>
        <v>2020</v>
      </c>
      <c r="AU55">
        <v>10000</v>
      </c>
      <c r="AV55" s="11">
        <f t="shared" si="70"/>
        <v>608.10062625217972</v>
      </c>
      <c r="AW55" s="11">
        <f t="shared" si="65"/>
        <v>397.94211528320136</v>
      </c>
      <c r="AX55" s="11">
        <f t="shared" si="66"/>
        <v>209.80778280619006</v>
      </c>
      <c r="AY55" s="11">
        <f t="shared" si="67"/>
        <v>7.3612402160157631</v>
      </c>
      <c r="AZ55" s="11">
        <f t="shared" si="68"/>
        <v>4.873090942209405E-2</v>
      </c>
      <c r="BA55" s="11">
        <f t="shared" si="69"/>
        <v>39.834757492752807</v>
      </c>
      <c r="BB55" s="11">
        <f t="shared" si="36"/>
        <v>50.947972343791854</v>
      </c>
      <c r="BC55" s="11">
        <f t="shared" si="37"/>
        <v>110.59888216431972</v>
      </c>
      <c r="BD55" s="11">
        <f t="shared" si="38"/>
        <v>4.0566295410547974</v>
      </c>
      <c r="BE55" s="11">
        <f t="shared" si="39"/>
        <v>2.7125870279528671E-2</v>
      </c>
      <c r="BF55" s="11">
        <f t="shared" si="40"/>
        <v>4.5436945438038858</v>
      </c>
      <c r="BG55" s="11">
        <f t="shared" si="41"/>
        <v>28.753909893405229</v>
      </c>
      <c r="BH55" s="11">
        <f t="shared" si="42"/>
        <v>15.159978926711485</v>
      </c>
      <c r="BI55" s="11">
        <f t="shared" si="43"/>
        <v>0.53189755430734942</v>
      </c>
      <c r="BJ55" s="11">
        <f t="shared" si="44"/>
        <v>3.5211256228795907E-3</v>
      </c>
      <c r="BK55" s="11">
        <f t="shared" si="45"/>
        <v>2018</v>
      </c>
      <c r="BL55">
        <f t="shared" si="46"/>
        <v>0.19236705529429146</v>
      </c>
      <c r="BM55">
        <f t="shared" si="47"/>
        <v>2020</v>
      </c>
      <c r="BN55" s="11">
        <f t="shared" si="48"/>
        <v>4.5436945438038849</v>
      </c>
      <c r="BO55" s="11">
        <f t="shared" si="49"/>
        <v>28.753909893405233</v>
      </c>
      <c r="BP55" s="11">
        <f t="shared" si="50"/>
        <v>15.216935574655496</v>
      </c>
      <c r="BQ55" s="11">
        <f t="shared" si="51"/>
        <v>1.3905601133004375</v>
      </c>
      <c r="BR55" s="11">
        <f t="shared" si="52"/>
        <v>8.4341734289018911E-3</v>
      </c>
      <c r="BS55" s="11">
        <f t="shared" si="53"/>
        <v>39.8347574927528</v>
      </c>
      <c r="BT55" s="11">
        <f t="shared" si="54"/>
        <v>50.947972343791861</v>
      </c>
      <c r="BU55" s="11">
        <f t="shared" si="55"/>
        <v>111.01440659379864</v>
      </c>
      <c r="BV55" s="11">
        <f t="shared" si="56"/>
        <v>3.7307245590089266</v>
      </c>
      <c r="BW55" s="11">
        <f t="shared" si="57"/>
        <v>2.2856553817998074E-2</v>
      </c>
      <c r="BX55">
        <f t="shared" si="83"/>
        <v>608.10062625218006</v>
      </c>
      <c r="BY55">
        <f t="shared" si="84"/>
        <v>397.94211528320147</v>
      </c>
      <c r="BZ55">
        <f t="shared" si="85"/>
        <v>210.59603904842999</v>
      </c>
      <c r="CA55">
        <f t="shared" si="86"/>
        <v>7.671241189073041</v>
      </c>
      <c r="CB55">
        <f t="shared" si="87"/>
        <v>4.6528429792232012E-2</v>
      </c>
      <c r="CC55">
        <f t="shared" si="58"/>
        <v>6.0810062625218007E-2</v>
      </c>
    </row>
    <row r="56" spans="1:81" x14ac:dyDescent="0.55000000000000004">
      <c r="A56" s="1">
        <v>0.1</v>
      </c>
      <c r="B56" s="1">
        <v>0.9889991122032763</v>
      </c>
      <c r="C56" s="1">
        <v>11480.50059967265</v>
      </c>
      <c r="D56" s="1"/>
      <c r="E56" s="1"/>
      <c r="F56" s="1"/>
      <c r="G56">
        <v>2021</v>
      </c>
      <c r="H56" s="5">
        <f t="shared" si="71"/>
        <v>35910846.553719148</v>
      </c>
      <c r="I56" s="5">
        <f t="shared" si="88"/>
        <v>558348.74608905264</v>
      </c>
      <c r="J56" s="5">
        <f t="shared" si="60"/>
        <v>70260.296640708519</v>
      </c>
      <c r="K56" s="5">
        <f t="shared" si="61"/>
        <v>60753.824282412133</v>
      </c>
      <c r="L56" s="5">
        <f t="shared" si="62"/>
        <v>21915.237077671467</v>
      </c>
      <c r="M56" s="5">
        <f t="shared" si="63"/>
        <v>822.30655231344201</v>
      </c>
      <c r="N56" s="5">
        <f t="shared" si="64"/>
        <v>3.3833741073538732</v>
      </c>
      <c r="O56" s="13">
        <f>O55</f>
        <v>1.8781091493656543</v>
      </c>
      <c r="P56" s="3">
        <f t="shared" si="72"/>
        <v>0.87810914936565432</v>
      </c>
      <c r="Q56" s="3">
        <f t="shared" si="73"/>
        <v>3.9882754259003943</v>
      </c>
      <c r="R56" s="3">
        <f t="shared" si="74"/>
        <v>2.8</v>
      </c>
      <c r="S56" s="3">
        <f t="shared" si="22"/>
        <v>0.3</v>
      </c>
      <c r="T56" s="12">
        <f t="shared" si="75"/>
        <v>0.3</v>
      </c>
      <c r="U56" s="12">
        <f t="shared" si="76"/>
        <v>0.3</v>
      </c>
      <c r="V56" s="3">
        <f t="shared" si="23"/>
        <v>0.3</v>
      </c>
      <c r="W56" s="3">
        <f t="shared" si="24"/>
        <v>0.3</v>
      </c>
      <c r="X56" s="3">
        <f t="shared" si="25"/>
        <v>7.9882754259003939</v>
      </c>
      <c r="Y56" s="7">
        <f>IF(UseRetro,RetroF,Ftest*ER!$D63+AS56)</f>
        <v>7.4999999999999997E-2</v>
      </c>
      <c r="Z56" s="5">
        <f t="shared" si="77"/>
        <v>4602.530826683992</v>
      </c>
      <c r="AA56" s="5">
        <f t="shared" si="78"/>
        <v>7778.2271351629115</v>
      </c>
      <c r="AB56" s="5">
        <f t="shared" si="79"/>
        <v>11552.482423378464</v>
      </c>
      <c r="AC56" s="5">
        <f t="shared" si="80"/>
        <v>453.15639131840663</v>
      </c>
      <c r="AD56" s="5">
        <f t="shared" si="81"/>
        <v>1.8833419739461426</v>
      </c>
      <c r="AE56" s="5">
        <f t="shared" si="27"/>
        <v>524.98108489044728</v>
      </c>
      <c r="AF56" s="5">
        <f t="shared" si="28"/>
        <v>4389.8595348548097</v>
      </c>
      <c r="AG56" s="5">
        <f t="shared" si="29"/>
        <v>1583.5186275157737</v>
      </c>
      <c r="AH56" s="5">
        <f t="shared" si="30"/>
        <v>59.41700463935679</v>
      </c>
      <c r="AI56" s="5">
        <f t="shared" si="31"/>
        <v>0.24447081744363541</v>
      </c>
      <c r="AJ56">
        <f t="shared" si="82"/>
        <v>2021</v>
      </c>
      <c r="AK56">
        <f t="shared" si="32"/>
        <v>6558.0207227178307</v>
      </c>
      <c r="AL56">
        <f t="shared" si="33"/>
        <v>24388.28011851772</v>
      </c>
      <c r="AM56">
        <f t="shared" si="34"/>
        <v>0.21191614326903177</v>
      </c>
      <c r="AN56" s="1">
        <f t="shared" si="89"/>
        <v>36.834118791905105</v>
      </c>
      <c r="AO56">
        <v>12</v>
      </c>
      <c r="AP56" s="1">
        <f t="shared" si="90"/>
        <v>15.414999999999999</v>
      </c>
      <c r="AQ56" s="1">
        <f t="shared" si="90"/>
        <v>1</v>
      </c>
      <c r="AR56">
        <f>CHOOSE(stockcode,Esc!F71,Esc!G71,Esc!H71,Esc!I71,Esc!J71,Esc!K71,Esc!L71,Esc!M71,Esc!N70,Esc!O70,Esc!P70)</f>
        <v>22839.910291231092</v>
      </c>
      <c r="AS56">
        <v>0</v>
      </c>
      <c r="AT56">
        <f t="shared" si="35"/>
        <v>2021</v>
      </c>
      <c r="AU56">
        <v>10000</v>
      </c>
      <c r="AV56" s="11">
        <f t="shared" si="70"/>
        <v>608.10062625217972</v>
      </c>
      <c r="AW56" s="11">
        <f t="shared" si="65"/>
        <v>397.94211528320136</v>
      </c>
      <c r="AX56" s="11">
        <f t="shared" si="66"/>
        <v>210.59603904842996</v>
      </c>
      <c r="AY56" s="11">
        <f t="shared" si="67"/>
        <v>7.6425279056687705</v>
      </c>
      <c r="AZ56" s="11">
        <f t="shared" si="68"/>
        <v>5.0593014790725789E-2</v>
      </c>
      <c r="BA56" s="11">
        <f t="shared" si="69"/>
        <v>39.8347574927528</v>
      </c>
      <c r="BB56" s="11">
        <f t="shared" si="36"/>
        <v>50.947972343791868</v>
      </c>
      <c r="BC56" s="11">
        <f t="shared" si="37"/>
        <v>111.01440659379863</v>
      </c>
      <c r="BD56" s="11">
        <f t="shared" si="38"/>
        <v>4.2116414572396295</v>
      </c>
      <c r="BE56" s="11">
        <f t="shared" si="39"/>
        <v>2.816240395549199E-2</v>
      </c>
      <c r="BF56" s="11">
        <f t="shared" si="40"/>
        <v>4.5436945438038849</v>
      </c>
      <c r="BG56" s="11">
        <f t="shared" si="41"/>
        <v>28.753909893405236</v>
      </c>
      <c r="BH56" s="11">
        <f t="shared" si="42"/>
        <v>15.216935574655496</v>
      </c>
      <c r="BI56" s="11">
        <f t="shared" si="43"/>
        <v>0.55222242210037187</v>
      </c>
      <c r="BJ56" s="11">
        <f t="shared" si="44"/>
        <v>3.6556748649058052E-3</v>
      </c>
      <c r="BK56" s="11">
        <f t="shared" si="45"/>
        <v>2019</v>
      </c>
      <c r="BL56">
        <f t="shared" si="46"/>
        <v>0.19538363563098701</v>
      </c>
      <c r="BM56">
        <f t="shared" si="47"/>
        <v>2021</v>
      </c>
      <c r="BN56" s="11">
        <f t="shared" si="48"/>
        <v>4.5436945438038849</v>
      </c>
      <c r="BO56" s="11">
        <f t="shared" si="49"/>
        <v>28.753909893405236</v>
      </c>
      <c r="BP56" s="11">
        <f t="shared" si="50"/>
        <v>38.174585403068825</v>
      </c>
      <c r="BQ56" s="11">
        <f t="shared" si="51"/>
        <v>1.2271649928453201</v>
      </c>
      <c r="BR56" s="11">
        <f t="shared" si="52"/>
        <v>7.4431319268672179E-3</v>
      </c>
      <c r="BS56" s="11">
        <f t="shared" si="53"/>
        <v>39.834757492752807</v>
      </c>
      <c r="BT56" s="11">
        <f t="shared" si="54"/>
        <v>50.947972343791868</v>
      </c>
      <c r="BU56" s="11">
        <f t="shared" si="55"/>
        <v>97.969869961294165</v>
      </c>
      <c r="BV56" s="11">
        <f t="shared" si="56"/>
        <v>3.2923528677216591</v>
      </c>
      <c r="BW56" s="11">
        <f t="shared" si="57"/>
        <v>2.0170837948141413E-2</v>
      </c>
      <c r="BX56">
        <f t="shared" si="83"/>
        <v>608.10062625217995</v>
      </c>
      <c r="BY56">
        <f t="shared" si="84"/>
        <v>397.94211528320142</v>
      </c>
      <c r="BZ56">
        <f t="shared" si="85"/>
        <v>210.59603904842993</v>
      </c>
      <c r="CA56">
        <f t="shared" si="86"/>
        <v>6.7698465883363292</v>
      </c>
      <c r="CB56">
        <f t="shared" si="87"/>
        <v>4.1061195173769577E-2</v>
      </c>
      <c r="CC56">
        <f t="shared" si="58"/>
        <v>6.0810062625217993E-2</v>
      </c>
    </row>
    <row r="57" spans="1:81" x14ac:dyDescent="0.55000000000000004">
      <c r="A57">
        <v>0.2</v>
      </c>
      <c r="B57">
        <v>0.93107650232808847</v>
      </c>
      <c r="C57">
        <v>19858.181886652983</v>
      </c>
      <c r="G57">
        <v>2022</v>
      </c>
      <c r="H57" s="5">
        <f t="shared" si="71"/>
        <v>43836220.476385564</v>
      </c>
      <c r="I57" s="5">
        <f t="shared" si="88"/>
        <v>635750.83476352831</v>
      </c>
      <c r="J57" s="5">
        <f t="shared" si="60"/>
        <v>33953.222216387221</v>
      </c>
      <c r="K57" s="5">
        <f t="shared" si="61"/>
        <v>45978.461225977953</v>
      </c>
      <c r="L57" s="5">
        <f t="shared" si="62"/>
        <v>32151.698097636418</v>
      </c>
      <c r="M57" s="5">
        <f t="shared" si="63"/>
        <v>798.29169673923855</v>
      </c>
      <c r="N57" s="5">
        <f t="shared" si="64"/>
        <v>5.6516247728459694</v>
      </c>
      <c r="O57" s="13">
        <f t="shared" ref="O57:O79" si="91">O56</f>
        <v>1.8781091493656543</v>
      </c>
      <c r="P57" s="3">
        <f t="shared" si="72"/>
        <v>0.87810914936565432</v>
      </c>
      <c r="Q57" s="3">
        <f t="shared" si="73"/>
        <v>4.1161614270162739</v>
      </c>
      <c r="R57" s="3">
        <f t="shared" si="74"/>
        <v>2.8</v>
      </c>
      <c r="S57" s="3">
        <f t="shared" si="22"/>
        <v>0.3</v>
      </c>
      <c r="T57" s="12">
        <f t="shared" si="75"/>
        <v>0.3</v>
      </c>
      <c r="U57" s="12">
        <f t="shared" si="76"/>
        <v>0.3</v>
      </c>
      <c r="V57" s="3">
        <f t="shared" si="23"/>
        <v>0.3</v>
      </c>
      <c r="W57" s="3">
        <f t="shared" si="24"/>
        <v>0.3</v>
      </c>
      <c r="X57" s="3">
        <f t="shared" si="25"/>
        <v>8.116161427016273</v>
      </c>
      <c r="Y57" s="7">
        <f>IF(UseRetro,RetroF,Ftest*ER!$D64+AS57)</f>
        <v>7.4999999999999997E-2</v>
      </c>
      <c r="Z57" s="5">
        <f t="shared" si="77"/>
        <v>2224.1686896840024</v>
      </c>
      <c r="AA57" s="5">
        <f t="shared" si="78"/>
        <v>5886.5580721059141</v>
      </c>
      <c r="AB57" s="5">
        <f t="shared" si="79"/>
        <v>16948.569884883986</v>
      </c>
      <c r="AC57" s="5">
        <f t="shared" si="80"/>
        <v>439.92229357295821</v>
      </c>
      <c r="AD57" s="5">
        <f t="shared" si="81"/>
        <v>3.1459548421085608</v>
      </c>
      <c r="AE57" s="5">
        <f t="shared" si="27"/>
        <v>253.69661511445693</v>
      </c>
      <c r="AF57" s="5">
        <f t="shared" si="28"/>
        <v>3322.2433121669783</v>
      </c>
      <c r="AG57" s="5">
        <f t="shared" si="29"/>
        <v>2323.1696131521071</v>
      </c>
      <c r="AH57" s="5">
        <f t="shared" si="30"/>
        <v>57.681774899241525</v>
      </c>
      <c r="AI57" s="5">
        <f t="shared" si="31"/>
        <v>0.40836670266503416</v>
      </c>
      <c r="AJ57">
        <f t="shared" si="82"/>
        <v>2022</v>
      </c>
      <c r="AK57">
        <f t="shared" si="32"/>
        <v>5957.1996820354498</v>
      </c>
      <c r="AL57">
        <f t="shared" si="33"/>
        <v>25502.364895088969</v>
      </c>
      <c r="AM57">
        <f t="shared" si="34"/>
        <v>0.18936052555435498</v>
      </c>
      <c r="AN57" s="1">
        <f t="shared" si="89"/>
        <v>36.834118791905105</v>
      </c>
      <c r="AO57">
        <v>12</v>
      </c>
      <c r="AP57" s="1">
        <f t="shared" si="90"/>
        <v>15.414999999999999</v>
      </c>
      <c r="AQ57" s="1">
        <f t="shared" si="90"/>
        <v>1</v>
      </c>
      <c r="AR57">
        <f>CHOOSE(stockcode,Esc!F72,Esc!G72,Esc!H72,Esc!I72,Esc!J72,Esc!K72,Esc!L72,Esc!M72,Esc!N71,Esc!O71,Esc!P71)</f>
        <v>26915.272225313078</v>
      </c>
      <c r="AS57">
        <v>0</v>
      </c>
      <c r="AT57">
        <f t="shared" si="35"/>
        <v>2022</v>
      </c>
      <c r="AU57">
        <v>10000</v>
      </c>
      <c r="AV57" s="11">
        <f t="shared" si="70"/>
        <v>608.10062625217972</v>
      </c>
      <c r="AW57" s="11">
        <f t="shared" si="65"/>
        <v>397.94211528320136</v>
      </c>
      <c r="AX57" s="11">
        <f t="shared" si="66"/>
        <v>210.59603904842993</v>
      </c>
      <c r="AY57" s="11">
        <f t="shared" si="67"/>
        <v>7.6712411890730419</v>
      </c>
      <c r="AZ57" s="11">
        <f t="shared" si="68"/>
        <v>5.2526274924269735E-2</v>
      </c>
      <c r="BA57" s="11">
        <f t="shared" si="69"/>
        <v>39.834757492752807</v>
      </c>
      <c r="BB57" s="11">
        <f t="shared" si="36"/>
        <v>50.947972343791861</v>
      </c>
      <c r="BC57" s="11">
        <f t="shared" si="37"/>
        <v>111.01440659379863</v>
      </c>
      <c r="BD57" s="11">
        <f t="shared" si="38"/>
        <v>4.2274647628593831</v>
      </c>
      <c r="BE57" s="11">
        <f t="shared" si="39"/>
        <v>2.9238545653256426E-2</v>
      </c>
      <c r="BF57" s="11">
        <f t="shared" si="40"/>
        <v>4.5436945438038849</v>
      </c>
      <c r="BG57" s="11">
        <f t="shared" si="41"/>
        <v>28.753909893405233</v>
      </c>
      <c r="BH57" s="11">
        <f t="shared" si="42"/>
        <v>15.216935574655496</v>
      </c>
      <c r="BI57" s="11">
        <f t="shared" si="43"/>
        <v>0.55429714385522466</v>
      </c>
      <c r="BJ57" s="11">
        <f t="shared" si="44"/>
        <v>3.7953655021756875E-3</v>
      </c>
      <c r="BK57" s="11">
        <f t="shared" si="45"/>
        <v>2020</v>
      </c>
      <c r="BL57">
        <f t="shared" si="46"/>
        <v>0.27460161773114583</v>
      </c>
      <c r="BM57">
        <f t="shared" si="47"/>
        <v>2022</v>
      </c>
      <c r="BN57" s="11">
        <f t="shared" si="48"/>
        <v>4.5436945438038849</v>
      </c>
      <c r="BO57" s="11">
        <f t="shared" si="49"/>
        <v>72.134667555940823</v>
      </c>
      <c r="BP57" s="11">
        <f t="shared" si="50"/>
        <v>33.688953375659338</v>
      </c>
      <c r="BQ57" s="11">
        <f t="shared" si="51"/>
        <v>1.0829693051462417</v>
      </c>
      <c r="BR57" s="11">
        <f t="shared" si="52"/>
        <v>6.5685408709888283E-3</v>
      </c>
      <c r="BS57" s="11">
        <f t="shared" si="53"/>
        <v>39.8347574927528</v>
      </c>
      <c r="BT57" s="11">
        <f t="shared" si="54"/>
        <v>44.961427786361931</v>
      </c>
      <c r="BU57" s="11">
        <f t="shared" si="55"/>
        <v>86.45810678745768</v>
      </c>
      <c r="BV57" s="11">
        <f t="shared" si="56"/>
        <v>2.9054912079798729</v>
      </c>
      <c r="BW57" s="11">
        <f t="shared" si="57"/>
        <v>1.7800702011770607E-2</v>
      </c>
      <c r="BX57">
        <f t="shared" si="83"/>
        <v>608.10062625217972</v>
      </c>
      <c r="BY57">
        <f t="shared" si="84"/>
        <v>397.94211528320125</v>
      </c>
      <c r="BZ57">
        <f t="shared" si="85"/>
        <v>185.85035215682387</v>
      </c>
      <c r="CA57">
        <f t="shared" si="86"/>
        <v>5.9743686451796982</v>
      </c>
      <c r="CB57">
        <f t="shared" si="87"/>
        <v>3.6236377557273172E-2</v>
      </c>
      <c r="CC57">
        <f t="shared" si="58"/>
        <v>6.0810062625217973E-2</v>
      </c>
    </row>
    <row r="58" spans="1:81" s="1" customFormat="1" x14ac:dyDescent="0.55000000000000004">
      <c r="A58" s="1">
        <v>0.3</v>
      </c>
      <c r="B58" s="1">
        <v>0.80967263670036094</v>
      </c>
      <c r="C58" s="1">
        <v>23883.029915257564</v>
      </c>
      <c r="G58" s="1">
        <v>2023</v>
      </c>
      <c r="H58" s="4">
        <f t="shared" si="71"/>
        <v>31543027.334780674</v>
      </c>
      <c r="I58" s="4">
        <f t="shared" si="88"/>
        <v>665487.08777720598</v>
      </c>
      <c r="J58" s="4">
        <f t="shared" si="60"/>
        <v>38660.048076004758</v>
      </c>
      <c r="K58" s="4">
        <f t="shared" si="61"/>
        <v>22219.048108440071</v>
      </c>
      <c r="L58" s="4">
        <f t="shared" si="62"/>
        <v>24332.387661059223</v>
      </c>
      <c r="M58" s="4">
        <f t="shared" si="63"/>
        <v>1171.1684220637703</v>
      </c>
      <c r="N58" s="4">
        <f t="shared" si="64"/>
        <v>5.4865732451673326</v>
      </c>
      <c r="O58" s="13">
        <f t="shared" si="91"/>
        <v>1.8781091493656543</v>
      </c>
      <c r="P58" s="7">
        <f t="shared" si="72"/>
        <v>0.87810914936565432</v>
      </c>
      <c r="Q58" s="7">
        <f t="shared" si="73"/>
        <v>3.9177951004346658</v>
      </c>
      <c r="R58" s="7">
        <f t="shared" si="74"/>
        <v>2.8</v>
      </c>
      <c r="S58" s="7">
        <f t="shared" si="22"/>
        <v>0.3</v>
      </c>
      <c r="T58" s="7">
        <f t="shared" si="75"/>
        <v>0.3</v>
      </c>
      <c r="U58" s="7">
        <f t="shared" si="76"/>
        <v>0.3</v>
      </c>
      <c r="V58" s="7">
        <f t="shared" si="23"/>
        <v>0.3</v>
      </c>
      <c r="W58" s="7">
        <f t="shared" si="24"/>
        <v>0.3</v>
      </c>
      <c r="X58" s="7">
        <f t="shared" si="25"/>
        <v>7.9177951004346649</v>
      </c>
      <c r="Y58" s="7">
        <f>IF(UseRetro,RetroF,Ftest*ER!$D65+AS58)</f>
        <v>7.4999999999999997E-2</v>
      </c>
      <c r="Z58" s="4">
        <f t="shared" si="77"/>
        <v>2532.4980328620309</v>
      </c>
      <c r="AA58" s="4">
        <f t="shared" si="78"/>
        <v>2844.6736473935921</v>
      </c>
      <c r="AB58" s="4">
        <f t="shared" si="79"/>
        <v>12826.668485353433</v>
      </c>
      <c r="AC58" s="4">
        <f t="shared" si="80"/>
        <v>645.40706172823127</v>
      </c>
      <c r="AD58" s="4">
        <f t="shared" si="81"/>
        <v>3.0540795542811017</v>
      </c>
      <c r="AE58" s="4">
        <f t="shared" si="27"/>
        <v>288.86575991338088</v>
      </c>
      <c r="AF58" s="4">
        <f t="shared" si="28"/>
        <v>1605.4709534140418</v>
      </c>
      <c r="AG58" s="4">
        <f t="shared" si="29"/>
        <v>1758.1735016902776</v>
      </c>
      <c r="AH58" s="4">
        <f t="shared" si="30"/>
        <v>84.624547100417999</v>
      </c>
      <c r="AI58" s="4">
        <f t="shared" si="31"/>
        <v>0.3964406546988295</v>
      </c>
      <c r="AJ58" s="1">
        <f t="shared" si="82"/>
        <v>2023</v>
      </c>
      <c r="AK58" s="1">
        <f t="shared" si="32"/>
        <v>3737.5312027728173</v>
      </c>
      <c r="AL58" s="1">
        <f t="shared" si="33"/>
        <v>18852.301306891568</v>
      </c>
      <c r="AM58" s="1">
        <f t="shared" si="34"/>
        <v>0.16545192184022728</v>
      </c>
      <c r="AN58" s="1">
        <f t="shared" si="89"/>
        <v>36.834118791905105</v>
      </c>
      <c r="AO58" s="1">
        <v>12</v>
      </c>
      <c r="AP58" s="1">
        <f t="shared" si="90"/>
        <v>15.414999999999999</v>
      </c>
      <c r="AQ58" s="1">
        <f t="shared" si="90"/>
        <v>1</v>
      </c>
      <c r="AR58">
        <f>CHOOSE(stockcode,Esc!F73,Esc!G73,Esc!H73,Esc!I73,Esc!J73,Esc!K73,Esc!L73,Esc!M73,Esc!N72,Esc!O72,Esc!P72)</f>
        <v>19396.884039509463</v>
      </c>
      <c r="AS58">
        <v>0</v>
      </c>
      <c r="AT58" s="1">
        <f t="shared" si="35"/>
        <v>2023</v>
      </c>
      <c r="AU58" s="1">
        <v>10000</v>
      </c>
      <c r="AV58" s="15">
        <f t="shared" si="70"/>
        <v>608.10062625217961</v>
      </c>
      <c r="AW58" s="15">
        <f t="shared" si="65"/>
        <v>397.94211528320136</v>
      </c>
      <c r="AX58" s="15">
        <f t="shared" si="66"/>
        <v>210.59603904842996</v>
      </c>
      <c r="AY58" s="15">
        <f t="shared" si="67"/>
        <v>7.6712411890730419</v>
      </c>
      <c r="AZ58" s="15">
        <f t="shared" si="68"/>
        <v>5.2723618242696155E-2</v>
      </c>
      <c r="BA58" s="15">
        <f t="shared" si="69"/>
        <v>39.8347574927528</v>
      </c>
      <c r="BB58" s="15">
        <f t="shared" si="36"/>
        <v>50.947972343791868</v>
      </c>
      <c r="BC58" s="15">
        <f t="shared" si="37"/>
        <v>111.01440659379864</v>
      </c>
      <c r="BD58" s="15">
        <f t="shared" si="38"/>
        <v>4.2274647628593831</v>
      </c>
      <c r="BE58" s="15">
        <f t="shared" si="39"/>
        <v>2.9348396040200769E-2</v>
      </c>
      <c r="BF58" s="15">
        <f t="shared" si="40"/>
        <v>4.5436945438038849</v>
      </c>
      <c r="BG58" s="15">
        <f t="shared" si="41"/>
        <v>28.753909893405236</v>
      </c>
      <c r="BH58" s="15">
        <f t="shared" si="42"/>
        <v>15.216935574655496</v>
      </c>
      <c r="BI58" s="15">
        <f t="shared" si="43"/>
        <v>0.55429714385522466</v>
      </c>
      <c r="BJ58" s="15">
        <f t="shared" si="44"/>
        <v>3.8096248423615349E-3</v>
      </c>
      <c r="BK58" s="15">
        <f t="shared" si="45"/>
        <v>2021</v>
      </c>
      <c r="BL58" s="1">
        <f t="shared" si="46"/>
        <v>0.39020803785345054</v>
      </c>
      <c r="BM58" s="1">
        <f t="shared" si="47"/>
        <v>2023</v>
      </c>
      <c r="BN58" s="15">
        <f t="shared" si="48"/>
        <v>12.041199162786134</v>
      </c>
      <c r="BO58" s="15">
        <f t="shared" si="49"/>
        <v>71.238596324253407</v>
      </c>
      <c r="BP58" s="15">
        <f t="shared" si="50"/>
        <v>33.270462475674584</v>
      </c>
      <c r="BQ58" s="15">
        <f t="shared" si="51"/>
        <v>1.0695164443787131</v>
      </c>
      <c r="BR58" s="15">
        <f t="shared" si="52"/>
        <v>6.4869451458253137E-3</v>
      </c>
      <c r="BS58" s="15">
        <f t="shared" si="53"/>
        <v>39.33992218789998</v>
      </c>
      <c r="BT58" s="15">
        <f t="shared" si="54"/>
        <v>44.402907960319816</v>
      </c>
      <c r="BU58" s="15">
        <f t="shared" si="55"/>
        <v>85.384106936022604</v>
      </c>
      <c r="BV58" s="15">
        <f t="shared" si="56"/>
        <v>2.8693986165310745</v>
      </c>
      <c r="BW58" s="15">
        <f t="shared" si="57"/>
        <v>1.7579578140031433E-2</v>
      </c>
      <c r="BX58" s="1">
        <f t="shared" si="83"/>
        <v>608.10062625217984</v>
      </c>
      <c r="BY58" s="1">
        <f t="shared" si="84"/>
        <v>392.99879893526662</v>
      </c>
      <c r="BZ58" s="1">
        <f t="shared" si="85"/>
        <v>183.54168200404948</v>
      </c>
      <c r="CA58" s="1">
        <f t="shared" si="86"/>
        <v>5.9001538459461784</v>
      </c>
      <c r="CB58" s="1">
        <f t="shared" si="87"/>
        <v>3.57862420458777E-2</v>
      </c>
      <c r="CC58" s="1">
        <f t="shared" si="58"/>
        <v>6.0810062625217987E-2</v>
      </c>
    </row>
    <row r="59" spans="1:81" x14ac:dyDescent="0.55000000000000004">
      <c r="A59">
        <v>0.4</v>
      </c>
      <c r="B59">
        <v>0.60435225514279467</v>
      </c>
      <c r="C59">
        <v>21991.730550521486</v>
      </c>
      <c r="G59">
        <v>2024</v>
      </c>
      <c r="H59" s="5">
        <f t="shared" si="71"/>
        <v>16317398.157081963</v>
      </c>
      <c r="I59" s="5">
        <f t="shared" si="88"/>
        <v>714836.81017608545</v>
      </c>
      <c r="J59" s="5">
        <f t="shared" si="60"/>
        <v>40468.311484005826</v>
      </c>
      <c r="K59" s="5">
        <f t="shared" si="61"/>
        <v>25299.203197885945</v>
      </c>
      <c r="L59" s="5">
        <f t="shared" si="62"/>
        <v>11758.603433401202</v>
      </c>
      <c r="M59" s="5">
        <f t="shared" si="63"/>
        <v>886.33962584208325</v>
      </c>
      <c r="N59" s="5">
        <f t="shared" si="64"/>
        <v>8.0493150014297044</v>
      </c>
      <c r="O59" s="13">
        <f t="shared" si="91"/>
        <v>1.8781091493656543</v>
      </c>
      <c r="P59" s="3">
        <f t="shared" si="72"/>
        <v>0.87810914936565432</v>
      </c>
      <c r="Q59" s="3">
        <f t="shared" si="73"/>
        <v>3.6721101839867054</v>
      </c>
      <c r="R59" s="3">
        <f t="shared" si="74"/>
        <v>2.8</v>
      </c>
      <c r="S59" s="3">
        <f t="shared" si="22"/>
        <v>0.3</v>
      </c>
      <c r="T59" s="12">
        <f t="shared" si="75"/>
        <v>0.3</v>
      </c>
      <c r="U59" s="12">
        <f t="shared" si="76"/>
        <v>0.3</v>
      </c>
      <c r="V59" s="3">
        <f t="shared" si="23"/>
        <v>0.3</v>
      </c>
      <c r="W59" s="3">
        <f t="shared" si="24"/>
        <v>0.3</v>
      </c>
      <c r="X59" s="3">
        <f t="shared" si="25"/>
        <v>7.672110183986705</v>
      </c>
      <c r="Y59" s="17">
        <f t="shared" ref="Y59:Y79" si="92">Ffuture</f>
        <v>0.2</v>
      </c>
      <c r="Z59" s="5">
        <f t="shared" si="77"/>
        <v>2618.0210250207447</v>
      </c>
      <c r="AA59" s="5">
        <f t="shared" si="78"/>
        <v>2858.4265247339704</v>
      </c>
      <c r="AB59" s="5">
        <f t="shared" si="79"/>
        <v>5470.1354047396144</v>
      </c>
      <c r="AC59" s="5">
        <f t="shared" si="80"/>
        <v>431.05006455303601</v>
      </c>
      <c r="AD59" s="5">
        <f t="shared" si="81"/>
        <v>3.954133039729463</v>
      </c>
      <c r="AE59" s="5">
        <f t="shared" si="27"/>
        <v>801.32625641878747</v>
      </c>
      <c r="AF59" s="5">
        <f t="shared" si="28"/>
        <v>4585.9675114078991</v>
      </c>
      <c r="AG59" s="5">
        <f t="shared" si="29"/>
        <v>2131.473189227293</v>
      </c>
      <c r="AH59" s="5">
        <f t="shared" si="30"/>
        <v>160.6661164935378</v>
      </c>
      <c r="AI59" s="5">
        <f t="shared" si="31"/>
        <v>1.4590932685472662</v>
      </c>
      <c r="AJ59">
        <f t="shared" si="82"/>
        <v>2024</v>
      </c>
      <c r="AK59">
        <f t="shared" si="32"/>
        <v>7680.8921668160638</v>
      </c>
      <c r="AL59">
        <f t="shared" si="33"/>
        <v>11381.587152087095</v>
      </c>
      <c r="AM59">
        <f t="shared" si="34"/>
        <v>0.40293248524075076</v>
      </c>
      <c r="AN59" s="1">
        <f t="shared" si="89"/>
        <v>36.834118791905105</v>
      </c>
      <c r="AO59">
        <v>12</v>
      </c>
      <c r="AP59" s="1">
        <f t="shared" si="90"/>
        <v>15.414999999999999</v>
      </c>
      <c r="AQ59" s="1">
        <f t="shared" si="90"/>
        <v>1</v>
      </c>
      <c r="AR59">
        <f>CHOOSE(stockcode,Esc!F74,Esc!G74,Esc!H74,Esc!I74,Esc!J74,Esc!K74,Esc!L74,Esc!M74,Esc!N73,Esc!O73,Esc!P73)</f>
        <v>9698.4420197547315</v>
      </c>
      <c r="AS59">
        <v>0</v>
      </c>
      <c r="AT59">
        <f t="shared" si="35"/>
        <v>2024</v>
      </c>
      <c r="AU59">
        <v>10000</v>
      </c>
      <c r="AV59" s="11">
        <f t="shared" si="70"/>
        <v>608.10062625217972</v>
      </c>
      <c r="AW59" s="11">
        <f t="shared" si="65"/>
        <v>397.94211528320125</v>
      </c>
      <c r="AX59" s="11">
        <f t="shared" si="66"/>
        <v>210.59603904842993</v>
      </c>
      <c r="AY59" s="11">
        <f t="shared" si="67"/>
        <v>7.671241189073041</v>
      </c>
      <c r="AZ59" s="11">
        <f t="shared" si="68"/>
        <v>5.2723618242696162E-2</v>
      </c>
      <c r="BA59" s="11">
        <f t="shared" si="69"/>
        <v>39.33992218789998</v>
      </c>
      <c r="BB59" s="11">
        <f t="shared" si="36"/>
        <v>44.961427786361931</v>
      </c>
      <c r="BC59" s="11">
        <f t="shared" si="37"/>
        <v>97.969869961294165</v>
      </c>
      <c r="BD59" s="11">
        <f t="shared" si="38"/>
        <v>3.7307245590089266</v>
      </c>
      <c r="BE59" s="11">
        <f t="shared" si="39"/>
        <v>2.5899868601303191E-2</v>
      </c>
      <c r="BF59" s="11">
        <f t="shared" si="40"/>
        <v>12.041199162786134</v>
      </c>
      <c r="BG59" s="11">
        <f t="shared" si="41"/>
        <v>72.134667555940823</v>
      </c>
      <c r="BH59" s="11">
        <f t="shared" si="42"/>
        <v>38.174585403068825</v>
      </c>
      <c r="BI59" s="11">
        <f t="shared" si="43"/>
        <v>1.3905601133004375</v>
      </c>
      <c r="BJ59" s="11">
        <f t="shared" si="44"/>
        <v>9.5571705738575138E-3</v>
      </c>
      <c r="BK59" s="11">
        <f t="shared" si="45"/>
        <v>2022</v>
      </c>
      <c r="BL59">
        <f t="shared" si="46"/>
        <v>0.40611168906319267</v>
      </c>
      <c r="BM59">
        <f t="shared" si="47"/>
        <v>2024</v>
      </c>
      <c r="BN59" s="11">
        <f t="shared" si="48"/>
        <v>12.041199162786134</v>
      </c>
      <c r="BO59" s="11">
        <f t="shared" si="49"/>
        <v>71.238596324253407</v>
      </c>
      <c r="BP59" s="11">
        <f t="shared" si="50"/>
        <v>33.270462475674577</v>
      </c>
      <c r="BQ59" s="11">
        <f t="shared" si="51"/>
        <v>1.0695164443787126</v>
      </c>
      <c r="BR59" s="11">
        <f t="shared" si="52"/>
        <v>6.4869451458253093E-3</v>
      </c>
      <c r="BS59" s="11">
        <f t="shared" si="53"/>
        <v>39.339922187899973</v>
      </c>
      <c r="BT59" s="11">
        <f t="shared" si="54"/>
        <v>44.402907960319816</v>
      </c>
      <c r="BU59" s="11">
        <f t="shared" si="55"/>
        <v>85.384106936022576</v>
      </c>
      <c r="BV59" s="11">
        <f t="shared" si="56"/>
        <v>2.8693986165310728</v>
      </c>
      <c r="BW59" s="11">
        <f t="shared" si="57"/>
        <v>1.7579578140031419E-2</v>
      </c>
      <c r="BX59">
        <f t="shared" si="83"/>
        <v>608.10062625217972</v>
      </c>
      <c r="BY59">
        <f t="shared" si="84"/>
        <v>392.99879893526656</v>
      </c>
      <c r="BZ59">
        <f t="shared" si="85"/>
        <v>183.54168200404942</v>
      </c>
      <c r="CA59">
        <f t="shared" si="86"/>
        <v>5.9001538459461758</v>
      </c>
      <c r="CB59">
        <f t="shared" si="87"/>
        <v>3.5786242045877673E-2</v>
      </c>
      <c r="CC59">
        <f t="shared" si="58"/>
        <v>6.0810062625217973E-2</v>
      </c>
    </row>
    <row r="60" spans="1:81" x14ac:dyDescent="0.55000000000000004">
      <c r="A60" s="1">
        <v>0.5</v>
      </c>
      <c r="B60">
        <v>0.29015702655491915</v>
      </c>
      <c r="C60">
        <v>12252.309883166894</v>
      </c>
      <c r="G60">
        <v>2025</v>
      </c>
      <c r="H60" s="5">
        <f t="shared" si="71"/>
        <v>15893089.850569256</v>
      </c>
      <c r="I60" s="5">
        <f t="shared" si="88"/>
        <v>627229.64870919427</v>
      </c>
      <c r="J60" s="5">
        <f t="shared" si="60"/>
        <v>43469.271193618806</v>
      </c>
      <c r="K60" s="5">
        <f t="shared" si="61"/>
        <v>26153.562620337027</v>
      </c>
      <c r="L60" s="5">
        <f t="shared" si="62"/>
        <v>11815.451652479651</v>
      </c>
      <c r="M60" s="5">
        <f t="shared" si="63"/>
        <v>377.99353538128395</v>
      </c>
      <c r="N60" s="5">
        <f t="shared" si="64"/>
        <v>5.3759215799144782</v>
      </c>
      <c r="O60" s="13">
        <f t="shared" si="91"/>
        <v>1.8781091493656543</v>
      </c>
      <c r="P60" s="3">
        <f t="shared" si="72"/>
        <v>0.87810914936565432</v>
      </c>
      <c r="Q60" s="3">
        <f t="shared" si="73"/>
        <v>3.6652634291093147</v>
      </c>
      <c r="R60" s="3">
        <f t="shared" si="74"/>
        <v>2.8</v>
      </c>
      <c r="S60" s="3">
        <f t="shared" si="22"/>
        <v>0.3</v>
      </c>
      <c r="T60" s="12">
        <f t="shared" si="75"/>
        <v>0.3</v>
      </c>
      <c r="U60" s="12">
        <f t="shared" si="76"/>
        <v>0.3</v>
      </c>
      <c r="V60" s="3">
        <f t="shared" si="23"/>
        <v>0.3</v>
      </c>
      <c r="W60" s="3">
        <f t="shared" si="24"/>
        <v>0.3</v>
      </c>
      <c r="X60" s="3">
        <f t="shared" si="25"/>
        <v>7.6652634291093138</v>
      </c>
      <c r="Y60" s="17">
        <f t="shared" si="92"/>
        <v>0.2</v>
      </c>
      <c r="Z60" s="5">
        <f t="shared" si="77"/>
        <v>2812.1624489373826</v>
      </c>
      <c r="AA60" s="5">
        <f t="shared" si="78"/>
        <v>2954.9561907352549</v>
      </c>
      <c r="AB60" s="5">
        <f t="shared" si="79"/>
        <v>5496.581356220051</v>
      </c>
      <c r="AC60" s="5">
        <f t="shared" si="80"/>
        <v>183.82810953750848</v>
      </c>
      <c r="AD60" s="5">
        <f t="shared" si="81"/>
        <v>2.6408593941669327</v>
      </c>
      <c r="AE60" s="5">
        <f t="shared" si="27"/>
        <v>860.749240022099</v>
      </c>
      <c r="AF60" s="5">
        <f t="shared" si="28"/>
        <v>4740.8366005163371</v>
      </c>
      <c r="AG60" s="5">
        <f t="shared" si="29"/>
        <v>2141.7780230885014</v>
      </c>
      <c r="AH60" s="5">
        <f t="shared" si="30"/>
        <v>68.518603499956569</v>
      </c>
      <c r="AI60" s="5">
        <f t="shared" si="31"/>
        <v>0.9744892563029236</v>
      </c>
      <c r="AJ60">
        <f t="shared" si="82"/>
        <v>2025</v>
      </c>
      <c r="AK60">
        <f t="shared" si="32"/>
        <v>7812.856956383197</v>
      </c>
      <c r="AL60">
        <f t="shared" si="33"/>
        <v>11450.168964824363</v>
      </c>
      <c r="AM60">
        <f t="shared" si="34"/>
        <v>0.40558824913284569</v>
      </c>
      <c r="AN60" s="1">
        <f t="shared" si="89"/>
        <v>36.834118791905105</v>
      </c>
      <c r="AO60">
        <v>12</v>
      </c>
      <c r="AP60" s="1">
        <f t="shared" si="90"/>
        <v>15.414999999999999</v>
      </c>
      <c r="AQ60" s="1">
        <f t="shared" si="90"/>
        <v>1</v>
      </c>
      <c r="AR60">
        <f>CHOOSE(stockcode,Esc!F75,Esc!G75,Esc!H75,Esc!I75,Esc!J75,Esc!K75,Esc!L75,Esc!M75,Esc!N74,Esc!O74,Esc!P74)</f>
        <v>0</v>
      </c>
      <c r="AS60">
        <v>0</v>
      </c>
      <c r="AT60">
        <f t="shared" si="35"/>
        <v>2025</v>
      </c>
      <c r="AU60">
        <v>10000</v>
      </c>
      <c r="AV60" s="11">
        <f t="shared" si="70"/>
        <v>608.10062625217972</v>
      </c>
      <c r="AW60" s="11">
        <f t="shared" si="65"/>
        <v>392.99879893526656</v>
      </c>
      <c r="AX60" s="11">
        <f t="shared" si="66"/>
        <v>185.85035215682387</v>
      </c>
      <c r="AY60" s="11">
        <f t="shared" si="67"/>
        <v>6.7698465883363275</v>
      </c>
      <c r="AZ60" s="11">
        <f t="shared" si="68"/>
        <v>4.6528429792232012E-2</v>
      </c>
      <c r="BA60" s="11">
        <f t="shared" si="69"/>
        <v>39.339922187899973</v>
      </c>
      <c r="BB60" s="11">
        <f t="shared" si="36"/>
        <v>44.402907960319816</v>
      </c>
      <c r="BC60" s="11">
        <f t="shared" si="37"/>
        <v>86.45810678745768</v>
      </c>
      <c r="BD60" s="11">
        <f t="shared" si="38"/>
        <v>3.2923528677216591</v>
      </c>
      <c r="BE60" s="11">
        <f t="shared" si="39"/>
        <v>2.2856553817998074E-2</v>
      </c>
      <c r="BF60" s="11">
        <f t="shared" si="40"/>
        <v>12.041199162786134</v>
      </c>
      <c r="BG60" s="11">
        <f t="shared" si="41"/>
        <v>71.238596324253407</v>
      </c>
      <c r="BH60" s="11">
        <f t="shared" si="42"/>
        <v>33.688953375659338</v>
      </c>
      <c r="BI60" s="11">
        <f t="shared" si="43"/>
        <v>1.2271649928453201</v>
      </c>
      <c r="BJ60" s="11">
        <f t="shared" si="44"/>
        <v>8.4341734289018911E-3</v>
      </c>
      <c r="BK60" s="11">
        <f t="shared" si="45"/>
        <v>2023</v>
      </c>
      <c r="BL60">
        <f t="shared" si="46"/>
        <v>0.40611168906319267</v>
      </c>
      <c r="BM60">
        <f t="shared" si="47"/>
        <v>2025</v>
      </c>
      <c r="BN60" s="11">
        <f t="shared" si="48"/>
        <v>12.041199162786134</v>
      </c>
      <c r="BO60" s="11">
        <f t="shared" si="49"/>
        <v>71.238596324253407</v>
      </c>
      <c r="BP60" s="11">
        <f t="shared" si="50"/>
        <v>33.270462475674584</v>
      </c>
      <c r="BQ60" s="11">
        <f t="shared" si="51"/>
        <v>1.0695164443787128</v>
      </c>
      <c r="BR60" s="11">
        <f t="shared" si="52"/>
        <v>6.4869451458253137E-3</v>
      </c>
      <c r="BS60" s="11">
        <f t="shared" si="53"/>
        <v>39.33992218789998</v>
      </c>
      <c r="BT60" s="11">
        <f t="shared" si="54"/>
        <v>44.402907960319816</v>
      </c>
      <c r="BU60" s="11">
        <f t="shared" si="55"/>
        <v>85.384106936022604</v>
      </c>
      <c r="BV60" s="11">
        <f t="shared" si="56"/>
        <v>2.8693986165310736</v>
      </c>
      <c r="BW60" s="11">
        <f t="shared" si="57"/>
        <v>1.7579578140031433E-2</v>
      </c>
      <c r="BX60">
        <f t="shared" si="83"/>
        <v>608.10062625217984</v>
      </c>
      <c r="BY60">
        <f t="shared" si="84"/>
        <v>392.99879893526662</v>
      </c>
      <c r="BZ60">
        <f t="shared" si="85"/>
        <v>183.54168200404948</v>
      </c>
      <c r="CA60">
        <f t="shared" si="86"/>
        <v>5.9001538459461766</v>
      </c>
      <c r="CB60">
        <f t="shared" si="87"/>
        <v>3.57862420458777E-2</v>
      </c>
      <c r="CC60">
        <f t="shared" si="58"/>
        <v>6.0810062625217987E-2</v>
      </c>
    </row>
    <row r="61" spans="1:81" x14ac:dyDescent="0.55000000000000004">
      <c r="A61">
        <v>0.6</v>
      </c>
      <c r="B61">
        <v>0</v>
      </c>
      <c r="C61">
        <v>0</v>
      </c>
      <c r="G61">
        <v>2026</v>
      </c>
      <c r="H61" s="5">
        <f t="shared" si="71"/>
        <v>16590699.920637436</v>
      </c>
      <c r="I61" s="5">
        <f t="shared" si="88"/>
        <v>414833.40469823242</v>
      </c>
      <c r="J61" s="5">
        <f t="shared" si="60"/>
        <v>38141.874218399571</v>
      </c>
      <c r="K61" s="5">
        <f t="shared" si="61"/>
        <v>28093.000783391872</v>
      </c>
      <c r="L61" s="5">
        <f t="shared" si="62"/>
        <v>12214.461944260489</v>
      </c>
      <c r="M61" s="5">
        <f t="shared" si="63"/>
        <v>379.82098533580432</v>
      </c>
      <c r="N61" s="5">
        <f t="shared" si="64"/>
        <v>2.2926466838192101</v>
      </c>
      <c r="O61" s="13">
        <f t="shared" si="91"/>
        <v>1.8781091493656543</v>
      </c>
      <c r="P61" s="3">
        <f t="shared" si="72"/>
        <v>0.87810914936565432</v>
      </c>
      <c r="Q61" s="3">
        <f t="shared" si="73"/>
        <v>3.6765202559883639</v>
      </c>
      <c r="R61" s="3">
        <f t="shared" si="74"/>
        <v>2.8</v>
      </c>
      <c r="S61" s="3">
        <f t="shared" si="22"/>
        <v>0.3</v>
      </c>
      <c r="T61" s="12">
        <f t="shared" si="75"/>
        <v>0.3</v>
      </c>
      <c r="U61" s="12">
        <f t="shared" si="76"/>
        <v>0.3</v>
      </c>
      <c r="V61" s="3">
        <f t="shared" si="23"/>
        <v>0.3</v>
      </c>
      <c r="W61" s="3">
        <f t="shared" si="24"/>
        <v>0.3</v>
      </c>
      <c r="X61" s="3">
        <f t="shared" si="25"/>
        <v>7.676520255988363</v>
      </c>
      <c r="Y61" s="17">
        <f t="shared" si="92"/>
        <v>0.2</v>
      </c>
      <c r="Z61" s="5">
        <f t="shared" si="77"/>
        <v>2467.5165574163539</v>
      </c>
      <c r="AA61" s="5">
        <f t="shared" si="78"/>
        <v>3174.083308889733</v>
      </c>
      <c r="AB61" s="5">
        <f t="shared" si="79"/>
        <v>5682.2020667311208</v>
      </c>
      <c r="AC61" s="5">
        <f t="shared" si="80"/>
        <v>184.71684608712968</v>
      </c>
      <c r="AD61" s="5">
        <f t="shared" si="81"/>
        <v>1.1262362075910237</v>
      </c>
      <c r="AE61" s="5">
        <f t="shared" si="27"/>
        <v>755.25971209117904</v>
      </c>
      <c r="AF61" s="5">
        <f t="shared" si="28"/>
        <v>5092.3970957851116</v>
      </c>
      <c r="AG61" s="5">
        <f t="shared" si="29"/>
        <v>2214.1063181937488</v>
      </c>
      <c r="AH61" s="5">
        <f t="shared" si="30"/>
        <v>68.849863977000155</v>
      </c>
      <c r="AI61" s="5">
        <f t="shared" si="31"/>
        <v>0.41558633783417054</v>
      </c>
      <c r="AJ61">
        <f t="shared" si="82"/>
        <v>2026</v>
      </c>
      <c r="AK61">
        <f t="shared" si="32"/>
        <v>8131.0285763848742</v>
      </c>
      <c r="AL61">
        <f t="shared" si="33"/>
        <v>11509.645015331927</v>
      </c>
      <c r="AM61">
        <f t="shared" si="34"/>
        <v>0.41398929310723998</v>
      </c>
      <c r="AN61" s="1">
        <f t="shared" si="89"/>
        <v>36.834118791905105</v>
      </c>
      <c r="AO61">
        <v>12</v>
      </c>
      <c r="AP61" s="1">
        <f t="shared" si="90"/>
        <v>15.414999999999999</v>
      </c>
      <c r="AQ61" s="1">
        <f t="shared" si="90"/>
        <v>1</v>
      </c>
      <c r="AR61">
        <f>CHOOSE(stockcode,Esc!F76,Esc!G76,Esc!H76,Esc!I76,Esc!J76,Esc!K76,Esc!L76,Esc!M76,Esc!N75,Esc!O75,Esc!P75)</f>
        <v>0</v>
      </c>
      <c r="AS61">
        <v>0</v>
      </c>
      <c r="AT61">
        <f t="shared" si="35"/>
        <v>2026</v>
      </c>
      <c r="AU61">
        <v>10000</v>
      </c>
      <c r="AV61" s="11">
        <f t="shared" si="70"/>
        <v>608.10062625217972</v>
      </c>
      <c r="AW61" s="11">
        <f t="shared" si="65"/>
        <v>392.99879893526656</v>
      </c>
      <c r="AX61" s="11">
        <f t="shared" si="66"/>
        <v>183.54168200404948</v>
      </c>
      <c r="AY61" s="11">
        <f t="shared" si="67"/>
        <v>5.9743686451796973</v>
      </c>
      <c r="AZ61" s="11">
        <f t="shared" si="68"/>
        <v>4.106119517376957E-2</v>
      </c>
      <c r="BA61" s="11">
        <f t="shared" si="69"/>
        <v>39.33992218789998</v>
      </c>
      <c r="BB61" s="11">
        <f t="shared" si="36"/>
        <v>44.402907960319816</v>
      </c>
      <c r="BC61" s="11">
        <f t="shared" si="37"/>
        <v>85.384106936022604</v>
      </c>
      <c r="BD61" s="11">
        <f t="shared" si="38"/>
        <v>2.9054912079798729</v>
      </c>
      <c r="BE61" s="11">
        <f t="shared" si="39"/>
        <v>2.0170837948141413E-2</v>
      </c>
      <c r="BF61" s="11">
        <f t="shared" si="40"/>
        <v>12.041199162786134</v>
      </c>
      <c r="BG61" s="11">
        <f t="shared" si="41"/>
        <v>71.238596324253407</v>
      </c>
      <c r="BH61" s="11">
        <f t="shared" si="42"/>
        <v>33.270462475674584</v>
      </c>
      <c r="BI61" s="11">
        <f t="shared" si="43"/>
        <v>1.0829693051462417</v>
      </c>
      <c r="BJ61" s="11">
        <f t="shared" si="44"/>
        <v>7.4431319268672179E-3</v>
      </c>
      <c r="BK61" s="11">
        <f t="shared" si="45"/>
        <v>2024</v>
      </c>
      <c r="BL61">
        <f t="shared" si="46"/>
        <v>0.40611168906319273</v>
      </c>
      <c r="BM61">
        <f t="shared" si="47"/>
        <v>2026</v>
      </c>
      <c r="BN61" s="11">
        <f t="shared" si="48"/>
        <v>12.041199162786132</v>
      </c>
      <c r="BO61" s="11">
        <f t="shared" si="49"/>
        <v>71.238596324253407</v>
      </c>
      <c r="BP61" s="11">
        <f t="shared" si="50"/>
        <v>33.270462475674584</v>
      </c>
      <c r="BQ61" s="11">
        <f t="shared" si="51"/>
        <v>1.0695164443787133</v>
      </c>
      <c r="BR61" s="11">
        <f t="shared" si="52"/>
        <v>6.4869451458253163E-3</v>
      </c>
      <c r="BS61" s="11">
        <f t="shared" si="53"/>
        <v>39.33992218789998</v>
      </c>
      <c r="BT61" s="11">
        <f t="shared" si="54"/>
        <v>44.402907960319816</v>
      </c>
      <c r="BU61" s="11">
        <f t="shared" si="55"/>
        <v>85.384106936022604</v>
      </c>
      <c r="BV61" s="11">
        <f t="shared" si="56"/>
        <v>2.869398616531075</v>
      </c>
      <c r="BW61" s="11">
        <f t="shared" si="57"/>
        <v>1.7579578140031436E-2</v>
      </c>
      <c r="BX61">
        <f t="shared" si="83"/>
        <v>608.10062625217984</v>
      </c>
      <c r="BY61">
        <f t="shared" si="84"/>
        <v>392.99879893526662</v>
      </c>
      <c r="BZ61">
        <f t="shared" si="85"/>
        <v>183.54168200404948</v>
      </c>
      <c r="CA61">
        <f t="shared" si="86"/>
        <v>5.9001538459461802</v>
      </c>
      <c r="CB61">
        <f t="shared" si="87"/>
        <v>3.5786242045877714E-2</v>
      </c>
      <c r="CC61">
        <f t="shared" si="58"/>
        <v>6.0810062625217987E-2</v>
      </c>
    </row>
    <row r="62" spans="1:81" x14ac:dyDescent="0.55000000000000004">
      <c r="A62" s="1">
        <v>0.7</v>
      </c>
      <c r="B62">
        <v>0</v>
      </c>
      <c r="C62">
        <v>0</v>
      </c>
      <c r="G62">
        <v>2027</v>
      </c>
      <c r="H62" s="5">
        <f t="shared" si="71"/>
        <v>16865545.558214553</v>
      </c>
      <c r="I62" s="5">
        <f t="shared" si="88"/>
        <v>406822.21183156618</v>
      </c>
      <c r="J62" s="5">
        <f t="shared" si="60"/>
        <v>25226.045318731904</v>
      </c>
      <c r="K62" s="5">
        <f t="shared" si="61"/>
        <v>24650.049859930252</v>
      </c>
      <c r="L62" s="5">
        <f t="shared" si="62"/>
        <v>13120.235049812813</v>
      </c>
      <c r="M62" s="5">
        <f t="shared" si="63"/>
        <v>392.6476200376203</v>
      </c>
      <c r="N62" s="5">
        <f t="shared" si="64"/>
        <v>2.3037307280842807</v>
      </c>
      <c r="O62" s="13">
        <f t="shared" si="91"/>
        <v>1.8781091493656543</v>
      </c>
      <c r="P62" s="3">
        <f t="shared" si="72"/>
        <v>0.87810914936565432</v>
      </c>
      <c r="Q62" s="3">
        <f t="shared" si="73"/>
        <v>3.6809552403634682</v>
      </c>
      <c r="R62" s="3">
        <f t="shared" si="74"/>
        <v>2.8</v>
      </c>
      <c r="S62" s="3">
        <f t="shared" si="22"/>
        <v>0.3</v>
      </c>
      <c r="T62" s="12">
        <f t="shared" si="75"/>
        <v>0.3</v>
      </c>
      <c r="U62" s="12">
        <f t="shared" si="76"/>
        <v>0.3</v>
      </c>
      <c r="V62" s="3">
        <f t="shared" si="23"/>
        <v>0.3</v>
      </c>
      <c r="W62" s="3">
        <f t="shared" si="24"/>
        <v>0.3</v>
      </c>
      <c r="X62" s="3">
        <f t="shared" si="25"/>
        <v>7.6809552403634669</v>
      </c>
      <c r="Y62" s="17">
        <f t="shared" si="92"/>
        <v>0.2</v>
      </c>
      <c r="Z62" s="5">
        <f t="shared" si="77"/>
        <v>1631.9513861770083</v>
      </c>
      <c r="AA62" s="5">
        <f t="shared" si="78"/>
        <v>2785.0820361618084</v>
      </c>
      <c r="AB62" s="5">
        <f t="shared" si="79"/>
        <v>6103.5702641880152</v>
      </c>
      <c r="AC62" s="5">
        <f t="shared" si="80"/>
        <v>190.95477289872082</v>
      </c>
      <c r="AD62" s="5">
        <f t="shared" si="81"/>
        <v>1.1316811163359983</v>
      </c>
      <c r="AE62" s="5">
        <f t="shared" si="27"/>
        <v>499.50916453480772</v>
      </c>
      <c r="AF62" s="5">
        <f t="shared" si="28"/>
        <v>4468.2959746997567</v>
      </c>
      <c r="AG62" s="5">
        <f t="shared" si="29"/>
        <v>2378.2951269194364</v>
      </c>
      <c r="AH62" s="5">
        <f t="shared" si="30"/>
        <v>71.17493838994217</v>
      </c>
      <c r="AI62" s="5">
        <f t="shared" si="31"/>
        <v>0.41759553419095019</v>
      </c>
      <c r="AJ62">
        <f t="shared" si="82"/>
        <v>2027</v>
      </c>
      <c r="AK62">
        <f t="shared" si="32"/>
        <v>7417.6928000781336</v>
      </c>
      <c r="AL62">
        <f t="shared" si="33"/>
        <v>10712.690140541888</v>
      </c>
      <c r="AM62">
        <f t="shared" si="34"/>
        <v>0.40913050895683195</v>
      </c>
      <c r="AN62" s="1">
        <f t="shared" si="89"/>
        <v>36.834118791905105</v>
      </c>
      <c r="AO62">
        <v>12</v>
      </c>
      <c r="AP62" s="1">
        <f t="shared" si="90"/>
        <v>15.414999999999999</v>
      </c>
      <c r="AQ62" s="1">
        <f t="shared" si="90"/>
        <v>1</v>
      </c>
      <c r="AR62">
        <f>CHOOSE(stockcode,Esc!F77,Esc!G77,Esc!H77,Esc!I77,Esc!J77,Esc!K77,Esc!L77,Esc!M77,Esc!N76,Esc!O76,Esc!P76)</f>
        <v>0</v>
      </c>
      <c r="AS62">
        <v>0</v>
      </c>
      <c r="AT62">
        <f t="shared" si="35"/>
        <v>2027</v>
      </c>
      <c r="AU62">
        <v>10000</v>
      </c>
      <c r="AV62" s="11">
        <f t="shared" si="70"/>
        <v>608.10062625217972</v>
      </c>
      <c r="AW62" s="11">
        <f t="shared" si="65"/>
        <v>392.99879893526656</v>
      </c>
      <c r="AX62" s="11">
        <f t="shared" si="66"/>
        <v>183.54168200404942</v>
      </c>
      <c r="AY62" s="11">
        <f t="shared" si="67"/>
        <v>5.9001538459461784</v>
      </c>
      <c r="AZ62" s="11">
        <f t="shared" si="68"/>
        <v>3.6236377557273172E-2</v>
      </c>
      <c r="BA62" s="11">
        <f t="shared" si="69"/>
        <v>39.33992218789998</v>
      </c>
      <c r="BB62" s="11">
        <f t="shared" si="36"/>
        <v>44.402907960319816</v>
      </c>
      <c r="BC62" s="11">
        <f t="shared" si="37"/>
        <v>85.384106936022576</v>
      </c>
      <c r="BD62" s="11">
        <f t="shared" si="38"/>
        <v>2.8693986165310745</v>
      </c>
      <c r="BE62" s="11">
        <f t="shared" si="39"/>
        <v>1.7800702011770607E-2</v>
      </c>
      <c r="BF62" s="11">
        <f t="shared" si="40"/>
        <v>12.041199162786132</v>
      </c>
      <c r="BG62" s="11">
        <f t="shared" si="41"/>
        <v>71.238596324253407</v>
      </c>
      <c r="BH62" s="11">
        <f t="shared" si="42"/>
        <v>33.270462475674577</v>
      </c>
      <c r="BI62" s="11">
        <f t="shared" si="43"/>
        <v>1.0695164443787131</v>
      </c>
      <c r="BJ62" s="11">
        <f t="shared" si="44"/>
        <v>6.5685408709888283E-3</v>
      </c>
      <c r="BK62" s="11">
        <f t="shared" si="45"/>
        <v>2025</v>
      </c>
      <c r="BL62">
        <f t="shared" si="46"/>
        <v>0.40611168906319262</v>
      </c>
      <c r="BM62">
        <f t="shared" si="47"/>
        <v>2027</v>
      </c>
      <c r="BN62" s="11">
        <f t="shared" si="48"/>
        <v>12.041199162786135</v>
      </c>
      <c r="BO62" s="11">
        <f t="shared" si="49"/>
        <v>71.238596324253407</v>
      </c>
      <c r="BP62" s="11">
        <f t="shared" si="50"/>
        <v>33.270462475674584</v>
      </c>
      <c r="BQ62" s="11">
        <f t="shared" si="51"/>
        <v>1.0695164443787128</v>
      </c>
      <c r="BR62" s="11">
        <f t="shared" si="52"/>
        <v>6.4869451458253137E-3</v>
      </c>
      <c r="BS62" s="11">
        <f t="shared" si="53"/>
        <v>39.339922187899973</v>
      </c>
      <c r="BT62" s="11">
        <f t="shared" si="54"/>
        <v>44.402907960319808</v>
      </c>
      <c r="BU62" s="11">
        <f t="shared" si="55"/>
        <v>85.38410693602259</v>
      </c>
      <c r="BV62" s="11">
        <f t="shared" si="56"/>
        <v>2.8693986165310741</v>
      </c>
      <c r="BW62" s="11">
        <f t="shared" si="57"/>
        <v>1.7579578140031429E-2</v>
      </c>
      <c r="BX62">
        <f t="shared" si="83"/>
        <v>608.10062625217972</v>
      </c>
      <c r="BY62">
        <f t="shared" si="84"/>
        <v>392.99879893526656</v>
      </c>
      <c r="BZ62">
        <f t="shared" si="85"/>
        <v>183.54168200404945</v>
      </c>
      <c r="CA62">
        <f t="shared" si="86"/>
        <v>5.9001538459461775</v>
      </c>
      <c r="CB62">
        <f t="shared" si="87"/>
        <v>3.5786242045877693E-2</v>
      </c>
      <c r="CC62">
        <f t="shared" si="58"/>
        <v>6.0810062625217973E-2</v>
      </c>
    </row>
    <row r="63" spans="1:81" x14ac:dyDescent="0.55000000000000004">
      <c r="A63">
        <v>0.8</v>
      </c>
      <c r="B63">
        <v>0</v>
      </c>
      <c r="C63">
        <v>0</v>
      </c>
      <c r="G63">
        <v>2028</v>
      </c>
      <c r="H63" s="5">
        <f t="shared" si="71"/>
        <v>13990357.736137617</v>
      </c>
      <c r="I63" s="5">
        <f t="shared" si="88"/>
        <v>419925.50043003692</v>
      </c>
      <c r="J63" s="5">
        <f t="shared" si="60"/>
        <v>24738.884178807231</v>
      </c>
      <c r="K63" s="5">
        <f t="shared" si="61"/>
        <v>16302.90298046327</v>
      </c>
      <c r="L63" s="5">
        <f t="shared" si="62"/>
        <v>11512.278472689457</v>
      </c>
      <c r="M63" s="5">
        <f t="shared" si="63"/>
        <v>421.76471547843278</v>
      </c>
      <c r="N63" s="5">
        <f t="shared" si="64"/>
        <v>2.3815282001601346</v>
      </c>
      <c r="O63" s="13">
        <f t="shared" si="91"/>
        <v>1.8781091493656543</v>
      </c>
      <c r="P63" s="3">
        <f t="shared" si="72"/>
        <v>0.87810914936565432</v>
      </c>
      <c r="Q63" s="3">
        <f t="shared" si="73"/>
        <v>3.6345604233352278</v>
      </c>
      <c r="R63" s="3">
        <f t="shared" si="74"/>
        <v>2.8</v>
      </c>
      <c r="S63" s="3">
        <f t="shared" si="22"/>
        <v>0.3</v>
      </c>
      <c r="T63" s="12">
        <f t="shared" si="75"/>
        <v>0.3</v>
      </c>
      <c r="U63" s="12">
        <f t="shared" si="76"/>
        <v>0.3</v>
      </c>
      <c r="V63" s="3">
        <f t="shared" si="23"/>
        <v>0.3</v>
      </c>
      <c r="W63" s="3">
        <f t="shared" si="24"/>
        <v>0.3</v>
      </c>
      <c r="X63" s="3">
        <f t="shared" si="25"/>
        <v>7.6345604233352269</v>
      </c>
      <c r="Y63" s="17">
        <f t="shared" si="92"/>
        <v>0.2</v>
      </c>
      <c r="Z63" s="5">
        <f t="shared" si="77"/>
        <v>1600.4354157763173</v>
      </c>
      <c r="AA63" s="5">
        <f t="shared" si="78"/>
        <v>1841.9809487681714</v>
      </c>
      <c r="AB63" s="5">
        <f t="shared" si="79"/>
        <v>5355.544339882973</v>
      </c>
      <c r="AC63" s="5">
        <f t="shared" si="80"/>
        <v>205.11517541647453</v>
      </c>
      <c r="AD63" s="5">
        <f t="shared" si="81"/>
        <v>1.1698982260761346</v>
      </c>
      <c r="AE63" s="5">
        <f t="shared" si="27"/>
        <v>489.86272765090581</v>
      </c>
      <c r="AF63" s="5">
        <f t="shared" si="28"/>
        <v>2955.2149459113025</v>
      </c>
      <c r="AG63" s="5">
        <f t="shared" si="29"/>
        <v>2086.8220491009797</v>
      </c>
      <c r="AH63" s="5">
        <f t="shared" si="30"/>
        <v>76.452972353054776</v>
      </c>
      <c r="AI63" s="5">
        <f t="shared" si="31"/>
        <v>0.43169782336657697</v>
      </c>
      <c r="AJ63">
        <f t="shared" si="82"/>
        <v>2028</v>
      </c>
      <c r="AK63">
        <f t="shared" si="32"/>
        <v>5608.7843928396096</v>
      </c>
      <c r="AL63">
        <f t="shared" si="33"/>
        <v>9004.2457780700133</v>
      </c>
      <c r="AM63">
        <f t="shared" si="34"/>
        <v>0.38382076319838854</v>
      </c>
      <c r="AN63" s="1">
        <f t="shared" si="89"/>
        <v>36.834118791905105</v>
      </c>
      <c r="AO63">
        <v>12</v>
      </c>
      <c r="AP63" s="1">
        <f t="shared" si="90"/>
        <v>15.414999999999999</v>
      </c>
      <c r="AQ63" s="1">
        <f t="shared" si="90"/>
        <v>1</v>
      </c>
      <c r="AR63">
        <f>CHOOSE(stockcode,Esc!F78,Esc!G78,Esc!H78,Esc!I78,Esc!J78,Esc!K78,Esc!L78,Esc!M78,Esc!N77,Esc!O77,Esc!P77)</f>
        <v>0</v>
      </c>
      <c r="AS63">
        <v>0</v>
      </c>
      <c r="AT63">
        <f t="shared" si="35"/>
        <v>2028</v>
      </c>
      <c r="AU63">
        <v>10000</v>
      </c>
      <c r="AV63" s="11">
        <f t="shared" si="70"/>
        <v>608.10062625217972</v>
      </c>
      <c r="AW63" s="11">
        <f t="shared" si="65"/>
        <v>392.99879893526662</v>
      </c>
      <c r="AX63" s="11">
        <f t="shared" si="66"/>
        <v>183.54168200404945</v>
      </c>
      <c r="AY63" s="11">
        <f t="shared" si="67"/>
        <v>5.9001538459461758</v>
      </c>
      <c r="AZ63" s="11">
        <f t="shared" si="68"/>
        <v>3.57862420458777E-2</v>
      </c>
      <c r="BA63" s="11">
        <f t="shared" si="69"/>
        <v>39.339922187899973</v>
      </c>
      <c r="BB63" s="11">
        <f t="shared" si="36"/>
        <v>44.402907960319816</v>
      </c>
      <c r="BC63" s="11">
        <f t="shared" si="37"/>
        <v>85.384106936022604</v>
      </c>
      <c r="BD63" s="11">
        <f t="shared" si="38"/>
        <v>2.8693986165310728</v>
      </c>
      <c r="BE63" s="11">
        <f t="shared" si="39"/>
        <v>1.7579578140031433E-2</v>
      </c>
      <c r="BF63" s="11">
        <f t="shared" si="40"/>
        <v>12.041199162786135</v>
      </c>
      <c r="BG63" s="11">
        <f t="shared" si="41"/>
        <v>71.238596324253407</v>
      </c>
      <c r="BH63" s="11">
        <f t="shared" si="42"/>
        <v>33.270462475674584</v>
      </c>
      <c r="BI63" s="11">
        <f t="shared" si="43"/>
        <v>1.0695164443787126</v>
      </c>
      <c r="BJ63" s="11">
        <f t="shared" si="44"/>
        <v>6.4869451458253137E-3</v>
      </c>
      <c r="BK63" s="11">
        <f t="shared" si="45"/>
        <v>2026</v>
      </c>
      <c r="BL63">
        <f t="shared" si="46"/>
        <v>0.40611168906319267</v>
      </c>
      <c r="BM63">
        <f t="shared" si="47"/>
        <v>2028</v>
      </c>
      <c r="BN63" s="11">
        <f t="shared" si="48"/>
        <v>12.041199162786134</v>
      </c>
      <c r="BO63" s="11">
        <f t="shared" si="49"/>
        <v>71.238596324253422</v>
      </c>
      <c r="BP63" s="11">
        <f t="shared" si="50"/>
        <v>33.270462475674584</v>
      </c>
      <c r="BQ63" s="11">
        <f t="shared" si="51"/>
        <v>1.0695164443787128</v>
      </c>
      <c r="BR63" s="11">
        <f t="shared" si="52"/>
        <v>6.4869451458253119E-3</v>
      </c>
      <c r="BS63" s="11">
        <f t="shared" si="53"/>
        <v>39.339922187899973</v>
      </c>
      <c r="BT63" s="11">
        <f t="shared" si="54"/>
        <v>44.402907960319823</v>
      </c>
      <c r="BU63" s="11">
        <f t="shared" si="55"/>
        <v>85.38410693602259</v>
      </c>
      <c r="BV63" s="11">
        <f t="shared" si="56"/>
        <v>2.8693986165310741</v>
      </c>
      <c r="BW63" s="11">
        <f t="shared" si="57"/>
        <v>1.7579578140031426E-2</v>
      </c>
      <c r="BX63">
        <f t="shared" si="83"/>
        <v>608.10062625217972</v>
      </c>
      <c r="BY63">
        <f t="shared" si="84"/>
        <v>392.99879893526656</v>
      </c>
      <c r="BZ63">
        <f t="shared" si="85"/>
        <v>183.54168200404945</v>
      </c>
      <c r="CA63">
        <f t="shared" si="86"/>
        <v>5.9001538459461775</v>
      </c>
      <c r="CB63">
        <f t="shared" si="87"/>
        <v>3.5786242045877693E-2</v>
      </c>
      <c r="CC63">
        <f t="shared" si="58"/>
        <v>6.0810062625217973E-2</v>
      </c>
    </row>
    <row r="64" spans="1:81" x14ac:dyDescent="0.55000000000000004">
      <c r="A64" s="1">
        <v>0.9</v>
      </c>
      <c r="B64">
        <v>0</v>
      </c>
      <c r="C64">
        <v>0</v>
      </c>
      <c r="G64">
        <v>2029</v>
      </c>
      <c r="H64" s="5">
        <f t="shared" si="71"/>
        <v>10247362.272135172</v>
      </c>
      <c r="I64" s="5">
        <f t="shared" si="88"/>
        <v>424993.06670423975</v>
      </c>
      <c r="J64" s="5">
        <f t="shared" si="60"/>
        <v>25535.695979076543</v>
      </c>
      <c r="K64" s="5">
        <f t="shared" si="61"/>
        <v>15988.064062999409</v>
      </c>
      <c r="L64" s="5">
        <f t="shared" si="62"/>
        <v>7613.9220849780122</v>
      </c>
      <c r="M64" s="5">
        <f t="shared" si="63"/>
        <v>370.07514241230223</v>
      </c>
      <c r="N64" s="5">
        <f t="shared" si="64"/>
        <v>2.5581323112264518</v>
      </c>
      <c r="O64" s="13">
        <f t="shared" si="91"/>
        <v>1.8781091493656543</v>
      </c>
      <c r="P64" s="3">
        <f t="shared" si="72"/>
        <v>0.87810914936565432</v>
      </c>
      <c r="Q64" s="3">
        <f t="shared" si="73"/>
        <v>3.5741624248613459</v>
      </c>
      <c r="R64" s="3">
        <f t="shared" si="74"/>
        <v>2.8</v>
      </c>
      <c r="S64" s="3">
        <f t="shared" si="22"/>
        <v>0.3</v>
      </c>
      <c r="T64" s="12">
        <f t="shared" si="75"/>
        <v>0.3</v>
      </c>
      <c r="U64" s="12">
        <f t="shared" si="76"/>
        <v>0.3</v>
      </c>
      <c r="V64" s="3">
        <f t="shared" si="23"/>
        <v>0.3</v>
      </c>
      <c r="W64" s="3">
        <f t="shared" si="24"/>
        <v>0.3</v>
      </c>
      <c r="X64" s="3">
        <f t="shared" si="25"/>
        <v>7.5741624248613455</v>
      </c>
      <c r="Y64" s="17">
        <f t="shared" si="92"/>
        <v>0.2</v>
      </c>
      <c r="Z64" s="5">
        <f t="shared" si="77"/>
        <v>1651.9836511632611</v>
      </c>
      <c r="AA64" s="5">
        <f t="shared" si="78"/>
        <v>1806.4089228170762</v>
      </c>
      <c r="AB64" s="5">
        <f t="shared" si="79"/>
        <v>3542.0179787388211</v>
      </c>
      <c r="AC64" s="5">
        <f t="shared" si="80"/>
        <v>179.97718862534333</v>
      </c>
      <c r="AD64" s="5">
        <f t="shared" si="81"/>
        <v>1.2566529561861306</v>
      </c>
      <c r="AE64" s="5">
        <f t="shared" si="27"/>
        <v>505.6406584210709</v>
      </c>
      <c r="AF64" s="5">
        <f t="shared" si="28"/>
        <v>2898.1443324408851</v>
      </c>
      <c r="AG64" s="5">
        <f t="shared" si="29"/>
        <v>1380.1699224668869</v>
      </c>
      <c r="AH64" s="5">
        <f t="shared" si="30"/>
        <v>67.08324236963665</v>
      </c>
      <c r="AI64" s="5">
        <f t="shared" si="31"/>
        <v>0.46371071758290072</v>
      </c>
      <c r="AJ64">
        <f t="shared" si="82"/>
        <v>2029</v>
      </c>
      <c r="AK64">
        <f t="shared" si="32"/>
        <v>4851.5018664160625</v>
      </c>
      <c r="AL64">
        <f t="shared" si="33"/>
        <v>7181.644394300688</v>
      </c>
      <c r="AM64">
        <f t="shared" si="34"/>
        <v>0.40317816814495233</v>
      </c>
      <c r="AN64" s="1">
        <f t="shared" si="89"/>
        <v>36.834118791905105</v>
      </c>
      <c r="AO64">
        <v>12</v>
      </c>
      <c r="AP64" s="1">
        <f t="shared" si="90"/>
        <v>15.414999999999999</v>
      </c>
      <c r="AQ64" s="1">
        <f t="shared" si="90"/>
        <v>1</v>
      </c>
      <c r="AR64">
        <f>CHOOSE(stockcode,Esc!F79,Esc!G79,Esc!H79,Esc!I79,Esc!J79,Esc!K79,Esc!L79,Esc!M79,Esc!N78,Esc!O78,Esc!P78)</f>
        <v>0</v>
      </c>
      <c r="AS64">
        <v>0</v>
      </c>
      <c r="AT64">
        <f t="shared" si="35"/>
        <v>2029</v>
      </c>
      <c r="AU64">
        <v>10000</v>
      </c>
      <c r="AV64" s="11">
        <f t="shared" si="70"/>
        <v>608.10062625217972</v>
      </c>
      <c r="AW64" s="11">
        <f t="shared" si="65"/>
        <v>392.99879893526656</v>
      </c>
      <c r="AX64" s="11">
        <f t="shared" si="66"/>
        <v>183.54168200404948</v>
      </c>
      <c r="AY64" s="11">
        <f t="shared" si="67"/>
        <v>5.9001538459461775</v>
      </c>
      <c r="AZ64" s="11">
        <f t="shared" si="68"/>
        <v>3.5786242045877679E-2</v>
      </c>
      <c r="BA64" s="11">
        <f t="shared" si="69"/>
        <v>39.339922187899973</v>
      </c>
      <c r="BB64" s="11">
        <f t="shared" si="36"/>
        <v>44.402907960319808</v>
      </c>
      <c r="BC64" s="11">
        <f t="shared" si="37"/>
        <v>85.384106936022604</v>
      </c>
      <c r="BD64" s="11">
        <f t="shared" si="38"/>
        <v>2.8693986165310736</v>
      </c>
      <c r="BE64" s="11">
        <f t="shared" si="39"/>
        <v>1.7579578140031419E-2</v>
      </c>
      <c r="BF64" s="11">
        <f t="shared" si="40"/>
        <v>12.041199162786134</v>
      </c>
      <c r="BG64" s="11">
        <f t="shared" si="41"/>
        <v>71.238596324253407</v>
      </c>
      <c r="BH64" s="11">
        <f t="shared" si="42"/>
        <v>33.270462475674584</v>
      </c>
      <c r="BI64" s="11">
        <f t="shared" si="43"/>
        <v>1.0695164443787128</v>
      </c>
      <c r="BJ64" s="11">
        <f t="shared" si="44"/>
        <v>6.4869451458253093E-3</v>
      </c>
      <c r="BK64" s="11">
        <f t="shared" si="45"/>
        <v>2027</v>
      </c>
      <c r="BL64">
        <f t="shared" si="46"/>
        <v>0.40611168906319267</v>
      </c>
      <c r="BM64">
        <f t="shared" si="47"/>
        <v>2029</v>
      </c>
      <c r="BN64" s="11">
        <f t="shared" si="48"/>
        <v>12.041199162786134</v>
      </c>
      <c r="BO64" s="11">
        <f t="shared" si="49"/>
        <v>71.238596324253407</v>
      </c>
      <c r="BP64" s="11">
        <f t="shared" si="50"/>
        <v>33.270462475674584</v>
      </c>
      <c r="BQ64" s="11">
        <f t="shared" si="51"/>
        <v>1.0695164443787128</v>
      </c>
      <c r="BR64" s="11">
        <f t="shared" si="52"/>
        <v>6.4869451458253128E-3</v>
      </c>
      <c r="BS64" s="11">
        <f t="shared" si="53"/>
        <v>39.339922187899973</v>
      </c>
      <c r="BT64" s="11">
        <f t="shared" si="54"/>
        <v>44.402907960319816</v>
      </c>
      <c r="BU64" s="11">
        <f t="shared" si="55"/>
        <v>85.384106936022604</v>
      </c>
      <c r="BV64" s="11">
        <f t="shared" si="56"/>
        <v>2.8693986165310741</v>
      </c>
      <c r="BW64" s="11">
        <f t="shared" si="57"/>
        <v>1.7579578140031429E-2</v>
      </c>
      <c r="BX64">
        <f t="shared" si="83"/>
        <v>608.10062625217984</v>
      </c>
      <c r="BY64">
        <f t="shared" si="84"/>
        <v>392.99879893526662</v>
      </c>
      <c r="BZ64">
        <f t="shared" si="85"/>
        <v>183.54168200404948</v>
      </c>
      <c r="CA64">
        <f t="shared" si="86"/>
        <v>5.9001538459461775</v>
      </c>
      <c r="CB64">
        <f t="shared" si="87"/>
        <v>3.5786242045877693E-2</v>
      </c>
      <c r="CC64">
        <f t="shared" si="58"/>
        <v>6.0810062625217987E-2</v>
      </c>
    </row>
    <row r="65" spans="1:81" x14ac:dyDescent="0.55000000000000004">
      <c r="A65">
        <v>1</v>
      </c>
      <c r="B65">
        <v>0</v>
      </c>
      <c r="C65">
        <v>0</v>
      </c>
      <c r="G65">
        <v>2030</v>
      </c>
      <c r="H65" s="5">
        <f t="shared" si="71"/>
        <v>10045005.778832428</v>
      </c>
      <c r="I65" s="5">
        <f t="shared" si="88"/>
        <v>369282.97307189449</v>
      </c>
      <c r="J65" s="5">
        <f t="shared" si="60"/>
        <v>25843.855001568259</v>
      </c>
      <c r="K65" s="5">
        <f t="shared" si="61"/>
        <v>16503.021731129531</v>
      </c>
      <c r="L65" s="5">
        <f t="shared" si="62"/>
        <v>7466.8833036173364</v>
      </c>
      <c r="M65" s="5">
        <f t="shared" si="63"/>
        <v>244.75809081572231</v>
      </c>
      <c r="N65" s="5">
        <f t="shared" si="64"/>
        <v>2.2446192027058065</v>
      </c>
      <c r="O65" s="13">
        <f t="shared" si="91"/>
        <v>1.8781091493656543</v>
      </c>
      <c r="P65" s="3">
        <f t="shared" si="72"/>
        <v>0.87810914936565432</v>
      </c>
      <c r="Q65" s="3">
        <f t="shared" si="73"/>
        <v>3.5708971451432108</v>
      </c>
      <c r="R65" s="3">
        <f t="shared" si="74"/>
        <v>2.8</v>
      </c>
      <c r="S65" s="3">
        <f t="shared" si="22"/>
        <v>0.3</v>
      </c>
      <c r="T65" s="12">
        <f t="shared" si="75"/>
        <v>0.3</v>
      </c>
      <c r="U65" s="12">
        <f t="shared" si="76"/>
        <v>0.3</v>
      </c>
      <c r="V65" s="3">
        <f t="shared" si="23"/>
        <v>0.3</v>
      </c>
      <c r="W65" s="3">
        <f t="shared" si="24"/>
        <v>0.3</v>
      </c>
      <c r="X65" s="3">
        <f t="shared" si="25"/>
        <v>7.5708971451432099</v>
      </c>
      <c r="Y65" s="17">
        <f t="shared" si="92"/>
        <v>0.2</v>
      </c>
      <c r="Z65" s="5">
        <f t="shared" si="77"/>
        <v>1671.9194174541776</v>
      </c>
      <c r="AA65" s="5">
        <f t="shared" si="78"/>
        <v>1864.5913345786171</v>
      </c>
      <c r="AB65" s="5">
        <f t="shared" si="79"/>
        <v>3473.6151238975681</v>
      </c>
      <c r="AC65" s="5">
        <f t="shared" si="80"/>
        <v>119.03223975319833</v>
      </c>
      <c r="AD65" s="5">
        <f t="shared" si="81"/>
        <v>1.1026432621227744</v>
      </c>
      <c r="AE65" s="5">
        <f t="shared" si="27"/>
        <v>511.74261589890034</v>
      </c>
      <c r="AF65" s="5">
        <f t="shared" si="28"/>
        <v>2991.4903211395508</v>
      </c>
      <c r="AG65" s="5">
        <f t="shared" si="29"/>
        <v>1353.5163133013059</v>
      </c>
      <c r="AH65" s="5">
        <f t="shared" si="30"/>
        <v>44.367114800236919</v>
      </c>
      <c r="AI65" s="5">
        <f t="shared" si="31"/>
        <v>0.40688043250118239</v>
      </c>
      <c r="AJ65">
        <f t="shared" si="82"/>
        <v>2030</v>
      </c>
      <c r="AK65">
        <f t="shared" si="32"/>
        <v>4901.5232455724954</v>
      </c>
      <c r="AL65">
        <f t="shared" si="33"/>
        <v>7130.2607589456838</v>
      </c>
      <c r="AM65">
        <f t="shared" si="34"/>
        <v>0.40738125316510615</v>
      </c>
      <c r="AN65" s="1">
        <f t="shared" si="89"/>
        <v>36.834118791905105</v>
      </c>
      <c r="AO65">
        <v>12</v>
      </c>
      <c r="AP65" s="1">
        <f t="shared" si="90"/>
        <v>15.414999999999999</v>
      </c>
      <c r="AQ65" s="1">
        <f t="shared" si="90"/>
        <v>1</v>
      </c>
      <c r="AR65">
        <f>CHOOSE(stockcode,Esc!F80,Esc!G80,Esc!H80,Esc!I80,Esc!J80,Esc!K80,Esc!L80,Esc!M80,Esc!N79,Esc!O79,Esc!P79)</f>
        <v>0</v>
      </c>
      <c r="AS65">
        <v>0</v>
      </c>
      <c r="AT65">
        <f t="shared" si="35"/>
        <v>2030</v>
      </c>
      <c r="AU65">
        <v>10000</v>
      </c>
      <c r="AV65" s="11">
        <f t="shared" si="70"/>
        <v>608.10062625217972</v>
      </c>
      <c r="AW65" s="11">
        <f t="shared" si="65"/>
        <v>392.99879893526662</v>
      </c>
      <c r="AX65" s="11">
        <f t="shared" si="66"/>
        <v>183.54168200404945</v>
      </c>
      <c r="AY65" s="11">
        <f t="shared" si="67"/>
        <v>5.9001538459461793</v>
      </c>
      <c r="AZ65" s="11">
        <f t="shared" si="68"/>
        <v>3.57862420458777E-2</v>
      </c>
      <c r="BA65" s="11">
        <f t="shared" si="69"/>
        <v>39.339922187899973</v>
      </c>
      <c r="BB65" s="11">
        <f t="shared" si="36"/>
        <v>44.402907960319823</v>
      </c>
      <c r="BC65" s="11">
        <f t="shared" si="37"/>
        <v>85.38410693602259</v>
      </c>
      <c r="BD65" s="11">
        <f t="shared" si="38"/>
        <v>2.869398616531075</v>
      </c>
      <c r="BE65" s="11">
        <f t="shared" si="39"/>
        <v>1.7579578140031433E-2</v>
      </c>
      <c r="BF65" s="11">
        <f t="shared" si="40"/>
        <v>12.041199162786134</v>
      </c>
      <c r="BG65" s="11">
        <f t="shared" si="41"/>
        <v>71.238596324253422</v>
      </c>
      <c r="BH65" s="11">
        <f t="shared" si="42"/>
        <v>33.270462475674584</v>
      </c>
      <c r="BI65" s="11">
        <f t="shared" si="43"/>
        <v>1.0695164443787133</v>
      </c>
      <c r="BJ65" s="11">
        <f t="shared" si="44"/>
        <v>6.4869451458253137E-3</v>
      </c>
      <c r="BK65" s="11">
        <f t="shared" si="45"/>
        <v>2028</v>
      </c>
      <c r="BL65">
        <f t="shared" si="46"/>
        <v>0.40611168906319267</v>
      </c>
      <c r="BM65">
        <f t="shared" si="47"/>
        <v>2030</v>
      </c>
      <c r="BN65" s="11">
        <f t="shared" si="48"/>
        <v>12.041199162786134</v>
      </c>
      <c r="BO65" s="11">
        <f t="shared" si="49"/>
        <v>71.238596324253407</v>
      </c>
      <c r="BP65" s="11">
        <f t="shared" si="50"/>
        <v>33.270462475674584</v>
      </c>
      <c r="BQ65" s="11">
        <f t="shared" si="51"/>
        <v>1.0695164443787128</v>
      </c>
      <c r="BR65" s="11">
        <f t="shared" si="52"/>
        <v>6.4869451458253128E-3</v>
      </c>
      <c r="BS65" s="11">
        <f t="shared" si="53"/>
        <v>39.33992218789998</v>
      </c>
      <c r="BT65" s="11">
        <f t="shared" si="54"/>
        <v>44.402907960319808</v>
      </c>
      <c r="BU65" s="11">
        <f t="shared" si="55"/>
        <v>85.38410693602259</v>
      </c>
      <c r="BV65" s="11">
        <f t="shared" si="56"/>
        <v>2.8693986165310732</v>
      </c>
      <c r="BW65" s="11">
        <f t="shared" si="57"/>
        <v>1.7579578140031429E-2</v>
      </c>
      <c r="BX65">
        <f t="shared" si="83"/>
        <v>608.10062625217984</v>
      </c>
      <c r="BY65">
        <f t="shared" si="84"/>
        <v>392.99879893526656</v>
      </c>
      <c r="BZ65">
        <f t="shared" si="85"/>
        <v>183.54168200404945</v>
      </c>
      <c r="CA65">
        <f t="shared" si="86"/>
        <v>5.9001538459461758</v>
      </c>
      <c r="CB65">
        <f t="shared" si="87"/>
        <v>3.5786242045877693E-2</v>
      </c>
      <c r="CC65">
        <f t="shared" si="58"/>
        <v>6.0810062625217987E-2</v>
      </c>
    </row>
    <row r="66" spans="1:81" x14ac:dyDescent="0.55000000000000004">
      <c r="A66" s="1">
        <v>1.1000000000000001</v>
      </c>
      <c r="B66">
        <v>0</v>
      </c>
      <c r="C66">
        <v>0</v>
      </c>
      <c r="G66">
        <v>2031</v>
      </c>
      <c r="H66" s="5">
        <f t="shared" si="71"/>
        <v>10295653.522299379</v>
      </c>
      <c r="I66" s="5">
        <f t="shared" si="88"/>
        <v>287324.77244703972</v>
      </c>
      <c r="J66" s="5">
        <f t="shared" si="60"/>
        <v>22456.120718928585</v>
      </c>
      <c r="K66" s="5">
        <f t="shared" si="61"/>
        <v>16702.176477058187</v>
      </c>
      <c r="L66" s="5">
        <f t="shared" si="62"/>
        <v>7707.3832665321179</v>
      </c>
      <c r="M66" s="5">
        <f t="shared" si="63"/>
        <v>240.03136377543456</v>
      </c>
      <c r="N66" s="5">
        <f t="shared" si="64"/>
        <v>1.4845328629246484</v>
      </c>
      <c r="O66" s="13">
        <f t="shared" si="91"/>
        <v>1.8781091493656543</v>
      </c>
      <c r="P66" s="3">
        <f t="shared" si="72"/>
        <v>0.87810914936565432</v>
      </c>
      <c r="Q66" s="3">
        <f t="shared" si="73"/>
        <v>3.5749416656811039</v>
      </c>
      <c r="R66" s="3">
        <f t="shared" si="74"/>
        <v>2.8</v>
      </c>
      <c r="S66" s="3">
        <f t="shared" si="22"/>
        <v>0.3</v>
      </c>
      <c r="T66" s="12">
        <f t="shared" si="75"/>
        <v>0.3</v>
      </c>
      <c r="U66" s="12">
        <f t="shared" si="76"/>
        <v>0.3</v>
      </c>
      <c r="V66" s="3">
        <f t="shared" si="23"/>
        <v>0.3</v>
      </c>
      <c r="W66" s="3">
        <f t="shared" si="24"/>
        <v>0.3</v>
      </c>
      <c r="X66" s="3">
        <f t="shared" si="25"/>
        <v>7.5749416656811031</v>
      </c>
      <c r="Y66" s="17">
        <f t="shared" si="92"/>
        <v>0.2</v>
      </c>
      <c r="Z66" s="5">
        <f t="shared" si="77"/>
        <v>1452.756342596469</v>
      </c>
      <c r="AA66" s="5">
        <f t="shared" si="78"/>
        <v>1887.0928024642421</v>
      </c>
      <c r="AB66" s="5">
        <f t="shared" si="79"/>
        <v>3585.4963833881084</v>
      </c>
      <c r="AC66" s="5">
        <f t="shared" si="80"/>
        <v>116.73350918036074</v>
      </c>
      <c r="AD66" s="5">
        <f t="shared" si="81"/>
        <v>0.72925962529878574</v>
      </c>
      <c r="AE66" s="5">
        <f t="shared" si="27"/>
        <v>444.66098261844701</v>
      </c>
      <c r="AF66" s="5">
        <f t="shared" si="28"/>
        <v>3027.5909519549841</v>
      </c>
      <c r="AG66" s="5">
        <f t="shared" si="29"/>
        <v>1397.1115604636416</v>
      </c>
      <c r="AH66" s="5">
        <f t="shared" si="30"/>
        <v>43.510304549238015</v>
      </c>
      <c r="AI66" s="5">
        <f t="shared" si="31"/>
        <v>0.26910015409333865</v>
      </c>
      <c r="AJ66">
        <f t="shared" si="82"/>
        <v>2031</v>
      </c>
      <c r="AK66">
        <f t="shared" si="32"/>
        <v>4913.1428997404037</v>
      </c>
      <c r="AL66">
        <f t="shared" si="33"/>
        <v>7042.8082972544789</v>
      </c>
      <c r="AM66">
        <f t="shared" si="34"/>
        <v>0.41093701528116955</v>
      </c>
      <c r="AN66" s="1">
        <f t="shared" si="89"/>
        <v>36.834118791905105</v>
      </c>
      <c r="AO66">
        <v>12</v>
      </c>
      <c r="AP66" s="1">
        <f t="shared" si="90"/>
        <v>15.414999999999999</v>
      </c>
      <c r="AQ66" s="1">
        <f t="shared" si="90"/>
        <v>1</v>
      </c>
      <c r="AR66">
        <f>CHOOSE(stockcode,Esc!F81,Esc!G81,Esc!H81,Esc!I81,Esc!J81,Esc!K81,Esc!L81,Esc!M81,Esc!N80,Esc!O80,Esc!P80)</f>
        <v>0</v>
      </c>
      <c r="AS66">
        <v>0</v>
      </c>
      <c r="AT66">
        <f t="shared" si="35"/>
        <v>2031</v>
      </c>
      <c r="AU66">
        <v>10000</v>
      </c>
      <c r="AV66" s="11">
        <f t="shared" si="70"/>
        <v>608.10062625217972</v>
      </c>
      <c r="AW66" s="11">
        <f t="shared" si="65"/>
        <v>392.99879893526656</v>
      </c>
      <c r="AX66" s="11">
        <f t="shared" si="66"/>
        <v>183.54168200404945</v>
      </c>
      <c r="AY66" s="11">
        <f t="shared" si="67"/>
        <v>5.9001538459461775</v>
      </c>
      <c r="AZ66" s="11">
        <f t="shared" si="68"/>
        <v>3.5786242045877714E-2</v>
      </c>
      <c r="BA66" s="11">
        <f t="shared" si="69"/>
        <v>39.33992218789998</v>
      </c>
      <c r="BB66" s="11">
        <f t="shared" si="36"/>
        <v>44.402907960319816</v>
      </c>
      <c r="BC66" s="11">
        <f t="shared" si="37"/>
        <v>85.38410693602259</v>
      </c>
      <c r="BD66" s="11">
        <f t="shared" si="38"/>
        <v>2.8693986165310741</v>
      </c>
      <c r="BE66" s="11">
        <f t="shared" si="39"/>
        <v>1.7579578140031436E-2</v>
      </c>
      <c r="BF66" s="11">
        <f t="shared" si="40"/>
        <v>12.041199162786134</v>
      </c>
      <c r="BG66" s="11">
        <f t="shared" si="41"/>
        <v>71.238596324253407</v>
      </c>
      <c r="BH66" s="11">
        <f t="shared" si="42"/>
        <v>33.270462475674584</v>
      </c>
      <c r="BI66" s="11">
        <f t="shared" si="43"/>
        <v>1.0695164443787128</v>
      </c>
      <c r="BJ66" s="11">
        <f t="shared" si="44"/>
        <v>6.4869451458253163E-3</v>
      </c>
      <c r="BK66" s="11">
        <f t="shared" si="45"/>
        <v>2029</v>
      </c>
      <c r="BL66">
        <f t="shared" si="46"/>
        <v>0.40611168906319262</v>
      </c>
      <c r="BM66">
        <f t="shared" si="47"/>
        <v>2031</v>
      </c>
      <c r="BN66" s="11">
        <f t="shared" si="48"/>
        <v>12.041199162786135</v>
      </c>
      <c r="BO66" s="11">
        <f t="shared" si="49"/>
        <v>71.238596324253422</v>
      </c>
      <c r="BP66" s="11">
        <f t="shared" si="50"/>
        <v>33.270462475674591</v>
      </c>
      <c r="BQ66" s="11">
        <f t="shared" si="51"/>
        <v>1.0695164443787131</v>
      </c>
      <c r="BR66" s="11">
        <f t="shared" si="52"/>
        <v>6.4869451458253154E-3</v>
      </c>
      <c r="BS66" s="11">
        <f t="shared" si="53"/>
        <v>39.339922187899987</v>
      </c>
      <c r="BT66" s="11">
        <f t="shared" si="54"/>
        <v>44.40290796031983</v>
      </c>
      <c r="BU66" s="11">
        <f t="shared" si="55"/>
        <v>85.384106936022633</v>
      </c>
      <c r="BV66" s="11">
        <f t="shared" si="56"/>
        <v>2.869398616531075</v>
      </c>
      <c r="BW66" s="11">
        <f t="shared" si="57"/>
        <v>1.7579578140031436E-2</v>
      </c>
      <c r="BX66">
        <f t="shared" si="83"/>
        <v>608.10062625218006</v>
      </c>
      <c r="BY66">
        <f t="shared" si="84"/>
        <v>392.99879893526668</v>
      </c>
      <c r="BZ66">
        <f t="shared" si="85"/>
        <v>183.54168200404951</v>
      </c>
      <c r="CA66">
        <f t="shared" si="86"/>
        <v>5.9001538459461802</v>
      </c>
      <c r="CB66">
        <f t="shared" si="87"/>
        <v>3.5786242045877714E-2</v>
      </c>
      <c r="CC66">
        <f t="shared" si="58"/>
        <v>6.0810062625218007E-2</v>
      </c>
    </row>
    <row r="67" spans="1:81" x14ac:dyDescent="0.55000000000000004">
      <c r="A67">
        <v>1.2</v>
      </c>
      <c r="B67">
        <v>0</v>
      </c>
      <c r="C67">
        <v>0</v>
      </c>
      <c r="G67">
        <v>2032</v>
      </c>
      <c r="H67" s="5">
        <f t="shared" ref="H67:H79" si="93">SUMPRODUCT(J$7:N$7,Z67:AD67)</f>
        <v>10020495.311955903</v>
      </c>
      <c r="I67" s="5">
        <f t="shared" si="88"/>
        <v>282572.09099669999</v>
      </c>
      <c r="J67" s="5">
        <f t="shared" ref="J67:J79" si="94">I66*EXP(-R66-I$5*$Y66)*(1-I$6)</f>
        <v>17472.23740628099</v>
      </c>
      <c r="K67" s="5">
        <f t="shared" ref="K67:K79" si="95">J66*EXP(-S66-J$5*$Y66)*(1-J$6)</f>
        <v>14512.776488449892</v>
      </c>
      <c r="L67" s="5">
        <f t="shared" ref="L67:L79" si="96">K66*EXP(-T66-K$5*$Y66)*(1-K$6)</f>
        <v>7800.3942302955365</v>
      </c>
      <c r="M67" s="5">
        <f t="shared" ref="M67:M79" si="97">L66*EXP(-U66-L$5*$Y66)*(1-L$6)</f>
        <v>247.7625056373156</v>
      </c>
      <c r="N67" s="5">
        <f t="shared" ref="N67:N79" si="98">M66*EXP(-V66-M$5*$Y66)*(1-M$6)</f>
        <v>1.4558638142243756</v>
      </c>
      <c r="O67" s="13">
        <f t="shared" si="91"/>
        <v>1.8781091493656543</v>
      </c>
      <c r="P67" s="3">
        <f t="shared" ref="P67:P79" si="99">O67-1</f>
        <v>0.87810914936565432</v>
      </c>
      <c r="Q67" s="3">
        <f t="shared" ref="Q67:Q79" si="100">MeMin+Mden*H67+P67</f>
        <v>3.5705016375463572</v>
      </c>
      <c r="R67" s="3">
        <f t="shared" ref="R67:R79" si="101">I$4+Mseal*AN67/40+Mhatch*AO67/30+Mtemp*(AP67-14.5)</f>
        <v>2.8</v>
      </c>
      <c r="S67" s="3">
        <f t="shared" ref="S67:S79" si="102">J$4</f>
        <v>0.3</v>
      </c>
      <c r="T67" s="12">
        <f t="shared" si="75"/>
        <v>0.3</v>
      </c>
      <c r="U67" s="12">
        <f t="shared" si="76"/>
        <v>0.3</v>
      </c>
      <c r="V67" s="3">
        <f t="shared" ref="V67:V79" si="103">M$4</f>
        <v>0.3</v>
      </c>
      <c r="W67" s="3">
        <f t="shared" ref="W67:W79" si="104">N$4</f>
        <v>0.3</v>
      </c>
      <c r="X67" s="3">
        <f t="shared" ref="X67:X79" si="105">Q67+R68+S69+T70+U71+V72</f>
        <v>7.5705016375463563</v>
      </c>
      <c r="Y67" s="17">
        <f t="shared" si="92"/>
        <v>0.2</v>
      </c>
      <c r="Z67" s="5">
        <f t="shared" ref="Z67:Z79" si="106">Ssum*J67*EXP(-J$5*$Y67)*J$6</f>
        <v>1130.333419072261</v>
      </c>
      <c r="AA67" s="5">
        <f t="shared" ref="AA67:AA79" si="107">Ssum*K67*EXP(-K$5*$Y67)*K$6</f>
        <v>1639.723786462459</v>
      </c>
      <c r="AB67" s="5">
        <f t="shared" ref="AB67:AB79" si="108">Ssum*L67*EXP(-L$5*$Y67)*L$6</f>
        <v>3628.7653454542997</v>
      </c>
      <c r="AC67" s="5">
        <f t="shared" ref="AC67:AC79" si="109">Ssum*M67*EXP(-M$5*$Y67)*M$6</f>
        <v>120.49336499800671</v>
      </c>
      <c r="AD67" s="5">
        <f t="shared" ref="AD67:AD79" si="110">Ssum*N67*EXP(-N$5*$Y67)*N$6</f>
        <v>0.71517628619934359</v>
      </c>
      <c r="AE67" s="5">
        <f t="shared" ref="AE67:AE79" si="111">(1-EXP(-J$5*$Y67))*J67</f>
        <v>345.97348094370113</v>
      </c>
      <c r="AF67" s="5">
        <f t="shared" ref="AF67:AF79" si="112">(1-EXP(-K$5*$Y67))*K67</f>
        <v>2630.7200648088833</v>
      </c>
      <c r="AG67" s="5">
        <f t="shared" ref="AG67:AG79" si="113">(1-EXP(-L$5*$Y67))*L67</f>
        <v>1413.9715878205275</v>
      </c>
      <c r="AH67" s="5">
        <f t="shared" ref="AH67:AH79" si="114">(1-EXP(-M$5*$Y67))*M67</f>
        <v>44.911722812388483</v>
      </c>
      <c r="AI67" s="5">
        <f t="shared" ref="AI67:AI79" si="115">(1-EXP(-N$5*$Y67))*N67</f>
        <v>0.26390333722546955</v>
      </c>
      <c r="AJ67">
        <f t="shared" ref="AJ67:AJ79" si="116">G67</f>
        <v>2032</v>
      </c>
      <c r="AK67">
        <f t="shared" ref="AK67:AK79" si="117">SUM(AE67:AI67)</f>
        <v>4435.8407597227251</v>
      </c>
      <c r="AL67">
        <f t="shared" ref="AL67:AL79" si="118">SUM(Z67:AD67)</f>
        <v>6520.031092273226</v>
      </c>
      <c r="AM67">
        <f t="shared" ref="AM67:AM79" si="119">AK67/(AK67+AL67)</f>
        <v>0.4048824976822451</v>
      </c>
      <c r="AN67" s="1">
        <f t="shared" si="89"/>
        <v>36.834118791905105</v>
      </c>
      <c r="AO67">
        <v>13</v>
      </c>
      <c r="AP67" s="1">
        <f t="shared" si="90"/>
        <v>15.414999999999999</v>
      </c>
      <c r="AQ67" s="1">
        <f t="shared" si="90"/>
        <v>1</v>
      </c>
      <c r="AR67">
        <f>CHOOSE(stockcode,Esc!F82,Esc!G82,Esc!H82,Esc!I82,Esc!J82,Esc!K82,Esc!L82,Esc!M82,Esc!N81,Esc!O81,Esc!P81)</f>
        <v>0</v>
      </c>
      <c r="AS67">
        <v>0</v>
      </c>
      <c r="AT67">
        <f t="shared" ref="AT67:AT79" si="120">AJ67</f>
        <v>2032</v>
      </c>
      <c r="AU67">
        <v>10001</v>
      </c>
      <c r="AV67" s="11">
        <f t="shared" ref="AV67:AV79" si="121">AU66*J67/I66</f>
        <v>608.10062625217984</v>
      </c>
      <c r="AW67" s="11">
        <f t="shared" ref="AW67:AW79" si="122">AV66*K67/J66</f>
        <v>392.99879893526656</v>
      </c>
      <c r="AX67" s="11">
        <f t="shared" ref="AX67:AX79" si="123">AW66*L67/K66</f>
        <v>183.54168200404948</v>
      </c>
      <c r="AY67" s="11">
        <f t="shared" ref="AY67:AY79" si="124">AX66*M67/L66</f>
        <v>5.9001538459461775</v>
      </c>
      <c r="AZ67" s="11">
        <f t="shared" ref="AZ67:AZ79" si="125">AY66*N67/M66</f>
        <v>3.57862420458777E-2</v>
      </c>
      <c r="BA67" s="11">
        <f t="shared" ref="BA67:BA79" si="126">AV67*Z67/J67</f>
        <v>39.339922187899987</v>
      </c>
      <c r="BB67" s="11">
        <f t="shared" ref="BB67:BB79" si="127">AW67*AA67/K67</f>
        <v>44.402907960319808</v>
      </c>
      <c r="BC67" s="11">
        <f t="shared" ref="BC67:BC79" si="128">AX67*AB67/L67</f>
        <v>85.384106936022604</v>
      </c>
      <c r="BD67" s="11">
        <f t="shared" ref="BD67:BD79" si="129">AY67*AC67/M67</f>
        <v>2.8693986165310741</v>
      </c>
      <c r="BE67" s="11">
        <f t="shared" ref="BE67:BE79" si="130">AZ67*AD67/N67</f>
        <v>1.7579578140031429E-2</v>
      </c>
      <c r="BF67" s="11">
        <f t="shared" ref="BF67:BF79" si="131">AV67*AE67/J67</f>
        <v>12.041199162786135</v>
      </c>
      <c r="BG67" s="11">
        <f t="shared" ref="BG67:BG79" si="132">AW67*AF67/K67</f>
        <v>71.238596324253407</v>
      </c>
      <c r="BH67" s="11">
        <f t="shared" ref="BH67:BH79" si="133">AX67*AG67/L67</f>
        <v>33.270462475674584</v>
      </c>
      <c r="BI67" s="11">
        <f t="shared" ref="BI67:BI79" si="134">AY67*AH67/M67</f>
        <v>1.0695164443787128</v>
      </c>
      <c r="BJ67" s="11">
        <f t="shared" ref="BJ67:BJ79" si="135">AZ67*AI67/N67</f>
        <v>6.4869451458253137E-3</v>
      </c>
      <c r="BK67" s="11">
        <f t="shared" ref="BK67:BK79" si="136">AT67-2</f>
        <v>2030</v>
      </c>
      <c r="BL67">
        <f t="shared" ref="BL67:BL79" si="137">(AE67+AF68+AG69+AH70+AI71)/(AE67+AF68+AG69+AH70+AI71+Z67+AA68+AB69+AC70+AD71)</f>
        <v>0.40611168906319262</v>
      </c>
      <c r="BM67">
        <f t="shared" si="47"/>
        <v>2032</v>
      </c>
      <c r="BN67" s="11">
        <f t="shared" si="48"/>
        <v>12.042403282702413</v>
      </c>
      <c r="BO67" s="11">
        <f t="shared" si="49"/>
        <v>71.245720183885851</v>
      </c>
      <c r="BP67" s="11">
        <f t="shared" si="50"/>
        <v>33.273789521922147</v>
      </c>
      <c r="BQ67" s="11">
        <f t="shared" si="51"/>
        <v>1.0696233960231507</v>
      </c>
      <c r="BR67" s="11">
        <f t="shared" si="52"/>
        <v>6.4875938403398956E-3</v>
      </c>
      <c r="BS67" s="11">
        <f t="shared" si="53"/>
        <v>39.343856180118763</v>
      </c>
      <c r="BT67" s="11">
        <f t="shared" si="54"/>
        <v>44.407348251115849</v>
      </c>
      <c r="BU67" s="11">
        <f t="shared" si="55"/>
        <v>85.392645346716193</v>
      </c>
      <c r="BV67" s="11">
        <f t="shared" si="56"/>
        <v>2.8696855563927266</v>
      </c>
      <c r="BW67" s="11">
        <f t="shared" si="57"/>
        <v>1.7581336097845433E-2</v>
      </c>
      <c r="BX67">
        <f t="shared" si="83"/>
        <v>608.16143631480486</v>
      </c>
      <c r="BY67">
        <f t="shared" si="84"/>
        <v>393.03809881516008</v>
      </c>
      <c r="BZ67">
        <f t="shared" si="85"/>
        <v>183.56003617224985</v>
      </c>
      <c r="CA67">
        <f t="shared" si="86"/>
        <v>5.9007438613307714</v>
      </c>
      <c r="CB67">
        <f t="shared" si="87"/>
        <v>3.5789820670082288E-2</v>
      </c>
      <c r="CC67">
        <f t="shared" si="58"/>
        <v>6.0810062625217966E-2</v>
      </c>
    </row>
    <row r="68" spans="1:81" x14ac:dyDescent="0.55000000000000004">
      <c r="A68" s="1">
        <v>1.3</v>
      </c>
      <c r="B68">
        <v>0</v>
      </c>
      <c r="C68">
        <v>0</v>
      </c>
      <c r="G68">
        <v>2033</v>
      </c>
      <c r="H68" s="5">
        <f t="shared" si="93"/>
        <v>8526970.9496909101</v>
      </c>
      <c r="I68" s="5">
        <f t="shared" si="88"/>
        <v>288453.94332462095</v>
      </c>
      <c r="J68" s="5">
        <f t="shared" si="94"/>
        <v>17183.22654964812</v>
      </c>
      <c r="K68" s="5">
        <f t="shared" si="95"/>
        <v>11291.82904760354</v>
      </c>
      <c r="L68" s="5">
        <f t="shared" si="96"/>
        <v>6777.8818013071614</v>
      </c>
      <c r="M68" s="5">
        <f t="shared" si="97"/>
        <v>250.75244770154811</v>
      </c>
      <c r="N68" s="5">
        <f t="shared" si="98"/>
        <v>1.5027555599625622</v>
      </c>
      <c r="O68" s="13">
        <f t="shared" si="91"/>
        <v>1.8781091493656543</v>
      </c>
      <c r="P68" s="3">
        <f t="shared" si="99"/>
        <v>0.87810914936565432</v>
      </c>
      <c r="Q68" s="3">
        <f t="shared" si="100"/>
        <v>3.5464017199749027</v>
      </c>
      <c r="R68" s="3">
        <f t="shared" si="101"/>
        <v>2.8</v>
      </c>
      <c r="S68" s="3">
        <f t="shared" si="102"/>
        <v>0.3</v>
      </c>
      <c r="T68" s="12">
        <f t="shared" si="75"/>
        <v>0.3</v>
      </c>
      <c r="U68" s="12">
        <f t="shared" si="76"/>
        <v>0.3</v>
      </c>
      <c r="V68" s="3">
        <f t="shared" si="103"/>
        <v>0.3</v>
      </c>
      <c r="W68" s="3">
        <f t="shared" si="104"/>
        <v>0.3</v>
      </c>
      <c r="X68" s="3">
        <f t="shared" si="105"/>
        <v>7.5464017199749023</v>
      </c>
      <c r="Y68" s="17">
        <f t="shared" si="92"/>
        <v>0.2</v>
      </c>
      <c r="Z68" s="5">
        <f t="shared" si="106"/>
        <v>1111.636407228237</v>
      </c>
      <c r="AA68" s="5">
        <f t="shared" si="107"/>
        <v>1275.8055425685743</v>
      </c>
      <c r="AB68" s="5">
        <f t="shared" si="108"/>
        <v>3153.0896862422992</v>
      </c>
      <c r="AC68" s="5">
        <f t="shared" si="109"/>
        <v>121.94745176364442</v>
      </c>
      <c r="AD68" s="5">
        <f t="shared" si="110"/>
        <v>0.73821131478016366</v>
      </c>
      <c r="AE68" s="5">
        <f t="shared" si="111"/>
        <v>340.25068255361913</v>
      </c>
      <c r="AF68" s="5">
        <f t="shared" si="112"/>
        <v>2046.8613478312634</v>
      </c>
      <c r="AG68" s="5">
        <f t="shared" si="113"/>
        <v>1228.6215298494012</v>
      </c>
      <c r="AH68" s="5">
        <f t="shared" si="114"/>
        <v>45.453707358712371</v>
      </c>
      <c r="AI68" s="5">
        <f t="shared" si="115"/>
        <v>0.27240336866228937</v>
      </c>
      <c r="AJ68">
        <f t="shared" si="116"/>
        <v>2033</v>
      </c>
      <c r="AK68">
        <f t="shared" si="117"/>
        <v>3661.4596709616585</v>
      </c>
      <c r="AL68">
        <f t="shared" si="118"/>
        <v>5663.2172991175348</v>
      </c>
      <c r="AM68">
        <f t="shared" si="119"/>
        <v>0.39266343302941914</v>
      </c>
      <c r="AN68" s="1">
        <f t="shared" si="89"/>
        <v>36.834118791905105</v>
      </c>
      <c r="AO68">
        <v>14</v>
      </c>
      <c r="AP68" s="1">
        <f t="shared" si="90"/>
        <v>15.414999999999999</v>
      </c>
      <c r="AQ68" s="1">
        <f t="shared" si="90"/>
        <v>1</v>
      </c>
      <c r="AR68">
        <f>CHOOSE(stockcode,Esc!F83,Esc!G83,Esc!H83,Esc!I83,Esc!J83,Esc!K83,Esc!L83,Esc!M83,Esc!N82,Esc!O82,Esc!P82)</f>
        <v>0</v>
      </c>
      <c r="AS68">
        <v>0</v>
      </c>
      <c r="AT68">
        <f t="shared" si="120"/>
        <v>2033</v>
      </c>
      <c r="AU68">
        <v>10002</v>
      </c>
      <c r="AV68" s="11">
        <f t="shared" si="121"/>
        <v>608.16143631480497</v>
      </c>
      <c r="AW68" s="11">
        <f t="shared" si="122"/>
        <v>392.99879893526662</v>
      </c>
      <c r="AX68" s="11">
        <f t="shared" si="123"/>
        <v>183.54168200404945</v>
      </c>
      <c r="AY68" s="11">
        <f t="shared" si="124"/>
        <v>5.9001538459461784</v>
      </c>
      <c r="AZ68" s="11">
        <f t="shared" si="125"/>
        <v>3.5786242045877693E-2</v>
      </c>
      <c r="BA68" s="11">
        <f t="shared" si="126"/>
        <v>39.343856180118763</v>
      </c>
      <c r="BB68" s="11">
        <f t="shared" si="127"/>
        <v>44.40290796031983</v>
      </c>
      <c r="BC68" s="11">
        <f t="shared" si="128"/>
        <v>85.38410693602259</v>
      </c>
      <c r="BD68" s="11">
        <f t="shared" si="129"/>
        <v>2.8693986165310741</v>
      </c>
      <c r="BE68" s="11">
        <f t="shared" si="130"/>
        <v>1.7579578140031426E-2</v>
      </c>
      <c r="BF68" s="11">
        <f t="shared" si="131"/>
        <v>12.042403282702413</v>
      </c>
      <c r="BG68" s="11">
        <f t="shared" si="132"/>
        <v>71.238596324253422</v>
      </c>
      <c r="BH68" s="11">
        <f t="shared" si="133"/>
        <v>33.270462475674584</v>
      </c>
      <c r="BI68" s="11">
        <f t="shared" si="134"/>
        <v>1.0695164443787128</v>
      </c>
      <c r="BJ68" s="11">
        <f t="shared" si="135"/>
        <v>6.4869451458253119E-3</v>
      </c>
      <c r="BK68" s="11">
        <f t="shared" si="136"/>
        <v>2031</v>
      </c>
      <c r="BL68">
        <f t="shared" si="137"/>
        <v>0.40611168906319267</v>
      </c>
      <c r="BM68">
        <f t="shared" si="47"/>
        <v>2033</v>
      </c>
      <c r="BN68" s="11">
        <f t="shared" si="48"/>
        <v>12.043607402618692</v>
      </c>
      <c r="BO68" s="11">
        <f t="shared" si="49"/>
        <v>71.252844043518266</v>
      </c>
      <c r="BP68" s="11">
        <f t="shared" si="50"/>
        <v>33.277116568169724</v>
      </c>
      <c r="BQ68" s="11">
        <f t="shared" si="51"/>
        <v>1.069730347667589</v>
      </c>
      <c r="BR68" s="11">
        <f t="shared" si="52"/>
        <v>6.4882425348544801E-3</v>
      </c>
      <c r="BS68" s="11">
        <f t="shared" si="53"/>
        <v>39.347790172337561</v>
      </c>
      <c r="BT68" s="11">
        <f t="shared" si="54"/>
        <v>44.411788541911882</v>
      </c>
      <c r="BU68" s="11">
        <f t="shared" si="55"/>
        <v>85.401183757409825</v>
      </c>
      <c r="BV68" s="11">
        <f t="shared" si="56"/>
        <v>2.8699724962543809</v>
      </c>
      <c r="BW68" s="11">
        <f t="shared" si="57"/>
        <v>1.7583094055659439E-2</v>
      </c>
      <c r="BX68">
        <f t="shared" si="83"/>
        <v>608.22224637743034</v>
      </c>
      <c r="BY68">
        <f t="shared" si="84"/>
        <v>393.07739869505372</v>
      </c>
      <c r="BZ68">
        <f t="shared" si="85"/>
        <v>183.57839034045031</v>
      </c>
      <c r="CA68">
        <f t="shared" si="86"/>
        <v>5.901333876715368</v>
      </c>
      <c r="CB68">
        <f t="shared" si="87"/>
        <v>3.5793399294286883E-2</v>
      </c>
      <c r="CC68">
        <f t="shared" si="58"/>
        <v>6.0810062625217993E-2</v>
      </c>
    </row>
    <row r="69" spans="1:81" x14ac:dyDescent="0.55000000000000004">
      <c r="A69">
        <v>1.4</v>
      </c>
      <c r="B69">
        <v>0</v>
      </c>
      <c r="C69">
        <v>0</v>
      </c>
      <c r="G69">
        <v>2034</v>
      </c>
      <c r="H69" s="5">
        <f t="shared" si="93"/>
        <v>7055793.574157293</v>
      </c>
      <c r="I69" s="5">
        <f t="shared" si="88"/>
        <v>281994.10548993439</v>
      </c>
      <c r="J69" s="5">
        <f t="shared" si="94"/>
        <v>17540.902358061277</v>
      </c>
      <c r="K69" s="5">
        <f t="shared" si="95"/>
        <v>11105.049237432997</v>
      </c>
      <c r="L69" s="5">
        <f t="shared" si="96"/>
        <v>5273.6072016360449</v>
      </c>
      <c r="M69" s="5">
        <f t="shared" si="97"/>
        <v>217.88263538125767</v>
      </c>
      <c r="N69" s="5">
        <f t="shared" si="98"/>
        <v>1.5208904752897772</v>
      </c>
      <c r="O69" s="13">
        <f t="shared" si="91"/>
        <v>1.8781091493656543</v>
      </c>
      <c r="P69" s="3">
        <f t="shared" si="99"/>
        <v>0.87810914936565432</v>
      </c>
      <c r="Q69" s="3">
        <f t="shared" si="100"/>
        <v>3.5226623994929929</v>
      </c>
      <c r="R69" s="3">
        <f t="shared" si="101"/>
        <v>2.8</v>
      </c>
      <c r="S69" s="3">
        <f t="shared" si="102"/>
        <v>0.3</v>
      </c>
      <c r="T69" s="12">
        <f t="shared" si="75"/>
        <v>0.3</v>
      </c>
      <c r="U69" s="12">
        <f t="shared" si="76"/>
        <v>0.3</v>
      </c>
      <c r="V69" s="3">
        <f t="shared" si="103"/>
        <v>0.3</v>
      </c>
      <c r="W69" s="3">
        <f t="shared" si="104"/>
        <v>0.3</v>
      </c>
      <c r="X69" s="3">
        <f t="shared" si="105"/>
        <v>7.522662399492992</v>
      </c>
      <c r="Y69" s="17">
        <f t="shared" si="92"/>
        <v>0.2</v>
      </c>
      <c r="Z69" s="5">
        <f t="shared" si="106"/>
        <v>1134.7755685183499</v>
      </c>
      <c r="AA69" s="5">
        <f t="shared" si="107"/>
        <v>1254.7022548681587</v>
      </c>
      <c r="AB69" s="5">
        <f t="shared" si="108"/>
        <v>2453.2969095986409</v>
      </c>
      <c r="AC69" s="5">
        <f t="shared" si="109"/>
        <v>105.96200520409757</v>
      </c>
      <c r="AD69" s="5">
        <f t="shared" si="110"/>
        <v>0.74711988250987738</v>
      </c>
      <c r="AE69" s="5">
        <f t="shared" si="111"/>
        <v>347.3331380862785</v>
      </c>
      <c r="AF69" s="5">
        <f t="shared" si="112"/>
        <v>2013.0039123014117</v>
      </c>
      <c r="AG69" s="5">
        <f t="shared" si="113"/>
        <v>955.94280600309753</v>
      </c>
      <c r="AH69" s="5">
        <f t="shared" si="114"/>
        <v>39.495421232945255</v>
      </c>
      <c r="AI69" s="5">
        <f t="shared" si="115"/>
        <v>0.27569067110664819</v>
      </c>
      <c r="AJ69">
        <f t="shared" si="116"/>
        <v>2034</v>
      </c>
      <c r="AK69">
        <f t="shared" si="117"/>
        <v>3356.05096829484</v>
      </c>
      <c r="AL69">
        <f t="shared" si="118"/>
        <v>4949.4838580717569</v>
      </c>
      <c r="AM69">
        <f t="shared" si="119"/>
        <v>0.40407403477988957</v>
      </c>
      <c r="AN69" s="1">
        <f t="shared" si="89"/>
        <v>36.834118791905105</v>
      </c>
      <c r="AO69">
        <v>15</v>
      </c>
      <c r="AP69" s="1">
        <f t="shared" si="90"/>
        <v>15.414999999999999</v>
      </c>
      <c r="AQ69" s="1">
        <f t="shared" si="90"/>
        <v>1</v>
      </c>
      <c r="AR69">
        <f>CHOOSE(stockcode,Esc!F84,Esc!G84,Esc!H84,Esc!I84,Esc!J84,Esc!K84,Esc!L84,Esc!M84,Esc!N83,Esc!O83,Esc!P83)</f>
        <v>0</v>
      </c>
      <c r="AS69">
        <v>0</v>
      </c>
      <c r="AT69">
        <f t="shared" si="120"/>
        <v>2034</v>
      </c>
      <c r="AU69">
        <v>10003</v>
      </c>
      <c r="AV69" s="11">
        <f t="shared" si="121"/>
        <v>608.22224637743022</v>
      </c>
      <c r="AW69" s="11">
        <f t="shared" si="122"/>
        <v>393.03809881516014</v>
      </c>
      <c r="AX69" s="11">
        <f t="shared" si="123"/>
        <v>183.54168200404951</v>
      </c>
      <c r="AY69" s="11">
        <f t="shared" si="124"/>
        <v>5.9001538459461766</v>
      </c>
      <c r="AZ69" s="11">
        <f t="shared" si="125"/>
        <v>3.57862420458777E-2</v>
      </c>
      <c r="BA69" s="11">
        <f t="shared" si="126"/>
        <v>39.347790172337561</v>
      </c>
      <c r="BB69" s="11">
        <f t="shared" si="127"/>
        <v>44.407348251115849</v>
      </c>
      <c r="BC69" s="11">
        <f t="shared" si="128"/>
        <v>85.384106936022633</v>
      </c>
      <c r="BD69" s="11">
        <f t="shared" si="129"/>
        <v>2.8693986165310732</v>
      </c>
      <c r="BE69" s="11">
        <f t="shared" si="130"/>
        <v>1.7579578140031429E-2</v>
      </c>
      <c r="BF69" s="11">
        <f t="shared" si="131"/>
        <v>12.043607402618692</v>
      </c>
      <c r="BG69" s="11">
        <f t="shared" si="132"/>
        <v>71.245720183885851</v>
      </c>
      <c r="BH69" s="11">
        <f t="shared" si="133"/>
        <v>33.270462475674591</v>
      </c>
      <c r="BI69" s="11">
        <f t="shared" si="134"/>
        <v>1.0695164443787128</v>
      </c>
      <c r="BJ69" s="11">
        <f t="shared" si="135"/>
        <v>6.4869451458253128E-3</v>
      </c>
      <c r="BK69" s="11">
        <f t="shared" si="136"/>
        <v>2032</v>
      </c>
      <c r="BL69">
        <f t="shared" si="137"/>
        <v>0.40611168906319256</v>
      </c>
      <c r="BM69">
        <f t="shared" si="47"/>
        <v>2034</v>
      </c>
      <c r="BN69" s="11">
        <f t="shared" si="48"/>
        <v>12.044811522534971</v>
      </c>
      <c r="BO69" s="11">
        <f t="shared" si="49"/>
        <v>71.259967903150681</v>
      </c>
      <c r="BP69" s="11">
        <f t="shared" si="50"/>
        <v>33.280443614417287</v>
      </c>
      <c r="BQ69" s="11">
        <f t="shared" si="51"/>
        <v>1.0698372993120264</v>
      </c>
      <c r="BR69" s="11">
        <f t="shared" si="52"/>
        <v>6.4888912293690586E-3</v>
      </c>
      <c r="BS69" s="11">
        <f t="shared" si="53"/>
        <v>39.351724164556352</v>
      </c>
      <c r="BT69" s="11">
        <f t="shared" si="54"/>
        <v>44.416228832707908</v>
      </c>
      <c r="BU69" s="11">
        <f t="shared" si="55"/>
        <v>85.4097221681034</v>
      </c>
      <c r="BV69" s="11">
        <f t="shared" si="56"/>
        <v>2.870259436116033</v>
      </c>
      <c r="BW69" s="11">
        <f t="shared" si="57"/>
        <v>1.7584852013473436E-2</v>
      </c>
      <c r="BX69">
        <f t="shared" si="83"/>
        <v>608.28305644005536</v>
      </c>
      <c r="BY69">
        <f t="shared" si="84"/>
        <v>393.11669857494712</v>
      </c>
      <c r="BZ69">
        <f t="shared" si="85"/>
        <v>183.59674450865066</v>
      </c>
      <c r="CA69">
        <f t="shared" si="86"/>
        <v>5.901923892099961</v>
      </c>
      <c r="CB69">
        <f t="shared" si="87"/>
        <v>3.5796977918491457E-2</v>
      </c>
      <c r="CC69">
        <f t="shared" si="58"/>
        <v>6.0810062625217973E-2</v>
      </c>
    </row>
    <row r="70" spans="1:81" x14ac:dyDescent="0.55000000000000004">
      <c r="A70" s="1">
        <v>1.5</v>
      </c>
      <c r="B70">
        <v>0</v>
      </c>
      <c r="C70">
        <v>0</v>
      </c>
      <c r="G70">
        <v>2035</v>
      </c>
      <c r="H70" s="5">
        <f t="shared" si="93"/>
        <v>6954722.0891976468</v>
      </c>
      <c r="I70" s="5">
        <f t="shared" si="88"/>
        <v>245817.09715650842</v>
      </c>
      <c r="J70" s="5">
        <f t="shared" si="94"/>
        <v>17148.079214785233</v>
      </c>
      <c r="K70" s="5">
        <f t="shared" si="95"/>
        <v>11336.205327471749</v>
      </c>
      <c r="L70" s="5">
        <f t="shared" si="96"/>
        <v>5186.3756868935643</v>
      </c>
      <c r="M70" s="5">
        <f t="shared" si="97"/>
        <v>169.52603611890123</v>
      </c>
      <c r="N70" s="5">
        <f t="shared" si="98"/>
        <v>1.3215249857772151</v>
      </c>
      <c r="O70" s="13">
        <f t="shared" si="91"/>
        <v>1.8781091493656543</v>
      </c>
      <c r="P70" s="3">
        <f t="shared" si="99"/>
        <v>0.87810914936565432</v>
      </c>
      <c r="Q70" s="3">
        <f t="shared" si="100"/>
        <v>3.5210314823697813</v>
      </c>
      <c r="R70" s="3">
        <f t="shared" si="101"/>
        <v>2.8</v>
      </c>
      <c r="S70" s="3">
        <f t="shared" si="102"/>
        <v>0.3</v>
      </c>
      <c r="T70" s="12">
        <f t="shared" si="75"/>
        <v>0.3</v>
      </c>
      <c r="U70" s="12">
        <f t="shared" si="76"/>
        <v>0.3</v>
      </c>
      <c r="V70" s="3">
        <f t="shared" si="103"/>
        <v>0.3</v>
      </c>
      <c r="W70" s="3">
        <f t="shared" si="104"/>
        <v>0.3</v>
      </c>
      <c r="X70" s="3">
        <f t="shared" si="105"/>
        <v>7.5210314823697804</v>
      </c>
      <c r="Y70" s="17">
        <f t="shared" si="92"/>
        <v>0.2</v>
      </c>
      <c r="Z70" s="5">
        <f t="shared" si="106"/>
        <v>1109.3626167420477</v>
      </c>
      <c r="AA70" s="5">
        <f t="shared" si="107"/>
        <v>1280.8193896234452</v>
      </c>
      <c r="AB70" s="5">
        <f t="shared" si="108"/>
        <v>2412.7165634797743</v>
      </c>
      <c r="AC70" s="5">
        <f t="shared" si="109"/>
        <v>82.444930455464174</v>
      </c>
      <c r="AD70" s="5">
        <f t="shared" si="110"/>
        <v>0.64918388809004912</v>
      </c>
      <c r="AE70" s="5">
        <f t="shared" si="111"/>
        <v>339.5547186936023</v>
      </c>
      <c r="AF70" s="5">
        <f t="shared" si="112"/>
        <v>2054.9054026641743</v>
      </c>
      <c r="AG70" s="5">
        <f t="shared" si="113"/>
        <v>940.1304150178612</v>
      </c>
      <c r="AH70" s="5">
        <f t="shared" si="114"/>
        <v>30.729856900948079</v>
      </c>
      <c r="AI70" s="5">
        <f t="shared" si="115"/>
        <v>0.23955183896046656</v>
      </c>
      <c r="AJ70">
        <f t="shared" si="116"/>
        <v>2035</v>
      </c>
      <c r="AK70">
        <f t="shared" si="117"/>
        <v>3365.5599451155463</v>
      </c>
      <c r="AL70">
        <f t="shared" si="118"/>
        <v>4885.9926841888218</v>
      </c>
      <c r="AM70">
        <f t="shared" si="119"/>
        <v>0.40786989992200701</v>
      </c>
      <c r="AN70" s="1">
        <f t="shared" si="89"/>
        <v>36.834118791905105</v>
      </c>
      <c r="AO70">
        <v>16</v>
      </c>
      <c r="AP70" s="1">
        <f t="shared" si="90"/>
        <v>15.414999999999999</v>
      </c>
      <c r="AQ70" s="1">
        <f t="shared" si="90"/>
        <v>1</v>
      </c>
      <c r="AR70">
        <f>CHOOSE(stockcode,Esc!F85,Esc!G85,Esc!H85,Esc!I85,Esc!J85,Esc!K85,Esc!L85,Esc!M85,Esc!N84,Esc!O84,Esc!P84)</f>
        <v>0</v>
      </c>
      <c r="AS70">
        <v>0</v>
      </c>
      <c r="AT70">
        <f t="shared" si="120"/>
        <v>2035</v>
      </c>
      <c r="AU70">
        <v>10004</v>
      </c>
      <c r="AV70" s="11">
        <f t="shared" si="121"/>
        <v>608.28305644005536</v>
      </c>
      <c r="AW70" s="11">
        <f t="shared" si="122"/>
        <v>393.07739869505366</v>
      </c>
      <c r="AX70" s="11">
        <f t="shared" si="123"/>
        <v>183.56003617224985</v>
      </c>
      <c r="AY70" s="11">
        <f t="shared" si="124"/>
        <v>5.9001538459461793</v>
      </c>
      <c r="AZ70" s="11">
        <f t="shared" si="125"/>
        <v>3.5786242045877693E-2</v>
      </c>
      <c r="BA70" s="11">
        <f t="shared" si="126"/>
        <v>39.351724164556352</v>
      </c>
      <c r="BB70" s="11">
        <f t="shared" si="127"/>
        <v>44.411788541911882</v>
      </c>
      <c r="BC70" s="11">
        <f t="shared" si="128"/>
        <v>85.392645346716193</v>
      </c>
      <c r="BD70" s="11">
        <f t="shared" si="129"/>
        <v>2.869398616531075</v>
      </c>
      <c r="BE70" s="11">
        <f t="shared" si="130"/>
        <v>1.7579578140031429E-2</v>
      </c>
      <c r="BF70" s="11">
        <f t="shared" si="131"/>
        <v>12.044811522534971</v>
      </c>
      <c r="BG70" s="11">
        <f t="shared" si="132"/>
        <v>71.252844043518266</v>
      </c>
      <c r="BH70" s="11">
        <f t="shared" si="133"/>
        <v>33.273789521922147</v>
      </c>
      <c r="BI70" s="11">
        <f t="shared" si="134"/>
        <v>1.0695164443787131</v>
      </c>
      <c r="BJ70" s="11">
        <f t="shared" si="135"/>
        <v>6.4869451458253128E-3</v>
      </c>
      <c r="BK70" s="11">
        <f t="shared" si="136"/>
        <v>2033</v>
      </c>
      <c r="BL70">
        <f t="shared" si="137"/>
        <v>0.40611168906319267</v>
      </c>
      <c r="BM70">
        <f t="shared" si="47"/>
        <v>2035</v>
      </c>
      <c r="BN70" s="11">
        <f t="shared" si="48"/>
        <v>12.046015642451247</v>
      </c>
      <c r="BO70" s="11">
        <f t="shared" si="49"/>
        <v>71.267091762783096</v>
      </c>
      <c r="BP70" s="11">
        <f t="shared" si="50"/>
        <v>33.283770660664857</v>
      </c>
      <c r="BQ70" s="11">
        <f t="shared" si="51"/>
        <v>1.0699442509564643</v>
      </c>
      <c r="BR70" s="11">
        <f t="shared" si="52"/>
        <v>6.4895399238836422E-3</v>
      </c>
      <c r="BS70" s="11">
        <f t="shared" si="53"/>
        <v>39.355658156775128</v>
      </c>
      <c r="BT70" s="11">
        <f t="shared" si="54"/>
        <v>44.420669123503941</v>
      </c>
      <c r="BU70" s="11">
        <f t="shared" si="55"/>
        <v>85.418260578796989</v>
      </c>
      <c r="BV70" s="11">
        <f t="shared" si="56"/>
        <v>2.8705463759776868</v>
      </c>
      <c r="BW70" s="11">
        <f t="shared" si="57"/>
        <v>1.7586609971287439E-2</v>
      </c>
      <c r="BX70">
        <f t="shared" si="83"/>
        <v>608.34386650268073</v>
      </c>
      <c r="BY70">
        <f t="shared" si="84"/>
        <v>393.1559984548407</v>
      </c>
      <c r="BZ70">
        <f t="shared" si="85"/>
        <v>183.61509867685106</v>
      </c>
      <c r="CA70">
        <f t="shared" si="86"/>
        <v>5.9025139074845567</v>
      </c>
      <c r="CB70">
        <f t="shared" si="87"/>
        <v>3.5800556542696038E-2</v>
      </c>
      <c r="CC70">
        <f t="shared" si="58"/>
        <v>6.0810062625217987E-2</v>
      </c>
    </row>
    <row r="71" spans="1:81" x14ac:dyDescent="0.55000000000000004">
      <c r="A71">
        <v>1.6</v>
      </c>
      <c r="B71">
        <v>0</v>
      </c>
      <c r="C71">
        <v>0</v>
      </c>
      <c r="G71">
        <v>2036</v>
      </c>
      <c r="H71" s="5">
        <f t="shared" si="93"/>
        <v>7008298.5215334054</v>
      </c>
      <c r="I71" s="5">
        <f t="shared" si="88"/>
        <v>208292.20850416317</v>
      </c>
      <c r="J71" s="5">
        <f t="shared" si="94"/>
        <v>14948.153072436568</v>
      </c>
      <c r="K71" s="5">
        <f t="shared" si="95"/>
        <v>11082.334476436907</v>
      </c>
      <c r="L71" s="5">
        <f t="shared" si="96"/>
        <v>5294.3321938501686</v>
      </c>
      <c r="M71" s="5">
        <f t="shared" si="97"/>
        <v>166.72188094512327</v>
      </c>
      <c r="N71" s="5">
        <f t="shared" si="98"/>
        <v>1.0282273852566497</v>
      </c>
      <c r="O71" s="13">
        <f t="shared" si="91"/>
        <v>1.8781091493656543</v>
      </c>
      <c r="P71" s="3">
        <f t="shared" si="99"/>
        <v>0.87810914936565432</v>
      </c>
      <c r="Q71" s="3">
        <f t="shared" si="100"/>
        <v>3.5218960063344964</v>
      </c>
      <c r="R71" s="3">
        <f t="shared" si="101"/>
        <v>2.8</v>
      </c>
      <c r="S71" s="3">
        <f t="shared" si="102"/>
        <v>0.3</v>
      </c>
      <c r="T71" s="12">
        <f t="shared" si="75"/>
        <v>0.3</v>
      </c>
      <c r="U71" s="12">
        <f t="shared" si="76"/>
        <v>0.3</v>
      </c>
      <c r="V71" s="3">
        <f t="shared" si="103"/>
        <v>0.3</v>
      </c>
      <c r="W71" s="3">
        <f t="shared" si="104"/>
        <v>0.3</v>
      </c>
      <c r="X71" s="3">
        <f t="shared" si="105"/>
        <v>7.5218960063344955</v>
      </c>
      <c r="Y71" s="17">
        <f t="shared" si="92"/>
        <v>0.2</v>
      </c>
      <c r="Z71" s="5">
        <f t="shared" si="106"/>
        <v>967.04254745924902</v>
      </c>
      <c r="AA71" s="5">
        <f t="shared" si="107"/>
        <v>1252.1358311422273</v>
      </c>
      <c r="AB71" s="5">
        <f t="shared" si="108"/>
        <v>2462.9382342946842</v>
      </c>
      <c r="AC71" s="5">
        <f t="shared" si="109"/>
        <v>81.081196697622374</v>
      </c>
      <c r="AD71" s="5">
        <f t="shared" si="110"/>
        <v>0.50510482887994856</v>
      </c>
      <c r="AE71" s="5">
        <f t="shared" si="111"/>
        <v>295.99326244794668</v>
      </c>
      <c r="AF71" s="5">
        <f t="shared" si="112"/>
        <v>2008.8864246816368</v>
      </c>
      <c r="AG71" s="5">
        <f t="shared" si="113"/>
        <v>959.69960973421644</v>
      </c>
      <c r="AH71" s="5">
        <f t="shared" si="114"/>
        <v>30.221549804344868</v>
      </c>
      <c r="AI71" s="5">
        <f t="shared" si="115"/>
        <v>0.18638600379006875</v>
      </c>
      <c r="AJ71">
        <f t="shared" si="116"/>
        <v>2036</v>
      </c>
      <c r="AK71">
        <f t="shared" si="117"/>
        <v>3294.9872326719346</v>
      </c>
      <c r="AL71">
        <f t="shared" si="118"/>
        <v>4763.7029144226626</v>
      </c>
      <c r="AM71">
        <f t="shared" si="119"/>
        <v>0.4088737961788837</v>
      </c>
      <c r="AN71" s="1">
        <f t="shared" si="89"/>
        <v>36.834118791905105</v>
      </c>
      <c r="AO71">
        <v>17</v>
      </c>
      <c r="AP71" s="1">
        <f t="shared" si="90"/>
        <v>15.414999999999999</v>
      </c>
      <c r="AQ71" s="1">
        <f t="shared" si="90"/>
        <v>1</v>
      </c>
      <c r="AR71">
        <f>CHOOSE(stockcode,Esc!F86,Esc!G86,Esc!H86,Esc!I86,Esc!J86,Esc!K86,Esc!L86,Esc!M86,Esc!N85,Esc!O85,Esc!P85)</f>
        <v>0</v>
      </c>
      <c r="AS71">
        <v>0</v>
      </c>
      <c r="AT71">
        <f t="shared" si="120"/>
        <v>2036</v>
      </c>
      <c r="AU71">
        <v>10005</v>
      </c>
      <c r="AV71" s="11">
        <f t="shared" si="121"/>
        <v>608.3438665026805</v>
      </c>
      <c r="AW71" s="11">
        <f t="shared" si="122"/>
        <v>393.11669857494712</v>
      </c>
      <c r="AX71" s="11">
        <f t="shared" si="123"/>
        <v>183.57839034045028</v>
      </c>
      <c r="AY71" s="11">
        <f t="shared" si="124"/>
        <v>5.9007438613307714</v>
      </c>
      <c r="AZ71" s="11">
        <f t="shared" si="125"/>
        <v>3.5786242045877707E-2</v>
      </c>
      <c r="BA71" s="11">
        <f t="shared" si="126"/>
        <v>39.355658156775128</v>
      </c>
      <c r="BB71" s="11">
        <f t="shared" si="127"/>
        <v>44.416228832707908</v>
      </c>
      <c r="BC71" s="11">
        <f t="shared" si="128"/>
        <v>85.401183757409825</v>
      </c>
      <c r="BD71" s="11">
        <f t="shared" si="129"/>
        <v>2.8696855563927266</v>
      </c>
      <c r="BE71" s="11">
        <f t="shared" si="130"/>
        <v>1.7579578140031436E-2</v>
      </c>
      <c r="BF71" s="11">
        <f t="shared" si="131"/>
        <v>12.046015642451247</v>
      </c>
      <c r="BG71" s="11">
        <f t="shared" si="132"/>
        <v>71.259967903150681</v>
      </c>
      <c r="BH71" s="11">
        <f t="shared" si="133"/>
        <v>33.277116568169724</v>
      </c>
      <c r="BI71" s="11">
        <f t="shared" si="134"/>
        <v>1.0696233960231507</v>
      </c>
      <c r="BJ71" s="11">
        <f t="shared" si="135"/>
        <v>6.4869451458253154E-3</v>
      </c>
      <c r="BK71" s="11">
        <f t="shared" si="136"/>
        <v>2034</v>
      </c>
      <c r="BL71">
        <f t="shared" si="137"/>
        <v>0.40611168906319262</v>
      </c>
      <c r="BM71">
        <f t="shared" si="47"/>
        <v>2036</v>
      </c>
      <c r="BN71" s="11">
        <f t="shared" si="48"/>
        <v>12.047219762367526</v>
      </c>
      <c r="BO71" s="11">
        <f t="shared" si="49"/>
        <v>71.274215622415554</v>
      </c>
      <c r="BP71" s="11">
        <f t="shared" si="50"/>
        <v>33.287097706912427</v>
      </c>
      <c r="BQ71" s="11">
        <f t="shared" si="51"/>
        <v>1.0700512026009021</v>
      </c>
      <c r="BR71" s="11">
        <f t="shared" si="52"/>
        <v>6.4901886183982242E-3</v>
      </c>
      <c r="BS71" s="11">
        <f t="shared" si="53"/>
        <v>39.359592148993919</v>
      </c>
      <c r="BT71" s="11">
        <f t="shared" si="54"/>
        <v>44.425109414299982</v>
      </c>
      <c r="BU71" s="11">
        <f t="shared" si="55"/>
        <v>85.426798989490635</v>
      </c>
      <c r="BV71" s="11">
        <f t="shared" si="56"/>
        <v>2.8708333158393398</v>
      </c>
      <c r="BW71" s="11">
        <f t="shared" si="57"/>
        <v>1.7588367929101439E-2</v>
      </c>
      <c r="BX71">
        <f t="shared" si="83"/>
        <v>608.40467656530609</v>
      </c>
      <c r="BY71">
        <f t="shared" si="84"/>
        <v>393.19529833473439</v>
      </c>
      <c r="BZ71">
        <f t="shared" si="85"/>
        <v>183.63345284505155</v>
      </c>
      <c r="CA71">
        <f t="shared" si="86"/>
        <v>5.9031039228691515</v>
      </c>
      <c r="CB71">
        <f t="shared" si="87"/>
        <v>3.5804135166900626E-2</v>
      </c>
      <c r="CC71">
        <f t="shared" si="58"/>
        <v>6.0810062625218E-2</v>
      </c>
    </row>
    <row r="72" spans="1:81" x14ac:dyDescent="0.55000000000000004">
      <c r="A72" s="1">
        <v>1.7</v>
      </c>
      <c r="B72">
        <v>0</v>
      </c>
      <c r="C72">
        <v>0</v>
      </c>
      <c r="G72">
        <v>2037</v>
      </c>
      <c r="H72" s="5">
        <f t="shared" si="93"/>
        <v>6661224.6486364454</v>
      </c>
      <c r="I72" s="5">
        <f t="shared" si="88"/>
        <v>205643.61838759526</v>
      </c>
      <c r="J72" s="5">
        <f t="shared" si="94"/>
        <v>12666.262243483121</v>
      </c>
      <c r="K72" s="5">
        <f t="shared" si="95"/>
        <v>9660.5823940261544</v>
      </c>
      <c r="L72" s="5">
        <f t="shared" si="96"/>
        <v>5175.7672436849916</v>
      </c>
      <c r="M72" s="5">
        <f t="shared" si="97"/>
        <v>170.19226430851032</v>
      </c>
      <c r="N72" s="5">
        <f t="shared" si="98"/>
        <v>1.0112193243817684</v>
      </c>
      <c r="O72" s="13">
        <f t="shared" si="91"/>
        <v>1.8781091493656543</v>
      </c>
      <c r="P72" s="3">
        <f t="shared" si="99"/>
        <v>0.87810914936565432</v>
      </c>
      <c r="Q72" s="3">
        <f t="shared" si="100"/>
        <v>3.5162955274006698</v>
      </c>
      <c r="R72" s="3">
        <f t="shared" si="101"/>
        <v>2.8</v>
      </c>
      <c r="S72" s="3">
        <f t="shared" si="102"/>
        <v>0.3</v>
      </c>
      <c r="T72" s="12">
        <f t="shared" si="75"/>
        <v>0.3</v>
      </c>
      <c r="U72" s="12">
        <f t="shared" si="76"/>
        <v>0.3</v>
      </c>
      <c r="V72" s="3">
        <f t="shared" si="103"/>
        <v>0.3</v>
      </c>
      <c r="W72" s="3">
        <f t="shared" si="104"/>
        <v>0.3</v>
      </c>
      <c r="X72" s="3">
        <f t="shared" si="105"/>
        <v>7.5162955274006684</v>
      </c>
      <c r="Y72" s="17">
        <f t="shared" si="92"/>
        <v>0.2</v>
      </c>
      <c r="Z72" s="5">
        <f t="shared" si="106"/>
        <v>819.41992748996154</v>
      </c>
      <c r="AA72" s="5">
        <f t="shared" si="107"/>
        <v>1091.4993940113438</v>
      </c>
      <c r="AB72" s="5">
        <f t="shared" si="108"/>
        <v>2407.7814858480597</v>
      </c>
      <c r="AC72" s="5">
        <f t="shared" si="109"/>
        <v>82.768934590860027</v>
      </c>
      <c r="AD72" s="5">
        <f t="shared" si="110"/>
        <v>0.49674981538685592</v>
      </c>
      <c r="AE72" s="5">
        <f t="shared" si="111"/>
        <v>250.80879666552042</v>
      </c>
      <c r="AF72" s="5">
        <f t="shared" si="112"/>
        <v>1751.1664953932284</v>
      </c>
      <c r="AG72" s="5">
        <f t="shared" si="113"/>
        <v>938.20743050642818</v>
      </c>
      <c r="AH72" s="5">
        <f t="shared" si="114"/>
        <v>30.850623583156739</v>
      </c>
      <c r="AI72" s="5">
        <f t="shared" si="115"/>
        <v>0.18330296540367519</v>
      </c>
      <c r="AJ72">
        <f t="shared" si="116"/>
        <v>2037</v>
      </c>
      <c r="AK72">
        <f t="shared" si="117"/>
        <v>2971.2166491137373</v>
      </c>
      <c r="AL72">
        <f t="shared" si="118"/>
        <v>4401.966491755612</v>
      </c>
      <c r="AM72">
        <f t="shared" si="119"/>
        <v>0.40297610846587634</v>
      </c>
      <c r="AN72" s="1">
        <f t="shared" si="89"/>
        <v>36.834118791905105</v>
      </c>
      <c r="AO72">
        <v>18</v>
      </c>
      <c r="AP72" s="1">
        <f t="shared" si="90"/>
        <v>15.414999999999999</v>
      </c>
      <c r="AQ72" s="1">
        <f t="shared" si="90"/>
        <v>1</v>
      </c>
      <c r="AR72">
        <f>CHOOSE(stockcode,Esc!F87,Esc!G87,Esc!H87,Esc!I87,Esc!J87,Esc!K87,Esc!L87,Esc!M87,Esc!N86,Esc!O86,Esc!P86)</f>
        <v>0</v>
      </c>
      <c r="AS72">
        <v>0</v>
      </c>
      <c r="AT72">
        <f t="shared" si="120"/>
        <v>2037</v>
      </c>
      <c r="AU72">
        <v>10006</v>
      </c>
      <c r="AV72" s="11">
        <f t="shared" si="121"/>
        <v>608.40467656530575</v>
      </c>
      <c r="AW72" s="11">
        <f t="shared" si="122"/>
        <v>393.15599845484064</v>
      </c>
      <c r="AX72" s="11">
        <f t="shared" si="123"/>
        <v>183.59674450865066</v>
      </c>
      <c r="AY72" s="11">
        <f t="shared" si="124"/>
        <v>5.901333876715368</v>
      </c>
      <c r="AZ72" s="11">
        <f t="shared" si="125"/>
        <v>3.5789820670082281E-2</v>
      </c>
      <c r="BA72" s="11">
        <f t="shared" si="126"/>
        <v>39.359592148993919</v>
      </c>
      <c r="BB72" s="11">
        <f t="shared" si="127"/>
        <v>44.420669123503941</v>
      </c>
      <c r="BC72" s="11">
        <f t="shared" si="128"/>
        <v>85.4097221681034</v>
      </c>
      <c r="BD72" s="11">
        <f t="shared" si="129"/>
        <v>2.8699724962543809</v>
      </c>
      <c r="BE72" s="11">
        <f t="shared" si="130"/>
        <v>1.7581336097845433E-2</v>
      </c>
      <c r="BF72" s="11">
        <f t="shared" si="131"/>
        <v>12.047219762367526</v>
      </c>
      <c r="BG72" s="11">
        <f t="shared" si="132"/>
        <v>71.267091762783096</v>
      </c>
      <c r="BH72" s="11">
        <f t="shared" si="133"/>
        <v>33.280443614417287</v>
      </c>
      <c r="BI72" s="11">
        <f t="shared" si="134"/>
        <v>1.069730347667589</v>
      </c>
      <c r="BJ72" s="11">
        <f t="shared" si="135"/>
        <v>6.4875938403398956E-3</v>
      </c>
      <c r="BK72" s="11">
        <f t="shared" si="136"/>
        <v>2035</v>
      </c>
      <c r="BL72">
        <f t="shared" si="137"/>
        <v>0.40611168906319267</v>
      </c>
      <c r="BM72">
        <f t="shared" si="47"/>
        <v>2037</v>
      </c>
      <c r="BN72" s="11">
        <f t="shared" si="48"/>
        <v>12.048423882283805</v>
      </c>
      <c r="BO72" s="11">
        <f t="shared" si="49"/>
        <v>71.281339482047969</v>
      </c>
      <c r="BP72" s="11">
        <f t="shared" si="50"/>
        <v>33.290424753159989</v>
      </c>
      <c r="BQ72" s="11">
        <f t="shared" si="51"/>
        <v>1.0701581542453404</v>
      </c>
      <c r="BR72" s="11">
        <f t="shared" si="52"/>
        <v>6.4908373129128087E-3</v>
      </c>
      <c r="BS72" s="11">
        <f t="shared" si="53"/>
        <v>39.363526141212716</v>
      </c>
      <c r="BT72" s="11">
        <f t="shared" si="54"/>
        <v>44.429549705096015</v>
      </c>
      <c r="BU72" s="11">
        <f t="shared" si="55"/>
        <v>85.435337400184238</v>
      </c>
      <c r="BV72" s="11">
        <f t="shared" si="56"/>
        <v>2.8711202557009936</v>
      </c>
      <c r="BW72" s="11">
        <f t="shared" si="57"/>
        <v>1.7590125886915449E-2</v>
      </c>
      <c r="BX72">
        <f t="shared" si="83"/>
        <v>608.46548662793134</v>
      </c>
      <c r="BY72">
        <f t="shared" si="84"/>
        <v>393.23459821462785</v>
      </c>
      <c r="BZ72">
        <f t="shared" si="85"/>
        <v>183.65180701325195</v>
      </c>
      <c r="CA72">
        <f t="shared" si="86"/>
        <v>5.9036939382537472</v>
      </c>
      <c r="CB72">
        <f t="shared" si="87"/>
        <v>3.5807713791105221E-2</v>
      </c>
      <c r="CC72">
        <f t="shared" si="58"/>
        <v>6.0810062625218E-2</v>
      </c>
    </row>
    <row r="73" spans="1:81" x14ac:dyDescent="0.55000000000000004">
      <c r="A73">
        <v>1.8</v>
      </c>
      <c r="B73">
        <v>0</v>
      </c>
      <c r="C73">
        <v>0</v>
      </c>
      <c r="G73">
        <v>2038</v>
      </c>
      <c r="H73" s="5">
        <f t="shared" si="93"/>
        <v>5788901.2701537348</v>
      </c>
      <c r="I73" s="5">
        <f t="shared" si="88"/>
        <v>207048.7396146415</v>
      </c>
      <c r="J73" s="5">
        <f t="shared" si="94"/>
        <v>12505.201312626094</v>
      </c>
      <c r="K73" s="5">
        <f t="shared" si="95"/>
        <v>8185.8587769710248</v>
      </c>
      <c r="L73" s="5">
        <f t="shared" si="96"/>
        <v>4511.7683477458404</v>
      </c>
      <c r="M73" s="5">
        <f t="shared" si="97"/>
        <v>166.38086060405885</v>
      </c>
      <c r="N73" s="5">
        <f t="shared" si="98"/>
        <v>1.0322682634902773</v>
      </c>
      <c r="O73" s="13">
        <f t="shared" si="91"/>
        <v>1.8781091493656543</v>
      </c>
      <c r="P73" s="3">
        <f t="shared" si="99"/>
        <v>0.87810914936565432</v>
      </c>
      <c r="Q73" s="3">
        <f t="shared" si="100"/>
        <v>3.5022194787949386</v>
      </c>
      <c r="R73" s="3">
        <f t="shared" si="101"/>
        <v>2.8</v>
      </c>
      <c r="S73" s="3">
        <f t="shared" si="102"/>
        <v>0.3</v>
      </c>
      <c r="T73" s="12">
        <f t="shared" si="75"/>
        <v>0.3</v>
      </c>
      <c r="U73" s="12">
        <f t="shared" si="76"/>
        <v>0.3</v>
      </c>
      <c r="V73" s="3">
        <f t="shared" si="103"/>
        <v>0.3</v>
      </c>
      <c r="W73" s="3">
        <f t="shared" si="104"/>
        <v>0.3</v>
      </c>
      <c r="X73" s="3">
        <f t="shared" si="105"/>
        <v>7.5022194787949381</v>
      </c>
      <c r="Y73" s="17">
        <f t="shared" si="92"/>
        <v>0.2</v>
      </c>
      <c r="Z73" s="5">
        <f t="shared" si="106"/>
        <v>809.0003945806194</v>
      </c>
      <c r="AA73" s="5">
        <f t="shared" si="107"/>
        <v>924.87797630621026</v>
      </c>
      <c r="AB73" s="5">
        <f t="shared" si="108"/>
        <v>2098.887331031397</v>
      </c>
      <c r="AC73" s="5">
        <f t="shared" si="109"/>
        <v>80.915349616273545</v>
      </c>
      <c r="AD73" s="5">
        <f t="shared" si="110"/>
        <v>0.50708986364753716</v>
      </c>
      <c r="AE73" s="5">
        <f t="shared" si="111"/>
        <v>247.61957655610232</v>
      </c>
      <c r="AF73" s="5">
        <f t="shared" si="112"/>
        <v>1483.8444559115305</v>
      </c>
      <c r="AG73" s="5">
        <f t="shared" si="113"/>
        <v>817.84485068248671</v>
      </c>
      <c r="AH73" s="5">
        <f t="shared" si="114"/>
        <v>30.159733303935031</v>
      </c>
      <c r="AI73" s="5">
        <f t="shared" si="115"/>
        <v>0.187118490744382</v>
      </c>
      <c r="AJ73">
        <f t="shared" si="116"/>
        <v>2038</v>
      </c>
      <c r="AK73">
        <f t="shared" si="117"/>
        <v>2579.655734944799</v>
      </c>
      <c r="AL73">
        <f t="shared" si="118"/>
        <v>3914.1881413981478</v>
      </c>
      <c r="AM73">
        <f t="shared" si="119"/>
        <v>0.3972463434703869</v>
      </c>
      <c r="AN73" s="1">
        <f t="shared" si="89"/>
        <v>36.834118791905105</v>
      </c>
      <c r="AO73">
        <v>19</v>
      </c>
      <c r="AP73" s="1">
        <f t="shared" si="90"/>
        <v>15.414999999999999</v>
      </c>
      <c r="AQ73" s="1">
        <f t="shared" si="90"/>
        <v>1</v>
      </c>
      <c r="AR73">
        <f>CHOOSE(stockcode,Esc!F88,Esc!G88,Esc!H88,Esc!I88,Esc!J88,Esc!K88,Esc!L88,Esc!M88,Esc!N87,Esc!O87,Esc!P87)</f>
        <v>0</v>
      </c>
      <c r="AS73">
        <v>0</v>
      </c>
      <c r="AT73">
        <f t="shared" si="120"/>
        <v>2038</v>
      </c>
      <c r="AU73">
        <v>10007</v>
      </c>
      <c r="AV73" s="11">
        <f t="shared" si="121"/>
        <v>608.465486627931</v>
      </c>
      <c r="AW73" s="11">
        <f t="shared" si="122"/>
        <v>393.19529833473422</v>
      </c>
      <c r="AX73" s="11">
        <f t="shared" si="123"/>
        <v>183.61509867685109</v>
      </c>
      <c r="AY73" s="11">
        <f t="shared" si="124"/>
        <v>5.901923892099961</v>
      </c>
      <c r="AZ73" s="11">
        <f t="shared" si="125"/>
        <v>3.5793399294286883E-2</v>
      </c>
      <c r="BA73" s="11">
        <f t="shared" si="126"/>
        <v>39.363526141212716</v>
      </c>
      <c r="BB73" s="11">
        <f t="shared" si="127"/>
        <v>44.425109414299982</v>
      </c>
      <c r="BC73" s="11">
        <f t="shared" si="128"/>
        <v>85.418260578796989</v>
      </c>
      <c r="BD73" s="11">
        <f t="shared" si="129"/>
        <v>2.870259436116033</v>
      </c>
      <c r="BE73" s="11">
        <f t="shared" si="130"/>
        <v>1.7583094055659439E-2</v>
      </c>
      <c r="BF73" s="11">
        <f t="shared" si="131"/>
        <v>12.048423882283805</v>
      </c>
      <c r="BG73" s="11">
        <f t="shared" si="132"/>
        <v>71.274215622415554</v>
      </c>
      <c r="BH73" s="11">
        <f t="shared" si="133"/>
        <v>33.283770660664857</v>
      </c>
      <c r="BI73" s="11">
        <f t="shared" si="134"/>
        <v>1.0698372993120264</v>
      </c>
      <c r="BJ73" s="11">
        <f t="shared" si="135"/>
        <v>6.4882425348544801E-3</v>
      </c>
      <c r="BK73" s="11">
        <f t="shared" si="136"/>
        <v>2036</v>
      </c>
      <c r="BL73">
        <f t="shared" si="137"/>
        <v>0.40611168906319262</v>
      </c>
      <c r="BM73">
        <f t="shared" si="47"/>
        <v>2038</v>
      </c>
      <c r="BN73" s="11">
        <f t="shared" si="48"/>
        <v>12.049628002200084</v>
      </c>
      <c r="BO73" s="11">
        <f t="shared" si="49"/>
        <v>71.288463341680384</v>
      </c>
      <c r="BP73" s="11">
        <f t="shared" si="50"/>
        <v>33.293751799407552</v>
      </c>
      <c r="BQ73" s="11">
        <f t="shared" si="51"/>
        <v>1.0702651058897781</v>
      </c>
      <c r="BR73" s="11">
        <f t="shared" si="52"/>
        <v>6.4914860074273906E-3</v>
      </c>
      <c r="BS73" s="11">
        <f t="shared" si="53"/>
        <v>39.3674601334315</v>
      </c>
      <c r="BT73" s="11">
        <f t="shared" si="54"/>
        <v>44.433989995892041</v>
      </c>
      <c r="BU73" s="11">
        <f t="shared" si="55"/>
        <v>85.443875810877813</v>
      </c>
      <c r="BV73" s="11">
        <f t="shared" si="56"/>
        <v>2.8714071955626457</v>
      </c>
      <c r="BW73" s="11">
        <f t="shared" si="57"/>
        <v>1.7591883844729452E-2</v>
      </c>
      <c r="BX73">
        <f t="shared" si="83"/>
        <v>608.52629669055625</v>
      </c>
      <c r="BY73">
        <f t="shared" si="84"/>
        <v>393.27389809452131</v>
      </c>
      <c r="BZ73">
        <f t="shared" si="85"/>
        <v>183.6701611814523</v>
      </c>
      <c r="CA73">
        <f t="shared" si="86"/>
        <v>5.9042839536383402</v>
      </c>
      <c r="CB73">
        <f t="shared" si="87"/>
        <v>3.5811292415309816E-2</v>
      </c>
      <c r="CC73">
        <f t="shared" si="58"/>
        <v>6.0810062625217973E-2</v>
      </c>
    </row>
    <row r="74" spans="1:81" x14ac:dyDescent="0.55000000000000004">
      <c r="A74" s="1">
        <v>1.9</v>
      </c>
      <c r="B74">
        <v>0</v>
      </c>
      <c r="C74">
        <v>0</v>
      </c>
      <c r="G74">
        <v>2039</v>
      </c>
      <c r="H74" s="5">
        <f t="shared" si="93"/>
        <v>5104469.050804575</v>
      </c>
      <c r="I74" s="5">
        <f t="shared" si="88"/>
        <v>197900.24693934209</v>
      </c>
      <c r="J74" s="5">
        <f t="shared" si="94"/>
        <v>12590.646822438799</v>
      </c>
      <c r="K74" s="5">
        <f t="shared" si="95"/>
        <v>8081.7695035027245</v>
      </c>
      <c r="L74" s="5">
        <f t="shared" si="96"/>
        <v>3823.0302297192284</v>
      </c>
      <c r="M74" s="5">
        <f t="shared" si="97"/>
        <v>145.03586911872983</v>
      </c>
      <c r="N74" s="5">
        <f t="shared" si="98"/>
        <v>1.0091509314573559</v>
      </c>
      <c r="O74" s="13">
        <f t="shared" si="91"/>
        <v>1.8781091493656543</v>
      </c>
      <c r="P74" s="3">
        <f t="shared" si="99"/>
        <v>0.87810914936565432</v>
      </c>
      <c r="Q74" s="3">
        <f t="shared" si="100"/>
        <v>3.4911752933190838</v>
      </c>
      <c r="R74" s="3">
        <f t="shared" si="101"/>
        <v>2.8</v>
      </c>
      <c r="S74" s="3">
        <f t="shared" si="102"/>
        <v>0.3</v>
      </c>
      <c r="T74" s="12">
        <f t="shared" si="75"/>
        <v>0.3</v>
      </c>
      <c r="U74" s="12">
        <f t="shared" si="76"/>
        <v>0.3</v>
      </c>
      <c r="V74" s="3">
        <f t="shared" si="103"/>
        <v>0.3</v>
      </c>
      <c r="W74" s="3">
        <f t="shared" si="104"/>
        <v>0.3</v>
      </c>
      <c r="X74" s="3">
        <f t="shared" si="105"/>
        <v>7.4911752933190829</v>
      </c>
      <c r="Y74" s="17">
        <f t="shared" si="92"/>
        <v>0.2</v>
      </c>
      <c r="Z74" s="5">
        <f t="shared" si="106"/>
        <v>814.52813055427589</v>
      </c>
      <c r="AA74" s="5">
        <f t="shared" si="107"/>
        <v>913.11746598915249</v>
      </c>
      <c r="AB74" s="5">
        <f t="shared" si="108"/>
        <v>1778.4844204859787</v>
      </c>
      <c r="AC74" s="5">
        <f t="shared" si="109"/>
        <v>70.534723850056992</v>
      </c>
      <c r="AD74" s="5">
        <f t="shared" si="110"/>
        <v>0.49573374124885666</v>
      </c>
      <c r="AE74" s="5">
        <f t="shared" si="111"/>
        <v>249.31151101037455</v>
      </c>
      <c r="AF74" s="5">
        <f t="shared" si="112"/>
        <v>1464.9762716972716</v>
      </c>
      <c r="AG74" s="5">
        <f t="shared" si="113"/>
        <v>692.99781070131473</v>
      </c>
      <c r="AH74" s="5">
        <f t="shared" si="114"/>
        <v>26.290542771832548</v>
      </c>
      <c r="AI74" s="5">
        <f t="shared" si="115"/>
        <v>0.18292802937592809</v>
      </c>
      <c r="AJ74">
        <f t="shared" si="116"/>
        <v>2039</v>
      </c>
      <c r="AK74">
        <f t="shared" si="117"/>
        <v>2433.7590642101691</v>
      </c>
      <c r="AL74">
        <f t="shared" si="118"/>
        <v>3577.1604746207131</v>
      </c>
      <c r="AM74">
        <f t="shared" si="119"/>
        <v>0.40488964267246419</v>
      </c>
      <c r="AN74" s="1">
        <f t="shared" si="89"/>
        <v>36.834118791905105</v>
      </c>
      <c r="AO74">
        <v>20</v>
      </c>
      <c r="AP74" s="1">
        <f t="shared" si="90"/>
        <v>15.414999999999999</v>
      </c>
      <c r="AQ74" s="1">
        <f t="shared" si="90"/>
        <v>1</v>
      </c>
      <c r="AR74">
        <f>CHOOSE(stockcode,Esc!F89,Esc!G89,Esc!H89,Esc!I89,Esc!J89,Esc!K89,Esc!L89,Esc!M89,Esc!N88,Esc!O88,Esc!P88)</f>
        <v>0</v>
      </c>
      <c r="AS74">
        <v>0</v>
      </c>
      <c r="AT74">
        <f t="shared" si="120"/>
        <v>2039</v>
      </c>
      <c r="AU74">
        <v>10008</v>
      </c>
      <c r="AV74" s="11">
        <f t="shared" si="121"/>
        <v>608.52629669055625</v>
      </c>
      <c r="AW74" s="11">
        <f t="shared" si="122"/>
        <v>393.23459821462779</v>
      </c>
      <c r="AX74" s="11">
        <f t="shared" si="123"/>
        <v>183.63345284505149</v>
      </c>
      <c r="AY74" s="11">
        <f t="shared" si="124"/>
        <v>5.9025139074845558</v>
      </c>
      <c r="AZ74" s="11">
        <f t="shared" si="125"/>
        <v>3.579697791849145E-2</v>
      </c>
      <c r="BA74" s="11">
        <f t="shared" si="126"/>
        <v>39.3674601334315</v>
      </c>
      <c r="BB74" s="11">
        <f t="shared" si="127"/>
        <v>44.429549705096015</v>
      </c>
      <c r="BC74" s="11">
        <f t="shared" si="128"/>
        <v>85.426798989490635</v>
      </c>
      <c r="BD74" s="11">
        <f t="shared" si="129"/>
        <v>2.8705463759776868</v>
      </c>
      <c r="BE74" s="11">
        <f t="shared" si="130"/>
        <v>1.7584852013473436E-2</v>
      </c>
      <c r="BF74" s="11">
        <f t="shared" si="131"/>
        <v>12.049628002200084</v>
      </c>
      <c r="BG74" s="11">
        <f t="shared" si="132"/>
        <v>71.281339482047969</v>
      </c>
      <c r="BH74" s="11">
        <f t="shared" si="133"/>
        <v>33.287097706912427</v>
      </c>
      <c r="BI74" s="11">
        <f t="shared" si="134"/>
        <v>1.0699442509564643</v>
      </c>
      <c r="BJ74" s="11">
        <f t="shared" si="135"/>
        <v>6.4888912293690586E-3</v>
      </c>
      <c r="BK74" s="11">
        <f t="shared" si="136"/>
        <v>2037</v>
      </c>
      <c r="BL74">
        <f t="shared" si="137"/>
        <v>0.40611168906319262</v>
      </c>
      <c r="BM74">
        <f t="shared" si="47"/>
        <v>2039</v>
      </c>
      <c r="BN74" s="11">
        <f t="shared" si="48"/>
        <v>12.050832122116363</v>
      </c>
      <c r="BO74" s="11">
        <f t="shared" si="49"/>
        <v>71.295587201312799</v>
      </c>
      <c r="BP74" s="11">
        <f t="shared" si="50"/>
        <v>33.297078845655122</v>
      </c>
      <c r="BQ74" s="11">
        <f t="shared" si="51"/>
        <v>1.0703720575342157</v>
      </c>
      <c r="BR74" s="11">
        <f t="shared" si="52"/>
        <v>6.4921347019419708E-3</v>
      </c>
      <c r="BS74" s="11">
        <f t="shared" si="53"/>
        <v>39.371394125650291</v>
      </c>
      <c r="BT74" s="11">
        <f t="shared" si="54"/>
        <v>44.438430286688067</v>
      </c>
      <c r="BU74" s="11">
        <f t="shared" si="55"/>
        <v>85.452414221571402</v>
      </c>
      <c r="BV74" s="11">
        <f t="shared" si="56"/>
        <v>2.8716941354242982</v>
      </c>
      <c r="BW74" s="11">
        <f t="shared" si="57"/>
        <v>1.7593641802543452E-2</v>
      </c>
      <c r="BX74">
        <f t="shared" si="83"/>
        <v>608.5871067531815</v>
      </c>
      <c r="BY74">
        <f t="shared" si="84"/>
        <v>393.31319797441478</v>
      </c>
      <c r="BZ74">
        <f t="shared" si="85"/>
        <v>183.68851534965268</v>
      </c>
      <c r="CA74">
        <f t="shared" si="86"/>
        <v>5.9048739690229342</v>
      </c>
      <c r="CB74">
        <f t="shared" si="87"/>
        <v>3.581487103951439E-2</v>
      </c>
      <c r="CC74">
        <f t="shared" si="58"/>
        <v>6.0810062625217973E-2</v>
      </c>
    </row>
    <row r="75" spans="1:81" x14ac:dyDescent="0.55000000000000004">
      <c r="A75">
        <v>2</v>
      </c>
      <c r="B75">
        <v>0</v>
      </c>
      <c r="C75">
        <v>0</v>
      </c>
      <c r="G75">
        <v>2040</v>
      </c>
      <c r="H75" s="5">
        <f t="shared" si="93"/>
        <v>5041489.0118740816</v>
      </c>
      <c r="I75" s="5">
        <f t="shared" si="88"/>
        <v>174422.11513567407</v>
      </c>
      <c r="J75" s="5">
        <f t="shared" si="94"/>
        <v>12034.326409927495</v>
      </c>
      <c r="K75" s="5">
        <f t="shared" si="95"/>
        <v>8136.9905989614854</v>
      </c>
      <c r="L75" s="5">
        <f t="shared" si="96"/>
        <v>3774.4175612258109</v>
      </c>
      <c r="M75" s="5">
        <f t="shared" si="97"/>
        <v>122.89560750864614</v>
      </c>
      <c r="N75" s="5">
        <f t="shared" si="98"/>
        <v>0.8796870137857844</v>
      </c>
      <c r="O75" s="13">
        <f t="shared" si="91"/>
        <v>1.8781091493656543</v>
      </c>
      <c r="P75" s="3">
        <f t="shared" si="99"/>
        <v>0.87810914936565432</v>
      </c>
      <c r="Q75" s="3">
        <f t="shared" si="100"/>
        <v>3.4901590301865761</v>
      </c>
      <c r="R75" s="3">
        <f t="shared" si="101"/>
        <v>2.8</v>
      </c>
      <c r="S75" s="3">
        <f t="shared" si="102"/>
        <v>0.3</v>
      </c>
      <c r="T75" s="12">
        <f t="shared" si="75"/>
        <v>0.3</v>
      </c>
      <c r="U75" s="12">
        <f t="shared" si="76"/>
        <v>0.3</v>
      </c>
      <c r="V75" s="3">
        <f t="shared" si="103"/>
        <v>0.3</v>
      </c>
      <c r="W75" s="3">
        <f t="shared" si="104"/>
        <v>0.3</v>
      </c>
      <c r="X75" s="3">
        <f t="shared" si="105"/>
        <v>7.1901590301865754</v>
      </c>
      <c r="Y75" s="17">
        <f t="shared" si="92"/>
        <v>0.2</v>
      </c>
      <c r="Z75" s="5">
        <f t="shared" si="106"/>
        <v>778.53803155599076</v>
      </c>
      <c r="AA75" s="5">
        <f t="shared" si="107"/>
        <v>919.35661284091498</v>
      </c>
      <c r="AB75" s="5">
        <f t="shared" si="108"/>
        <v>1755.8696703117059</v>
      </c>
      <c r="AC75" s="5">
        <f t="shared" si="109"/>
        <v>59.767337491604778</v>
      </c>
      <c r="AD75" s="5">
        <f t="shared" si="110"/>
        <v>0.43213608676185367</v>
      </c>
      <c r="AE75" s="5">
        <f t="shared" si="111"/>
        <v>238.29562877611752</v>
      </c>
      <c r="AF75" s="5">
        <f t="shared" si="112"/>
        <v>1474.9861580852901</v>
      </c>
      <c r="AG75" s="5">
        <f t="shared" si="113"/>
        <v>684.18582889264314</v>
      </c>
      <c r="AH75" s="5">
        <f t="shared" si="114"/>
        <v>22.277194223116208</v>
      </c>
      <c r="AI75" s="5">
        <f t="shared" si="115"/>
        <v>0.15946020251602816</v>
      </c>
      <c r="AJ75">
        <f t="shared" si="116"/>
        <v>2040</v>
      </c>
      <c r="AK75">
        <f t="shared" si="117"/>
        <v>2419.904270179683</v>
      </c>
      <c r="AL75">
        <f t="shared" si="118"/>
        <v>3513.9637882869788</v>
      </c>
      <c r="AM75">
        <f t="shared" si="119"/>
        <v>0.40781228135446562</v>
      </c>
      <c r="AN75" s="1">
        <f t="shared" si="89"/>
        <v>36.834118791905105</v>
      </c>
      <c r="AO75">
        <v>21</v>
      </c>
      <c r="AP75" s="1">
        <f t="shared" si="90"/>
        <v>15.414999999999999</v>
      </c>
      <c r="AQ75" s="1">
        <f t="shared" si="90"/>
        <v>1</v>
      </c>
      <c r="AR75">
        <f>CHOOSE(stockcode,Esc!F90,Esc!G90,Esc!H90,Esc!I90,Esc!J90,Esc!K90,Esc!L90,Esc!M90,Esc!N89,Esc!O89,Esc!P89)</f>
        <v>0</v>
      </c>
      <c r="AS75">
        <v>0</v>
      </c>
      <c r="AT75">
        <f t="shared" si="120"/>
        <v>2040</v>
      </c>
      <c r="AU75">
        <v>10009</v>
      </c>
      <c r="AV75" s="11">
        <f t="shared" si="121"/>
        <v>608.5871067531815</v>
      </c>
      <c r="AW75" s="11">
        <f t="shared" si="122"/>
        <v>393.27389809452126</v>
      </c>
      <c r="AX75" s="11">
        <f t="shared" si="123"/>
        <v>183.65180701325193</v>
      </c>
      <c r="AY75" s="11">
        <f t="shared" si="124"/>
        <v>5.9031039228691506</v>
      </c>
      <c r="AZ75" s="11">
        <f t="shared" si="125"/>
        <v>3.5800556542696045E-2</v>
      </c>
      <c r="BA75" s="11">
        <f t="shared" si="126"/>
        <v>39.371394125650291</v>
      </c>
      <c r="BB75" s="11">
        <f t="shared" si="127"/>
        <v>44.433989995892041</v>
      </c>
      <c r="BC75" s="11">
        <f t="shared" si="128"/>
        <v>85.435337400184238</v>
      </c>
      <c r="BD75" s="11">
        <f t="shared" si="129"/>
        <v>2.8708333158393398</v>
      </c>
      <c r="BE75" s="11">
        <f t="shared" si="130"/>
        <v>1.7586609971287439E-2</v>
      </c>
      <c r="BF75" s="11">
        <f t="shared" si="131"/>
        <v>12.050832122116363</v>
      </c>
      <c r="BG75" s="11">
        <f t="shared" si="132"/>
        <v>71.288463341680384</v>
      </c>
      <c r="BH75" s="11">
        <f t="shared" si="133"/>
        <v>33.290424753159989</v>
      </c>
      <c r="BI75" s="11">
        <f t="shared" si="134"/>
        <v>1.0700512026009021</v>
      </c>
      <c r="BJ75" s="11">
        <f t="shared" si="135"/>
        <v>6.4895399238836422E-3</v>
      </c>
      <c r="BK75" s="11">
        <f t="shared" si="136"/>
        <v>2038</v>
      </c>
      <c r="BL75">
        <f t="shared" si="137"/>
        <v>0.40611168906319267</v>
      </c>
      <c r="BM75">
        <f t="shared" si="47"/>
        <v>2040</v>
      </c>
      <c r="BN75" s="11">
        <f t="shared" si="48"/>
        <v>12.052036242032639</v>
      </c>
      <c r="BO75" s="11">
        <f t="shared" si="49"/>
        <v>71.302711060945228</v>
      </c>
      <c r="BP75" s="11">
        <f t="shared" si="50"/>
        <v>33.300405891902678</v>
      </c>
      <c r="BQ75" s="11">
        <f t="shared" si="51"/>
        <v>1.0704790091786534</v>
      </c>
      <c r="BR75" s="11">
        <f t="shared" si="52"/>
        <v>0</v>
      </c>
      <c r="BS75" s="11">
        <f t="shared" si="53"/>
        <v>39.375328117869081</v>
      </c>
      <c r="BT75" s="11">
        <f t="shared" si="54"/>
        <v>44.442870577484094</v>
      </c>
      <c r="BU75" s="11">
        <f t="shared" si="55"/>
        <v>85.460952632264977</v>
      </c>
      <c r="BV75" s="11">
        <f t="shared" si="56"/>
        <v>2.8719810752859511</v>
      </c>
      <c r="BW75" s="11">
        <f t="shared" si="57"/>
        <v>0</v>
      </c>
      <c r="BX75">
        <f t="shared" si="83"/>
        <v>608.52899537493181</v>
      </c>
      <c r="BY75">
        <f t="shared" si="84"/>
        <v>393.26439868407846</v>
      </c>
      <c r="BZ75">
        <f t="shared" si="85"/>
        <v>183.6416040473199</v>
      </c>
      <c r="CA75">
        <f t="shared" si="86"/>
        <v>5.8571141346552382</v>
      </c>
      <c r="CB75">
        <f t="shared" si="87"/>
        <v>0</v>
      </c>
      <c r="CC75">
        <f t="shared" si="58"/>
        <v>6.0798181174436187E-2</v>
      </c>
    </row>
    <row r="76" spans="1:81" x14ac:dyDescent="0.55000000000000004">
      <c r="G76">
        <v>2041</v>
      </c>
      <c r="H76" s="5">
        <f t="shared" si="93"/>
        <v>5002453.1976424353</v>
      </c>
      <c r="I76" s="5">
        <f t="shared" si="88"/>
        <v>155507.88319960985</v>
      </c>
      <c r="J76" s="5">
        <f t="shared" si="94"/>
        <v>10606.61974462332</v>
      </c>
      <c r="K76" s="5">
        <f t="shared" si="95"/>
        <v>7777.4559356154105</v>
      </c>
      <c r="L76" s="5">
        <f t="shared" si="96"/>
        <v>3800.2073925689765</v>
      </c>
      <c r="M76" s="5">
        <f t="shared" si="97"/>
        <v>121.33289859238583</v>
      </c>
      <c r="N76" s="5">
        <f t="shared" si="98"/>
        <v>0.74539953898004063</v>
      </c>
      <c r="O76" s="13">
        <f t="shared" si="91"/>
        <v>1.8781091493656543</v>
      </c>
      <c r="P76" s="3">
        <f t="shared" si="99"/>
        <v>0.87810914936565432</v>
      </c>
      <c r="Q76" s="3">
        <f t="shared" si="100"/>
        <v>3.4895291376122826</v>
      </c>
      <c r="R76" s="3">
        <f t="shared" si="101"/>
        <v>2.8</v>
      </c>
      <c r="S76" s="3">
        <f t="shared" si="102"/>
        <v>0.3</v>
      </c>
      <c r="T76" s="12">
        <f t="shared" si="75"/>
        <v>0.3</v>
      </c>
      <c r="U76" s="12">
        <f t="shared" si="76"/>
        <v>0.3</v>
      </c>
      <c r="V76" s="3">
        <f t="shared" si="103"/>
        <v>0.3</v>
      </c>
      <c r="W76" s="3">
        <f t="shared" si="104"/>
        <v>0.3</v>
      </c>
      <c r="X76" s="3">
        <f t="shared" si="105"/>
        <v>6.889529137612282</v>
      </c>
      <c r="Y76" s="17">
        <f t="shared" si="92"/>
        <v>0.2</v>
      </c>
      <c r="Z76" s="5">
        <f t="shared" si="106"/>
        <v>686.17524372863488</v>
      </c>
      <c r="AA76" s="5">
        <f t="shared" si="107"/>
        <v>878.73464501721708</v>
      </c>
      <c r="AB76" s="5">
        <f t="shared" si="108"/>
        <v>1767.8671724225248</v>
      </c>
      <c r="AC76" s="5">
        <f t="shared" si="109"/>
        <v>59.007351409980998</v>
      </c>
      <c r="AD76" s="5">
        <f t="shared" si="110"/>
        <v>0.36616891553586545</v>
      </c>
      <c r="AE76" s="5">
        <f t="shared" si="111"/>
        <v>210.02514267430652</v>
      </c>
      <c r="AF76" s="5">
        <f t="shared" si="112"/>
        <v>1409.8135804181857</v>
      </c>
      <c r="AG76" s="5">
        <f t="shared" si="113"/>
        <v>688.86073219846469</v>
      </c>
      <c r="AH76" s="5">
        <f t="shared" si="114"/>
        <v>21.993923154707378</v>
      </c>
      <c r="AI76" s="5">
        <f t="shared" si="115"/>
        <v>0.1351180130869315</v>
      </c>
      <c r="AJ76">
        <f t="shared" si="116"/>
        <v>2041</v>
      </c>
      <c r="AK76">
        <f t="shared" si="117"/>
        <v>2330.828496458751</v>
      </c>
      <c r="AL76">
        <f t="shared" si="118"/>
        <v>3392.1505814938937</v>
      </c>
      <c r="AM76">
        <f t="shared" si="119"/>
        <v>0.40727538310214972</v>
      </c>
      <c r="AN76" s="1">
        <f t="shared" si="89"/>
        <v>36.834118791905105</v>
      </c>
      <c r="AO76">
        <v>22</v>
      </c>
      <c r="AP76" s="1">
        <f t="shared" si="90"/>
        <v>15.414999999999999</v>
      </c>
      <c r="AQ76" s="1">
        <f t="shared" si="90"/>
        <v>1</v>
      </c>
      <c r="AR76">
        <f>CHOOSE(stockcode,Esc!F91,Esc!G91,Esc!H91,Esc!I91,Esc!J91,Esc!K91,Esc!L91,Esc!M91,Esc!N90,Esc!O90,Esc!P90)</f>
        <v>0</v>
      </c>
      <c r="AS76">
        <v>0</v>
      </c>
      <c r="AT76">
        <f t="shared" si="120"/>
        <v>2041</v>
      </c>
      <c r="AU76">
        <v>10010</v>
      </c>
      <c r="AV76" s="11">
        <f t="shared" si="121"/>
        <v>608.64791681580664</v>
      </c>
      <c r="AW76" s="11">
        <f t="shared" si="122"/>
        <v>393.31319797441472</v>
      </c>
      <c r="AX76" s="11">
        <f t="shared" si="123"/>
        <v>183.67016118145227</v>
      </c>
      <c r="AY76" s="11">
        <f t="shared" si="124"/>
        <v>5.9036939382537472</v>
      </c>
      <c r="AZ76" s="11">
        <f t="shared" si="125"/>
        <v>3.5804135166900626E-2</v>
      </c>
      <c r="BA76" s="11">
        <f t="shared" si="126"/>
        <v>39.375328117869081</v>
      </c>
      <c r="BB76" s="11">
        <f t="shared" si="127"/>
        <v>44.438430286688067</v>
      </c>
      <c r="BC76" s="11">
        <f t="shared" si="128"/>
        <v>85.443875810877813</v>
      </c>
      <c r="BD76" s="11">
        <f t="shared" si="129"/>
        <v>2.8711202557009936</v>
      </c>
      <c r="BE76" s="11">
        <f t="shared" si="130"/>
        <v>1.7588367929101439E-2</v>
      </c>
      <c r="BF76" s="11">
        <f t="shared" si="131"/>
        <v>12.052036242032639</v>
      </c>
      <c r="BG76" s="11">
        <f t="shared" si="132"/>
        <v>71.295587201312799</v>
      </c>
      <c r="BH76" s="11">
        <f t="shared" si="133"/>
        <v>33.293751799407552</v>
      </c>
      <c r="BI76" s="11">
        <f t="shared" si="134"/>
        <v>1.0701581542453404</v>
      </c>
      <c r="BJ76" s="11">
        <f t="shared" si="135"/>
        <v>6.4901886183982242E-3</v>
      </c>
      <c r="BK76" s="11">
        <f t="shared" si="136"/>
        <v>2039</v>
      </c>
      <c r="BL76">
        <f t="shared" si="137"/>
        <v>0.40612303771114755</v>
      </c>
      <c r="BM76">
        <f t="shared" si="47"/>
        <v>2041</v>
      </c>
      <c r="BN76" s="11">
        <f t="shared" si="48"/>
        <v>12.053240361948919</v>
      </c>
      <c r="BO76" s="11">
        <f t="shared" si="49"/>
        <v>71.309834920577657</v>
      </c>
      <c r="BP76" s="11">
        <f t="shared" si="50"/>
        <v>33.303732938150254</v>
      </c>
      <c r="BQ76" s="11">
        <f t="shared" si="51"/>
        <v>0</v>
      </c>
      <c r="BR76" s="11">
        <f t="shared" si="52"/>
        <v>0</v>
      </c>
      <c r="BS76" s="11">
        <f t="shared" si="53"/>
        <v>39.379262110087879</v>
      </c>
      <c r="BT76" s="11">
        <f t="shared" si="54"/>
        <v>44.447310868280134</v>
      </c>
      <c r="BU76" s="11">
        <f t="shared" si="55"/>
        <v>85.469491042958623</v>
      </c>
      <c r="BV76" s="11">
        <f t="shared" si="56"/>
        <v>0</v>
      </c>
      <c r="BW76" s="11">
        <f t="shared" si="57"/>
        <v>0</v>
      </c>
      <c r="BX76">
        <f t="shared" si="83"/>
        <v>594.18217808588247</v>
      </c>
      <c r="BY76">
        <f t="shared" si="84"/>
        <v>382.63026570505912</v>
      </c>
      <c r="BZ76">
        <f t="shared" si="85"/>
        <v>175.75288467641465</v>
      </c>
      <c r="CA76">
        <f t="shared" si="86"/>
        <v>0</v>
      </c>
      <c r="CB76">
        <f t="shared" si="87"/>
        <v>0</v>
      </c>
      <c r="CC76">
        <f t="shared" si="58"/>
        <v>5.9358858949638611E-2</v>
      </c>
    </row>
    <row r="77" spans="1:81" x14ac:dyDescent="0.55000000000000004">
      <c r="G77">
        <v>2042</v>
      </c>
      <c r="H77" s="5">
        <f t="shared" si="93"/>
        <v>4690845.4183275811</v>
      </c>
      <c r="I77" s="5">
        <f t="shared" si="88"/>
        <v>153745.35980625445</v>
      </c>
      <c r="J77" s="5">
        <f t="shared" si="94"/>
        <v>9456.4441160833558</v>
      </c>
      <c r="K77" s="5">
        <f t="shared" si="95"/>
        <v>6854.7681756068687</v>
      </c>
      <c r="L77" s="5">
        <f t="shared" si="96"/>
        <v>3632.294419226359</v>
      </c>
      <c r="M77" s="5">
        <f t="shared" si="97"/>
        <v>122.16194173356357</v>
      </c>
      <c r="N77" s="5">
        <f t="shared" si="98"/>
        <v>0.73592123028085887</v>
      </c>
      <c r="O77" s="13">
        <f t="shared" si="91"/>
        <v>1.8781091493656543</v>
      </c>
      <c r="P77" s="3">
        <f t="shared" si="99"/>
        <v>0.87810914936565432</v>
      </c>
      <c r="Q77" s="3">
        <f t="shared" si="100"/>
        <v>3.4845009492640702</v>
      </c>
      <c r="R77" s="3">
        <f t="shared" si="101"/>
        <v>2.8</v>
      </c>
      <c r="S77" s="3">
        <f t="shared" si="102"/>
        <v>0.3</v>
      </c>
      <c r="T77" s="12">
        <f t="shared" si="75"/>
        <v>0.3</v>
      </c>
      <c r="U77" s="12">
        <f t="shared" si="76"/>
        <v>0.3</v>
      </c>
      <c r="V77" s="3">
        <f t="shared" si="103"/>
        <v>0.3</v>
      </c>
      <c r="W77" s="3">
        <f t="shared" si="104"/>
        <v>0.3</v>
      </c>
      <c r="X77" s="3">
        <f t="shared" si="105"/>
        <v>6.5845009492640694</v>
      </c>
      <c r="Y77" s="17">
        <f t="shared" si="92"/>
        <v>0.2</v>
      </c>
      <c r="Z77" s="5">
        <f t="shared" si="106"/>
        <v>611.76680246776891</v>
      </c>
      <c r="AA77" s="5">
        <f t="shared" si="107"/>
        <v>774.48491246136416</v>
      </c>
      <c r="AB77" s="5">
        <f t="shared" si="108"/>
        <v>1689.7535847334063</v>
      </c>
      <c r="AC77" s="5">
        <f t="shared" si="109"/>
        <v>59.41053670047549</v>
      </c>
      <c r="AD77" s="5">
        <f t="shared" si="110"/>
        <v>0.36151280584435347</v>
      </c>
      <c r="AE77" s="5">
        <f t="shared" si="111"/>
        <v>187.25013929897858</v>
      </c>
      <c r="AF77" s="5">
        <f t="shared" si="112"/>
        <v>1242.5586650172736</v>
      </c>
      <c r="AG77" s="5">
        <f t="shared" si="113"/>
        <v>658.42327397221152</v>
      </c>
      <c r="AH77" s="5">
        <f t="shared" si="114"/>
        <v>22.144203180574532</v>
      </c>
      <c r="AI77" s="5">
        <f t="shared" si="115"/>
        <v>0.13339988720693641</v>
      </c>
      <c r="AJ77">
        <f t="shared" si="116"/>
        <v>2042</v>
      </c>
      <c r="AK77">
        <f t="shared" si="117"/>
        <v>2110.509681356245</v>
      </c>
      <c r="AL77">
        <f t="shared" si="118"/>
        <v>3135.777349168859</v>
      </c>
      <c r="AM77">
        <f t="shared" si="119"/>
        <v>0.40228635396355794</v>
      </c>
      <c r="AN77" s="1">
        <f t="shared" si="89"/>
        <v>36.834118791905105</v>
      </c>
      <c r="AO77">
        <v>23</v>
      </c>
      <c r="AP77" s="1">
        <f t="shared" si="90"/>
        <v>15.414999999999999</v>
      </c>
      <c r="AQ77" s="1">
        <f t="shared" si="90"/>
        <v>1</v>
      </c>
      <c r="AR77">
        <f>CHOOSE(stockcode,Esc!F92,Esc!G92,Esc!H92,Esc!I92,Esc!J92,Esc!K92,Esc!L92,Esc!M92,Esc!N91,Esc!O91,Esc!P91)</f>
        <v>0</v>
      </c>
      <c r="AS77">
        <v>0</v>
      </c>
      <c r="AT77">
        <f t="shared" si="120"/>
        <v>2042</v>
      </c>
      <c r="AU77">
        <v>10011</v>
      </c>
      <c r="AV77" s="11">
        <f t="shared" si="121"/>
        <v>608.70872687843189</v>
      </c>
      <c r="AW77" s="11">
        <f t="shared" si="122"/>
        <v>393.35249785430824</v>
      </c>
      <c r="AX77" s="11">
        <f t="shared" si="123"/>
        <v>183.68851534965268</v>
      </c>
      <c r="AY77" s="11">
        <f t="shared" si="124"/>
        <v>5.9042839536383394</v>
      </c>
      <c r="AZ77" s="11">
        <f t="shared" si="125"/>
        <v>3.5807713791105228E-2</v>
      </c>
      <c r="BA77" s="11">
        <f t="shared" si="126"/>
        <v>39.379262110087879</v>
      </c>
      <c r="BB77" s="11">
        <f t="shared" si="127"/>
        <v>44.442870577484094</v>
      </c>
      <c r="BC77" s="11">
        <f t="shared" si="128"/>
        <v>85.452414221571402</v>
      </c>
      <c r="BD77" s="11">
        <f t="shared" si="129"/>
        <v>2.8714071955626457</v>
      </c>
      <c r="BE77" s="11">
        <f t="shared" si="130"/>
        <v>1.7590125886915449E-2</v>
      </c>
      <c r="BF77" s="11">
        <f t="shared" si="131"/>
        <v>12.053240361948919</v>
      </c>
      <c r="BG77" s="11">
        <f t="shared" si="132"/>
        <v>71.302711060945228</v>
      </c>
      <c r="BH77" s="11">
        <f t="shared" si="133"/>
        <v>33.297078845655122</v>
      </c>
      <c r="BI77" s="11">
        <f t="shared" si="134"/>
        <v>1.0702651058897781</v>
      </c>
      <c r="BJ77" s="11">
        <f t="shared" si="135"/>
        <v>6.4908373129128087E-3</v>
      </c>
      <c r="BK77" s="11">
        <f t="shared" si="136"/>
        <v>2040</v>
      </c>
      <c r="BL77">
        <f t="shared" si="137"/>
        <v>0.40797886559883384</v>
      </c>
      <c r="BM77">
        <f t="shared" si="47"/>
        <v>2042</v>
      </c>
      <c r="BN77" s="11">
        <f t="shared" si="48"/>
        <v>12.054444481865199</v>
      </c>
      <c r="BO77" s="11">
        <f t="shared" si="49"/>
        <v>71.316958780210101</v>
      </c>
      <c r="BP77" s="11">
        <f t="shared" si="50"/>
        <v>0</v>
      </c>
      <c r="BQ77" s="11">
        <f t="shared" si="51"/>
        <v>0</v>
      </c>
      <c r="BR77" s="11">
        <f t="shared" si="52"/>
        <v>0</v>
      </c>
      <c r="BS77" s="11">
        <f t="shared" si="53"/>
        <v>39.383196102306663</v>
      </c>
      <c r="BT77" s="11">
        <f t="shared" si="54"/>
        <v>44.451751159076167</v>
      </c>
      <c r="BU77" s="11">
        <f t="shared" si="55"/>
        <v>0</v>
      </c>
      <c r="BV77" s="11">
        <f t="shared" si="56"/>
        <v>0</v>
      </c>
      <c r="BW77" s="11">
        <f t="shared" si="57"/>
        <v>0</v>
      </c>
      <c r="BX77">
        <f t="shared" si="83"/>
        <v>273.96690928180396</v>
      </c>
      <c r="BY77">
        <f t="shared" si="84"/>
        <v>145.40321071200373</v>
      </c>
      <c r="BZ77">
        <f t="shared" si="85"/>
        <v>0</v>
      </c>
      <c r="CA77">
        <f t="shared" si="86"/>
        <v>0</v>
      </c>
      <c r="CB77">
        <f t="shared" si="87"/>
        <v>0</v>
      </c>
      <c r="CC77">
        <f t="shared" si="58"/>
        <v>2.7366587681730493E-2</v>
      </c>
    </row>
    <row r="78" spans="1:81" x14ac:dyDescent="0.55000000000000004">
      <c r="G78">
        <v>2043</v>
      </c>
      <c r="H78" s="5">
        <f t="shared" si="93"/>
        <v>4157381.2624165756</v>
      </c>
      <c r="I78" s="5">
        <f t="shared" si="88"/>
        <v>152651.0462403284</v>
      </c>
      <c r="J78" s="5">
        <f t="shared" si="94"/>
        <v>9349.2649581550031</v>
      </c>
      <c r="K78" s="5">
        <f t="shared" si="95"/>
        <v>6111.4411322412379</v>
      </c>
      <c r="L78" s="5">
        <f t="shared" si="96"/>
        <v>3201.3728390705592</v>
      </c>
      <c r="M78" s="5">
        <f t="shared" si="97"/>
        <v>116.76419030928575</v>
      </c>
      <c r="N78" s="5">
        <f t="shared" si="98"/>
        <v>0.74094963111434664</v>
      </c>
      <c r="O78" s="13">
        <f t="shared" si="91"/>
        <v>1.8781091493656543</v>
      </c>
      <c r="P78" s="3">
        <f t="shared" si="99"/>
        <v>0.87810914936565432</v>
      </c>
      <c r="Q78" s="3">
        <f t="shared" si="100"/>
        <v>3.4758928257479038</v>
      </c>
      <c r="R78" s="3">
        <f t="shared" si="101"/>
        <v>2.8</v>
      </c>
      <c r="S78" s="3">
        <f t="shared" si="102"/>
        <v>0.3</v>
      </c>
      <c r="T78" s="12">
        <f t="shared" si="75"/>
        <v>0.3</v>
      </c>
      <c r="U78" s="12">
        <f t="shared" si="76"/>
        <v>0.3</v>
      </c>
      <c r="V78" s="3">
        <f t="shared" si="103"/>
        <v>0.3</v>
      </c>
      <c r="W78" s="3">
        <f t="shared" si="104"/>
        <v>0.3</v>
      </c>
      <c r="X78" s="3">
        <f t="shared" si="105"/>
        <v>6.2758928257479036</v>
      </c>
      <c r="Y78" s="17">
        <f t="shared" si="92"/>
        <v>0.2</v>
      </c>
      <c r="Z78" s="5">
        <f t="shared" si="106"/>
        <v>604.8330491528734</v>
      </c>
      <c r="AA78" s="5">
        <f t="shared" si="107"/>
        <v>690.50022248164396</v>
      </c>
      <c r="AB78" s="5">
        <f t="shared" si="108"/>
        <v>1489.2876530751639</v>
      </c>
      <c r="AC78" s="5">
        <f t="shared" si="109"/>
        <v>56.785469477890615</v>
      </c>
      <c r="AD78" s="5">
        <f t="shared" si="110"/>
        <v>0.36398294968506112</v>
      </c>
      <c r="AE78" s="5">
        <f t="shared" si="111"/>
        <v>185.1278497781324</v>
      </c>
      <c r="AF78" s="5">
        <f t="shared" si="112"/>
        <v>1107.8163316496152</v>
      </c>
      <c r="AG78" s="5">
        <f t="shared" si="113"/>
        <v>580.31044365492357</v>
      </c>
      <c r="AH78" s="5">
        <f t="shared" si="114"/>
        <v>21.165756844823441</v>
      </c>
      <c r="AI78" s="5">
        <f t="shared" si="115"/>
        <v>0.13431138163924478</v>
      </c>
      <c r="AJ78">
        <f t="shared" si="116"/>
        <v>2043</v>
      </c>
      <c r="AK78">
        <f t="shared" si="117"/>
        <v>1894.5546933091339</v>
      </c>
      <c r="AL78">
        <f t="shared" si="118"/>
        <v>2841.7703771372571</v>
      </c>
      <c r="AM78">
        <f t="shared" si="119"/>
        <v>0.40000520765154646</v>
      </c>
      <c r="AN78" s="1">
        <f t="shared" si="89"/>
        <v>36.834118791905105</v>
      </c>
      <c r="AO78">
        <v>24</v>
      </c>
      <c r="AP78" s="1">
        <f t="shared" si="90"/>
        <v>15.414999999999999</v>
      </c>
      <c r="AQ78" s="1">
        <f t="shared" si="90"/>
        <v>1</v>
      </c>
      <c r="AR78">
        <f>CHOOSE(stockcode,Esc!F93,Esc!G93,Esc!H93,Esc!I93,Esc!J93,Esc!K93,Esc!L93,Esc!M93,Esc!N92,Esc!O92,Esc!P92)</f>
        <v>0</v>
      </c>
      <c r="AS78">
        <v>0</v>
      </c>
      <c r="AT78">
        <f t="shared" si="120"/>
        <v>2043</v>
      </c>
      <c r="AU78">
        <v>10012</v>
      </c>
      <c r="AV78" s="11">
        <f t="shared" si="121"/>
        <v>608.76953694105714</v>
      </c>
      <c r="AW78" s="11">
        <f t="shared" si="122"/>
        <v>393.39179773420182</v>
      </c>
      <c r="AX78" s="11">
        <f t="shared" si="123"/>
        <v>183.70686951785305</v>
      </c>
      <c r="AY78" s="11">
        <f t="shared" si="124"/>
        <v>5.9048739690229333</v>
      </c>
      <c r="AZ78" s="11">
        <f t="shared" si="125"/>
        <v>3.5811292415309809E-2</v>
      </c>
      <c r="BA78" s="11">
        <f t="shared" si="126"/>
        <v>39.383196102306663</v>
      </c>
      <c r="BB78" s="11">
        <f t="shared" si="127"/>
        <v>44.447310868280134</v>
      </c>
      <c r="BC78" s="11">
        <f t="shared" si="128"/>
        <v>85.460952632264977</v>
      </c>
      <c r="BD78" s="11">
        <f t="shared" si="129"/>
        <v>2.8716941354242982</v>
      </c>
      <c r="BE78" s="11">
        <f t="shared" si="130"/>
        <v>1.7591883844729452E-2</v>
      </c>
      <c r="BF78" s="11">
        <f t="shared" si="131"/>
        <v>12.054444481865199</v>
      </c>
      <c r="BG78" s="11">
        <f t="shared" si="132"/>
        <v>71.309834920577657</v>
      </c>
      <c r="BH78" s="11">
        <f t="shared" si="133"/>
        <v>33.300405891902678</v>
      </c>
      <c r="BI78" s="11">
        <f t="shared" si="134"/>
        <v>1.0703720575342157</v>
      </c>
      <c r="BJ78" s="11">
        <f t="shared" si="135"/>
        <v>6.4914860074273906E-3</v>
      </c>
      <c r="BK78" s="11">
        <f t="shared" si="136"/>
        <v>2041</v>
      </c>
      <c r="BL78">
        <f t="shared" si="137"/>
        <v>0.49861385647777023</v>
      </c>
      <c r="BM78">
        <f t="shared" si="47"/>
        <v>2043</v>
      </c>
      <c r="BN78" s="11">
        <f t="shared" si="48"/>
        <v>12.055648601781478</v>
      </c>
      <c r="BO78" s="11">
        <f t="shared" si="49"/>
        <v>0</v>
      </c>
      <c r="BP78" s="11">
        <f t="shared" si="50"/>
        <v>0</v>
      </c>
      <c r="BQ78" s="11">
        <f t="shared" si="51"/>
        <v>0</v>
      </c>
      <c r="BR78" s="11">
        <f t="shared" si="52"/>
        <v>0</v>
      </c>
      <c r="BS78" s="11">
        <f t="shared" si="53"/>
        <v>39.387130094525453</v>
      </c>
      <c r="BT78" s="11">
        <f t="shared" si="54"/>
        <v>0</v>
      </c>
      <c r="BU78" s="11">
        <f t="shared" si="55"/>
        <v>0</v>
      </c>
      <c r="BV78" s="11">
        <f t="shared" si="56"/>
        <v>0</v>
      </c>
      <c r="BW78" s="11">
        <f t="shared" si="57"/>
        <v>0</v>
      </c>
      <c r="BX78">
        <f t="shared" ref="BX78:BX79" si="138">BY78*EXP(J$4)+BN78+BS78/Ssum</f>
        <v>77.700865425990571</v>
      </c>
      <c r="BY78">
        <f t="shared" ref="BY78:BY79" si="139">BZ78*EXP(K$4)+BO78+BT78/Ssum</f>
        <v>0</v>
      </c>
      <c r="BZ78">
        <f t="shared" ref="BZ78:BZ79" si="140">CA78*EXP(L$4)+BP78+BU78/Ssum</f>
        <v>0</v>
      </c>
      <c r="CA78">
        <f t="shared" ref="CA78:CA79" si="141">CB78*EXP(M$4)+BQ78+BV78/Ssum</f>
        <v>0</v>
      </c>
      <c r="CB78">
        <f t="shared" si="87"/>
        <v>0</v>
      </c>
      <c r="CC78">
        <f t="shared" si="58"/>
        <v>7.7607736142619429E-3</v>
      </c>
    </row>
    <row r="79" spans="1:81" x14ac:dyDescent="0.55000000000000004">
      <c r="G79">
        <v>2044</v>
      </c>
      <c r="H79" s="5">
        <f t="shared" si="93"/>
        <v>3805756.8496446866</v>
      </c>
      <c r="I79" s="5">
        <f t="shared" si="88"/>
        <v>143863.8197154823</v>
      </c>
      <c r="J79" s="5">
        <f t="shared" si="94"/>
        <v>9282.7196816794149</v>
      </c>
      <c r="K79" s="5">
        <f t="shared" si="95"/>
        <v>6042.1741745728405</v>
      </c>
      <c r="L79" s="5">
        <f t="shared" si="96"/>
        <v>2854.217844734565</v>
      </c>
      <c r="M79" s="5">
        <f t="shared" si="97"/>
        <v>102.91173134358144</v>
      </c>
      <c r="N79" s="5">
        <f t="shared" si="98"/>
        <v>0.70821061379102623</v>
      </c>
      <c r="O79" s="13">
        <f t="shared" si="91"/>
        <v>1.8781091493656543</v>
      </c>
      <c r="P79" s="3">
        <f t="shared" si="99"/>
        <v>0.87810914936565432</v>
      </c>
      <c r="Q79" s="3">
        <f t="shared" si="100"/>
        <v>3.4702189180581344</v>
      </c>
      <c r="R79" s="3">
        <f t="shared" si="101"/>
        <v>2.8</v>
      </c>
      <c r="S79" s="3">
        <f t="shared" si="102"/>
        <v>0.3</v>
      </c>
      <c r="T79" s="12">
        <f t="shared" si="75"/>
        <v>0.3</v>
      </c>
      <c r="U79" s="12">
        <f t="shared" si="76"/>
        <v>0.3</v>
      </c>
      <c r="V79" s="3">
        <f t="shared" si="103"/>
        <v>0.3</v>
      </c>
      <c r="W79" s="3">
        <f t="shared" si="104"/>
        <v>0.3</v>
      </c>
      <c r="X79" s="3">
        <f t="shared" si="105"/>
        <v>3.4702189180581344</v>
      </c>
      <c r="Y79" s="17">
        <f t="shared" si="92"/>
        <v>0.2</v>
      </c>
      <c r="Z79" s="5">
        <f t="shared" si="106"/>
        <v>600.52802809960394</v>
      </c>
      <c r="AA79" s="5">
        <f t="shared" si="107"/>
        <v>682.67410608033697</v>
      </c>
      <c r="AB79" s="5">
        <f t="shared" si="108"/>
        <v>1327.7901728509996</v>
      </c>
      <c r="AC79" s="5">
        <f t="shared" si="109"/>
        <v>50.048657586272689</v>
      </c>
      <c r="AD79" s="5">
        <f t="shared" si="110"/>
        <v>0.34790028550016799</v>
      </c>
      <c r="AE79" s="5">
        <f t="shared" si="111"/>
        <v>183.81016501874697</v>
      </c>
      <c r="AF79" s="5">
        <f t="shared" si="112"/>
        <v>1095.2603623964856</v>
      </c>
      <c r="AG79" s="5">
        <f t="shared" si="113"/>
        <v>517.38191926642037</v>
      </c>
      <c r="AH79" s="5">
        <f t="shared" si="114"/>
        <v>18.65473204009206</v>
      </c>
      <c r="AI79" s="5">
        <f t="shared" si="115"/>
        <v>0.12837680462407958</v>
      </c>
      <c r="AJ79">
        <f t="shared" si="116"/>
        <v>2044</v>
      </c>
      <c r="AK79">
        <f t="shared" si="117"/>
        <v>1815.2355555263691</v>
      </c>
      <c r="AL79">
        <f t="shared" si="118"/>
        <v>2661.3888649027135</v>
      </c>
      <c r="AM79">
        <f t="shared" si="119"/>
        <v>0.40549203708994191</v>
      </c>
      <c r="AN79" s="1">
        <f t="shared" si="89"/>
        <v>36.834118791905105</v>
      </c>
      <c r="AO79">
        <v>25</v>
      </c>
      <c r="AP79" s="1">
        <f t="shared" si="90"/>
        <v>15.414999999999999</v>
      </c>
      <c r="AQ79" s="1">
        <f t="shared" si="90"/>
        <v>1</v>
      </c>
      <c r="AR79">
        <f>CHOOSE(stockcode,Esc!F94,Esc!G94,Esc!H94,Esc!I94,Esc!J94,Esc!K94,Esc!L94,Esc!M94,Esc!N93,Esc!O93,Esc!P93)</f>
        <v>0</v>
      </c>
      <c r="AS79">
        <v>0</v>
      </c>
      <c r="AT79">
        <f t="shared" si="120"/>
        <v>2044</v>
      </c>
      <c r="AU79">
        <v>10013</v>
      </c>
      <c r="AV79" s="11">
        <f t="shared" si="121"/>
        <v>608.83034700368239</v>
      </c>
      <c r="AW79" s="11">
        <f t="shared" si="122"/>
        <v>393.43109761409539</v>
      </c>
      <c r="AX79" s="11">
        <f t="shared" si="123"/>
        <v>183.72522368605351</v>
      </c>
      <c r="AY79" s="11">
        <f t="shared" si="124"/>
        <v>5.9054639844075272</v>
      </c>
      <c r="AZ79" s="11">
        <f t="shared" si="125"/>
        <v>3.581487103951439E-2</v>
      </c>
      <c r="BA79" s="11">
        <f t="shared" si="126"/>
        <v>39.387130094525453</v>
      </c>
      <c r="BB79" s="11">
        <f t="shared" si="127"/>
        <v>44.451751159076167</v>
      </c>
      <c r="BC79" s="11">
        <f t="shared" si="128"/>
        <v>85.469491042958623</v>
      </c>
      <c r="BD79" s="11">
        <f t="shared" si="129"/>
        <v>2.8719810752859511</v>
      </c>
      <c r="BE79" s="11">
        <f t="shared" si="130"/>
        <v>1.7593641802543452E-2</v>
      </c>
      <c r="BF79" s="11">
        <f t="shared" si="131"/>
        <v>12.055648601781478</v>
      </c>
      <c r="BG79" s="11">
        <f t="shared" si="132"/>
        <v>71.316958780210101</v>
      </c>
      <c r="BH79" s="11">
        <f t="shared" si="133"/>
        <v>33.303732938150254</v>
      </c>
      <c r="BI79" s="11">
        <f t="shared" si="134"/>
        <v>1.0704790091786534</v>
      </c>
      <c r="BJ79" s="11">
        <f t="shared" si="135"/>
        <v>6.4921347019419708E-3</v>
      </c>
      <c r="BK79" s="11">
        <f t="shared" si="136"/>
        <v>2042</v>
      </c>
      <c r="BL79">
        <f t="shared" si="137"/>
        <v>0.23435064954310003</v>
      </c>
      <c r="BM79">
        <f t="shared" ref="BM79" si="142">AT79</f>
        <v>2044</v>
      </c>
      <c r="BN79" s="11">
        <f t="shared" ref="BN79" si="143">BF80</f>
        <v>0</v>
      </c>
      <c r="BO79" s="11">
        <f t="shared" ref="BO79" si="144">BG81</f>
        <v>0</v>
      </c>
      <c r="BP79" s="11">
        <f t="shared" ref="BP79" si="145">BH82</f>
        <v>0</v>
      </c>
      <c r="BQ79" s="11">
        <f t="shared" ref="BQ79" si="146">BI83</f>
        <v>0</v>
      </c>
      <c r="BR79" s="11">
        <f t="shared" ref="BR79" si="147">BJ84</f>
        <v>0</v>
      </c>
      <c r="BS79" s="11">
        <f t="shared" ref="BS79" si="148">BA80</f>
        <v>0</v>
      </c>
      <c r="BT79" s="11">
        <f t="shared" ref="BT79" si="149">BB81</f>
        <v>0</v>
      </c>
      <c r="BU79" s="11">
        <f t="shared" ref="BU79" si="150">BC82</f>
        <v>0</v>
      </c>
      <c r="BV79" s="11">
        <f t="shared" ref="BV79" si="151">BD83</f>
        <v>0</v>
      </c>
      <c r="BW79" s="11">
        <f t="shared" ref="BW79" si="152">BE84</f>
        <v>0</v>
      </c>
      <c r="BX79">
        <f t="shared" si="138"/>
        <v>0</v>
      </c>
      <c r="BY79">
        <f t="shared" si="139"/>
        <v>0</v>
      </c>
      <c r="BZ79">
        <f t="shared" si="140"/>
        <v>0</v>
      </c>
      <c r="CA79">
        <f t="shared" si="141"/>
        <v>0</v>
      </c>
      <c r="CB79">
        <f t="shared" si="87"/>
        <v>0</v>
      </c>
      <c r="CC79">
        <f t="shared" ref="CC79" si="153">BX79/AU79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1C69-3A49-4F91-B7F5-36DB0D06640B}">
  <dimension ref="E1:BK73"/>
  <sheetViews>
    <sheetView topLeftCell="C64" workbookViewId="0">
      <selection activeCell="P74" sqref="P74"/>
    </sheetView>
  </sheetViews>
  <sheetFormatPr defaultRowHeight="14.4" x14ac:dyDescent="0.55000000000000004"/>
  <sheetData>
    <row r="1" spans="5:63" x14ac:dyDescent="0.55000000000000004">
      <c r="E1" t="s">
        <v>87</v>
      </c>
      <c r="F1" t="s">
        <v>88</v>
      </c>
      <c r="G1" t="s">
        <v>89</v>
      </c>
      <c r="H1" t="s">
        <v>86</v>
      </c>
      <c r="I1" t="s">
        <v>90</v>
      </c>
      <c r="J1" t="s">
        <v>91</v>
      </c>
      <c r="K1" t="s">
        <v>92</v>
      </c>
      <c r="L1" t="s">
        <v>93</v>
      </c>
      <c r="M1" t="s">
        <v>98</v>
      </c>
      <c r="N1" t="s">
        <v>136</v>
      </c>
      <c r="O1" t="s">
        <v>233</v>
      </c>
      <c r="P1" t="s">
        <v>239</v>
      </c>
      <c r="S1">
        <v>18124.065706663929</v>
      </c>
      <c r="T1">
        <v>19514.502044922116</v>
      </c>
      <c r="U1">
        <v>14214.613651975256</v>
      </c>
      <c r="V1">
        <v>17650.493010655886</v>
      </c>
      <c r="W1">
        <v>29204.887063911243</v>
      </c>
      <c r="X1">
        <v>36372.974865451521</v>
      </c>
      <c r="Y1">
        <v>52231.921173071489</v>
      </c>
      <c r="Z1">
        <v>60718.43876340425</v>
      </c>
      <c r="AA1">
        <v>61979.185105435718</v>
      </c>
      <c r="AB1">
        <v>54064.133542300639</v>
      </c>
      <c r="AC1">
        <v>37950.628875676288</v>
      </c>
      <c r="AD1">
        <v>51157.854853381767</v>
      </c>
      <c r="AE1">
        <v>34767.351578448506</v>
      </c>
      <c r="AF1">
        <v>42483.844334993897</v>
      </c>
      <c r="AG1">
        <v>43757.977809358563</v>
      </c>
      <c r="AH1">
        <v>65814.375650069414</v>
      </c>
      <c r="AI1">
        <v>52326.451713539391</v>
      </c>
      <c r="AJ1">
        <v>41132.629017196632</v>
      </c>
      <c r="AK1">
        <v>41380.395737668499</v>
      </c>
      <c r="AL1">
        <v>34563.517459108894</v>
      </c>
      <c r="AM1">
        <v>23548.53071040885</v>
      </c>
      <c r="AN1">
        <v>29009.824479775059</v>
      </c>
      <c r="AO1">
        <v>34058.805641715604</v>
      </c>
      <c r="AP1">
        <v>44481.593733378955</v>
      </c>
      <c r="AQ1">
        <v>55297.149868077388</v>
      </c>
      <c r="AR1">
        <v>35737.059915210368</v>
      </c>
      <c r="AS1">
        <v>24122.325347298593</v>
      </c>
      <c r="AT1">
        <v>24357.474158242523</v>
      </c>
      <c r="AU1">
        <v>13201.512444477912</v>
      </c>
      <c r="AV1">
        <v>18415.973958867569</v>
      </c>
      <c r="AW1">
        <v>29362.512144301156</v>
      </c>
      <c r="AX1">
        <v>20592.98856897053</v>
      </c>
      <c r="AY1">
        <v>13471.582043405921</v>
      </c>
      <c r="AZ1">
        <v>12879.133243515074</v>
      </c>
      <c r="BA1">
        <v>19732.349976641919</v>
      </c>
      <c r="BB1">
        <v>40935.952520080631</v>
      </c>
      <c r="BC1">
        <v>27967.583715754059</v>
      </c>
      <c r="BD1">
        <v>15971.250132277619</v>
      </c>
      <c r="BE1">
        <v>10921.815202119611</v>
      </c>
      <c r="BF1">
        <v>11071.534948265014</v>
      </c>
      <c r="BG1">
        <v>16823.238677359746</v>
      </c>
      <c r="BH1">
        <v>25678.051029304661</v>
      </c>
      <c r="BI1">
        <v>22839.910291231092</v>
      </c>
      <c r="BJ1">
        <v>26915.272225313078</v>
      </c>
      <c r="BK1">
        <v>19396.884039509463</v>
      </c>
    </row>
    <row r="2" spans="5:63" x14ac:dyDescent="0.55000000000000004">
      <c r="E2">
        <v>1953</v>
      </c>
      <c r="F2">
        <v>5500</v>
      </c>
      <c r="H2">
        <v>1500</v>
      </c>
      <c r="I2">
        <v>750</v>
      </c>
      <c r="J2">
        <v>3500</v>
      </c>
      <c r="M2">
        <f>SUM(F2:L2)</f>
        <v>11250</v>
      </c>
      <c r="N2">
        <v>15000</v>
      </c>
    </row>
    <row r="3" spans="5:63" x14ac:dyDescent="0.55000000000000004">
      <c r="E3">
        <v>1954</v>
      </c>
      <c r="F3">
        <v>15000</v>
      </c>
      <c r="G3">
        <v>25</v>
      </c>
      <c r="H3">
        <v>1500</v>
      </c>
      <c r="I3">
        <v>750</v>
      </c>
      <c r="J3">
        <v>15000</v>
      </c>
      <c r="M3">
        <f t="shared" ref="M3:M66" si="0">SUM(F3:L3)</f>
        <v>32275</v>
      </c>
      <c r="N3">
        <v>15000</v>
      </c>
    </row>
    <row r="4" spans="5:63" x14ac:dyDescent="0.55000000000000004">
      <c r="E4">
        <v>1955</v>
      </c>
      <c r="F4">
        <v>7500</v>
      </c>
      <c r="H4">
        <v>3500</v>
      </c>
      <c r="I4">
        <v>1500</v>
      </c>
      <c r="J4">
        <v>7500</v>
      </c>
      <c r="M4">
        <f t="shared" si="0"/>
        <v>20000</v>
      </c>
      <c r="N4">
        <v>7500</v>
      </c>
    </row>
    <row r="5" spans="5:63" x14ac:dyDescent="0.55000000000000004">
      <c r="E5">
        <v>1956</v>
      </c>
      <c r="F5">
        <v>3500</v>
      </c>
      <c r="G5">
        <v>200</v>
      </c>
      <c r="H5">
        <v>3500</v>
      </c>
      <c r="I5">
        <v>1500</v>
      </c>
      <c r="J5">
        <v>1500</v>
      </c>
      <c r="M5">
        <f t="shared" si="0"/>
        <v>10200</v>
      </c>
      <c r="N5">
        <v>3500</v>
      </c>
    </row>
    <row r="6" spans="5:63" x14ac:dyDescent="0.55000000000000004">
      <c r="E6">
        <v>1957</v>
      </c>
      <c r="F6">
        <v>15000</v>
      </c>
      <c r="G6">
        <v>25</v>
      </c>
      <c r="H6">
        <v>7500</v>
      </c>
      <c r="I6">
        <v>1500</v>
      </c>
      <c r="J6">
        <v>3500</v>
      </c>
      <c r="K6">
        <v>25</v>
      </c>
      <c r="M6">
        <f t="shared" si="0"/>
        <v>27550</v>
      </c>
      <c r="N6">
        <v>3500</v>
      </c>
    </row>
    <row r="7" spans="5:63" x14ac:dyDescent="0.55000000000000004">
      <c r="E7">
        <v>1958</v>
      </c>
      <c r="F7">
        <v>7500</v>
      </c>
      <c r="H7">
        <v>3500</v>
      </c>
      <c r="I7">
        <v>750</v>
      </c>
      <c r="J7">
        <v>7500</v>
      </c>
      <c r="K7">
        <v>75</v>
      </c>
      <c r="M7">
        <f t="shared" si="0"/>
        <v>19325</v>
      </c>
      <c r="N7">
        <v>16500</v>
      </c>
    </row>
    <row r="8" spans="5:63" x14ac:dyDescent="0.55000000000000004">
      <c r="E8">
        <v>1959</v>
      </c>
      <c r="F8">
        <v>3500</v>
      </c>
      <c r="H8">
        <v>3500</v>
      </c>
      <c r="I8">
        <v>3500</v>
      </c>
      <c r="J8">
        <v>3500</v>
      </c>
      <c r="K8">
        <v>25</v>
      </c>
      <c r="M8">
        <f t="shared" si="0"/>
        <v>14025</v>
      </c>
      <c r="N8">
        <v>18000</v>
      </c>
    </row>
    <row r="9" spans="5:63" x14ac:dyDescent="0.55000000000000004">
      <c r="E9">
        <v>1960</v>
      </c>
      <c r="F9">
        <v>1500</v>
      </c>
      <c r="H9">
        <v>750</v>
      </c>
      <c r="I9">
        <v>1500</v>
      </c>
      <c r="J9">
        <v>3500</v>
      </c>
      <c r="K9">
        <v>25</v>
      </c>
      <c r="L9">
        <v>25</v>
      </c>
      <c r="M9">
        <f t="shared" si="0"/>
        <v>7300</v>
      </c>
      <c r="N9">
        <v>3500</v>
      </c>
    </row>
    <row r="10" spans="5:63" x14ac:dyDescent="0.55000000000000004">
      <c r="E10">
        <v>1961</v>
      </c>
      <c r="F10">
        <v>3500</v>
      </c>
      <c r="G10">
        <v>25</v>
      </c>
      <c r="H10">
        <v>750</v>
      </c>
      <c r="I10">
        <v>1500</v>
      </c>
      <c r="J10">
        <v>1500</v>
      </c>
      <c r="L10">
        <v>25</v>
      </c>
      <c r="M10">
        <f t="shared" si="0"/>
        <v>7300</v>
      </c>
      <c r="N10">
        <v>5000</v>
      </c>
    </row>
    <row r="11" spans="5:63" x14ac:dyDescent="0.55000000000000004">
      <c r="E11">
        <v>1962</v>
      </c>
      <c r="F11">
        <v>3500</v>
      </c>
      <c r="G11">
        <v>25</v>
      </c>
      <c r="H11">
        <v>750</v>
      </c>
      <c r="I11">
        <v>750</v>
      </c>
      <c r="J11">
        <v>1500</v>
      </c>
      <c r="M11">
        <f t="shared" si="0"/>
        <v>6525</v>
      </c>
      <c r="N11">
        <v>2000</v>
      </c>
    </row>
    <row r="12" spans="5:63" x14ac:dyDescent="0.55000000000000004">
      <c r="E12">
        <v>1963</v>
      </c>
      <c r="F12">
        <v>3500</v>
      </c>
      <c r="H12">
        <v>1500</v>
      </c>
      <c r="I12">
        <v>750</v>
      </c>
      <c r="J12">
        <v>1500</v>
      </c>
      <c r="L12">
        <v>25</v>
      </c>
      <c r="M12">
        <f t="shared" si="0"/>
        <v>7275</v>
      </c>
      <c r="N12">
        <v>13500</v>
      </c>
    </row>
    <row r="13" spans="5:63" x14ac:dyDescent="0.55000000000000004">
      <c r="E13">
        <v>1964</v>
      </c>
      <c r="F13">
        <v>7500</v>
      </c>
      <c r="G13">
        <v>25</v>
      </c>
      <c r="H13">
        <v>750</v>
      </c>
      <c r="I13">
        <v>400</v>
      </c>
      <c r="J13">
        <v>750</v>
      </c>
      <c r="L13">
        <v>25</v>
      </c>
      <c r="M13">
        <f t="shared" si="0"/>
        <v>9450</v>
      </c>
      <c r="N13">
        <v>6000</v>
      </c>
    </row>
    <row r="14" spans="5:63" x14ac:dyDescent="0.55000000000000004">
      <c r="E14">
        <v>1965</v>
      </c>
      <c r="F14">
        <v>10000</v>
      </c>
      <c r="G14">
        <v>25</v>
      </c>
      <c r="H14">
        <v>3500</v>
      </c>
      <c r="I14">
        <v>1500</v>
      </c>
      <c r="J14">
        <v>1121</v>
      </c>
      <c r="L14">
        <v>75</v>
      </c>
      <c r="M14">
        <f t="shared" si="0"/>
        <v>16221</v>
      </c>
      <c r="N14">
        <v>8500</v>
      </c>
    </row>
    <row r="15" spans="5:63" x14ac:dyDescent="0.55000000000000004">
      <c r="E15">
        <v>1966</v>
      </c>
      <c r="F15">
        <v>17700</v>
      </c>
      <c r="G15">
        <v>200</v>
      </c>
      <c r="H15">
        <v>1500</v>
      </c>
      <c r="I15">
        <v>1500</v>
      </c>
      <c r="J15">
        <v>1157</v>
      </c>
      <c r="L15">
        <v>25</v>
      </c>
      <c r="M15">
        <f t="shared" si="0"/>
        <v>22082</v>
      </c>
      <c r="N15">
        <v>9000</v>
      </c>
    </row>
    <row r="16" spans="5:63" x14ac:dyDescent="0.55000000000000004">
      <c r="E16">
        <v>1967</v>
      </c>
      <c r="F16">
        <v>3500</v>
      </c>
      <c r="G16">
        <v>50</v>
      </c>
      <c r="H16">
        <v>1200</v>
      </c>
      <c r="I16">
        <v>876</v>
      </c>
      <c r="J16">
        <v>840</v>
      </c>
      <c r="L16">
        <v>75</v>
      </c>
      <c r="M16">
        <f t="shared" si="0"/>
        <v>6541</v>
      </c>
      <c r="N16">
        <v>7500</v>
      </c>
    </row>
    <row r="17" spans="5:63" x14ac:dyDescent="0.55000000000000004">
      <c r="E17">
        <v>1968</v>
      </c>
      <c r="F17">
        <v>7500</v>
      </c>
      <c r="G17">
        <v>100</v>
      </c>
      <c r="H17">
        <v>1500</v>
      </c>
      <c r="I17">
        <v>829</v>
      </c>
      <c r="J17">
        <v>720</v>
      </c>
      <c r="L17">
        <v>115</v>
      </c>
      <c r="M17">
        <f t="shared" si="0"/>
        <v>10764</v>
      </c>
      <c r="N17">
        <v>7500</v>
      </c>
    </row>
    <row r="18" spans="5:63" x14ac:dyDescent="0.55000000000000004">
      <c r="E18">
        <v>1969</v>
      </c>
      <c r="F18">
        <v>7500</v>
      </c>
      <c r="G18">
        <v>20</v>
      </c>
      <c r="H18">
        <v>1100</v>
      </c>
      <c r="I18">
        <v>939</v>
      </c>
      <c r="J18">
        <v>486</v>
      </c>
      <c r="L18">
        <v>75</v>
      </c>
      <c r="M18">
        <f t="shared" si="0"/>
        <v>10120</v>
      </c>
      <c r="N18">
        <v>7500</v>
      </c>
    </row>
    <row r="19" spans="5:63" x14ac:dyDescent="0.55000000000000004">
      <c r="E19">
        <v>1970</v>
      </c>
      <c r="F19">
        <v>7500</v>
      </c>
      <c r="G19">
        <v>16</v>
      </c>
      <c r="H19">
        <v>1500</v>
      </c>
      <c r="I19">
        <v>1660</v>
      </c>
      <c r="J19">
        <v>685</v>
      </c>
      <c r="L19">
        <v>75</v>
      </c>
      <c r="M19">
        <f t="shared" si="0"/>
        <v>11436</v>
      </c>
      <c r="N19">
        <v>7500</v>
      </c>
    </row>
    <row r="20" spans="5:63" x14ac:dyDescent="0.55000000000000004">
      <c r="E20">
        <v>1971</v>
      </c>
      <c r="F20">
        <v>7500</v>
      </c>
      <c r="G20">
        <v>30</v>
      </c>
      <c r="H20">
        <v>850</v>
      </c>
      <c r="I20">
        <v>750</v>
      </c>
      <c r="J20">
        <v>557</v>
      </c>
      <c r="K20">
        <v>25</v>
      </c>
      <c r="L20">
        <v>75</v>
      </c>
      <c r="M20">
        <f t="shared" si="0"/>
        <v>9787</v>
      </c>
      <c r="N20">
        <v>15000</v>
      </c>
    </row>
    <row r="21" spans="5:63" x14ac:dyDescent="0.55000000000000004">
      <c r="E21">
        <v>1972</v>
      </c>
      <c r="F21">
        <v>8500</v>
      </c>
      <c r="G21">
        <v>60</v>
      </c>
      <c r="H21">
        <v>1950</v>
      </c>
      <c r="I21">
        <v>750</v>
      </c>
      <c r="J21">
        <v>635</v>
      </c>
      <c r="K21">
        <v>75</v>
      </c>
      <c r="L21">
        <v>75</v>
      </c>
      <c r="M21">
        <f t="shared" si="0"/>
        <v>12045</v>
      </c>
      <c r="N21">
        <v>15000</v>
      </c>
    </row>
    <row r="22" spans="5:63" x14ac:dyDescent="0.55000000000000004">
      <c r="E22">
        <v>1973</v>
      </c>
      <c r="F22">
        <v>8000</v>
      </c>
      <c r="G22">
        <v>65</v>
      </c>
      <c r="H22">
        <v>1200</v>
      </c>
      <c r="I22">
        <v>316</v>
      </c>
      <c r="J22">
        <v>1179</v>
      </c>
      <c r="L22">
        <v>75</v>
      </c>
      <c r="M22">
        <f t="shared" si="0"/>
        <v>10835</v>
      </c>
      <c r="N22">
        <v>35000</v>
      </c>
    </row>
    <row r="23" spans="5:63" x14ac:dyDescent="0.55000000000000004">
      <c r="E23">
        <v>1974</v>
      </c>
      <c r="F23">
        <v>3500</v>
      </c>
      <c r="G23">
        <v>40</v>
      </c>
      <c r="H23">
        <v>2400</v>
      </c>
      <c r="I23">
        <v>176</v>
      </c>
      <c r="J23">
        <v>844</v>
      </c>
      <c r="K23">
        <v>75</v>
      </c>
      <c r="L23">
        <v>25</v>
      </c>
      <c r="M23">
        <f t="shared" si="0"/>
        <v>7060</v>
      </c>
      <c r="N23">
        <v>35000</v>
      </c>
    </row>
    <row r="24" spans="5:63" x14ac:dyDescent="0.55000000000000004">
      <c r="E24">
        <v>1975</v>
      </c>
      <c r="F24">
        <v>6900</v>
      </c>
      <c r="G24">
        <v>20</v>
      </c>
      <c r="H24">
        <v>525</v>
      </c>
      <c r="I24">
        <v>602</v>
      </c>
      <c r="J24">
        <v>1175</v>
      </c>
      <c r="K24">
        <v>200</v>
      </c>
      <c r="L24">
        <v>75</v>
      </c>
      <c r="M24">
        <f t="shared" si="0"/>
        <v>9497</v>
      </c>
      <c r="N24">
        <v>15000</v>
      </c>
    </row>
    <row r="25" spans="5:63" x14ac:dyDescent="0.55000000000000004">
      <c r="E25">
        <v>1976</v>
      </c>
      <c r="F25">
        <v>10000</v>
      </c>
      <c r="G25">
        <v>60</v>
      </c>
      <c r="H25">
        <v>1100</v>
      </c>
      <c r="I25">
        <v>447</v>
      </c>
      <c r="J25">
        <v>850</v>
      </c>
      <c r="K25">
        <v>25</v>
      </c>
      <c r="L25">
        <v>25</v>
      </c>
      <c r="M25">
        <f t="shared" si="0"/>
        <v>12507</v>
      </c>
      <c r="N25">
        <v>7500</v>
      </c>
    </row>
    <row r="26" spans="5:63" x14ac:dyDescent="0.55000000000000004">
      <c r="E26">
        <v>1977</v>
      </c>
      <c r="F26">
        <v>9600</v>
      </c>
      <c r="G26">
        <v>150</v>
      </c>
      <c r="H26">
        <v>2800</v>
      </c>
      <c r="I26">
        <v>763</v>
      </c>
      <c r="J26">
        <v>1734</v>
      </c>
      <c r="L26">
        <v>25</v>
      </c>
      <c r="M26">
        <f t="shared" si="0"/>
        <v>15072</v>
      </c>
      <c r="N26">
        <v>25000</v>
      </c>
    </row>
    <row r="27" spans="5:63" x14ac:dyDescent="0.55000000000000004">
      <c r="E27">
        <v>1978</v>
      </c>
      <c r="F27">
        <v>10671</v>
      </c>
      <c r="G27">
        <v>261</v>
      </c>
      <c r="H27">
        <v>2500</v>
      </c>
      <c r="I27">
        <v>1053</v>
      </c>
      <c r="J27">
        <v>1465</v>
      </c>
      <c r="K27">
        <v>83</v>
      </c>
      <c r="L27">
        <v>75</v>
      </c>
      <c r="M27">
        <f t="shared" si="0"/>
        <v>16108</v>
      </c>
      <c r="N27">
        <v>15000</v>
      </c>
      <c r="O27" t="s">
        <v>234</v>
      </c>
      <c r="P27" t="s">
        <v>240</v>
      </c>
      <c r="S27">
        <v>27936.518499201116</v>
      </c>
      <c r="T27">
        <v>11505.134606393207</v>
      </c>
      <c r="U27">
        <v>17982.503369087543</v>
      </c>
      <c r="V27">
        <v>8670.2321293270634</v>
      </c>
      <c r="W27">
        <v>10339.488093392516</v>
      </c>
      <c r="X27">
        <v>17332.986166266022</v>
      </c>
      <c r="Y27">
        <v>22583.333207755193</v>
      </c>
      <c r="Z27">
        <v>35629.279129491842</v>
      </c>
      <c r="AA27">
        <v>33766.879209138824</v>
      </c>
      <c r="AB27">
        <v>46093.980437238395</v>
      </c>
      <c r="AC27">
        <v>36593.136049955247</v>
      </c>
      <c r="AD27">
        <v>39882.348278118276</v>
      </c>
      <c r="AE27">
        <v>38181.708493190206</v>
      </c>
      <c r="AF27">
        <v>49009.465081190792</v>
      </c>
      <c r="AG27">
        <v>23443.870497167503</v>
      </c>
      <c r="AH27">
        <v>42901.105893949767</v>
      </c>
      <c r="AI27">
        <v>32019.409672765596</v>
      </c>
      <c r="AJ27">
        <v>76956.907989000974</v>
      </c>
      <c r="AK27">
        <v>67179.231280361753</v>
      </c>
      <c r="AL27">
        <v>98018.054566322389</v>
      </c>
      <c r="AM27">
        <v>70628.175667451549</v>
      </c>
      <c r="AN27">
        <v>50250.803934641182</v>
      </c>
      <c r="AO27">
        <v>85841.293043330908</v>
      </c>
      <c r="AP27">
        <v>131696.57789007886</v>
      </c>
      <c r="AQ27">
        <v>100747.93715868218</v>
      </c>
      <c r="AR27">
        <v>67104.372695783488</v>
      </c>
      <c r="AS27">
        <v>107441.14868479334</v>
      </c>
      <c r="AT27">
        <v>204107.80758252461</v>
      </c>
      <c r="AU27">
        <v>82610</v>
      </c>
      <c r="AV27">
        <v>106914.74604990784</v>
      </c>
      <c r="AW27">
        <v>97136.517599719577</v>
      </c>
      <c r="AX27">
        <v>170527.65269093419</v>
      </c>
      <c r="AY27">
        <v>140943</v>
      </c>
      <c r="AZ27">
        <v>53310.580086927563</v>
      </c>
      <c r="BA27">
        <v>134461.63289753636</v>
      </c>
      <c r="BB27">
        <v>89229.72597787423</v>
      </c>
      <c r="BC27">
        <v>192224.86853862231</v>
      </c>
      <c r="BD27">
        <v>99572.351136372439</v>
      </c>
      <c r="BE27">
        <v>95117.777215220005</v>
      </c>
      <c r="BF27">
        <v>56735</v>
      </c>
      <c r="BG27">
        <v>173431</v>
      </c>
      <c r="BH27">
        <v>165726.4612411673</v>
      </c>
      <c r="BI27">
        <v>197069.18427887195</v>
      </c>
      <c r="BJ27">
        <v>124569.67277935897</v>
      </c>
      <c r="BK27">
        <v>641668</v>
      </c>
    </row>
    <row r="28" spans="5:63" x14ac:dyDescent="0.55000000000000004">
      <c r="E28">
        <v>1979</v>
      </c>
      <c r="F28">
        <v>17795</v>
      </c>
      <c r="G28">
        <v>225</v>
      </c>
      <c r="H28">
        <v>3646</v>
      </c>
      <c r="I28">
        <v>4374</v>
      </c>
      <c r="J28">
        <v>2018</v>
      </c>
      <c r="K28">
        <v>468</v>
      </c>
      <c r="M28">
        <f t="shared" si="0"/>
        <v>28526</v>
      </c>
      <c r="N28" s="13">
        <v>78000</v>
      </c>
      <c r="O28" s="13">
        <v>27936.518499201116</v>
      </c>
      <c r="P28">
        <v>18124.065706663929</v>
      </c>
    </row>
    <row r="29" spans="5:63" s="1" customFormat="1" x14ac:dyDescent="0.55000000000000004">
      <c r="E29" s="1">
        <v>1980</v>
      </c>
      <c r="F29" s="1">
        <v>7337</v>
      </c>
      <c r="G29" s="1">
        <v>90</v>
      </c>
      <c r="H29" s="1">
        <v>3609</v>
      </c>
      <c r="I29" s="1">
        <v>3245</v>
      </c>
      <c r="J29" s="1">
        <v>1300</v>
      </c>
      <c r="K29" s="1">
        <v>550</v>
      </c>
      <c r="M29" s="1">
        <f t="shared" si="0"/>
        <v>16131</v>
      </c>
      <c r="N29" s="14">
        <v>52000</v>
      </c>
      <c r="O29" s="13">
        <v>11505.134606393207</v>
      </c>
      <c r="P29">
        <v>19514.502044922116</v>
      </c>
    </row>
    <row r="30" spans="5:63" x14ac:dyDescent="0.55000000000000004">
      <c r="E30">
        <v>1981</v>
      </c>
      <c r="F30">
        <v>8782</v>
      </c>
      <c r="G30">
        <v>1750</v>
      </c>
      <c r="H30">
        <v>400</v>
      </c>
      <c r="I30">
        <v>2077</v>
      </c>
      <c r="J30">
        <v>900</v>
      </c>
      <c r="K30">
        <v>925</v>
      </c>
      <c r="M30">
        <f t="shared" si="0"/>
        <v>14834</v>
      </c>
      <c r="N30" s="14">
        <v>104000</v>
      </c>
      <c r="O30" s="13">
        <v>17982.503369087543</v>
      </c>
      <c r="P30">
        <v>14214.613651975256</v>
      </c>
    </row>
    <row r="31" spans="5:63" x14ac:dyDescent="0.55000000000000004">
      <c r="E31">
        <v>1982</v>
      </c>
      <c r="F31">
        <v>9049</v>
      </c>
      <c r="G31">
        <v>750</v>
      </c>
      <c r="H31">
        <v>1461</v>
      </c>
      <c r="I31">
        <v>1228</v>
      </c>
      <c r="J31">
        <v>2340</v>
      </c>
      <c r="K31">
        <v>1500</v>
      </c>
      <c r="L31">
        <v>14</v>
      </c>
      <c r="M31">
        <f t="shared" si="0"/>
        <v>16342</v>
      </c>
      <c r="N31" s="14">
        <v>114400</v>
      </c>
      <c r="O31" s="13">
        <v>8670.2321293270634</v>
      </c>
      <c r="P31">
        <v>17650.493010655886</v>
      </c>
    </row>
    <row r="32" spans="5:63" x14ac:dyDescent="0.55000000000000004">
      <c r="E32">
        <v>1983</v>
      </c>
      <c r="F32">
        <v>11467</v>
      </c>
      <c r="G32">
        <v>350</v>
      </c>
      <c r="H32">
        <v>1864</v>
      </c>
      <c r="I32">
        <v>833</v>
      </c>
      <c r="J32">
        <v>1500</v>
      </c>
      <c r="K32">
        <v>1806</v>
      </c>
      <c r="M32">
        <f t="shared" si="0"/>
        <v>17820</v>
      </c>
      <c r="N32" s="14">
        <v>31200</v>
      </c>
      <c r="O32" s="13">
        <v>10339.488093392516</v>
      </c>
      <c r="P32">
        <v>29204.887063911243</v>
      </c>
    </row>
    <row r="33" spans="5:16" x14ac:dyDescent="0.55000000000000004">
      <c r="E33">
        <v>1984</v>
      </c>
      <c r="F33">
        <v>10390</v>
      </c>
      <c r="G33">
        <v>275</v>
      </c>
      <c r="H33">
        <v>3247</v>
      </c>
      <c r="I33">
        <v>2297</v>
      </c>
      <c r="J33">
        <v>1035</v>
      </c>
      <c r="K33">
        <v>2682</v>
      </c>
      <c r="M33">
        <f t="shared" si="0"/>
        <v>19926</v>
      </c>
      <c r="N33" s="13">
        <v>122401</v>
      </c>
      <c r="O33" s="13">
        <v>17332.986166266022</v>
      </c>
      <c r="P33">
        <v>36372.974865451521</v>
      </c>
    </row>
    <row r="34" spans="5:16" x14ac:dyDescent="0.55000000000000004">
      <c r="E34">
        <v>1985</v>
      </c>
      <c r="F34">
        <v>7890</v>
      </c>
      <c r="G34">
        <v>600</v>
      </c>
      <c r="H34">
        <v>1114</v>
      </c>
      <c r="I34">
        <v>5806</v>
      </c>
      <c r="J34">
        <v>489</v>
      </c>
      <c r="K34">
        <v>3683</v>
      </c>
      <c r="M34">
        <f t="shared" si="0"/>
        <v>19582</v>
      </c>
      <c r="N34" s="13">
        <v>175417</v>
      </c>
      <c r="O34" s="13">
        <v>22583.333207755193</v>
      </c>
      <c r="P34">
        <v>52231.921173071489</v>
      </c>
    </row>
    <row r="35" spans="5:16" x14ac:dyDescent="0.55000000000000004">
      <c r="E35">
        <v>1986</v>
      </c>
      <c r="F35">
        <v>9652</v>
      </c>
      <c r="G35">
        <v>200</v>
      </c>
      <c r="H35">
        <v>1007</v>
      </c>
      <c r="I35">
        <v>1791</v>
      </c>
      <c r="J35">
        <v>791</v>
      </c>
      <c r="K35">
        <v>3060</v>
      </c>
      <c r="M35">
        <f t="shared" si="0"/>
        <v>16501</v>
      </c>
      <c r="N35" s="13">
        <v>163327</v>
      </c>
      <c r="O35" s="13">
        <v>35629.279129491842</v>
      </c>
      <c r="P35">
        <v>60718.43876340425</v>
      </c>
    </row>
    <row r="36" spans="5:16" x14ac:dyDescent="0.55000000000000004">
      <c r="E36">
        <v>1987</v>
      </c>
      <c r="F36">
        <v>6219</v>
      </c>
      <c r="G36">
        <v>200</v>
      </c>
      <c r="H36">
        <v>905</v>
      </c>
      <c r="I36">
        <v>879</v>
      </c>
      <c r="J36">
        <v>1267</v>
      </c>
      <c r="K36">
        <v>3573</v>
      </c>
      <c r="M36">
        <f t="shared" si="0"/>
        <v>13043</v>
      </c>
      <c r="N36" s="13">
        <v>79954</v>
      </c>
      <c r="O36" s="13">
        <v>33766.879209138824</v>
      </c>
      <c r="P36">
        <v>61979.185105435718</v>
      </c>
    </row>
    <row r="37" spans="5:16" x14ac:dyDescent="0.55000000000000004">
      <c r="E37">
        <v>1988</v>
      </c>
      <c r="F37">
        <v>13080</v>
      </c>
      <c r="G37">
        <v>300</v>
      </c>
      <c r="H37">
        <v>2205</v>
      </c>
      <c r="I37">
        <v>260</v>
      </c>
      <c r="J37">
        <v>1432</v>
      </c>
      <c r="K37">
        <v>9461</v>
      </c>
      <c r="M37">
        <f t="shared" si="0"/>
        <v>26738</v>
      </c>
      <c r="N37" s="13">
        <v>35581</v>
      </c>
      <c r="O37" s="13">
        <v>46093.980437238395</v>
      </c>
      <c r="P37">
        <v>54064.133542300639</v>
      </c>
    </row>
    <row r="38" spans="5:16" x14ac:dyDescent="0.55000000000000004">
      <c r="E38">
        <v>1989</v>
      </c>
      <c r="F38">
        <v>8934</v>
      </c>
      <c r="G38">
        <v>587</v>
      </c>
      <c r="H38">
        <v>3033</v>
      </c>
      <c r="I38">
        <v>854</v>
      </c>
      <c r="J38">
        <v>2274</v>
      </c>
      <c r="K38">
        <v>12301</v>
      </c>
      <c r="M38">
        <f t="shared" si="0"/>
        <v>27983</v>
      </c>
      <c r="N38" s="13">
        <v>76083</v>
      </c>
      <c r="O38" s="13">
        <v>36593.136049955247</v>
      </c>
      <c r="P38">
        <v>37950.628875676288</v>
      </c>
    </row>
    <row r="39" spans="5:16" x14ac:dyDescent="0.55000000000000004">
      <c r="E39">
        <v>1990</v>
      </c>
      <c r="F39">
        <v>23604</v>
      </c>
      <c r="G39">
        <v>1000</v>
      </c>
      <c r="H39">
        <v>1953</v>
      </c>
      <c r="I39">
        <v>7753</v>
      </c>
      <c r="J39">
        <v>5388</v>
      </c>
      <c r="K39">
        <v>11678</v>
      </c>
      <c r="L39">
        <v>100</v>
      </c>
      <c r="M39">
        <f t="shared" si="0"/>
        <v>51476</v>
      </c>
      <c r="N39" s="13">
        <v>178852</v>
      </c>
      <c r="O39" s="13">
        <v>39882.348278118276</v>
      </c>
      <c r="P39">
        <v>51157.854853381767</v>
      </c>
    </row>
    <row r="40" spans="5:16" x14ac:dyDescent="0.55000000000000004">
      <c r="E40">
        <v>1991</v>
      </c>
      <c r="F40">
        <v>12175</v>
      </c>
      <c r="G40">
        <v>2000</v>
      </c>
      <c r="H40">
        <v>1255</v>
      </c>
      <c r="I40">
        <v>5580</v>
      </c>
      <c r="J40">
        <v>2405</v>
      </c>
      <c r="K40">
        <v>6789</v>
      </c>
      <c r="L40">
        <v>50</v>
      </c>
      <c r="M40">
        <f t="shared" si="0"/>
        <v>30254</v>
      </c>
      <c r="N40" s="13">
        <v>92077</v>
      </c>
      <c r="O40" s="13">
        <v>38181.708493190206</v>
      </c>
      <c r="P40">
        <v>34767.351578448506</v>
      </c>
    </row>
    <row r="41" spans="5:16" x14ac:dyDescent="0.55000000000000004">
      <c r="E41">
        <v>1992</v>
      </c>
      <c r="F41">
        <v>14611</v>
      </c>
      <c r="G41">
        <v>1000</v>
      </c>
      <c r="H41">
        <v>1195</v>
      </c>
      <c r="I41">
        <v>6548</v>
      </c>
      <c r="J41">
        <v>1412</v>
      </c>
      <c r="K41">
        <v>4013</v>
      </c>
      <c r="L41">
        <v>40</v>
      </c>
      <c r="M41">
        <f t="shared" si="0"/>
        <v>28819</v>
      </c>
      <c r="N41" s="13">
        <v>132383</v>
      </c>
      <c r="O41" s="13">
        <v>49009.465081190792</v>
      </c>
      <c r="P41">
        <v>42483.844334993897</v>
      </c>
    </row>
    <row r="42" spans="5:16" x14ac:dyDescent="0.55000000000000004">
      <c r="E42">
        <v>1993</v>
      </c>
      <c r="F42">
        <v>13343</v>
      </c>
      <c r="G42">
        <v>900</v>
      </c>
      <c r="H42">
        <v>1378</v>
      </c>
      <c r="I42">
        <v>6062</v>
      </c>
      <c r="J42">
        <v>1017</v>
      </c>
      <c r="K42">
        <v>2270</v>
      </c>
      <c r="L42">
        <v>24</v>
      </c>
      <c r="M42">
        <f t="shared" si="0"/>
        <v>24994</v>
      </c>
      <c r="N42" s="13">
        <v>120486</v>
      </c>
      <c r="O42" s="13">
        <v>23443.870497167503</v>
      </c>
      <c r="P42">
        <v>43757.977809358563</v>
      </c>
    </row>
    <row r="43" spans="5:16" x14ac:dyDescent="0.55000000000000004">
      <c r="E43">
        <v>1994</v>
      </c>
      <c r="F43">
        <v>20505</v>
      </c>
      <c r="G43">
        <v>225</v>
      </c>
      <c r="H43">
        <v>1377</v>
      </c>
      <c r="I43">
        <v>6498</v>
      </c>
      <c r="J43">
        <v>617</v>
      </c>
      <c r="K43">
        <v>2532</v>
      </c>
      <c r="M43">
        <f t="shared" si="0"/>
        <v>31754</v>
      </c>
      <c r="N43" s="13">
        <v>99657</v>
      </c>
      <c r="O43" s="13">
        <v>42901.105893949767</v>
      </c>
      <c r="P43">
        <v>65814.375650069414</v>
      </c>
    </row>
    <row r="44" spans="5:16" x14ac:dyDescent="0.55000000000000004">
      <c r="E44">
        <v>1995</v>
      </c>
      <c r="F44">
        <v>25614</v>
      </c>
      <c r="G44">
        <v>580</v>
      </c>
      <c r="H44">
        <v>5652</v>
      </c>
      <c r="I44">
        <v>5688</v>
      </c>
      <c r="J44">
        <v>432</v>
      </c>
      <c r="K44">
        <v>2158</v>
      </c>
      <c r="L44">
        <v>40</v>
      </c>
      <c r="M44">
        <f t="shared" si="0"/>
        <v>40164</v>
      </c>
      <c r="N44" s="13">
        <v>28835</v>
      </c>
      <c r="O44" s="13">
        <v>32019.409672765596</v>
      </c>
      <c r="P44">
        <v>52326.451713539391</v>
      </c>
    </row>
    <row r="45" spans="5:16" x14ac:dyDescent="0.55000000000000004">
      <c r="E45">
        <v>1996</v>
      </c>
      <c r="F45">
        <v>21814</v>
      </c>
      <c r="G45">
        <v>800</v>
      </c>
      <c r="H45">
        <v>3337</v>
      </c>
      <c r="I45">
        <v>5653</v>
      </c>
      <c r="J45">
        <v>531</v>
      </c>
      <c r="K45">
        <v>2608</v>
      </c>
      <c r="L45">
        <v>50</v>
      </c>
      <c r="M45">
        <f t="shared" si="0"/>
        <v>34793</v>
      </c>
      <c r="N45" s="13">
        <v>38641</v>
      </c>
      <c r="O45" s="13">
        <v>76956.907989000974</v>
      </c>
      <c r="P45">
        <v>41132.629017196632</v>
      </c>
    </row>
    <row r="46" spans="5:16" x14ac:dyDescent="0.55000000000000004">
      <c r="E46">
        <v>1997</v>
      </c>
      <c r="F46">
        <v>13774</v>
      </c>
      <c r="G46">
        <v>260</v>
      </c>
      <c r="H46">
        <v>1628</v>
      </c>
      <c r="I46">
        <v>3765</v>
      </c>
      <c r="J46">
        <v>601</v>
      </c>
      <c r="K46">
        <v>2602</v>
      </c>
      <c r="L46">
        <v>20</v>
      </c>
      <c r="M46">
        <f t="shared" si="0"/>
        <v>22650</v>
      </c>
      <c r="N46" s="13">
        <v>71955</v>
      </c>
      <c r="O46" s="13">
        <v>67179.231280361753</v>
      </c>
      <c r="P46">
        <v>41380.395737668499</v>
      </c>
    </row>
    <row r="47" spans="5:16" x14ac:dyDescent="0.55000000000000004">
      <c r="E47">
        <v>1998</v>
      </c>
      <c r="F47">
        <v>10197</v>
      </c>
      <c r="G47">
        <v>47</v>
      </c>
      <c r="H47">
        <v>2186</v>
      </c>
      <c r="I47">
        <v>5897</v>
      </c>
      <c r="J47">
        <v>740</v>
      </c>
      <c r="K47">
        <v>4419</v>
      </c>
      <c r="M47">
        <f t="shared" si="0"/>
        <v>23486</v>
      </c>
      <c r="N47" s="13">
        <v>201261</v>
      </c>
      <c r="O47" s="13">
        <v>98018.054566322389</v>
      </c>
      <c r="P47">
        <v>34563.517459108894</v>
      </c>
    </row>
    <row r="48" spans="5:16" x14ac:dyDescent="0.55000000000000004">
      <c r="E48">
        <v>1999</v>
      </c>
      <c r="F48">
        <v>7945</v>
      </c>
      <c r="G48">
        <v>160</v>
      </c>
      <c r="H48">
        <v>3215</v>
      </c>
      <c r="I48">
        <v>5854</v>
      </c>
      <c r="J48">
        <v>2509</v>
      </c>
      <c r="K48">
        <v>7242</v>
      </c>
      <c r="L48">
        <v>750</v>
      </c>
      <c r="M48">
        <f t="shared" si="0"/>
        <v>27675</v>
      </c>
      <c r="N48" s="13">
        <v>105536</v>
      </c>
      <c r="O48" s="13">
        <v>70628.175667451549</v>
      </c>
      <c r="P48">
        <v>23548.53071040885</v>
      </c>
    </row>
    <row r="49" spans="5:16" x14ac:dyDescent="0.55000000000000004">
      <c r="E49">
        <v>2000</v>
      </c>
      <c r="F49">
        <v>8380</v>
      </c>
      <c r="G49">
        <v>66</v>
      </c>
      <c r="H49">
        <v>2526</v>
      </c>
      <c r="I49">
        <v>6945</v>
      </c>
      <c r="J49">
        <v>3597</v>
      </c>
      <c r="K49">
        <v>7562</v>
      </c>
      <c r="L49">
        <v>1200</v>
      </c>
      <c r="M49">
        <f t="shared" si="0"/>
        <v>30276</v>
      </c>
      <c r="N49" s="13">
        <v>79141</v>
      </c>
      <c r="O49" s="13">
        <v>50250.803934641182</v>
      </c>
      <c r="P49">
        <v>29009.824479775059</v>
      </c>
    </row>
    <row r="50" spans="5:16" x14ac:dyDescent="0.55000000000000004">
      <c r="E50">
        <v>2001</v>
      </c>
      <c r="F50">
        <v>7678</v>
      </c>
      <c r="G50">
        <v>72</v>
      </c>
      <c r="H50">
        <v>3480</v>
      </c>
      <c r="I50">
        <v>10615</v>
      </c>
      <c r="J50">
        <v>15180</v>
      </c>
      <c r="K50">
        <v>13680</v>
      </c>
      <c r="L50">
        <v>2900</v>
      </c>
      <c r="M50">
        <f t="shared" si="0"/>
        <v>53605</v>
      </c>
      <c r="N50" s="13">
        <v>109836</v>
      </c>
      <c r="O50" s="13">
        <v>85841.293043330908</v>
      </c>
      <c r="P50">
        <v>34058.805641715604</v>
      </c>
    </row>
    <row r="51" spans="5:16" x14ac:dyDescent="0.55000000000000004">
      <c r="E51">
        <v>2002</v>
      </c>
      <c r="F51">
        <v>5785</v>
      </c>
      <c r="G51">
        <v>475</v>
      </c>
      <c r="H51">
        <v>2682</v>
      </c>
      <c r="I51">
        <v>7566</v>
      </c>
      <c r="J51">
        <v>10970</v>
      </c>
      <c r="K51">
        <v>11814</v>
      </c>
      <c r="L51">
        <v>600</v>
      </c>
      <c r="M51">
        <f t="shared" si="0"/>
        <v>39892</v>
      </c>
      <c r="N51" s="13">
        <v>84410</v>
      </c>
      <c r="O51" s="13">
        <v>131696.57789007886</v>
      </c>
      <c r="P51">
        <v>44481.593733378955</v>
      </c>
    </row>
    <row r="52" spans="5:16" x14ac:dyDescent="0.55000000000000004">
      <c r="E52">
        <v>2003</v>
      </c>
      <c r="F52">
        <v>6017</v>
      </c>
      <c r="G52">
        <v>108</v>
      </c>
      <c r="H52">
        <v>2862</v>
      </c>
      <c r="I52">
        <v>7401</v>
      </c>
      <c r="J52">
        <v>14796</v>
      </c>
      <c r="K52">
        <v>7422</v>
      </c>
      <c r="L52">
        <v>260</v>
      </c>
      <c r="M52">
        <f t="shared" si="0"/>
        <v>38866</v>
      </c>
      <c r="N52" s="13">
        <v>247918</v>
      </c>
      <c r="O52" s="13">
        <v>100747.93715868218</v>
      </c>
      <c r="P52">
        <v>55297.149868077388</v>
      </c>
    </row>
    <row r="53" spans="5:16" x14ac:dyDescent="0.55000000000000004">
      <c r="E53">
        <v>2004</v>
      </c>
      <c r="F53">
        <v>4564</v>
      </c>
      <c r="G53">
        <v>287</v>
      </c>
      <c r="H53">
        <v>2773</v>
      </c>
      <c r="I53">
        <v>7081</v>
      </c>
      <c r="J53">
        <v>11771</v>
      </c>
      <c r="K53">
        <v>9019</v>
      </c>
      <c r="M53">
        <f t="shared" si="0"/>
        <v>35495</v>
      </c>
      <c r="N53" s="13">
        <v>140270</v>
      </c>
      <c r="O53" s="13">
        <v>67104.372695783488</v>
      </c>
      <c r="P53">
        <v>35737.059915210368</v>
      </c>
    </row>
    <row r="54" spans="5:16" x14ac:dyDescent="0.55000000000000004">
      <c r="E54">
        <v>2005</v>
      </c>
      <c r="F54">
        <v>4309</v>
      </c>
      <c r="G54">
        <v>529</v>
      </c>
      <c r="H54">
        <v>3350</v>
      </c>
      <c r="I54">
        <v>9526</v>
      </c>
      <c r="J54">
        <v>11947</v>
      </c>
      <c r="K54">
        <v>8085</v>
      </c>
      <c r="L54">
        <v>950</v>
      </c>
      <c r="M54">
        <f t="shared" si="0"/>
        <v>38696</v>
      </c>
      <c r="N54" s="13">
        <v>88786</v>
      </c>
      <c r="O54" s="13">
        <v>107441.14868479334</v>
      </c>
      <c r="P54">
        <v>24122.325347298593</v>
      </c>
    </row>
    <row r="55" spans="5:16" x14ac:dyDescent="0.55000000000000004">
      <c r="E55">
        <v>2006</v>
      </c>
      <c r="F55">
        <v>3040</v>
      </c>
      <c r="G55">
        <v>244</v>
      </c>
      <c r="H55">
        <v>6306</v>
      </c>
      <c r="I55">
        <v>13622</v>
      </c>
      <c r="J55">
        <v>17037</v>
      </c>
      <c r="K55">
        <v>8163</v>
      </c>
      <c r="L55">
        <v>590</v>
      </c>
      <c r="M55">
        <f t="shared" si="0"/>
        <v>49002</v>
      </c>
      <c r="N55" s="13">
        <v>60637</v>
      </c>
      <c r="O55" s="13">
        <v>204107.80758252461</v>
      </c>
      <c r="P55">
        <v>24357.474158242523</v>
      </c>
    </row>
    <row r="56" spans="5:16" x14ac:dyDescent="0.55000000000000004">
      <c r="E56">
        <v>2007</v>
      </c>
      <c r="F56">
        <v>3863</v>
      </c>
      <c r="G56">
        <v>40</v>
      </c>
      <c r="H56">
        <v>4892</v>
      </c>
      <c r="I56">
        <v>10254</v>
      </c>
      <c r="J56">
        <v>9727</v>
      </c>
      <c r="K56">
        <v>6128</v>
      </c>
      <c r="L56">
        <v>231</v>
      </c>
      <c r="M56">
        <f t="shared" si="0"/>
        <v>35135</v>
      </c>
      <c r="N56" s="13">
        <v>76665</v>
      </c>
      <c r="O56" s="13">
        <v>82610</v>
      </c>
      <c r="P56">
        <v>13201.512444477912</v>
      </c>
    </row>
    <row r="57" spans="5:16" x14ac:dyDescent="0.55000000000000004">
      <c r="E57">
        <v>2008</v>
      </c>
      <c r="F57">
        <v>2661</v>
      </c>
      <c r="G57">
        <v>61</v>
      </c>
      <c r="H57">
        <v>4929</v>
      </c>
      <c r="I57">
        <v>6621</v>
      </c>
      <c r="J57">
        <v>5284</v>
      </c>
      <c r="K57">
        <v>5728</v>
      </c>
      <c r="L57">
        <v>370</v>
      </c>
      <c r="M57">
        <f t="shared" si="0"/>
        <v>25654</v>
      </c>
      <c r="N57" s="13">
        <v>41805</v>
      </c>
      <c r="O57" s="13">
        <v>106914.74604990784</v>
      </c>
      <c r="P57">
        <v>18415.973958867569</v>
      </c>
    </row>
    <row r="58" spans="5:16" x14ac:dyDescent="0.55000000000000004">
      <c r="E58">
        <v>2009</v>
      </c>
      <c r="F58">
        <v>1571</v>
      </c>
      <c r="G58">
        <v>57</v>
      </c>
      <c r="H58">
        <v>2898</v>
      </c>
      <c r="I58">
        <v>9406</v>
      </c>
      <c r="J58">
        <v>8306</v>
      </c>
      <c r="K58">
        <v>5167</v>
      </c>
      <c r="M58">
        <f t="shared" si="0"/>
        <v>27405</v>
      </c>
      <c r="N58" s="13">
        <v>70281</v>
      </c>
      <c r="O58" s="13">
        <v>97136.517599719577</v>
      </c>
      <c r="P58">
        <v>29362.512144301156</v>
      </c>
    </row>
    <row r="59" spans="5:16" x14ac:dyDescent="0.55000000000000004">
      <c r="E59">
        <v>2010</v>
      </c>
      <c r="F59">
        <v>4936</v>
      </c>
      <c r="H59">
        <v>4025</v>
      </c>
      <c r="I59">
        <v>7928</v>
      </c>
      <c r="J59">
        <v>6186</v>
      </c>
      <c r="K59">
        <v>3416</v>
      </c>
      <c r="L59">
        <v>1619</v>
      </c>
      <c r="M59">
        <f t="shared" si="0"/>
        <v>28110</v>
      </c>
      <c r="N59" s="13">
        <v>103692</v>
      </c>
      <c r="O59" s="13">
        <v>170527.65269093419</v>
      </c>
      <c r="P59">
        <v>20592.98856897053</v>
      </c>
    </row>
    <row r="60" spans="5:16" x14ac:dyDescent="0.55000000000000004">
      <c r="E60">
        <v>2011</v>
      </c>
      <c r="F60">
        <v>5756</v>
      </c>
      <c r="G60">
        <v>1301</v>
      </c>
      <c r="H60">
        <v>6115</v>
      </c>
      <c r="I60">
        <v>7331</v>
      </c>
      <c r="J60">
        <v>6663</v>
      </c>
      <c r="K60">
        <v>4191</v>
      </c>
      <c r="L60">
        <v>1326</v>
      </c>
      <c r="M60">
        <f t="shared" si="0"/>
        <v>32683</v>
      </c>
      <c r="N60" s="13">
        <v>123879</v>
      </c>
      <c r="O60" s="13">
        <v>140943</v>
      </c>
      <c r="P60">
        <v>13471.582043405921</v>
      </c>
    </row>
    <row r="61" spans="5:16" x14ac:dyDescent="0.55000000000000004">
      <c r="E61">
        <v>2012</v>
      </c>
      <c r="F61">
        <v>6330</v>
      </c>
      <c r="H61">
        <v>2534</v>
      </c>
      <c r="I61">
        <v>5253</v>
      </c>
      <c r="J61">
        <v>3687</v>
      </c>
      <c r="K61">
        <v>4096</v>
      </c>
      <c r="L61">
        <v>218</v>
      </c>
      <c r="M61">
        <f t="shared" si="0"/>
        <v>22118</v>
      </c>
      <c r="N61" s="13">
        <v>44691</v>
      </c>
      <c r="O61" s="13">
        <v>53310.580086927563</v>
      </c>
      <c r="P61">
        <v>12879.133243515074</v>
      </c>
    </row>
    <row r="62" spans="5:16" x14ac:dyDescent="0.55000000000000004">
      <c r="E62">
        <v>2013</v>
      </c>
      <c r="F62">
        <v>7204</v>
      </c>
      <c r="H62">
        <v>4987</v>
      </c>
      <c r="I62">
        <v>4886</v>
      </c>
      <c r="J62">
        <v>4230</v>
      </c>
      <c r="K62">
        <v>3356</v>
      </c>
      <c r="L62">
        <v>855</v>
      </c>
      <c r="M62">
        <f t="shared" si="0"/>
        <v>25518</v>
      </c>
      <c r="N62" s="13">
        <v>43160</v>
      </c>
      <c r="O62" s="13">
        <v>134461.63289753636</v>
      </c>
      <c r="P62">
        <v>19732.349976641919</v>
      </c>
    </row>
    <row r="63" spans="5:16" x14ac:dyDescent="0.55000000000000004">
      <c r="E63">
        <v>2014</v>
      </c>
      <c r="F63">
        <v>5873</v>
      </c>
      <c r="H63">
        <v>3166</v>
      </c>
      <c r="I63">
        <v>8388</v>
      </c>
      <c r="J63">
        <v>7207</v>
      </c>
      <c r="K63">
        <v>2366</v>
      </c>
      <c r="L63">
        <v>1249</v>
      </c>
      <c r="M63">
        <f t="shared" si="0"/>
        <v>28249</v>
      </c>
      <c r="N63" s="13">
        <v>44915</v>
      </c>
      <c r="O63" s="13">
        <v>89229.72597787423</v>
      </c>
      <c r="P63">
        <v>40935.952520080631</v>
      </c>
    </row>
    <row r="64" spans="5:16" x14ac:dyDescent="0.55000000000000004">
      <c r="E64">
        <v>2015</v>
      </c>
      <c r="F64">
        <v>7419</v>
      </c>
      <c r="G64">
        <v>124</v>
      </c>
      <c r="H64">
        <v>5616</v>
      </c>
      <c r="I64">
        <v>6631</v>
      </c>
      <c r="J64">
        <v>8521</v>
      </c>
      <c r="K64">
        <v>3190</v>
      </c>
      <c r="L64">
        <v>1242</v>
      </c>
      <c r="M64">
        <f t="shared" si="0"/>
        <v>32743</v>
      </c>
      <c r="N64" s="13">
        <v>101874</v>
      </c>
      <c r="O64" s="13">
        <v>192224.86853862231</v>
      </c>
      <c r="P64">
        <v>27967.583715754059</v>
      </c>
    </row>
    <row r="65" spans="5:16" x14ac:dyDescent="0.55000000000000004">
      <c r="E65">
        <v>2016</v>
      </c>
      <c r="F65">
        <v>10854</v>
      </c>
      <c r="G65">
        <v>37</v>
      </c>
      <c r="H65">
        <v>4964</v>
      </c>
      <c r="I65">
        <v>5005</v>
      </c>
      <c r="J65">
        <v>8762</v>
      </c>
      <c r="K65">
        <v>6978</v>
      </c>
      <c r="L65">
        <v>464</v>
      </c>
      <c r="M65">
        <f t="shared" si="0"/>
        <v>37064</v>
      </c>
      <c r="N65" s="13">
        <v>41698</v>
      </c>
      <c r="O65" s="13">
        <v>99572.351136372439</v>
      </c>
      <c r="P65">
        <v>15971.250132277619</v>
      </c>
    </row>
    <row r="66" spans="5:16" x14ac:dyDescent="0.55000000000000004">
      <c r="E66">
        <v>2017</v>
      </c>
      <c r="F66">
        <v>25060</v>
      </c>
      <c r="G66">
        <v>19</v>
      </c>
      <c r="H66">
        <v>5171</v>
      </c>
      <c r="I66">
        <v>6882</v>
      </c>
      <c r="J66">
        <v>13422</v>
      </c>
      <c r="K66">
        <v>9131</v>
      </c>
      <c r="L66">
        <v>1253</v>
      </c>
      <c r="M66">
        <f t="shared" si="0"/>
        <v>60938</v>
      </c>
      <c r="N66" s="13">
        <v>30140</v>
      </c>
      <c r="O66" s="13">
        <v>95117.777215220005</v>
      </c>
      <c r="P66">
        <v>10921.815202119611</v>
      </c>
    </row>
    <row r="67" spans="5:16" x14ac:dyDescent="0.55000000000000004">
      <c r="E67">
        <v>2018</v>
      </c>
      <c r="F67">
        <v>22482</v>
      </c>
      <c r="G67">
        <v>233</v>
      </c>
      <c r="H67">
        <v>4535</v>
      </c>
      <c r="I67">
        <v>6336</v>
      </c>
      <c r="J67">
        <v>11495</v>
      </c>
      <c r="K67">
        <v>6575</v>
      </c>
      <c r="L67">
        <v>763</v>
      </c>
      <c r="M67">
        <f t="shared" ref="M67:M69" si="1">SUM(F67:L67)</f>
        <v>52419</v>
      </c>
      <c r="N67" s="13">
        <v>46991</v>
      </c>
      <c r="O67" s="13">
        <v>56735</v>
      </c>
      <c r="P67">
        <v>11071.534948265014</v>
      </c>
    </row>
    <row r="68" spans="5:16" x14ac:dyDescent="0.55000000000000004">
      <c r="E68">
        <v>2019</v>
      </c>
      <c r="F68">
        <v>21591</v>
      </c>
      <c r="G68">
        <v>17</v>
      </c>
      <c r="H68">
        <v>5409</v>
      </c>
      <c r="I68">
        <v>9681</v>
      </c>
      <c r="J68">
        <v>17690</v>
      </c>
      <c r="K68">
        <v>6793</v>
      </c>
      <c r="L68">
        <v>1739</v>
      </c>
      <c r="M68">
        <f t="shared" si="1"/>
        <v>62920</v>
      </c>
      <c r="N68" s="13">
        <v>45872</v>
      </c>
      <c r="O68" s="13">
        <v>173431</v>
      </c>
      <c r="P68">
        <v>16823.238677359746</v>
      </c>
    </row>
    <row r="69" spans="5:16" x14ac:dyDescent="0.55000000000000004">
      <c r="E69">
        <v>2020</v>
      </c>
      <c r="F69">
        <v>24726</v>
      </c>
      <c r="G69">
        <v>45</v>
      </c>
      <c r="H69">
        <v>7747</v>
      </c>
      <c r="I69">
        <v>12274</v>
      </c>
      <c r="J69">
        <v>10340</v>
      </c>
      <c r="K69">
        <v>8236</v>
      </c>
      <c r="L69">
        <v>907</v>
      </c>
      <c r="M69">
        <f t="shared" si="1"/>
        <v>64275</v>
      </c>
      <c r="N69" s="13">
        <v>43454</v>
      </c>
      <c r="O69" s="13">
        <v>165726.4612411673</v>
      </c>
      <c r="P69">
        <v>25678.051029304661</v>
      </c>
    </row>
    <row r="70" spans="5:16" x14ac:dyDescent="0.55000000000000004">
      <c r="E70">
        <v>2021</v>
      </c>
      <c r="N70" s="13">
        <v>36855</v>
      </c>
      <c r="O70" s="13">
        <v>197069.18427887195</v>
      </c>
      <c r="P70">
        <v>22839.910291231092</v>
      </c>
    </row>
    <row r="71" spans="5:16" x14ac:dyDescent="0.55000000000000004">
      <c r="E71">
        <v>2022</v>
      </c>
      <c r="N71" s="13">
        <v>82091</v>
      </c>
      <c r="O71" s="13">
        <v>124569.67277935897</v>
      </c>
      <c r="P71">
        <v>26915.272225313078</v>
      </c>
    </row>
    <row r="72" spans="5:16" x14ac:dyDescent="0.55000000000000004">
      <c r="E72">
        <v>2023</v>
      </c>
      <c r="N72" s="13">
        <v>146892</v>
      </c>
      <c r="O72" s="13">
        <v>641668</v>
      </c>
      <c r="P72">
        <v>19396.884039509463</v>
      </c>
    </row>
    <row r="73" spans="5:16" x14ac:dyDescent="0.55000000000000004">
      <c r="E73">
        <v>2024</v>
      </c>
      <c r="N73" s="14">
        <v>130000</v>
      </c>
      <c r="O73" s="1">
        <f>0.25*O72</f>
        <v>160417</v>
      </c>
      <c r="P73">
        <f>0.5*P72</f>
        <v>9698.4420197547315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2577-E7B9-46BA-88CA-764FA8301A55}">
  <dimension ref="A1:U71"/>
  <sheetViews>
    <sheetView workbookViewId="0">
      <selection activeCell="D17" sqref="D17"/>
    </sheetView>
  </sheetViews>
  <sheetFormatPr defaultRowHeight="14.4" x14ac:dyDescent="0.55000000000000004"/>
  <sheetData>
    <row r="1" spans="1:21" x14ac:dyDescent="0.55000000000000004">
      <c r="A1" t="s">
        <v>196</v>
      </c>
      <c r="G1" t="s">
        <v>5</v>
      </c>
      <c r="H1" t="s">
        <v>194</v>
      </c>
      <c r="I1" t="s">
        <v>197</v>
      </c>
      <c r="K1" t="s">
        <v>5</v>
      </c>
      <c r="L1" t="s">
        <v>195</v>
      </c>
      <c r="N1" t="s">
        <v>5</v>
      </c>
      <c r="O1" t="s">
        <v>198</v>
      </c>
      <c r="Q1" t="s">
        <v>5</v>
      </c>
      <c r="R1" t="s">
        <v>199</v>
      </c>
      <c r="T1" t="s">
        <v>5</v>
      </c>
      <c r="U1" t="s">
        <v>225</v>
      </c>
    </row>
    <row r="2" spans="1:21" x14ac:dyDescent="0.55000000000000004">
      <c r="A2" t="s">
        <v>200</v>
      </c>
      <c r="G2">
        <v>1973</v>
      </c>
      <c r="H2">
        <v>2.5686037439600424</v>
      </c>
      <c r="I2">
        <v>14.358000000000001</v>
      </c>
      <c r="K2">
        <v>1970</v>
      </c>
      <c r="L2">
        <v>6.9788000000000003E-2</v>
      </c>
      <c r="N2">
        <v>1951</v>
      </c>
      <c r="O2">
        <v>9976.2000000000007</v>
      </c>
      <c r="Q2">
        <v>1973</v>
      </c>
      <c r="R2">
        <v>117.783505154639</v>
      </c>
      <c r="T2">
        <v>1973</v>
      </c>
      <c r="U2">
        <v>2320.5193189532924</v>
      </c>
    </row>
    <row r="3" spans="1:21" x14ac:dyDescent="0.55000000000000004">
      <c r="A3" t="s">
        <v>201</v>
      </c>
      <c r="G3">
        <v>1974</v>
      </c>
      <c r="H3">
        <v>3.0202612988472533</v>
      </c>
      <c r="I3">
        <v>14.274000000000001</v>
      </c>
      <c r="K3">
        <v>1971</v>
      </c>
      <c r="L3">
        <v>0.57546600000000003</v>
      </c>
      <c r="N3">
        <v>1952</v>
      </c>
      <c r="O3">
        <v>9768.9</v>
      </c>
      <c r="Q3">
        <v>1974</v>
      </c>
      <c r="R3">
        <v>121.391752577319</v>
      </c>
      <c r="T3">
        <v>1974</v>
      </c>
      <c r="U3">
        <v>2431.5538151665319</v>
      </c>
    </row>
    <row r="4" spans="1:21" x14ac:dyDescent="0.55000000000000004">
      <c r="A4" t="s">
        <v>202</v>
      </c>
      <c r="G4">
        <v>1975</v>
      </c>
      <c r="H4">
        <v>3.4991568545688239</v>
      </c>
      <c r="I4">
        <v>14.465</v>
      </c>
      <c r="K4">
        <v>1972</v>
      </c>
      <c r="L4">
        <v>0.98823899999999998</v>
      </c>
      <c r="N4">
        <v>1953</v>
      </c>
      <c r="O4">
        <v>9561.6</v>
      </c>
      <c r="Q4">
        <v>1975</v>
      </c>
      <c r="R4">
        <v>128.60824742267999</v>
      </c>
      <c r="T4">
        <v>1975</v>
      </c>
      <c r="U4">
        <v>2577.0734778164278</v>
      </c>
    </row>
    <row r="5" spans="1:21" x14ac:dyDescent="0.55000000000000004">
      <c r="A5" t="s">
        <v>203</v>
      </c>
      <c r="G5">
        <v>1976</v>
      </c>
      <c r="H5">
        <v>4.0865208164899478</v>
      </c>
      <c r="I5">
        <v>13.861999999999998</v>
      </c>
      <c r="K5">
        <v>1973</v>
      </c>
      <c r="L5">
        <v>0.92512899999999998</v>
      </c>
      <c r="N5">
        <v>1954</v>
      </c>
      <c r="O5">
        <v>9354.2999999999993</v>
      </c>
      <c r="Q5">
        <v>1976</v>
      </c>
      <c r="R5">
        <v>129.51030927835001</v>
      </c>
      <c r="T5">
        <v>1976</v>
      </c>
      <c r="U5">
        <v>2639.6214909817836</v>
      </c>
    </row>
    <row r="6" spans="1:21" x14ac:dyDescent="0.55000000000000004">
      <c r="A6" t="s">
        <v>204</v>
      </c>
      <c r="G6">
        <v>1977</v>
      </c>
      <c r="H6">
        <v>4.756031941877457</v>
      </c>
      <c r="I6">
        <v>14.798000000000002</v>
      </c>
      <c r="K6">
        <v>1974</v>
      </c>
      <c r="L6">
        <v>0.80716200000000005</v>
      </c>
      <c r="N6">
        <v>1955</v>
      </c>
      <c r="O6">
        <v>9147</v>
      </c>
      <c r="Q6">
        <v>1977</v>
      </c>
      <c r="R6">
        <v>131</v>
      </c>
      <c r="T6">
        <v>1977</v>
      </c>
      <c r="U6">
        <v>2710.6513712518454</v>
      </c>
    </row>
    <row r="7" spans="1:21" x14ac:dyDescent="0.55000000000000004">
      <c r="A7" t="s">
        <v>226</v>
      </c>
      <c r="G7">
        <v>1978</v>
      </c>
      <c r="H7">
        <v>5.5311981459341482</v>
      </c>
      <c r="I7">
        <v>15.328999999999999</v>
      </c>
      <c r="K7">
        <v>1975</v>
      </c>
      <c r="L7">
        <v>0.28401900000000002</v>
      </c>
      <c r="N7">
        <v>1956</v>
      </c>
      <c r="O7">
        <v>9147</v>
      </c>
      <c r="Q7">
        <v>1978</v>
      </c>
      <c r="R7">
        <v>132</v>
      </c>
      <c r="T7">
        <v>1978</v>
      </c>
      <c r="U7">
        <v>2723.0309474461174</v>
      </c>
    </row>
    <row r="8" spans="1:21" x14ac:dyDescent="0.55000000000000004">
      <c r="G8">
        <v>1979</v>
      </c>
      <c r="H8">
        <v>6.4303840759337767</v>
      </c>
      <c r="I8">
        <v>14.994999999999999</v>
      </c>
      <c r="K8">
        <v>1976</v>
      </c>
      <c r="L8">
        <v>1.666042</v>
      </c>
      <c r="N8">
        <v>1957</v>
      </c>
      <c r="O8">
        <v>7000</v>
      </c>
      <c r="Q8">
        <v>1979</v>
      </c>
      <c r="R8">
        <v>134</v>
      </c>
      <c r="T8">
        <v>1979</v>
      </c>
      <c r="U8">
        <v>2736.6372173506543</v>
      </c>
    </row>
    <row r="9" spans="1:21" x14ac:dyDescent="0.55000000000000004">
      <c r="A9" s="1" t="s">
        <v>206</v>
      </c>
      <c r="B9" s="1"/>
      <c r="C9" s="1"/>
      <c r="D9" s="1"/>
      <c r="E9" s="1"/>
      <c r="F9" s="1"/>
      <c r="G9">
        <v>1980</v>
      </c>
      <c r="H9">
        <v>7.4626218774684752</v>
      </c>
      <c r="I9">
        <v>14.487</v>
      </c>
      <c r="K9">
        <v>1977</v>
      </c>
      <c r="L9">
        <v>2.1139579999999998</v>
      </c>
      <c r="N9">
        <v>1958</v>
      </c>
      <c r="O9">
        <v>5000</v>
      </c>
      <c r="Q9">
        <v>1980</v>
      </c>
      <c r="R9">
        <v>147</v>
      </c>
      <c r="T9">
        <v>1980</v>
      </c>
      <c r="U9">
        <v>2894.7834872551916</v>
      </c>
    </row>
    <row r="10" spans="1:21" x14ac:dyDescent="0.55000000000000004">
      <c r="A10" s="1" t="s">
        <v>223</v>
      </c>
      <c r="B10" s="1"/>
      <c r="C10" s="1"/>
      <c r="D10" s="1"/>
      <c r="E10" s="1"/>
      <c r="F10" s="1"/>
      <c r="G10">
        <v>1981</v>
      </c>
      <c r="H10">
        <v>8.6430823500739784</v>
      </c>
      <c r="I10">
        <v>14.675000000000001</v>
      </c>
      <c r="K10">
        <v>1978</v>
      </c>
      <c r="L10">
        <v>4.5873419999999996</v>
      </c>
      <c r="N10">
        <v>1959</v>
      </c>
      <c r="O10">
        <v>4000</v>
      </c>
      <c r="Q10">
        <v>1981</v>
      </c>
      <c r="R10">
        <v>150</v>
      </c>
      <c r="T10">
        <v>1981</v>
      </c>
      <c r="U10">
        <v>2931.6687412360984</v>
      </c>
    </row>
    <row r="11" spans="1:21" x14ac:dyDescent="0.55000000000000004">
      <c r="A11" s="1" t="s">
        <v>224</v>
      </c>
      <c r="B11" s="1" t="s">
        <v>207</v>
      </c>
      <c r="C11" s="1" t="s">
        <v>208</v>
      </c>
      <c r="D11" s="1" t="s">
        <v>209</v>
      </c>
      <c r="E11" s="1" t="s">
        <v>210</v>
      </c>
      <c r="F11" s="1"/>
      <c r="G11">
        <v>1982</v>
      </c>
      <c r="H11">
        <v>9.9811618713809143</v>
      </c>
      <c r="I11">
        <v>15.689</v>
      </c>
      <c r="K11">
        <v>1979</v>
      </c>
      <c r="L11">
        <v>3.8442530000000001</v>
      </c>
      <c r="N11">
        <v>1960</v>
      </c>
      <c r="O11">
        <v>4269</v>
      </c>
      <c r="Q11">
        <v>1982</v>
      </c>
      <c r="R11">
        <v>152</v>
      </c>
      <c r="T11">
        <v>1982</v>
      </c>
      <c r="U11">
        <v>2955.6674698189154</v>
      </c>
    </row>
    <row r="12" spans="1:21" x14ac:dyDescent="0.55000000000000004">
      <c r="A12" s="1" t="s">
        <v>211</v>
      </c>
      <c r="B12" s="1">
        <v>3.194965395322404</v>
      </c>
      <c r="C12" s="1">
        <v>5.7646846171705908E-2</v>
      </c>
      <c r="D12" s="1">
        <v>2.3058738468682365</v>
      </c>
      <c r="E12" s="1">
        <v>3.3482600708132658E-2</v>
      </c>
      <c r="F12" s="1"/>
      <c r="G12">
        <v>1983</v>
      </c>
      <c r="H12">
        <v>11.487578007874774</v>
      </c>
      <c r="I12">
        <v>15.307000000000002</v>
      </c>
      <c r="K12">
        <v>1980</v>
      </c>
      <c r="L12">
        <v>6.9305500000000002</v>
      </c>
      <c r="N12">
        <v>1961</v>
      </c>
      <c r="O12">
        <v>4159.2</v>
      </c>
      <c r="Q12">
        <v>1983</v>
      </c>
      <c r="R12">
        <v>153</v>
      </c>
      <c r="T12">
        <v>1983</v>
      </c>
      <c r="U12">
        <v>3024.3184076370435</v>
      </c>
    </row>
    <row r="13" spans="1:21" x14ac:dyDescent="0.55000000000000004">
      <c r="A13" s="1" t="s">
        <v>212</v>
      </c>
      <c r="B13" s="1">
        <v>1.196628918502626</v>
      </c>
      <c r="C13" s="1">
        <v>9.0067253553134136E-2</v>
      </c>
      <c r="D13" s="1">
        <v>3.6026901421253656</v>
      </c>
      <c r="E13" s="1">
        <v>0.22049851783852076</v>
      </c>
      <c r="F13" s="1"/>
      <c r="G13">
        <v>1984</v>
      </c>
      <c r="H13">
        <v>13.16948248638537</v>
      </c>
      <c r="I13">
        <v>14.999000000000001</v>
      </c>
      <c r="K13">
        <v>1981</v>
      </c>
      <c r="L13">
        <v>8.7495150000000006</v>
      </c>
      <c r="N13">
        <v>1962</v>
      </c>
      <c r="O13">
        <v>4049.4</v>
      </c>
      <c r="Q13">
        <v>1984</v>
      </c>
      <c r="R13">
        <v>159</v>
      </c>
      <c r="T13">
        <v>1984</v>
      </c>
      <c r="U13">
        <v>3128.5058678279693</v>
      </c>
    </row>
    <row r="14" spans="1:21" x14ac:dyDescent="0.55000000000000004">
      <c r="A14" s="1" t="s">
        <v>213</v>
      </c>
      <c r="B14" s="1">
        <v>3.0122018129341512</v>
      </c>
      <c r="C14" s="1">
        <v>3.0654190668687884E-2</v>
      </c>
      <c r="D14" s="1">
        <v>1.2261676267475154</v>
      </c>
      <c r="E14" s="1">
        <v>4.417962892117392E-2</v>
      </c>
      <c r="F14" s="1"/>
      <c r="G14">
        <v>1985</v>
      </c>
      <c r="H14">
        <v>15.028156768279212</v>
      </c>
      <c r="I14">
        <v>15.337</v>
      </c>
      <c r="K14">
        <v>1982</v>
      </c>
      <c r="L14">
        <v>7.2747289999999998</v>
      </c>
      <c r="N14">
        <v>1963</v>
      </c>
      <c r="O14">
        <v>3939.6</v>
      </c>
      <c r="Q14">
        <v>1985</v>
      </c>
      <c r="R14">
        <v>159</v>
      </c>
      <c r="T14">
        <v>1985</v>
      </c>
      <c r="U14">
        <v>3166.5270581143586</v>
      </c>
    </row>
    <row r="15" spans="1:21" x14ac:dyDescent="0.55000000000000004">
      <c r="A15" s="1" t="s">
        <v>214</v>
      </c>
      <c r="B15" s="1">
        <v>4.2430069288776098</v>
      </c>
      <c r="C15" s="1">
        <v>2.9622314522353289E-2</v>
      </c>
      <c r="D15" s="1">
        <v>1.1848925808941315</v>
      </c>
      <c r="E15" s="1">
        <v>1.2949669275866309E-2</v>
      </c>
      <c r="F15" s="1"/>
      <c r="G15">
        <v>1986</v>
      </c>
      <c r="H15">
        <v>17.057706397553556</v>
      </c>
      <c r="I15">
        <v>15.184999999999999</v>
      </c>
      <c r="K15">
        <v>1983</v>
      </c>
      <c r="L15">
        <v>10.804773000000001</v>
      </c>
      <c r="N15">
        <v>1964</v>
      </c>
      <c r="O15">
        <v>3829.8</v>
      </c>
      <c r="Q15">
        <v>1986</v>
      </c>
      <c r="R15">
        <v>168</v>
      </c>
      <c r="T15">
        <v>1986</v>
      </c>
      <c r="U15">
        <v>3322.8082484007477</v>
      </c>
    </row>
    <row r="16" spans="1:21" x14ac:dyDescent="0.55000000000000004">
      <c r="A16" s="1" t="s">
        <v>215</v>
      </c>
      <c r="B16" s="1">
        <v>3.0335464700481509</v>
      </c>
      <c r="C16" s="1">
        <v>5.0819210898816088E-2</v>
      </c>
      <c r="D16" s="1">
        <v>2.0327684359526437</v>
      </c>
      <c r="E16" s="1">
        <v>4.0299601105944508E-2</v>
      </c>
      <c r="F16" s="1"/>
      <c r="G16">
        <v>1987</v>
      </c>
      <c r="H16">
        <v>19.243187519096114</v>
      </c>
      <c r="I16">
        <v>15.359</v>
      </c>
      <c r="K16">
        <v>1984</v>
      </c>
      <c r="L16">
        <v>12.547973000000001</v>
      </c>
      <c r="N16">
        <v>1965</v>
      </c>
      <c r="O16">
        <v>3720</v>
      </c>
      <c r="Q16">
        <v>1987</v>
      </c>
      <c r="R16">
        <v>176</v>
      </c>
      <c r="T16">
        <v>1987</v>
      </c>
      <c r="U16">
        <v>3487.4947798494236</v>
      </c>
    </row>
    <row r="17" spans="1:21" x14ac:dyDescent="0.55000000000000004">
      <c r="A17" s="1" t="s">
        <v>216</v>
      </c>
      <c r="B17" s="1">
        <v>3.015363528453574</v>
      </c>
      <c r="C17" s="1">
        <v>2.7499689751278159E-2</v>
      </c>
      <c r="D17" s="1">
        <v>1.0999875900511262</v>
      </c>
      <c r="E17" s="1">
        <v>4.4529096810085454E-2</v>
      </c>
      <c r="F17" s="1"/>
      <c r="G17">
        <v>1988</v>
      </c>
      <c r="H17">
        <v>21.559445268677663</v>
      </c>
      <c r="I17">
        <v>15.292999999999999</v>
      </c>
      <c r="K17">
        <v>1985</v>
      </c>
      <c r="L17">
        <v>14.370433999999999</v>
      </c>
      <c r="N17">
        <v>1966</v>
      </c>
      <c r="O17">
        <v>3610.2</v>
      </c>
      <c r="Q17">
        <v>1988</v>
      </c>
      <c r="R17">
        <v>180</v>
      </c>
      <c r="T17">
        <v>1988</v>
      </c>
      <c r="U17">
        <v>3556.5306289735258</v>
      </c>
    </row>
    <row r="18" spans="1:21" x14ac:dyDescent="0.55000000000000004">
      <c r="A18" s="1" t="s">
        <v>217</v>
      </c>
      <c r="B18" s="1">
        <v>2.1537502528827828</v>
      </c>
      <c r="C18" s="1">
        <v>7.3178079891016452E-3</v>
      </c>
      <c r="D18" s="1">
        <v>0.29271231956406579</v>
      </c>
      <c r="E18" s="1">
        <v>0.11311360844687827</v>
      </c>
      <c r="F18" s="1"/>
      <c r="G18">
        <v>1989</v>
      </c>
      <c r="H18">
        <v>23.969612350715789</v>
      </c>
      <c r="I18">
        <v>15.997</v>
      </c>
      <c r="K18">
        <v>1986</v>
      </c>
      <c r="L18">
        <v>20.076246000000001</v>
      </c>
      <c r="N18">
        <v>1967</v>
      </c>
      <c r="O18">
        <v>3500.4</v>
      </c>
      <c r="Q18">
        <v>1989</v>
      </c>
      <c r="R18">
        <v>189</v>
      </c>
      <c r="T18">
        <v>1989</v>
      </c>
      <c r="U18">
        <v>3700.1380891644517</v>
      </c>
    </row>
    <row r="19" spans="1:21" x14ac:dyDescent="0.55000000000000004">
      <c r="A19" s="1" t="s">
        <v>218</v>
      </c>
      <c r="B19" s="1">
        <v>3.6615718467881888</v>
      </c>
      <c r="C19" s="1">
        <v>5.9112904502409205E-3</v>
      </c>
      <c r="D19" s="1">
        <v>0.23645161800963682</v>
      </c>
      <c r="E19" s="1">
        <v>2.5166000967590658E-2</v>
      </c>
      <c r="F19" s="1"/>
      <c r="G19">
        <v>1990</v>
      </c>
      <c r="H19">
        <v>26.424647779954054</v>
      </c>
      <c r="I19">
        <v>16.347000000000001</v>
      </c>
      <c r="K19">
        <v>1987</v>
      </c>
      <c r="L19">
        <v>26.832445</v>
      </c>
      <c r="N19">
        <v>1968</v>
      </c>
      <c r="O19">
        <v>3390.6</v>
      </c>
      <c r="Q19">
        <v>1990</v>
      </c>
      <c r="R19">
        <v>195</v>
      </c>
      <c r="T19">
        <v>1990</v>
      </c>
      <c r="U19">
        <v>3804.3255493553779</v>
      </c>
    </row>
    <row r="20" spans="1:21" x14ac:dyDescent="0.55000000000000004">
      <c r="A20" s="1" t="s">
        <v>219</v>
      </c>
      <c r="B20" s="1">
        <v>3.035087439045034</v>
      </c>
      <c r="C20" s="1">
        <v>1.8617427629660791E-2</v>
      </c>
      <c r="D20" s="1">
        <v>0.74469710518643162</v>
      </c>
      <c r="E20" s="1">
        <v>4.5038011951336707E-2</v>
      </c>
      <c r="F20" s="1"/>
      <c r="G20">
        <v>1991</v>
      </c>
      <c r="H20">
        <v>28.864553192787938</v>
      </c>
      <c r="I20">
        <v>15.516</v>
      </c>
      <c r="K20">
        <v>1988</v>
      </c>
      <c r="L20">
        <v>33.270881000000003</v>
      </c>
      <c r="N20">
        <v>1969</v>
      </c>
      <c r="O20">
        <v>3280.8</v>
      </c>
      <c r="Q20">
        <v>1991</v>
      </c>
      <c r="R20">
        <v>197</v>
      </c>
      <c r="T20">
        <v>1991</v>
      </c>
      <c r="U20">
        <v>3906.6479299281564</v>
      </c>
    </row>
    <row r="21" spans="1:21" x14ac:dyDescent="0.55000000000000004">
      <c r="A21" s="1"/>
      <c r="B21" s="1"/>
      <c r="C21" s="1"/>
      <c r="D21" s="1"/>
      <c r="E21" s="1"/>
      <c r="F21" s="1"/>
      <c r="G21">
        <v>1992</v>
      </c>
      <c r="H21">
        <v>31.221510695298321</v>
      </c>
      <c r="I21">
        <v>16.360999999999997</v>
      </c>
      <c r="K21">
        <v>1989</v>
      </c>
      <c r="L21">
        <v>32.180594999999997</v>
      </c>
      <c r="N21">
        <v>1970</v>
      </c>
      <c r="O21">
        <v>3171</v>
      </c>
      <c r="Q21">
        <v>1992</v>
      </c>
      <c r="R21">
        <v>202</v>
      </c>
      <c r="T21">
        <v>1992</v>
      </c>
      <c r="U21">
        <v>4014.4247138450937</v>
      </c>
    </row>
    <row r="22" spans="1:21" x14ac:dyDescent="0.55000000000000004">
      <c r="A22" s="1" t="s">
        <v>220</v>
      </c>
      <c r="B22" s="1">
        <v>2.9360699051369883</v>
      </c>
      <c r="C22" s="1">
        <v>5.1761963162939462E-2</v>
      </c>
      <c r="D22" s="1">
        <v>2.0704785265175785</v>
      </c>
      <c r="E22" s="1">
        <v>4.4279353292418937E-2</v>
      </c>
      <c r="F22" s="1"/>
      <c r="G22">
        <v>1993</v>
      </c>
      <c r="H22">
        <v>33.424903500724518</v>
      </c>
      <c r="I22">
        <v>16.343</v>
      </c>
      <c r="K22">
        <v>1990</v>
      </c>
      <c r="L22">
        <v>30.065615999999999</v>
      </c>
      <c r="N22">
        <v>1971</v>
      </c>
      <c r="O22">
        <v>3171</v>
      </c>
      <c r="Q22">
        <v>1993</v>
      </c>
      <c r="R22">
        <v>199</v>
      </c>
      <c r="T22">
        <v>1993</v>
      </c>
      <c r="U22">
        <v>3882.2330095463044</v>
      </c>
    </row>
    <row r="23" spans="1:21" x14ac:dyDescent="0.55000000000000004">
      <c r="A23" s="1" t="s">
        <v>221</v>
      </c>
      <c r="B23" s="1">
        <v>2.5845568906681784</v>
      </c>
      <c r="C23" s="1">
        <v>1.7408748870189901E-2</v>
      </c>
      <c r="D23" s="1">
        <v>0.69634995480759598</v>
      </c>
      <c r="E23" s="1">
        <v>7.0970746234410853E-2</v>
      </c>
      <c r="F23" s="1"/>
      <c r="G23">
        <v>1994</v>
      </c>
      <c r="H23">
        <v>35.407846174608039</v>
      </c>
      <c r="I23">
        <v>16.461000000000002</v>
      </c>
      <c r="K23">
        <v>1991</v>
      </c>
      <c r="L23">
        <v>33.204686000000002</v>
      </c>
      <c r="N23">
        <v>1972</v>
      </c>
      <c r="O23">
        <v>3100</v>
      </c>
      <c r="Q23">
        <v>1994</v>
      </c>
      <c r="R23">
        <v>206</v>
      </c>
      <c r="T23">
        <v>1994</v>
      </c>
      <c r="U23">
        <v>3881.6947798494239</v>
      </c>
    </row>
    <row r="24" spans="1:21" x14ac:dyDescent="0.55000000000000004">
      <c r="A24" s="1" t="s">
        <v>222</v>
      </c>
      <c r="B24" s="1">
        <v>3.3483296429166112</v>
      </c>
      <c r="C24" s="1">
        <v>1.2264359039950856E-2</v>
      </c>
      <c r="D24" s="1">
        <v>0.49057436159803425</v>
      </c>
      <c r="E24" s="1">
        <v>3.3666402426539434E-2</v>
      </c>
      <c r="F24" s="1"/>
      <c r="G24">
        <v>1995</v>
      </c>
      <c r="H24">
        <v>37.11452731587984</v>
      </c>
      <c r="I24">
        <v>16.314999999999998</v>
      </c>
      <c r="K24">
        <v>1992</v>
      </c>
      <c r="L24">
        <v>27.483294000000001</v>
      </c>
      <c r="N24">
        <v>1973</v>
      </c>
      <c r="O24">
        <v>3049</v>
      </c>
      <c r="Q24">
        <v>1995</v>
      </c>
      <c r="R24">
        <v>210</v>
      </c>
      <c r="T24">
        <v>1995</v>
      </c>
      <c r="U24">
        <v>4026.7730095463039</v>
      </c>
    </row>
    <row r="25" spans="1:21" x14ac:dyDescent="0.55000000000000004">
      <c r="G25">
        <v>1996</v>
      </c>
      <c r="H25">
        <v>38.5071403643434</v>
      </c>
      <c r="I25">
        <v>15.488</v>
      </c>
      <c r="K25">
        <v>1993</v>
      </c>
      <c r="L25">
        <v>26.055395999999998</v>
      </c>
      <c r="N25">
        <v>1974</v>
      </c>
      <c r="O25">
        <v>3300</v>
      </c>
      <c r="Q25">
        <v>1996</v>
      </c>
      <c r="R25">
        <v>214</v>
      </c>
      <c r="T25">
        <v>1996</v>
      </c>
      <c r="U25">
        <v>4206.0703105009343</v>
      </c>
    </row>
    <row r="26" spans="1:21" x14ac:dyDescent="0.55000000000000004">
      <c r="G26">
        <v>1997</v>
      </c>
      <c r="H26">
        <v>39.570877519069803</v>
      </c>
      <c r="I26">
        <v>16.018000000000001</v>
      </c>
      <c r="K26">
        <v>1994</v>
      </c>
      <c r="L26">
        <v>22.782776999999999</v>
      </c>
      <c r="N26">
        <v>1975</v>
      </c>
      <c r="O26">
        <v>3500</v>
      </c>
      <c r="Q26">
        <v>1997</v>
      </c>
      <c r="R26">
        <v>215</v>
      </c>
      <c r="T26">
        <v>1997</v>
      </c>
      <c r="U26">
        <v>4345.9476114555655</v>
      </c>
    </row>
    <row r="27" spans="1:21" x14ac:dyDescent="0.55000000000000004">
      <c r="G27">
        <v>1998</v>
      </c>
      <c r="H27">
        <v>40.315663430773391</v>
      </c>
      <c r="I27">
        <v>16.984999999999999</v>
      </c>
      <c r="K27">
        <v>1995</v>
      </c>
      <c r="L27">
        <v>24.666446000000001</v>
      </c>
      <c r="N27">
        <v>1976</v>
      </c>
      <c r="O27">
        <v>3700</v>
      </c>
      <c r="Q27">
        <v>1998</v>
      </c>
      <c r="R27">
        <v>215</v>
      </c>
      <c r="T27">
        <v>1998</v>
      </c>
      <c r="U27">
        <v>4494.4837281743921</v>
      </c>
    </row>
    <row r="28" spans="1:21" x14ac:dyDescent="0.55000000000000004">
      <c r="G28">
        <v>1999</v>
      </c>
      <c r="H28">
        <v>40.77401060535589</v>
      </c>
      <c r="I28">
        <v>15.562999999999999</v>
      </c>
      <c r="K28">
        <v>1996</v>
      </c>
      <c r="L28">
        <v>20.354689</v>
      </c>
      <c r="N28">
        <v>1977</v>
      </c>
      <c r="O28">
        <v>3903</v>
      </c>
      <c r="Q28">
        <v>1999</v>
      </c>
      <c r="R28">
        <v>208</v>
      </c>
      <c r="T28">
        <v>1999</v>
      </c>
      <c r="U28">
        <v>4507.4422133648259</v>
      </c>
    </row>
    <row r="29" spans="1:21" x14ac:dyDescent="0.55000000000000004">
      <c r="G29">
        <v>2000</v>
      </c>
      <c r="H29">
        <v>40.99535550633302</v>
      </c>
      <c r="I29">
        <v>15.443</v>
      </c>
      <c r="K29">
        <v>1997</v>
      </c>
      <c r="L29">
        <v>25.425556</v>
      </c>
      <c r="N29">
        <v>1978</v>
      </c>
      <c r="O29">
        <v>3900</v>
      </c>
      <c r="Q29">
        <v>2000</v>
      </c>
      <c r="R29">
        <v>207</v>
      </c>
      <c r="T29">
        <v>2000</v>
      </c>
      <c r="U29">
        <v>4621.0395143194555</v>
      </c>
    </row>
    <row r="30" spans="1:21" x14ac:dyDescent="0.55000000000000004">
      <c r="G30">
        <v>2001</v>
      </c>
      <c r="H30">
        <v>41.038144426395398</v>
      </c>
      <c r="I30">
        <v>15.262</v>
      </c>
      <c r="K30">
        <v>1998</v>
      </c>
      <c r="L30">
        <v>21.199694000000001</v>
      </c>
      <c r="N30">
        <v>1979</v>
      </c>
      <c r="O30">
        <v>3850</v>
      </c>
      <c r="Q30">
        <v>2001</v>
      </c>
      <c r="R30">
        <v>202</v>
      </c>
      <c r="T30">
        <v>2001</v>
      </c>
      <c r="U30">
        <v>4682.0768152740866</v>
      </c>
    </row>
    <row r="31" spans="1:21" x14ac:dyDescent="0.55000000000000004">
      <c r="G31">
        <v>2002</v>
      </c>
      <c r="H31">
        <v>40.961460373567668</v>
      </c>
      <c r="I31">
        <v>16.061</v>
      </c>
      <c r="K31">
        <v>1999</v>
      </c>
      <c r="L31">
        <v>25.866125</v>
      </c>
      <c r="N31">
        <v>1980</v>
      </c>
      <c r="O31">
        <v>3800</v>
      </c>
      <c r="Q31">
        <v>2002</v>
      </c>
      <c r="R31">
        <v>203</v>
      </c>
      <c r="T31">
        <v>2002</v>
      </c>
      <c r="U31">
        <v>4893.1804793652191</v>
      </c>
    </row>
    <row r="32" spans="1:21" x14ac:dyDescent="0.55000000000000004">
      <c r="G32">
        <v>2003</v>
      </c>
      <c r="H32">
        <v>40.817933156609598</v>
      </c>
      <c r="I32">
        <v>16.760750000000002</v>
      </c>
      <c r="K32">
        <v>2000</v>
      </c>
      <c r="L32">
        <v>27.720839999999999</v>
      </c>
      <c r="N32">
        <v>1981</v>
      </c>
      <c r="O32">
        <v>3790</v>
      </c>
      <c r="Q32">
        <v>2003</v>
      </c>
      <c r="R32">
        <v>205</v>
      </c>
      <c r="T32">
        <v>2003</v>
      </c>
      <c r="U32">
        <v>4974.9714171833466</v>
      </c>
    </row>
    <row r="33" spans="7:21" x14ac:dyDescent="0.55000000000000004">
      <c r="G33">
        <v>2004</v>
      </c>
      <c r="H33">
        <v>40.649112872019266</v>
      </c>
      <c r="I33">
        <v>16.89</v>
      </c>
      <c r="K33">
        <v>2001</v>
      </c>
      <c r="L33">
        <v>24.000294</v>
      </c>
      <c r="N33">
        <v>1982</v>
      </c>
      <c r="O33">
        <v>3781</v>
      </c>
      <c r="Q33">
        <v>2004</v>
      </c>
      <c r="R33">
        <v>216</v>
      </c>
      <c r="T33">
        <v>2004</v>
      </c>
      <c r="U33">
        <v>5372.9860190926083</v>
      </c>
    </row>
    <row r="34" spans="7:21" x14ac:dyDescent="0.55000000000000004">
      <c r="G34">
        <v>2005</v>
      </c>
      <c r="H34">
        <v>40.483678405937269</v>
      </c>
      <c r="I34">
        <v>16.316000000000003</v>
      </c>
      <c r="K34">
        <v>2002</v>
      </c>
      <c r="L34">
        <v>29.483872000000002</v>
      </c>
      <c r="N34">
        <v>1983</v>
      </c>
      <c r="O34">
        <v>4000</v>
      </c>
      <c r="Q34">
        <v>2005</v>
      </c>
      <c r="R34">
        <v>233</v>
      </c>
      <c r="T34">
        <v>2005</v>
      </c>
      <c r="U34">
        <v>5849.8406210018684</v>
      </c>
    </row>
    <row r="35" spans="7:21" x14ac:dyDescent="0.55000000000000004">
      <c r="G35">
        <v>2006</v>
      </c>
      <c r="H35">
        <v>40.338114083904415</v>
      </c>
      <c r="I35">
        <v>16.329999999999998</v>
      </c>
      <c r="K35">
        <v>2003</v>
      </c>
      <c r="L35">
        <v>25.436934000000001</v>
      </c>
      <c r="N35">
        <v>1984</v>
      </c>
      <c r="O35">
        <v>4100</v>
      </c>
      <c r="Q35">
        <v>2006</v>
      </c>
      <c r="R35">
        <v>240</v>
      </c>
      <c r="T35">
        <v>2006</v>
      </c>
      <c r="U35">
        <v>6152.2045405865556</v>
      </c>
    </row>
    <row r="36" spans="7:21" x14ac:dyDescent="0.55000000000000004">
      <c r="G36">
        <v>2007</v>
      </c>
      <c r="H36">
        <v>40.219033581664959</v>
      </c>
      <c r="I36">
        <v>15.98</v>
      </c>
      <c r="K36">
        <v>2004</v>
      </c>
      <c r="L36">
        <v>25.292628000000001</v>
      </c>
      <c r="N36">
        <v>1985</v>
      </c>
      <c r="O36">
        <v>4250</v>
      </c>
      <c r="Q36">
        <v>2007</v>
      </c>
      <c r="R36">
        <v>242</v>
      </c>
      <c r="T36">
        <v>2007</v>
      </c>
      <c r="U36">
        <v>6094.8379219564995</v>
      </c>
    </row>
    <row r="37" spans="7:21" x14ac:dyDescent="0.55000000000000004">
      <c r="G37">
        <v>2008</v>
      </c>
      <c r="H37">
        <v>40.126215173096199</v>
      </c>
      <c r="I37">
        <v>15.610000000000001</v>
      </c>
      <c r="K37">
        <v>2005</v>
      </c>
      <c r="L37">
        <v>23.240472</v>
      </c>
      <c r="N37">
        <v>1986</v>
      </c>
      <c r="O37">
        <v>4400</v>
      </c>
      <c r="Q37">
        <v>2008</v>
      </c>
      <c r="R37">
        <v>251</v>
      </c>
      <c r="T37">
        <v>2008</v>
      </c>
      <c r="U37">
        <v>6142.1250334219067</v>
      </c>
    </row>
    <row r="38" spans="7:21" x14ac:dyDescent="0.55000000000000004">
      <c r="G38">
        <v>2009</v>
      </c>
      <c r="H38">
        <v>39.960157702391662</v>
      </c>
      <c r="I38">
        <v>16.651</v>
      </c>
      <c r="K38">
        <v>2006</v>
      </c>
      <c r="L38">
        <v>21.452684999999999</v>
      </c>
      <c r="N38">
        <v>1987</v>
      </c>
      <c r="O38">
        <v>4635</v>
      </c>
      <c r="Q38">
        <v>2009</v>
      </c>
      <c r="R38">
        <v>256</v>
      </c>
      <c r="T38">
        <v>2009</v>
      </c>
      <c r="U38">
        <v>6532.2725238657595</v>
      </c>
    </row>
    <row r="39" spans="7:21" x14ac:dyDescent="0.55000000000000004">
      <c r="G39">
        <v>2010</v>
      </c>
      <c r="H39">
        <v>39.730051865144837</v>
      </c>
      <c r="I39">
        <v>16.042999999999999</v>
      </c>
      <c r="K39">
        <v>2007</v>
      </c>
      <c r="L39">
        <v>21.566597000000002</v>
      </c>
      <c r="N39">
        <v>1988</v>
      </c>
      <c r="O39">
        <v>4700</v>
      </c>
      <c r="Q39">
        <v>2010</v>
      </c>
      <c r="R39">
        <v>263</v>
      </c>
      <c r="T39">
        <v>2010</v>
      </c>
      <c r="U39">
        <v>7041.7251932103127</v>
      </c>
    </row>
    <row r="40" spans="7:21" x14ac:dyDescent="0.55000000000000004">
      <c r="G40">
        <v>2011</v>
      </c>
      <c r="H40">
        <v>39.261613435013146</v>
      </c>
      <c r="I40">
        <v>15.809000000000001</v>
      </c>
      <c r="K40">
        <v>2008</v>
      </c>
      <c r="L40">
        <v>18.791229000000001</v>
      </c>
      <c r="N40">
        <v>1989</v>
      </c>
      <c r="O40">
        <v>4800</v>
      </c>
      <c r="Q40">
        <v>2011</v>
      </c>
      <c r="R40">
        <v>269</v>
      </c>
      <c r="T40">
        <v>2011</v>
      </c>
      <c r="U40">
        <v>7336.7790286389127</v>
      </c>
    </row>
    <row r="41" spans="7:21" x14ac:dyDescent="0.55000000000000004">
      <c r="G41">
        <v>2012</v>
      </c>
      <c r="H41">
        <v>38.395457562205827</v>
      </c>
      <c r="I41">
        <v>15.368000000000002</v>
      </c>
      <c r="K41">
        <v>2009</v>
      </c>
      <c r="L41">
        <v>17.881678000000001</v>
      </c>
      <c r="N41">
        <v>1990</v>
      </c>
      <c r="O41">
        <v>4900</v>
      </c>
      <c r="Q41">
        <v>2012</v>
      </c>
      <c r="R41">
        <v>272</v>
      </c>
      <c r="T41">
        <v>2012</v>
      </c>
      <c r="U41">
        <v>7629.6736305481718</v>
      </c>
    </row>
    <row r="42" spans="7:21" x14ac:dyDescent="0.55000000000000004">
      <c r="G42">
        <v>2013</v>
      </c>
      <c r="H42">
        <v>37.701417262081868</v>
      </c>
      <c r="I42">
        <v>16.097000000000001</v>
      </c>
      <c r="K42">
        <v>2010</v>
      </c>
      <c r="L42">
        <v>17.952368</v>
      </c>
      <c r="N42">
        <v>1991</v>
      </c>
      <c r="O42">
        <v>5200</v>
      </c>
      <c r="Q42">
        <v>2013</v>
      </c>
      <c r="R42">
        <v>274</v>
      </c>
      <c r="T42">
        <v>2013</v>
      </c>
      <c r="U42">
        <v>8051.6274841285294</v>
      </c>
    </row>
    <row r="43" spans="7:21" x14ac:dyDescent="0.55000000000000004">
      <c r="G43">
        <v>2014</v>
      </c>
      <c r="H43">
        <v>37.1949588692855</v>
      </c>
      <c r="I43">
        <v>16.384999999999998</v>
      </c>
      <c r="K43">
        <v>2011</v>
      </c>
      <c r="L43">
        <v>16.094467000000002</v>
      </c>
      <c r="N43">
        <v>1992</v>
      </c>
      <c r="O43">
        <v>5366</v>
      </c>
      <c r="Q43">
        <v>2014</v>
      </c>
      <c r="R43">
        <v>290.979381443298</v>
      </c>
      <c r="T43">
        <v>2014</v>
      </c>
      <c r="U43">
        <v>8541.8126053411779</v>
      </c>
    </row>
    <row r="44" spans="7:21" x14ac:dyDescent="0.55000000000000004">
      <c r="G44">
        <v>2015</v>
      </c>
      <c r="H44">
        <v>36.834118791905105</v>
      </c>
      <c r="I44">
        <v>16.364000000000001</v>
      </c>
      <c r="K44">
        <v>2012</v>
      </c>
      <c r="L44">
        <v>17.743708999999999</v>
      </c>
      <c r="N44">
        <v>1993</v>
      </c>
      <c r="O44">
        <v>5000</v>
      </c>
      <c r="Q44">
        <v>2015</v>
      </c>
      <c r="R44">
        <v>298.19587628865901</v>
      </c>
      <c r="T44">
        <v>2015</v>
      </c>
      <c r="U44">
        <v>8919.7379595997954</v>
      </c>
    </row>
    <row r="45" spans="7:21" x14ac:dyDescent="0.55000000000000004">
      <c r="G45">
        <v>2016</v>
      </c>
      <c r="H45">
        <v>36.834118791905105</v>
      </c>
      <c r="I45" s="1">
        <v>16.364000000000001</v>
      </c>
      <c r="K45">
        <v>2013</v>
      </c>
      <c r="L45">
        <v>14.362679</v>
      </c>
      <c r="N45">
        <v>1994</v>
      </c>
      <c r="O45">
        <v>4635</v>
      </c>
      <c r="Q45">
        <v>2016</v>
      </c>
      <c r="R45">
        <v>300</v>
      </c>
      <c r="T45">
        <v>2016</v>
      </c>
      <c r="U45">
        <v>9243.5307938768256</v>
      </c>
    </row>
    <row r="46" spans="7:21" x14ac:dyDescent="0.55000000000000004">
      <c r="G46">
        <v>2017</v>
      </c>
      <c r="H46">
        <v>36.834118791905105</v>
      </c>
      <c r="I46" s="1">
        <v>16.364000000000001</v>
      </c>
      <c r="K46">
        <v>2014</v>
      </c>
      <c r="L46">
        <v>11.426698</v>
      </c>
      <c r="N46">
        <v>1995</v>
      </c>
      <c r="O46">
        <v>5000</v>
      </c>
      <c r="Q46">
        <v>2017</v>
      </c>
      <c r="R46">
        <v>301.80412371134003</v>
      </c>
      <c r="T46">
        <v>2017</v>
      </c>
      <c r="U46">
        <v>9585.3288270764424</v>
      </c>
    </row>
    <row r="47" spans="7:21" x14ac:dyDescent="0.55000000000000004">
      <c r="G47">
        <v>2018</v>
      </c>
      <c r="H47">
        <v>36.834118791905105</v>
      </c>
      <c r="I47" s="1">
        <v>16.364000000000001</v>
      </c>
      <c r="K47">
        <v>2015</v>
      </c>
      <c r="L47">
        <v>13.835594</v>
      </c>
      <c r="N47">
        <v>1996</v>
      </c>
      <c r="O47">
        <v>5500</v>
      </c>
      <c r="Q47">
        <v>2018</v>
      </c>
      <c r="R47">
        <v>310.82474226804101</v>
      </c>
      <c r="T47">
        <v>2018</v>
      </c>
      <c r="U47">
        <v>10041.037113402061</v>
      </c>
    </row>
    <row r="48" spans="7:21" x14ac:dyDescent="0.55000000000000004">
      <c r="G48">
        <v>2019</v>
      </c>
      <c r="H48">
        <v>36.834118791905105</v>
      </c>
      <c r="I48" s="1">
        <v>16.364000000000001</v>
      </c>
      <c r="K48">
        <v>2016</v>
      </c>
      <c r="L48" s="1">
        <v>12</v>
      </c>
      <c r="N48">
        <v>1997</v>
      </c>
      <c r="O48">
        <v>6000</v>
      </c>
      <c r="Q48">
        <v>2019</v>
      </c>
      <c r="R48">
        <v>318.82474226804101</v>
      </c>
      <c r="T48">
        <v>2019</v>
      </c>
      <c r="U48">
        <v>10146.15711340206</v>
      </c>
    </row>
    <row r="49" spans="7:21" x14ac:dyDescent="0.55000000000000004">
      <c r="G49">
        <v>2020</v>
      </c>
      <c r="H49">
        <v>36.834118791905105</v>
      </c>
      <c r="I49" s="1">
        <v>16.364000000000001</v>
      </c>
      <c r="K49">
        <v>2017</v>
      </c>
      <c r="L49" s="1">
        <v>12</v>
      </c>
      <c r="N49">
        <v>1998</v>
      </c>
      <c r="O49">
        <v>6586</v>
      </c>
      <c r="Q49">
        <v>2020</v>
      </c>
      <c r="R49">
        <v>326.82474226804101</v>
      </c>
      <c r="T49">
        <v>2020</v>
      </c>
      <c r="U49">
        <v>10251.277113402059</v>
      </c>
    </row>
    <row r="50" spans="7:21" x14ac:dyDescent="0.55000000000000004">
      <c r="K50">
        <v>2018</v>
      </c>
      <c r="L50" s="1">
        <v>12</v>
      </c>
      <c r="N50">
        <v>1999</v>
      </c>
      <c r="O50">
        <v>7000</v>
      </c>
    </row>
    <row r="51" spans="7:21" x14ac:dyDescent="0.55000000000000004">
      <c r="K51">
        <v>2019</v>
      </c>
      <c r="L51" s="1">
        <v>12</v>
      </c>
      <c r="N51">
        <v>2000</v>
      </c>
      <c r="O51">
        <v>7500</v>
      </c>
    </row>
    <row r="52" spans="7:21" x14ac:dyDescent="0.55000000000000004">
      <c r="K52">
        <v>2020</v>
      </c>
      <c r="L52" s="1">
        <v>12</v>
      </c>
      <c r="N52">
        <v>2001</v>
      </c>
      <c r="O52">
        <v>8000</v>
      </c>
    </row>
    <row r="53" spans="7:21" x14ac:dyDescent="0.55000000000000004">
      <c r="N53">
        <v>2002</v>
      </c>
      <c r="O53">
        <v>8781</v>
      </c>
    </row>
    <row r="54" spans="7:21" x14ac:dyDescent="0.55000000000000004">
      <c r="N54">
        <v>2003</v>
      </c>
      <c r="O54">
        <v>9000</v>
      </c>
    </row>
    <row r="55" spans="7:21" x14ac:dyDescent="0.55000000000000004">
      <c r="N55">
        <v>2004</v>
      </c>
      <c r="O55">
        <v>10000</v>
      </c>
    </row>
    <row r="56" spans="7:21" x14ac:dyDescent="0.55000000000000004">
      <c r="N56">
        <v>2005</v>
      </c>
      <c r="O56">
        <v>11000</v>
      </c>
    </row>
    <row r="57" spans="7:21" x14ac:dyDescent="0.55000000000000004">
      <c r="N57">
        <v>2006</v>
      </c>
      <c r="O57">
        <v>11830</v>
      </c>
    </row>
    <row r="58" spans="7:21" x14ac:dyDescent="0.55000000000000004">
      <c r="N58">
        <v>2007</v>
      </c>
      <c r="O58">
        <v>11500</v>
      </c>
    </row>
    <row r="59" spans="7:21" x14ac:dyDescent="0.55000000000000004">
      <c r="N59">
        <v>2008</v>
      </c>
      <c r="O59">
        <v>11220</v>
      </c>
    </row>
    <row r="60" spans="7:21" x14ac:dyDescent="0.55000000000000004">
      <c r="N60">
        <v>2009</v>
      </c>
      <c r="O60">
        <v>12500</v>
      </c>
    </row>
    <row r="61" spans="7:21" x14ac:dyDescent="0.55000000000000004">
      <c r="N61">
        <v>2010</v>
      </c>
      <c r="O61">
        <v>14147</v>
      </c>
    </row>
    <row r="62" spans="7:21" x14ac:dyDescent="0.55000000000000004">
      <c r="N62">
        <v>2011</v>
      </c>
      <c r="O62">
        <v>15000</v>
      </c>
    </row>
    <row r="63" spans="7:21" x14ac:dyDescent="0.55000000000000004">
      <c r="N63">
        <v>2012</v>
      </c>
      <c r="O63">
        <v>16000</v>
      </c>
    </row>
    <row r="64" spans="7:21" x14ac:dyDescent="0.55000000000000004">
      <c r="N64">
        <v>2013</v>
      </c>
      <c r="O64">
        <v>17561</v>
      </c>
    </row>
    <row r="65" spans="14:15" x14ac:dyDescent="0.55000000000000004">
      <c r="N65">
        <v>2014</v>
      </c>
      <c r="O65">
        <v>18614.66</v>
      </c>
    </row>
    <row r="66" spans="14:15" x14ac:dyDescent="0.55000000000000004">
      <c r="N66">
        <v>2015</v>
      </c>
      <c r="O66">
        <v>19731.5396</v>
      </c>
    </row>
    <row r="67" spans="14:15" x14ac:dyDescent="0.55000000000000004">
      <c r="N67">
        <v>2016</v>
      </c>
      <c r="O67">
        <v>20915.431976</v>
      </c>
    </row>
    <row r="68" spans="14:15" x14ac:dyDescent="0.55000000000000004">
      <c r="N68">
        <v>2017</v>
      </c>
      <c r="O68">
        <v>22170.357894560002</v>
      </c>
    </row>
    <row r="69" spans="14:15" x14ac:dyDescent="0.55000000000000004">
      <c r="N69">
        <v>2018</v>
      </c>
      <c r="O69">
        <v>23500.579368233604</v>
      </c>
    </row>
    <row r="70" spans="14:15" x14ac:dyDescent="0.55000000000000004">
      <c r="N70">
        <v>2019</v>
      </c>
      <c r="O70">
        <v>23500.579368233604</v>
      </c>
    </row>
    <row r="71" spans="14:15" x14ac:dyDescent="0.55000000000000004">
      <c r="N71">
        <v>2020</v>
      </c>
      <c r="O71">
        <v>23500.579368233604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C5CD-1E98-4808-B027-0F1D0D82A0F3}">
  <dimension ref="A19:D65"/>
  <sheetViews>
    <sheetView workbookViewId="0">
      <selection activeCell="B38" sqref="B38"/>
    </sheetView>
  </sheetViews>
  <sheetFormatPr defaultRowHeight="14.4" x14ac:dyDescent="0.55000000000000004"/>
  <sheetData>
    <row r="19" spans="1:4" x14ac:dyDescent="0.55000000000000004">
      <c r="A19" t="s">
        <v>94</v>
      </c>
      <c r="B19" t="s">
        <v>95</v>
      </c>
      <c r="C19" t="s">
        <v>96</v>
      </c>
      <c r="D19" t="s">
        <v>97</v>
      </c>
    </row>
    <row r="20" spans="1:4" x14ac:dyDescent="0.55000000000000004">
      <c r="A20">
        <v>1975</v>
      </c>
      <c r="B20">
        <v>0.8</v>
      </c>
      <c r="C20">
        <f>A20+3</f>
        <v>1978</v>
      </c>
      <c r="D20">
        <f>B20/0.8</f>
        <v>1</v>
      </c>
    </row>
    <row r="21" spans="1:4" x14ac:dyDescent="0.55000000000000004">
      <c r="A21">
        <v>1976</v>
      </c>
      <c r="B21">
        <v>0.8</v>
      </c>
      <c r="C21">
        <f t="shared" ref="C21:C65" si="0">A21+3</f>
        <v>1979</v>
      </c>
      <c r="D21">
        <f t="shared" ref="D21:D65" si="1">B21/0.8</f>
        <v>1</v>
      </c>
    </row>
    <row r="22" spans="1:4" x14ac:dyDescent="0.55000000000000004">
      <c r="A22">
        <v>1977</v>
      </c>
      <c r="B22">
        <v>0.8</v>
      </c>
      <c r="C22">
        <f t="shared" si="0"/>
        <v>1980</v>
      </c>
      <c r="D22">
        <f t="shared" si="1"/>
        <v>1</v>
      </c>
    </row>
    <row r="23" spans="1:4" x14ac:dyDescent="0.55000000000000004">
      <c r="A23">
        <v>1978</v>
      </c>
      <c r="B23">
        <v>0.8</v>
      </c>
      <c r="C23">
        <f t="shared" si="0"/>
        <v>1981</v>
      </c>
      <c r="D23">
        <f t="shared" si="1"/>
        <v>1</v>
      </c>
    </row>
    <row r="24" spans="1:4" x14ac:dyDescent="0.55000000000000004">
      <c r="A24">
        <v>1979</v>
      </c>
      <c r="B24">
        <v>0.8</v>
      </c>
      <c r="C24">
        <f t="shared" si="0"/>
        <v>1982</v>
      </c>
      <c r="D24">
        <f t="shared" si="1"/>
        <v>1</v>
      </c>
    </row>
    <row r="25" spans="1:4" x14ac:dyDescent="0.55000000000000004">
      <c r="A25">
        <v>1980</v>
      </c>
      <c r="B25">
        <v>0.8</v>
      </c>
      <c r="C25">
        <f t="shared" si="0"/>
        <v>1983</v>
      </c>
      <c r="D25">
        <f t="shared" si="1"/>
        <v>1</v>
      </c>
    </row>
    <row r="26" spans="1:4" x14ac:dyDescent="0.55000000000000004">
      <c r="A26">
        <v>1981</v>
      </c>
      <c r="B26">
        <v>0.8</v>
      </c>
      <c r="C26">
        <f t="shared" si="0"/>
        <v>1984</v>
      </c>
      <c r="D26">
        <f t="shared" si="1"/>
        <v>1</v>
      </c>
    </row>
    <row r="27" spans="1:4" x14ac:dyDescent="0.55000000000000004">
      <c r="A27">
        <v>1982</v>
      </c>
      <c r="B27">
        <v>0.8</v>
      </c>
      <c r="C27">
        <f t="shared" si="0"/>
        <v>1985</v>
      </c>
      <c r="D27">
        <f t="shared" si="1"/>
        <v>1</v>
      </c>
    </row>
    <row r="28" spans="1:4" x14ac:dyDescent="0.55000000000000004">
      <c r="A28">
        <v>1983</v>
      </c>
      <c r="B28">
        <v>0.8</v>
      </c>
      <c r="C28">
        <f t="shared" si="0"/>
        <v>1986</v>
      </c>
      <c r="D28">
        <f t="shared" si="1"/>
        <v>1</v>
      </c>
    </row>
    <row r="29" spans="1:4" x14ac:dyDescent="0.55000000000000004">
      <c r="A29">
        <v>1984</v>
      </c>
      <c r="B29">
        <v>0.8</v>
      </c>
      <c r="C29">
        <f t="shared" si="0"/>
        <v>1987</v>
      </c>
      <c r="D29">
        <f t="shared" si="1"/>
        <v>1</v>
      </c>
    </row>
    <row r="30" spans="1:4" x14ac:dyDescent="0.55000000000000004">
      <c r="A30">
        <v>1985</v>
      </c>
      <c r="B30">
        <v>0.8</v>
      </c>
      <c r="C30">
        <f t="shared" si="0"/>
        <v>1988</v>
      </c>
      <c r="D30">
        <f t="shared" si="1"/>
        <v>1</v>
      </c>
    </row>
    <row r="31" spans="1:4" x14ac:dyDescent="0.55000000000000004">
      <c r="A31">
        <v>1986</v>
      </c>
      <c r="B31">
        <v>0.8</v>
      </c>
      <c r="C31">
        <f t="shared" si="0"/>
        <v>1989</v>
      </c>
      <c r="D31">
        <f t="shared" si="1"/>
        <v>1</v>
      </c>
    </row>
    <row r="32" spans="1:4" x14ac:dyDescent="0.55000000000000004">
      <c r="A32">
        <v>1987</v>
      </c>
      <c r="B32">
        <v>0.8</v>
      </c>
      <c r="C32">
        <f t="shared" si="0"/>
        <v>1990</v>
      </c>
      <c r="D32">
        <f t="shared" si="1"/>
        <v>1</v>
      </c>
    </row>
    <row r="33" spans="1:4" x14ac:dyDescent="0.55000000000000004">
      <c r="A33">
        <v>1988</v>
      </c>
      <c r="B33">
        <v>0.8</v>
      </c>
      <c r="C33">
        <f t="shared" si="0"/>
        <v>1991</v>
      </c>
      <c r="D33">
        <f t="shared" si="1"/>
        <v>1</v>
      </c>
    </row>
    <row r="34" spans="1:4" x14ac:dyDescent="0.55000000000000004">
      <c r="A34">
        <v>1989</v>
      </c>
      <c r="B34">
        <v>0.8</v>
      </c>
      <c r="C34">
        <f t="shared" si="0"/>
        <v>1992</v>
      </c>
      <c r="D34">
        <f t="shared" si="1"/>
        <v>1</v>
      </c>
    </row>
    <row r="35" spans="1:4" x14ac:dyDescent="0.55000000000000004">
      <c r="A35">
        <v>1990</v>
      </c>
      <c r="B35">
        <v>0.8</v>
      </c>
      <c r="C35">
        <f t="shared" si="0"/>
        <v>1993</v>
      </c>
      <c r="D35">
        <f t="shared" si="1"/>
        <v>1</v>
      </c>
    </row>
    <row r="36" spans="1:4" x14ac:dyDescent="0.55000000000000004">
      <c r="A36">
        <v>1991</v>
      </c>
      <c r="B36">
        <v>0.8</v>
      </c>
      <c r="C36">
        <f t="shared" si="0"/>
        <v>1994</v>
      </c>
      <c r="D36">
        <f t="shared" si="1"/>
        <v>1</v>
      </c>
    </row>
    <row r="37" spans="1:4" x14ac:dyDescent="0.55000000000000004">
      <c r="A37">
        <v>1992</v>
      </c>
      <c r="B37">
        <v>0.6</v>
      </c>
      <c r="C37">
        <f t="shared" si="0"/>
        <v>1995</v>
      </c>
      <c r="D37">
        <f t="shared" si="1"/>
        <v>0.74999999999999989</v>
      </c>
    </row>
    <row r="38" spans="1:4" x14ac:dyDescent="0.55000000000000004">
      <c r="A38">
        <v>1993</v>
      </c>
      <c r="B38">
        <v>0.6</v>
      </c>
      <c r="C38">
        <f t="shared" si="0"/>
        <v>1996</v>
      </c>
      <c r="D38">
        <f t="shared" si="1"/>
        <v>0.74999999999999989</v>
      </c>
    </row>
    <row r="39" spans="1:4" x14ac:dyDescent="0.55000000000000004">
      <c r="A39">
        <v>1994</v>
      </c>
      <c r="B39">
        <v>0.55000000000000004</v>
      </c>
      <c r="C39">
        <f t="shared" si="0"/>
        <v>1997</v>
      </c>
      <c r="D39">
        <f t="shared" si="1"/>
        <v>0.6875</v>
      </c>
    </row>
    <row r="40" spans="1:4" x14ac:dyDescent="0.55000000000000004">
      <c r="A40">
        <v>1995</v>
      </c>
      <c r="B40">
        <v>0.5</v>
      </c>
      <c r="C40">
        <f t="shared" si="0"/>
        <v>1998</v>
      </c>
      <c r="D40">
        <f t="shared" si="1"/>
        <v>0.625</v>
      </c>
    </row>
    <row r="41" spans="1:4" x14ac:dyDescent="0.55000000000000004">
      <c r="A41">
        <v>1996</v>
      </c>
      <c r="B41">
        <v>0.45</v>
      </c>
      <c r="C41">
        <f t="shared" si="0"/>
        <v>1999</v>
      </c>
      <c r="D41">
        <f t="shared" si="1"/>
        <v>0.5625</v>
      </c>
    </row>
    <row r="42" spans="1:4" x14ac:dyDescent="0.55000000000000004">
      <c r="A42">
        <v>1997</v>
      </c>
      <c r="B42">
        <v>0.4</v>
      </c>
      <c r="C42">
        <f t="shared" si="0"/>
        <v>2000</v>
      </c>
      <c r="D42">
        <f t="shared" si="1"/>
        <v>0.5</v>
      </c>
    </row>
    <row r="43" spans="1:4" x14ac:dyDescent="0.55000000000000004">
      <c r="A43">
        <v>1998</v>
      </c>
      <c r="B43">
        <v>0.4</v>
      </c>
      <c r="C43">
        <f t="shared" si="0"/>
        <v>2001</v>
      </c>
      <c r="D43">
        <f t="shared" si="1"/>
        <v>0.5</v>
      </c>
    </row>
    <row r="44" spans="1:4" x14ac:dyDescent="0.55000000000000004">
      <c r="A44">
        <v>1999</v>
      </c>
      <c r="B44">
        <v>0.4</v>
      </c>
      <c r="C44">
        <f t="shared" si="0"/>
        <v>2002</v>
      </c>
      <c r="D44">
        <f t="shared" si="1"/>
        <v>0.5</v>
      </c>
    </row>
    <row r="45" spans="1:4" x14ac:dyDescent="0.55000000000000004">
      <c r="A45">
        <v>2000</v>
      </c>
      <c r="B45">
        <v>0.4</v>
      </c>
      <c r="C45">
        <f t="shared" si="0"/>
        <v>2003</v>
      </c>
      <c r="D45">
        <f t="shared" si="1"/>
        <v>0.5</v>
      </c>
    </row>
    <row r="46" spans="1:4" x14ac:dyDescent="0.55000000000000004">
      <c r="A46">
        <v>2001</v>
      </c>
      <c r="B46">
        <v>0.4</v>
      </c>
      <c r="C46">
        <f t="shared" si="0"/>
        <v>2004</v>
      </c>
      <c r="D46">
        <f t="shared" si="1"/>
        <v>0.5</v>
      </c>
    </row>
    <row r="47" spans="1:4" x14ac:dyDescent="0.55000000000000004">
      <c r="A47">
        <v>2002</v>
      </c>
      <c r="B47">
        <v>0.4</v>
      </c>
      <c r="C47">
        <f t="shared" si="0"/>
        <v>2005</v>
      </c>
      <c r="D47">
        <f t="shared" si="1"/>
        <v>0.5</v>
      </c>
    </row>
    <row r="48" spans="1:4" x14ac:dyDescent="0.55000000000000004">
      <c r="A48">
        <v>2003</v>
      </c>
      <c r="B48">
        <v>0.4</v>
      </c>
      <c r="C48">
        <f t="shared" si="0"/>
        <v>2006</v>
      </c>
      <c r="D48">
        <f t="shared" si="1"/>
        <v>0.5</v>
      </c>
    </row>
    <row r="49" spans="1:4" x14ac:dyDescent="0.55000000000000004">
      <c r="A49">
        <v>2004</v>
      </c>
      <c r="B49">
        <v>0.4</v>
      </c>
      <c r="C49">
        <f t="shared" si="0"/>
        <v>2007</v>
      </c>
      <c r="D49">
        <f t="shared" si="1"/>
        <v>0.5</v>
      </c>
    </row>
    <row r="50" spans="1:4" x14ac:dyDescent="0.55000000000000004">
      <c r="A50">
        <v>2005</v>
      </c>
      <c r="B50">
        <v>0.4</v>
      </c>
      <c r="C50">
        <f t="shared" si="0"/>
        <v>2008</v>
      </c>
      <c r="D50">
        <f t="shared" si="1"/>
        <v>0.5</v>
      </c>
    </row>
    <row r="51" spans="1:4" x14ac:dyDescent="0.55000000000000004">
      <c r="A51">
        <v>2006</v>
      </c>
      <c r="B51">
        <v>0.4</v>
      </c>
      <c r="C51">
        <f t="shared" si="0"/>
        <v>2009</v>
      </c>
      <c r="D51">
        <f t="shared" si="1"/>
        <v>0.5</v>
      </c>
    </row>
    <row r="52" spans="1:4" x14ac:dyDescent="0.55000000000000004">
      <c r="A52">
        <v>2007</v>
      </c>
      <c r="B52">
        <v>0.4</v>
      </c>
      <c r="C52">
        <f t="shared" si="0"/>
        <v>2010</v>
      </c>
      <c r="D52">
        <f t="shared" si="1"/>
        <v>0.5</v>
      </c>
    </row>
    <row r="53" spans="1:4" x14ac:dyDescent="0.55000000000000004">
      <c r="A53">
        <v>2008</v>
      </c>
      <c r="B53">
        <v>0.4</v>
      </c>
      <c r="C53">
        <f t="shared" si="0"/>
        <v>2011</v>
      </c>
      <c r="D53">
        <f t="shared" si="1"/>
        <v>0.5</v>
      </c>
    </row>
    <row r="54" spans="1:4" x14ac:dyDescent="0.55000000000000004">
      <c r="A54">
        <v>2009</v>
      </c>
      <c r="B54">
        <v>0.4</v>
      </c>
      <c r="C54">
        <f t="shared" si="0"/>
        <v>2012</v>
      </c>
      <c r="D54">
        <f t="shared" si="1"/>
        <v>0.5</v>
      </c>
    </row>
    <row r="55" spans="1:4" x14ac:dyDescent="0.55000000000000004">
      <c r="A55">
        <v>2010</v>
      </c>
      <c r="B55">
        <v>0.4</v>
      </c>
      <c r="C55">
        <f t="shared" si="0"/>
        <v>2013</v>
      </c>
      <c r="D55">
        <f t="shared" si="1"/>
        <v>0.5</v>
      </c>
    </row>
    <row r="56" spans="1:4" x14ac:dyDescent="0.55000000000000004">
      <c r="A56">
        <v>2011</v>
      </c>
      <c r="B56">
        <v>0.4</v>
      </c>
      <c r="C56">
        <f t="shared" si="0"/>
        <v>2014</v>
      </c>
      <c r="D56">
        <f t="shared" si="1"/>
        <v>0.5</v>
      </c>
    </row>
    <row r="57" spans="1:4" x14ac:dyDescent="0.55000000000000004">
      <c r="A57">
        <v>2012</v>
      </c>
      <c r="B57">
        <v>0.35</v>
      </c>
      <c r="C57">
        <f t="shared" si="0"/>
        <v>2015</v>
      </c>
      <c r="D57">
        <f t="shared" si="1"/>
        <v>0.43749999999999994</v>
      </c>
    </row>
    <row r="58" spans="1:4" x14ac:dyDescent="0.55000000000000004">
      <c r="A58">
        <v>2013</v>
      </c>
      <c r="B58">
        <v>0.3</v>
      </c>
      <c r="C58">
        <f t="shared" si="0"/>
        <v>2016</v>
      </c>
      <c r="D58">
        <f t="shared" si="1"/>
        <v>0.37499999999999994</v>
      </c>
    </row>
    <row r="59" spans="1:4" x14ac:dyDescent="0.55000000000000004">
      <c r="A59">
        <v>2014</v>
      </c>
      <c r="B59">
        <v>0.3</v>
      </c>
      <c r="C59">
        <f t="shared" si="0"/>
        <v>2017</v>
      </c>
      <c r="D59">
        <f t="shared" si="1"/>
        <v>0.37499999999999994</v>
      </c>
    </row>
    <row r="60" spans="1:4" x14ac:dyDescent="0.55000000000000004">
      <c r="A60">
        <v>2015</v>
      </c>
      <c r="B60">
        <v>0.3</v>
      </c>
      <c r="C60">
        <f t="shared" si="0"/>
        <v>2018</v>
      </c>
      <c r="D60">
        <f t="shared" si="1"/>
        <v>0.37499999999999994</v>
      </c>
    </row>
    <row r="61" spans="1:4" x14ac:dyDescent="0.55000000000000004">
      <c r="A61">
        <v>2016</v>
      </c>
      <c r="B61">
        <v>0.2</v>
      </c>
      <c r="C61">
        <f t="shared" si="0"/>
        <v>2019</v>
      </c>
      <c r="D61">
        <f t="shared" si="1"/>
        <v>0.25</v>
      </c>
    </row>
    <row r="62" spans="1:4" x14ac:dyDescent="0.55000000000000004">
      <c r="A62">
        <v>2017</v>
      </c>
      <c r="B62">
        <v>0.2</v>
      </c>
      <c r="C62">
        <f t="shared" si="0"/>
        <v>2020</v>
      </c>
      <c r="D62">
        <f t="shared" si="1"/>
        <v>0.25</v>
      </c>
    </row>
    <row r="63" spans="1:4" x14ac:dyDescent="0.55000000000000004">
      <c r="A63">
        <v>2018</v>
      </c>
      <c r="B63">
        <v>0.2</v>
      </c>
      <c r="C63">
        <f t="shared" si="0"/>
        <v>2021</v>
      </c>
      <c r="D63">
        <f t="shared" si="1"/>
        <v>0.25</v>
      </c>
    </row>
    <row r="64" spans="1:4" x14ac:dyDescent="0.55000000000000004">
      <c r="A64">
        <v>2019</v>
      </c>
      <c r="B64">
        <v>0.2</v>
      </c>
      <c r="C64">
        <f t="shared" si="0"/>
        <v>2022</v>
      </c>
      <c r="D64">
        <f t="shared" si="1"/>
        <v>0.25</v>
      </c>
    </row>
    <row r="65" spans="1:4" x14ac:dyDescent="0.55000000000000004">
      <c r="A65">
        <v>2020</v>
      </c>
      <c r="B65">
        <v>0.2</v>
      </c>
      <c r="C65">
        <f t="shared" si="0"/>
        <v>2023</v>
      </c>
      <c r="D65">
        <f t="shared" si="1"/>
        <v>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46</vt:i4>
      </vt:variant>
    </vt:vector>
  </HeadingPairs>
  <TitlesOfParts>
    <vt:vector size="50" baseType="lpstr">
      <vt:lpstr>Model</vt:lpstr>
      <vt:lpstr>Esc</vt:lpstr>
      <vt:lpstr>stressors</vt:lpstr>
      <vt:lpstr>ER</vt:lpstr>
      <vt:lpstr>age</vt:lpstr>
      <vt:lpstr>CR</vt:lpstr>
      <vt:lpstr>Eo</vt:lpstr>
      <vt:lpstr>EPRhist</vt:lpstr>
      <vt:lpstr>EPRo</vt:lpstr>
      <vt:lpstr>fanom</vt:lpstr>
      <vt:lpstr>fec</vt:lpstr>
      <vt:lpstr>Ffuture</vt:lpstr>
      <vt:lpstr>Fhist</vt:lpstr>
      <vt:lpstr>Ftest</vt:lpstr>
      <vt:lpstr>HistS</vt:lpstr>
      <vt:lpstr>Lhist</vt:lpstr>
      <vt:lpstr>LHT</vt:lpstr>
      <vt:lpstr>Lo</vt:lpstr>
      <vt:lpstr>Model!mat</vt:lpstr>
      <vt:lpstr>Mden</vt:lpstr>
      <vt:lpstr>MeMin</vt:lpstr>
      <vt:lpstr>MeUnf</vt:lpstr>
      <vt:lpstr>Mhatch</vt:lpstr>
      <vt:lpstr>Mo</vt:lpstr>
      <vt:lpstr>Mseal</vt:lpstr>
      <vt:lpstr>MSSLNRKWq</vt:lpstr>
      <vt:lpstr>Mtemp</vt:lpstr>
      <vt:lpstr>RelmYr</vt:lpstr>
      <vt:lpstr>RetroF</vt:lpstr>
      <vt:lpstr>Rhist</vt:lpstr>
      <vt:lpstr>RhistSobs</vt:lpstr>
      <vt:lpstr>Rinit</vt:lpstr>
      <vt:lpstr>Ro</vt:lpstr>
      <vt:lpstr>Smolt0</vt:lpstr>
      <vt:lpstr>So</vt:lpstr>
      <vt:lpstr>Sosearch</vt:lpstr>
      <vt:lpstr>SPRhist</vt:lpstr>
      <vt:lpstr>SPRo</vt:lpstr>
      <vt:lpstr>Ssfanom</vt:lpstr>
      <vt:lpstr>Ssrecanom</vt:lpstr>
      <vt:lpstr>Ssspawn</vt:lpstr>
      <vt:lpstr>Sstotal</vt:lpstr>
      <vt:lpstr>Ssum</vt:lpstr>
      <vt:lpstr>stockcode</vt:lpstr>
      <vt:lpstr>UseRetro</vt:lpstr>
      <vt:lpstr>varanom</vt:lpstr>
      <vt:lpstr>varfanom</vt:lpstr>
      <vt:lpstr>varlnS</vt:lpstr>
      <vt:lpstr>vul</vt:lpstr>
      <vt:lpstr>YPR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Walters, Carl</dc:creator>
  <cp:lastModifiedBy>Walters, Carl John</cp:lastModifiedBy>
  <dcterms:created xsi:type="dcterms:W3CDTF">2022-07-20T22:37:13Z</dcterms:created>
  <dcterms:modified xsi:type="dcterms:W3CDTF">2026-01-15T00:41:04Z</dcterms:modified>
</cp:coreProperties>
</file>