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lger\Data\"/>
    </mc:Choice>
  </mc:AlternateContent>
  <bookViews>
    <workbookView xWindow="0" yWindow="0" windowWidth="28800" windowHeight="12330"/>
  </bookViews>
  <sheets>
    <sheet name="Limestone" sheetId="7" r:id="rId1"/>
    <sheet name="Granite" sheetId="9" r:id="rId2"/>
  </sheets>
  <definedNames>
    <definedName name="_xlnm.Print_Area" localSheetId="0">Limestone!#REF!</definedName>
    <definedName name="_xlnm.Print_Titles" localSheetId="0">Limestone!#REF!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4" i="7" l="1"/>
  <c r="X104" i="7"/>
  <c r="W103" i="7"/>
  <c r="X103" i="7"/>
  <c r="X102" i="7"/>
  <c r="X101" i="7"/>
  <c r="W99" i="7"/>
  <c r="X99" i="7"/>
  <c r="W98" i="7"/>
  <c r="X98" i="7"/>
  <c r="W97" i="7"/>
  <c r="X97" i="7"/>
  <c r="W96" i="7"/>
  <c r="X96" i="7"/>
  <c r="X95" i="7"/>
  <c r="W94" i="7"/>
  <c r="X94" i="7"/>
  <c r="W93" i="7"/>
  <c r="X93" i="7"/>
  <c r="X92" i="7"/>
  <c r="X91" i="7"/>
  <c r="X90" i="7"/>
  <c r="W89" i="7"/>
  <c r="X89" i="7"/>
  <c r="X88" i="7"/>
  <c r="W87" i="7"/>
  <c r="X87" i="7"/>
  <c r="W86" i="7"/>
  <c r="X86" i="7"/>
  <c r="W85" i="7"/>
  <c r="X85" i="7"/>
  <c r="W84" i="7"/>
  <c r="X84" i="7"/>
  <c r="X83" i="7"/>
  <c r="W82" i="7"/>
  <c r="X82" i="7"/>
  <c r="X81" i="7"/>
  <c r="W80" i="7"/>
  <c r="X80" i="7"/>
  <c r="X79" i="7"/>
  <c r="W78" i="7"/>
  <c r="X78" i="7"/>
  <c r="W77" i="7"/>
  <c r="X77" i="7"/>
  <c r="W76" i="7"/>
  <c r="X76" i="7"/>
  <c r="W75" i="7"/>
  <c r="X75" i="7"/>
  <c r="W74" i="7"/>
  <c r="X74" i="7"/>
  <c r="W73" i="7"/>
  <c r="X73" i="7"/>
  <c r="W72" i="7"/>
  <c r="X72" i="7"/>
  <c r="W71" i="7"/>
  <c r="X71" i="7"/>
  <c r="W69" i="7"/>
  <c r="X69" i="7"/>
  <c r="W68" i="7"/>
  <c r="X68" i="7"/>
  <c r="W67" i="7"/>
  <c r="X67" i="7"/>
  <c r="W65" i="7"/>
  <c r="X65" i="7"/>
  <c r="W64" i="7"/>
  <c r="X64" i="7"/>
  <c r="W63" i="7"/>
  <c r="X63" i="7"/>
  <c r="W62" i="7"/>
  <c r="X62" i="7"/>
  <c r="W61" i="7"/>
  <c r="X61" i="7"/>
  <c r="W60" i="7"/>
  <c r="X60" i="7"/>
  <c r="W59" i="7"/>
  <c r="X59" i="7"/>
  <c r="W58" i="7"/>
  <c r="X58" i="7"/>
  <c r="W57" i="7"/>
  <c r="X57" i="7"/>
  <c r="W56" i="7"/>
  <c r="X56" i="7"/>
  <c r="W55" i="7"/>
  <c r="X55" i="7"/>
  <c r="W54" i="7"/>
  <c r="X54" i="7"/>
  <c r="W53" i="7"/>
  <c r="X53" i="7"/>
  <c r="W52" i="7"/>
  <c r="X52" i="7"/>
  <c r="W51" i="7"/>
  <c r="X51" i="7"/>
  <c r="W50" i="7"/>
  <c r="X50" i="7"/>
  <c r="W49" i="7"/>
  <c r="X49" i="7"/>
  <c r="W48" i="7"/>
  <c r="X48" i="7"/>
  <c r="W47" i="7"/>
  <c r="X47" i="7"/>
  <c r="W46" i="7"/>
  <c r="X46" i="7"/>
  <c r="W45" i="7"/>
  <c r="X45" i="7"/>
  <c r="W44" i="7"/>
  <c r="X44" i="7"/>
  <c r="W43" i="7"/>
  <c r="X43" i="7"/>
  <c r="W42" i="7"/>
  <c r="X42" i="7"/>
  <c r="W41" i="7"/>
  <c r="X41" i="7"/>
  <c r="W40" i="7"/>
  <c r="X40" i="7"/>
  <c r="X39" i="7"/>
  <c r="W38" i="7"/>
  <c r="X38" i="7"/>
  <c r="W37" i="7"/>
  <c r="X37" i="7"/>
  <c r="W36" i="7"/>
  <c r="X36" i="7"/>
  <c r="W35" i="7"/>
  <c r="X35" i="7"/>
  <c r="W34" i="7"/>
  <c r="X34" i="7"/>
  <c r="W33" i="7"/>
  <c r="W32" i="7"/>
  <c r="X32" i="7"/>
  <c r="W31" i="7"/>
  <c r="X31" i="7"/>
  <c r="W30" i="7"/>
  <c r="X30" i="7"/>
  <c r="W29" i="7"/>
  <c r="X29" i="7"/>
  <c r="W28" i="7"/>
  <c r="X28" i="7"/>
  <c r="W27" i="7"/>
  <c r="X27" i="7"/>
  <c r="W26" i="7"/>
  <c r="X26" i="7"/>
  <c r="W25" i="7"/>
  <c r="X25" i="7"/>
  <c r="W24" i="7"/>
  <c r="X24" i="7"/>
  <c r="W23" i="7"/>
  <c r="X23" i="7"/>
  <c r="W22" i="7"/>
  <c r="X22" i="7"/>
  <c r="W21" i="7"/>
  <c r="X21" i="7"/>
  <c r="W20" i="7"/>
  <c r="X20" i="7"/>
  <c r="U20" i="7"/>
  <c r="T20" i="7"/>
  <c r="W18" i="7"/>
  <c r="X18" i="7"/>
  <c r="W17" i="7"/>
  <c r="X17" i="7"/>
  <c r="X16" i="7"/>
  <c r="U16" i="7"/>
  <c r="T16" i="7"/>
  <c r="W15" i="7"/>
  <c r="X15" i="7"/>
  <c r="U15" i="7"/>
  <c r="T15" i="7"/>
  <c r="W14" i="7"/>
  <c r="X14" i="7"/>
  <c r="W13" i="7"/>
  <c r="X13" i="7"/>
  <c r="U13" i="7"/>
  <c r="T13" i="7"/>
  <c r="W12" i="7"/>
  <c r="X12" i="7"/>
  <c r="W11" i="7"/>
  <c r="X11" i="7"/>
  <c r="U11" i="7"/>
  <c r="T11" i="7"/>
  <c r="W10" i="7"/>
  <c r="X10" i="7"/>
  <c r="U10" i="7"/>
  <c r="T10" i="7"/>
  <c r="W9" i="7"/>
  <c r="X9" i="7"/>
  <c r="W8" i="7"/>
  <c r="X8" i="7"/>
  <c r="W7" i="7"/>
  <c r="X7" i="7"/>
  <c r="T7" i="7"/>
  <c r="W6" i="7"/>
  <c r="X6" i="7"/>
  <c r="T6" i="7"/>
  <c r="W5" i="7"/>
  <c r="X5" i="7"/>
  <c r="W4" i="7"/>
  <c r="X4" i="7"/>
  <c r="W3" i="7"/>
  <c r="X3" i="7"/>
</calcChain>
</file>

<file path=xl/sharedStrings.xml><?xml version="1.0" encoding="utf-8"?>
<sst xmlns="http://schemas.openxmlformats.org/spreadsheetml/2006/main" count="1226" uniqueCount="25">
  <si>
    <t>Number of floors</t>
  </si>
  <si>
    <t>Lenght                X-direction</t>
  </si>
  <si>
    <t>Lenght                Y-direction</t>
  </si>
  <si>
    <t>Non-structural walls area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</si>
  <si>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</si>
  <si>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</si>
  <si>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</si>
  <si>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</si>
  <si>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</si>
  <si>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</si>
  <si>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</si>
  <si>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</si>
  <si>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</si>
  <si>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</si>
  <si>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Nº</t>
  </si>
  <si>
    <t>Wall thickness</t>
  </si>
  <si>
    <t>Length                X-direction</t>
  </si>
  <si>
    <t>Length                Y-direction</t>
  </si>
  <si>
    <t>Height of the storeys</t>
  </si>
  <si>
    <t>Opening ratio (ground)</t>
  </si>
  <si>
    <t>Opening ratio (upper storeys)</t>
  </si>
  <si>
    <t>17..4</t>
  </si>
  <si>
    <t/>
  </si>
  <si>
    <t>Wall thickness X-direction</t>
  </si>
  <si>
    <t>Wall thickness Y-direction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</si>
</sst>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tabSelected="1" zoomScaleNormal="100" workbookViewId="0">
      <selection activeCell="J18" sqref="J18"/>
    </sheetView>
  </sheetViews>
  <sheetFormatPr baseColWidth="10" defaultColWidth="9.140625" defaultRowHeight="15" x14ac:dyDescent="0.25"/>
  <cols>
    <col min="1" max="1" width="5.7109375" style="1" customWidth="1"/>
    <col min="2" max="2" width="11.42578125" customWidth="1"/>
    <col min="3" max="12" width="5.5703125" customWidth="1"/>
    <col min="13" max="19" width="5.7109375" customWidth="1"/>
    <col min="20" max="21" width="14.28515625" customWidth="1"/>
    <col min="22" max="22" width="15.7109375" customWidth="1"/>
    <col min="23" max="24" width="14.28515625" customWidth="1"/>
  </cols>
  <sheetData>
    <row r="1" spans="1:33" ht="18" customHeight="1" x14ac:dyDescent="0.25">
      <c r="A1" s="11" t="s">
        <v>14</v>
      </c>
      <c r="B1" s="10" t="s">
        <v>0</v>
      </c>
      <c r="C1" s="10" t="s">
        <v>18</v>
      </c>
      <c r="D1" s="10"/>
      <c r="E1" s="10"/>
      <c r="F1" s="10"/>
      <c r="G1" s="10"/>
      <c r="H1" s="10"/>
      <c r="I1" s="10"/>
      <c r="J1" s="10"/>
      <c r="K1" s="10"/>
      <c r="L1" s="10"/>
      <c r="M1" s="10" t="s">
        <v>15</v>
      </c>
      <c r="N1" s="10"/>
      <c r="O1" s="10"/>
      <c r="P1" s="10"/>
      <c r="Q1" s="10"/>
      <c r="R1" s="10"/>
      <c r="S1" s="10"/>
      <c r="T1" s="10" t="s">
        <v>16</v>
      </c>
      <c r="U1" s="10" t="s">
        <v>17</v>
      </c>
      <c r="V1" s="10" t="s">
        <v>3</v>
      </c>
      <c r="W1" s="10" t="s">
        <v>19</v>
      </c>
      <c r="X1" s="10" t="s">
        <v>20</v>
      </c>
      <c r="AG1">
        <v>3</v>
      </c>
    </row>
    <row r="2" spans="1:33" ht="18" customHeight="1" x14ac:dyDescent="0.25">
      <c r="A2" s="11"/>
      <c r="B2" s="10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 x14ac:dyDescent="0.25">
      <c r="A3" s="8">
        <v>1</v>
      </c>
      <c r="B3" s="5">
        <v>4</v>
      </c>
      <c r="C3" s="6"/>
      <c r="D3" s="6">
        <v>4.3</v>
      </c>
      <c r="E3" s="6">
        <v>4.2</v>
      </c>
      <c r="F3" s="6">
        <v>3.3</v>
      </c>
      <c r="G3" s="6">
        <v>3.1</v>
      </c>
      <c r="H3" s="6"/>
      <c r="I3" s="6"/>
      <c r="J3" s="6"/>
      <c r="K3" s="6"/>
      <c r="L3" s="6"/>
      <c r="M3" s="7">
        <v>1.1000000000000001</v>
      </c>
      <c r="N3" s="7">
        <v>0.9</v>
      </c>
      <c r="O3" s="7">
        <v>0.8</v>
      </c>
      <c r="P3" s="7">
        <v>0.75</v>
      </c>
      <c r="Q3" s="7"/>
      <c r="R3" s="7"/>
      <c r="S3" s="8"/>
      <c r="T3" s="6">
        <v>6.6</v>
      </c>
      <c r="U3" s="6">
        <v>9</v>
      </c>
      <c r="V3" s="6">
        <v>4.8450000000000006</v>
      </c>
      <c r="W3" s="6">
        <f>(2*5.37)/22.37</f>
        <v>0.48010728654447921</v>
      </c>
      <c r="X3" s="6">
        <f>(2.8*2+2*4.43+2*5.37)/88.3</f>
        <v>0.28539071347678369</v>
      </c>
    </row>
    <row r="4" spans="1:33" x14ac:dyDescent="0.25">
      <c r="A4" s="8">
        <v>2</v>
      </c>
      <c r="B4" s="5">
        <v>5</v>
      </c>
      <c r="C4" s="6"/>
      <c r="D4" s="6">
        <v>4.3</v>
      </c>
      <c r="E4" s="6">
        <v>3.1</v>
      </c>
      <c r="F4" s="6">
        <v>3.25</v>
      </c>
      <c r="G4" s="6">
        <v>3</v>
      </c>
      <c r="H4" s="6">
        <v>2.85</v>
      </c>
      <c r="I4" s="6"/>
      <c r="J4" s="6"/>
      <c r="K4" s="6"/>
      <c r="L4" s="6"/>
      <c r="M4" s="7">
        <v>0.8</v>
      </c>
      <c r="N4" s="7">
        <v>0.8</v>
      </c>
      <c r="O4" s="7">
        <v>0.8</v>
      </c>
      <c r="P4" s="7">
        <v>0.65</v>
      </c>
      <c r="Q4" s="7">
        <v>0.6</v>
      </c>
      <c r="R4" s="7"/>
      <c r="S4" s="8"/>
      <c r="T4" s="6">
        <v>5.9</v>
      </c>
      <c r="U4" s="6">
        <v>9.5</v>
      </c>
      <c r="V4" s="6">
        <v>6.4799999999999995</v>
      </c>
      <c r="W4" s="6">
        <f>(6.67)/18.6</f>
        <v>0.35860215053763439</v>
      </c>
      <c r="X4" s="6">
        <f>(2.58*2+6*2.35+6.22*2)/97.15</f>
        <v>0.32629953679876483</v>
      </c>
    </row>
    <row r="5" spans="1:33" x14ac:dyDescent="0.25">
      <c r="A5" s="8">
        <v>3</v>
      </c>
      <c r="B5" s="5">
        <v>5</v>
      </c>
      <c r="C5" s="6"/>
      <c r="D5" s="6">
        <v>4.0999999999999996</v>
      </c>
      <c r="E5" s="6">
        <v>3.2</v>
      </c>
      <c r="F5" s="6">
        <v>3.15</v>
      </c>
      <c r="G5" s="6">
        <v>3.15</v>
      </c>
      <c r="H5" s="6">
        <v>2.9</v>
      </c>
      <c r="I5" s="6"/>
      <c r="J5" s="6"/>
      <c r="K5" s="6"/>
      <c r="L5" s="6"/>
      <c r="M5" s="7">
        <v>1.1000000000000001</v>
      </c>
      <c r="N5" s="7">
        <v>1.1000000000000001</v>
      </c>
      <c r="O5" s="7">
        <v>0.8</v>
      </c>
      <c r="P5" s="7">
        <v>0.8</v>
      </c>
      <c r="Q5" s="7">
        <v>0.8</v>
      </c>
      <c r="R5" s="7"/>
      <c r="S5" s="8"/>
      <c r="T5" s="6">
        <v>12.6</v>
      </c>
      <c r="U5" s="6">
        <v>10</v>
      </c>
      <c r="V5" s="6">
        <v>6.4935</v>
      </c>
      <c r="W5" s="6">
        <f>+(4.46+3+5.28)/44.4</f>
        <v>0.28693693693693695</v>
      </c>
      <c r="X5" s="6">
        <f>(3.1*4+3.1*4+1.94*4+3.54+1.9+4.24)/165</f>
        <v>0.25600000000000001</v>
      </c>
      <c r="Y5" s="2"/>
    </row>
    <row r="6" spans="1:33" x14ac:dyDescent="0.25">
      <c r="A6" s="8">
        <v>4</v>
      </c>
      <c r="B6" s="5">
        <v>7</v>
      </c>
      <c r="C6" s="6"/>
      <c r="D6" s="6">
        <v>3.65</v>
      </c>
      <c r="E6" s="6">
        <v>2.6</v>
      </c>
      <c r="F6" s="6">
        <v>2.1</v>
      </c>
      <c r="G6" s="6">
        <v>3</v>
      </c>
      <c r="H6" s="6">
        <v>3.1</v>
      </c>
      <c r="I6" s="6">
        <v>3.3</v>
      </c>
      <c r="J6" s="6">
        <v>2.8</v>
      </c>
      <c r="K6" s="6"/>
      <c r="L6" s="6"/>
      <c r="M6" s="7">
        <v>0.8</v>
      </c>
      <c r="N6" s="7">
        <v>0.7</v>
      </c>
      <c r="O6" s="7">
        <v>0.7</v>
      </c>
      <c r="P6" s="7">
        <v>0.6</v>
      </c>
      <c r="Q6" s="7">
        <v>0.6</v>
      </c>
      <c r="R6" s="7">
        <v>0.6</v>
      </c>
      <c r="S6" s="8">
        <v>0.6</v>
      </c>
      <c r="T6" s="6">
        <f>(12.35+9.27)/2</f>
        <v>10.809999999999999</v>
      </c>
      <c r="U6" s="6">
        <v>10.6</v>
      </c>
      <c r="V6" s="6">
        <v>17.641500000000001</v>
      </c>
      <c r="W6" s="6">
        <f>(2.25*3+2.93+2.98*3)/55.57</f>
        <v>0.3350728810509267</v>
      </c>
      <c r="X6" s="6">
        <f>(1.8*3+2.19*5+2.19*5+2.19*5+2.12*3+2.8*4)/165</f>
        <v>0.33824242424242423</v>
      </c>
    </row>
    <row r="7" spans="1:33" x14ac:dyDescent="0.25">
      <c r="A7" s="8">
        <v>5</v>
      </c>
      <c r="B7" s="5">
        <v>5</v>
      </c>
      <c r="C7" s="6"/>
      <c r="D7" s="6">
        <v>4.2</v>
      </c>
      <c r="E7" s="6">
        <v>3.6</v>
      </c>
      <c r="F7" s="6">
        <v>4.3</v>
      </c>
      <c r="G7" s="6">
        <v>4</v>
      </c>
      <c r="H7" s="6">
        <v>3.8</v>
      </c>
      <c r="I7" s="6"/>
      <c r="J7" s="6"/>
      <c r="K7" s="6"/>
      <c r="L7" s="6"/>
      <c r="M7" s="7">
        <v>0.9</v>
      </c>
      <c r="N7" s="7">
        <v>0.8</v>
      </c>
      <c r="O7" s="7">
        <v>0.75</v>
      </c>
      <c r="P7" s="7">
        <v>0.75</v>
      </c>
      <c r="Q7" s="7">
        <v>0.65</v>
      </c>
      <c r="R7" s="7"/>
      <c r="S7" s="8"/>
      <c r="T7" s="6">
        <f>+(10+6)/2</f>
        <v>8</v>
      </c>
      <c r="U7" s="6">
        <v>11</v>
      </c>
      <c r="V7" s="6">
        <v>9.1639999999999997</v>
      </c>
      <c r="W7" s="6">
        <f>(3.6*2+4.05+4.25*2)/41.37</f>
        <v>0.47739908145999521</v>
      </c>
      <c r="X7" s="6">
        <f>(2.9*4+2.7*3+2.7*3+2.7*2+12.5+3.8*5)/202</f>
        <v>0.3202970297029703</v>
      </c>
    </row>
    <row r="8" spans="1:33" x14ac:dyDescent="0.25">
      <c r="A8" s="8">
        <v>6</v>
      </c>
      <c r="B8" s="5">
        <v>7</v>
      </c>
      <c r="C8" s="6"/>
      <c r="D8" s="6">
        <v>2.6</v>
      </c>
      <c r="E8" s="6">
        <v>2.8</v>
      </c>
      <c r="F8" s="6">
        <v>3.7</v>
      </c>
      <c r="G8" s="6">
        <v>3.7</v>
      </c>
      <c r="H8" s="6">
        <v>3.2</v>
      </c>
      <c r="I8" s="6">
        <v>3.05</v>
      </c>
      <c r="J8" s="6">
        <v>2.8</v>
      </c>
      <c r="K8" s="6"/>
      <c r="L8" s="6"/>
      <c r="M8" s="7">
        <v>0.7</v>
      </c>
      <c r="N8" s="7">
        <v>0.7</v>
      </c>
      <c r="O8" s="7">
        <v>0.65</v>
      </c>
      <c r="P8" s="7">
        <v>0.6</v>
      </c>
      <c r="Q8" s="7">
        <v>0.55000000000000004</v>
      </c>
      <c r="R8" s="7">
        <v>0.5</v>
      </c>
      <c r="S8" s="8">
        <v>0.5</v>
      </c>
      <c r="T8" s="6">
        <v>4.4000000000000004</v>
      </c>
      <c r="U8" s="6">
        <v>11</v>
      </c>
      <c r="V8" s="6">
        <v>0</v>
      </c>
      <c r="W8" s="6">
        <f>+(12.82)/20.82</f>
        <v>0.61575408261287223</v>
      </c>
      <c r="X8" s="6">
        <f>(1.54*2+2.4*2+1.8*2+1.8*2+2.95*2+1.57*2+3.17*2)/(89)</f>
        <v>0.34224719101123596</v>
      </c>
    </row>
    <row r="9" spans="1:33" x14ac:dyDescent="0.25">
      <c r="A9" s="8">
        <v>7</v>
      </c>
      <c r="B9" s="5">
        <v>6</v>
      </c>
      <c r="C9" s="6"/>
      <c r="D9" s="6">
        <v>4.5999999999999996</v>
      </c>
      <c r="E9" s="6">
        <v>3.6</v>
      </c>
      <c r="F9" s="6">
        <v>3</v>
      </c>
      <c r="G9" s="6">
        <v>2.9</v>
      </c>
      <c r="H9" s="6">
        <v>2.9</v>
      </c>
      <c r="I9" s="6">
        <v>2.9</v>
      </c>
      <c r="J9" s="6"/>
      <c r="K9" s="6"/>
      <c r="L9" s="6"/>
      <c r="M9" s="7">
        <v>0.65</v>
      </c>
      <c r="N9" s="7">
        <v>0.6</v>
      </c>
      <c r="O9" s="7">
        <v>0.6</v>
      </c>
      <c r="P9" s="7">
        <v>0.6</v>
      </c>
      <c r="Q9" s="7">
        <v>0.25</v>
      </c>
      <c r="R9" s="7">
        <v>0.2</v>
      </c>
      <c r="S9" s="8"/>
      <c r="T9" s="6">
        <v>5</v>
      </c>
      <c r="U9" s="6">
        <v>7</v>
      </c>
      <c r="V9" s="6">
        <v>3.2267999999999999</v>
      </c>
      <c r="W9" s="6">
        <f>(3.8*3)/24.7</f>
        <v>0.46153846153846151</v>
      </c>
      <c r="X9" s="6">
        <f>(2.1*3+1.3*3+1.3*3+1.3*3+10.57+3.8*3)/105</f>
        <v>0.38066666666666665</v>
      </c>
    </row>
    <row r="10" spans="1:33" x14ac:dyDescent="0.25">
      <c r="A10" s="8">
        <v>8</v>
      </c>
      <c r="B10" s="5">
        <v>6</v>
      </c>
      <c r="C10" s="6"/>
      <c r="D10" s="6">
        <v>3.2</v>
      </c>
      <c r="E10" s="6">
        <v>3</v>
      </c>
      <c r="F10" s="6">
        <v>2.8</v>
      </c>
      <c r="G10" s="6">
        <v>2.7</v>
      </c>
      <c r="H10" s="6">
        <v>3.1</v>
      </c>
      <c r="I10" s="6">
        <v>3</v>
      </c>
      <c r="J10" s="6"/>
      <c r="K10" s="6"/>
      <c r="L10" s="6"/>
      <c r="M10" s="7">
        <v>0.7</v>
      </c>
      <c r="N10" s="7">
        <v>0.65</v>
      </c>
      <c r="O10" s="7">
        <v>0.65</v>
      </c>
      <c r="P10" s="7">
        <v>0.6</v>
      </c>
      <c r="Q10" s="7">
        <v>0.6</v>
      </c>
      <c r="R10" s="7">
        <v>0.2</v>
      </c>
      <c r="S10" s="8"/>
      <c r="T10" s="6">
        <f>+(7.1+7.9)/2</f>
        <v>7.5</v>
      </c>
      <c r="U10" s="6">
        <f>(10+9.2)/2</f>
        <v>9.6</v>
      </c>
      <c r="V10" s="6">
        <v>10.379999999999999</v>
      </c>
      <c r="W10" s="6">
        <f>(3.2*3)/24.7</f>
        <v>0.38866396761133609</v>
      </c>
      <c r="X10" s="6">
        <f>(1.28*3+1.26*3+1.26*3+1.26*2+1.6+1.48*3+3.2*3)/130</f>
        <v>0.22738461538461541</v>
      </c>
    </row>
    <row r="11" spans="1:33" x14ac:dyDescent="0.25">
      <c r="A11" s="8">
        <v>9</v>
      </c>
      <c r="B11" s="5">
        <v>6</v>
      </c>
      <c r="C11" s="6"/>
      <c r="D11" s="6">
        <v>2.8</v>
      </c>
      <c r="E11" s="6">
        <v>2.6</v>
      </c>
      <c r="F11" s="6">
        <v>3.7</v>
      </c>
      <c r="G11" s="6">
        <v>3.7</v>
      </c>
      <c r="H11" s="6">
        <v>3.2</v>
      </c>
      <c r="I11" s="6">
        <v>3.2</v>
      </c>
      <c r="J11" s="6"/>
      <c r="K11" s="6"/>
      <c r="L11" s="6"/>
      <c r="M11" s="7">
        <v>0.7</v>
      </c>
      <c r="N11" s="7">
        <v>0.7</v>
      </c>
      <c r="O11" s="7">
        <v>0.7</v>
      </c>
      <c r="P11" s="7">
        <v>0.6</v>
      </c>
      <c r="Q11" s="7">
        <v>0.55000000000000004</v>
      </c>
      <c r="R11" s="7">
        <v>0.2</v>
      </c>
      <c r="S11" s="8"/>
      <c r="T11" s="6">
        <f>+(6.4+5.2)/2</f>
        <v>5.8000000000000007</v>
      </c>
      <c r="U11" s="6">
        <f>+(12+12.5)/2</f>
        <v>12.25</v>
      </c>
      <c r="V11" s="6">
        <v>5.6565000000000003</v>
      </c>
      <c r="W11" s="6">
        <f>(1.83*2+2.54*3)/28.88</f>
        <v>0.39058171745152359</v>
      </c>
      <c r="X11" s="6">
        <f>(2.72*2+2.6*2+2.72*2+2.86*2+1.82*2+2.54*3)/106.6</f>
        <v>0.31013133208255161</v>
      </c>
    </row>
    <row r="12" spans="1:33" x14ac:dyDescent="0.25">
      <c r="A12" s="8">
        <v>10</v>
      </c>
      <c r="B12" s="5">
        <v>7</v>
      </c>
      <c r="C12" s="6"/>
      <c r="D12" s="6">
        <v>3.1</v>
      </c>
      <c r="E12" s="6">
        <v>2.8</v>
      </c>
      <c r="F12" s="6">
        <v>3</v>
      </c>
      <c r="G12" s="6">
        <v>3.2</v>
      </c>
      <c r="H12" s="6">
        <v>3</v>
      </c>
      <c r="I12" s="6">
        <v>2.9</v>
      </c>
      <c r="J12" s="6">
        <v>2.7</v>
      </c>
      <c r="K12" s="6"/>
      <c r="L12" s="6"/>
      <c r="M12" s="7">
        <v>0.7</v>
      </c>
      <c r="N12" s="7">
        <v>0.7</v>
      </c>
      <c r="O12" s="7">
        <v>0.6</v>
      </c>
      <c r="P12" s="7">
        <v>0.6</v>
      </c>
      <c r="Q12" s="7">
        <v>0.55000000000000004</v>
      </c>
      <c r="R12" s="7">
        <v>0.55000000000000004</v>
      </c>
      <c r="S12" s="8">
        <v>0.55000000000000004</v>
      </c>
      <c r="T12" s="6">
        <v>4.5999999999999996</v>
      </c>
      <c r="U12" s="6">
        <v>11.84</v>
      </c>
      <c r="V12" s="6">
        <v>9.2899999999999991</v>
      </c>
      <c r="W12" s="6">
        <f>+(4.25*2)/16.9</f>
        <v>0.50295857988165682</v>
      </c>
      <c r="X12" s="6">
        <f>(1.2*2+2.13*2+2.2*2+2.2*2+2.2*2+2.2*2+3.67*2)/94</f>
        <v>0.33617021276595743</v>
      </c>
    </row>
    <row r="13" spans="1:33" x14ac:dyDescent="0.25">
      <c r="A13" s="8">
        <v>11</v>
      </c>
      <c r="B13" s="5">
        <v>4</v>
      </c>
      <c r="C13" s="6"/>
      <c r="D13" s="6"/>
      <c r="E13" s="6">
        <v>2.8</v>
      </c>
      <c r="F13" s="6">
        <v>3.4</v>
      </c>
      <c r="G13" s="6">
        <v>3.2</v>
      </c>
      <c r="H13" s="6">
        <v>2.8</v>
      </c>
      <c r="I13" s="6"/>
      <c r="J13" s="6"/>
      <c r="K13" s="6"/>
      <c r="L13" s="6"/>
      <c r="M13" s="7">
        <v>0.75</v>
      </c>
      <c r="N13" s="7">
        <v>0.75</v>
      </c>
      <c r="O13" s="7">
        <v>0.75</v>
      </c>
      <c r="P13" s="7">
        <v>0.6</v>
      </c>
      <c r="Q13" s="7"/>
      <c r="R13" s="7"/>
      <c r="S13" s="8"/>
      <c r="T13" s="6">
        <f>+(17.6+21)/2</f>
        <v>19.3</v>
      </c>
      <c r="U13" s="6">
        <f>+(14.2+11.3)/2</f>
        <v>12.75</v>
      </c>
      <c r="V13" s="6">
        <v>22.69</v>
      </c>
      <c r="W13" s="6">
        <f>(3.07*6)/48.56</f>
        <v>0.37932454695222401</v>
      </c>
      <c r="X13" s="6">
        <f>(1.32*6+1.64*6+1.64*6+3*6)/210</f>
        <v>0.21714285714285711</v>
      </c>
    </row>
    <row r="14" spans="1:33" x14ac:dyDescent="0.25">
      <c r="A14" s="8">
        <v>12</v>
      </c>
      <c r="B14" s="5">
        <v>4</v>
      </c>
      <c r="C14" s="6"/>
      <c r="D14" s="6"/>
      <c r="E14" s="6">
        <v>2.7</v>
      </c>
      <c r="F14" s="6">
        <v>2.9</v>
      </c>
      <c r="G14" s="6">
        <v>2.8</v>
      </c>
      <c r="H14" s="6">
        <v>3.4</v>
      </c>
      <c r="I14" s="6"/>
      <c r="J14" s="6"/>
      <c r="K14" s="6"/>
      <c r="L14" s="6"/>
      <c r="M14" s="7">
        <v>0.7</v>
      </c>
      <c r="N14" s="7">
        <v>0.7</v>
      </c>
      <c r="O14" s="7">
        <v>0.6</v>
      </c>
      <c r="P14" s="7">
        <v>0.4</v>
      </c>
      <c r="Q14" s="7"/>
      <c r="R14" s="7"/>
      <c r="S14" s="8"/>
      <c r="T14" s="6">
        <v>4.3</v>
      </c>
      <c r="U14" s="6">
        <v>11</v>
      </c>
      <c r="V14" s="6">
        <v>3.8099999999999996</v>
      </c>
      <c r="W14" s="6">
        <f>+(8.53)/12.65</f>
        <v>0.6743083003952568</v>
      </c>
      <c r="X14" s="6">
        <f>+(2.4*2+2.2*2+2.1*2+7.8)/54.9</f>
        <v>0.38615664845173042</v>
      </c>
    </row>
    <row r="15" spans="1:33" x14ac:dyDescent="0.25">
      <c r="A15" s="8">
        <v>13</v>
      </c>
      <c r="B15" s="5">
        <v>4</v>
      </c>
      <c r="C15" s="6"/>
      <c r="D15" s="6"/>
      <c r="E15" s="6">
        <v>3.8</v>
      </c>
      <c r="F15" s="6">
        <v>3.2</v>
      </c>
      <c r="G15" s="6">
        <v>3</v>
      </c>
      <c r="H15" s="6">
        <v>2.8</v>
      </c>
      <c r="I15" s="6"/>
      <c r="J15" s="6"/>
      <c r="K15" s="6"/>
      <c r="L15" s="6"/>
      <c r="M15" s="7">
        <v>0.9</v>
      </c>
      <c r="N15" s="7">
        <v>0.75</v>
      </c>
      <c r="O15" s="7">
        <v>0.75</v>
      </c>
      <c r="P15" s="7">
        <v>0.6</v>
      </c>
      <c r="Q15" s="7"/>
      <c r="R15" s="7"/>
      <c r="S15" s="8"/>
      <c r="T15" s="6">
        <f>+(4.7+3.2)/2</f>
        <v>3.95</v>
      </c>
      <c r="U15" s="6">
        <f>+(11.3+13.1)/2</f>
        <v>12.2</v>
      </c>
      <c r="V15" s="6">
        <v>2.7672000000000003</v>
      </c>
      <c r="W15" s="6">
        <f>(10.6)/16.1</f>
        <v>0.65838509316770177</v>
      </c>
      <c r="X15" s="6">
        <f>(1.13*2+1.21*2+2.58*2+1.7*2+10.25)/74.7</f>
        <v>0.3144578313253012</v>
      </c>
    </row>
    <row r="16" spans="1:33" x14ac:dyDescent="0.25">
      <c r="A16" s="8">
        <v>14</v>
      </c>
      <c r="B16" s="5">
        <v>3</v>
      </c>
      <c r="C16" s="6"/>
      <c r="D16" s="6"/>
      <c r="E16" s="6">
        <v>3.2</v>
      </c>
      <c r="F16" s="6">
        <v>3.5</v>
      </c>
      <c r="G16" s="6">
        <v>3.1</v>
      </c>
      <c r="H16" s="6"/>
      <c r="I16" s="6"/>
      <c r="J16" s="6"/>
      <c r="K16" s="6"/>
      <c r="L16" s="6"/>
      <c r="M16" s="7">
        <v>0.6</v>
      </c>
      <c r="N16" s="7">
        <v>0.6</v>
      </c>
      <c r="O16" s="7">
        <v>0.4</v>
      </c>
      <c r="P16" s="7"/>
      <c r="Q16" s="7"/>
      <c r="R16" s="7"/>
      <c r="S16" s="8"/>
      <c r="T16" s="6">
        <f>AVERAGE(3,3.7)</f>
        <v>3.35</v>
      </c>
      <c r="U16" s="6">
        <f>AVERAGE(8,8.2)</f>
        <v>8.1</v>
      </c>
      <c r="V16" s="6">
        <v>2.2920000000000003</v>
      </c>
      <c r="W16" s="6">
        <v>0.8</v>
      </c>
      <c r="X16" s="6">
        <f>(1.25+1.25+1.25)/36.3</f>
        <v>0.10330578512396695</v>
      </c>
    </row>
    <row r="17" spans="1:24" ht="18" customHeight="1" x14ac:dyDescent="0.25">
      <c r="A17" s="8">
        <v>15</v>
      </c>
      <c r="B17" s="5">
        <v>4</v>
      </c>
      <c r="C17" s="6"/>
      <c r="D17" s="6"/>
      <c r="E17" s="6">
        <v>2.5499999999999998</v>
      </c>
      <c r="F17" s="6">
        <v>2.6</v>
      </c>
      <c r="G17" s="6">
        <v>2.6</v>
      </c>
      <c r="H17" s="6">
        <v>2.8</v>
      </c>
      <c r="I17" s="6"/>
      <c r="J17" s="6"/>
      <c r="K17" s="6"/>
      <c r="L17" s="6"/>
      <c r="M17" s="7">
        <v>0.7</v>
      </c>
      <c r="N17" s="7">
        <v>0.7</v>
      </c>
      <c r="O17" s="7">
        <v>0.3</v>
      </c>
      <c r="P17" s="7">
        <v>0.3</v>
      </c>
      <c r="Q17" s="7"/>
      <c r="R17" s="7"/>
      <c r="S17" s="8"/>
      <c r="T17" s="6">
        <v>6.7</v>
      </c>
      <c r="U17" s="6">
        <v>8</v>
      </c>
      <c r="V17" s="6">
        <v>2.3239999999999998</v>
      </c>
      <c r="W17" s="6">
        <f>+(2.22*3)/18.36</f>
        <v>0.36274509803921573</v>
      </c>
      <c r="X17" s="6">
        <f>(0.95*2+0.95*3+0.95*3+2.6*3)/66.4</f>
        <v>0.23192771084337349</v>
      </c>
    </row>
    <row r="18" spans="1:24" x14ac:dyDescent="0.25">
      <c r="A18" s="8">
        <v>16</v>
      </c>
      <c r="B18" s="5">
        <v>3</v>
      </c>
      <c r="C18" s="6"/>
      <c r="D18" s="6"/>
      <c r="E18" s="6">
        <v>3.3</v>
      </c>
      <c r="F18" s="6">
        <v>3.2</v>
      </c>
      <c r="G18" s="6">
        <v>3</v>
      </c>
      <c r="H18" s="6"/>
      <c r="I18" s="6"/>
      <c r="J18" s="6"/>
      <c r="K18" s="6"/>
      <c r="L18" s="6"/>
      <c r="M18" s="7">
        <v>0.65</v>
      </c>
      <c r="N18" s="7">
        <v>0.65</v>
      </c>
      <c r="O18" s="7">
        <v>0.65</v>
      </c>
      <c r="P18" s="7"/>
      <c r="Q18" s="7"/>
      <c r="R18" s="7"/>
      <c r="S18" s="8"/>
      <c r="T18" s="6">
        <v>4.0999999999999996</v>
      </c>
      <c r="U18" s="6">
        <v>6.3</v>
      </c>
      <c r="V18" s="6">
        <v>2.0499999999999998</v>
      </c>
      <c r="W18" s="6">
        <f>(2.71*2)/13.41</f>
        <v>0.4041759880686055</v>
      </c>
      <c r="X18" s="6">
        <f>+(1.4*2+2.4*2+2.6*2)/44.8</f>
        <v>0.28571428571428575</v>
      </c>
    </row>
    <row r="19" spans="1:24" x14ac:dyDescent="0.25">
      <c r="A19" s="8">
        <v>17</v>
      </c>
      <c r="B19" s="5">
        <v>2</v>
      </c>
      <c r="C19" s="6"/>
      <c r="D19" s="6"/>
      <c r="E19" s="6">
        <v>3.7</v>
      </c>
      <c r="F19" s="6">
        <v>3.4</v>
      </c>
      <c r="G19" s="6"/>
      <c r="H19" s="6"/>
      <c r="I19" s="6"/>
      <c r="J19" s="6"/>
      <c r="K19" s="6"/>
      <c r="L19" s="6"/>
      <c r="M19" s="7">
        <v>0.55000000000000004</v>
      </c>
      <c r="N19" s="7">
        <v>0.25</v>
      </c>
      <c r="O19" s="7"/>
      <c r="P19" s="7"/>
      <c r="Q19" s="7"/>
      <c r="R19" s="7"/>
      <c r="S19" s="8"/>
      <c r="T19" s="6">
        <v>15</v>
      </c>
      <c r="U19" s="6">
        <v>14.6</v>
      </c>
      <c r="V19" s="6">
        <v>3</v>
      </c>
      <c r="W19" s="6">
        <v>0.35</v>
      </c>
      <c r="X19" s="6">
        <v>0.35</v>
      </c>
    </row>
    <row r="20" spans="1:24" x14ac:dyDescent="0.25">
      <c r="A20" s="8">
        <v>18</v>
      </c>
      <c r="B20" s="5">
        <v>4</v>
      </c>
      <c r="C20" s="6"/>
      <c r="D20" s="6"/>
      <c r="E20" s="6">
        <v>2.4</v>
      </c>
      <c r="F20" s="6">
        <v>2.7</v>
      </c>
      <c r="G20" s="6">
        <v>2.4</v>
      </c>
      <c r="H20" s="6">
        <v>2.8</v>
      </c>
      <c r="I20" s="6"/>
      <c r="J20" s="6"/>
      <c r="K20" s="6"/>
      <c r="L20" s="6"/>
      <c r="M20" s="7">
        <v>0.6</v>
      </c>
      <c r="N20" s="7">
        <v>0.6</v>
      </c>
      <c r="O20" s="7">
        <v>0.55000000000000004</v>
      </c>
      <c r="P20" s="7">
        <v>0.55000000000000004</v>
      </c>
      <c r="Q20" s="7"/>
      <c r="R20" s="7"/>
      <c r="S20" s="8"/>
      <c r="T20" s="6">
        <f>AVERAGE(6,4.2)</f>
        <v>5.0999999999999996</v>
      </c>
      <c r="U20" s="6">
        <f>AVERAGE(11.1,12.5)</f>
        <v>11.8</v>
      </c>
      <c r="V20" s="6">
        <v>3.1700000000000004</v>
      </c>
      <c r="W20" s="6">
        <f>(2.11*2+2.96)/12.11</f>
        <v>0.59289843104872009</v>
      </c>
      <c r="X20" s="6">
        <f>(1.25*2+2.9*2+1.3*2+2.07*3)/47.2</f>
        <v>0.36249999999999999</v>
      </c>
    </row>
    <row r="21" spans="1:24" x14ac:dyDescent="0.25">
      <c r="A21" s="8">
        <v>19</v>
      </c>
      <c r="B21" s="5">
        <v>3</v>
      </c>
      <c r="C21" s="6"/>
      <c r="D21" s="6"/>
      <c r="E21" s="6">
        <v>3.1</v>
      </c>
      <c r="F21" s="6">
        <v>2.8</v>
      </c>
      <c r="G21" s="6">
        <v>2.7</v>
      </c>
      <c r="H21" s="6"/>
      <c r="I21" s="6"/>
      <c r="J21" s="6"/>
      <c r="K21" s="6"/>
      <c r="L21" s="6"/>
      <c r="M21" s="7">
        <v>0.7</v>
      </c>
      <c r="N21" s="7">
        <v>0.5</v>
      </c>
      <c r="O21" s="7">
        <v>0.5</v>
      </c>
      <c r="P21" s="7"/>
      <c r="Q21" s="7"/>
      <c r="R21" s="7"/>
      <c r="S21" s="8"/>
      <c r="T21" s="6">
        <v>11</v>
      </c>
      <c r="U21" s="6">
        <v>10</v>
      </c>
      <c r="V21" s="6">
        <v>10.48</v>
      </c>
      <c r="W21" s="6">
        <f>(3+5.56)/14</f>
        <v>0.61142857142857132</v>
      </c>
      <c r="X21" s="6">
        <f>(1.26*2+1.33*2+2.93+5.5)/36.2</f>
        <v>0.37596685082872922</v>
      </c>
    </row>
    <row r="22" spans="1:24" x14ac:dyDescent="0.25">
      <c r="A22" s="8">
        <v>20</v>
      </c>
      <c r="B22" s="5">
        <v>3</v>
      </c>
      <c r="C22" s="6"/>
      <c r="D22" s="6"/>
      <c r="E22" s="6">
        <v>3.2</v>
      </c>
      <c r="F22" s="6">
        <v>3</v>
      </c>
      <c r="G22" s="6">
        <v>3</v>
      </c>
      <c r="H22" s="6"/>
      <c r="I22" s="6"/>
      <c r="J22" s="6"/>
      <c r="K22" s="6"/>
      <c r="L22" s="6"/>
      <c r="M22" s="7">
        <v>0.6</v>
      </c>
      <c r="N22" s="7">
        <v>0.55000000000000004</v>
      </c>
      <c r="O22" s="7">
        <v>0.55000000000000004</v>
      </c>
      <c r="P22" s="7"/>
      <c r="Q22" s="7"/>
      <c r="R22" s="7"/>
      <c r="S22" s="8"/>
      <c r="T22" s="6">
        <v>4.4000000000000004</v>
      </c>
      <c r="U22" s="6">
        <v>5</v>
      </c>
      <c r="V22" s="6">
        <v>2.0499999999999998</v>
      </c>
      <c r="W22" s="6">
        <f>(2.81*2)/13.69</f>
        <v>0.41051862673484296</v>
      </c>
      <c r="X22" s="6">
        <f>(1.5*2+1.5*2+6.3)/49.5</f>
        <v>0.2484848484848485</v>
      </c>
    </row>
    <row r="23" spans="1:24" x14ac:dyDescent="0.25">
      <c r="A23" s="8">
        <v>21</v>
      </c>
      <c r="B23" s="5">
        <v>4</v>
      </c>
      <c r="C23" s="6"/>
      <c r="D23" s="6"/>
      <c r="E23" s="6">
        <v>2.4</v>
      </c>
      <c r="F23" s="6">
        <v>2.6</v>
      </c>
      <c r="G23" s="6">
        <v>2.7</v>
      </c>
      <c r="H23" s="6">
        <v>2.5</v>
      </c>
      <c r="I23" s="6"/>
      <c r="J23" s="6"/>
      <c r="K23" s="6"/>
      <c r="L23" s="6"/>
      <c r="M23" s="7">
        <v>0.65</v>
      </c>
      <c r="N23" s="7">
        <v>0.6</v>
      </c>
      <c r="O23" s="7">
        <v>0.6</v>
      </c>
      <c r="P23" s="7">
        <v>0.25</v>
      </c>
      <c r="Q23" s="7"/>
      <c r="R23" s="7"/>
      <c r="S23" s="8"/>
      <c r="T23" s="6">
        <v>2.8</v>
      </c>
      <c r="U23" s="6">
        <v>8</v>
      </c>
      <c r="V23" s="6">
        <v>4.8100000000000005</v>
      </c>
      <c r="W23" s="6">
        <f>+(2.67*2)/11.2</f>
        <v>0.47678571428571431</v>
      </c>
      <c r="X23" s="6">
        <f>(1.05*2+1.05*2+1.17*2+2.57*2)/47.6</f>
        <v>0.24537815126050419</v>
      </c>
    </row>
    <row r="24" spans="1:24" x14ac:dyDescent="0.25">
      <c r="A24" s="8">
        <v>22</v>
      </c>
      <c r="B24" s="5">
        <v>4</v>
      </c>
      <c r="C24" s="6"/>
      <c r="D24" s="6"/>
      <c r="E24" s="6">
        <v>3</v>
      </c>
      <c r="F24" s="6">
        <v>3.5</v>
      </c>
      <c r="G24" s="6">
        <v>3.3</v>
      </c>
      <c r="H24" s="6">
        <v>3.3</v>
      </c>
      <c r="I24" s="6"/>
      <c r="J24" s="6"/>
      <c r="K24" s="6"/>
      <c r="L24" s="6"/>
      <c r="M24" s="7">
        <v>0.6</v>
      </c>
      <c r="N24" s="7">
        <v>0.55000000000000004</v>
      </c>
      <c r="O24" s="7">
        <v>0.5</v>
      </c>
      <c r="P24" s="7">
        <v>0.5</v>
      </c>
      <c r="Q24" s="7"/>
      <c r="R24" s="7"/>
      <c r="S24" s="8"/>
      <c r="T24" s="6">
        <v>8.3000000000000007</v>
      </c>
      <c r="U24" s="6">
        <v>9.6</v>
      </c>
      <c r="V24" s="6">
        <v>6.1039999999999992</v>
      </c>
      <c r="W24" s="6">
        <f>(3.9*2)/27</f>
        <v>0.28888888888888886</v>
      </c>
      <c r="X24" s="6">
        <f>(0.82*2+2.93*2+1.92*2+3.06*2)/103.5</f>
        <v>0.16869565217391305</v>
      </c>
    </row>
    <row r="25" spans="1:24" x14ac:dyDescent="0.25">
      <c r="A25" s="8">
        <v>23</v>
      </c>
      <c r="B25" s="5">
        <v>4</v>
      </c>
      <c r="C25" s="6"/>
      <c r="D25" s="6"/>
      <c r="E25" s="6">
        <v>3.4</v>
      </c>
      <c r="F25" s="6">
        <v>3.9</v>
      </c>
      <c r="G25" s="6">
        <v>3</v>
      </c>
      <c r="H25" s="6">
        <v>3.4</v>
      </c>
      <c r="I25" s="6"/>
      <c r="J25" s="6"/>
      <c r="K25" s="6"/>
      <c r="L25" s="6"/>
      <c r="M25" s="7">
        <v>0.65</v>
      </c>
      <c r="N25" s="7">
        <v>0.65</v>
      </c>
      <c r="O25" s="7">
        <v>0.3</v>
      </c>
      <c r="P25" s="7">
        <v>0.3</v>
      </c>
      <c r="Q25" s="7"/>
      <c r="R25" s="7"/>
      <c r="S25" s="8"/>
      <c r="T25" s="6">
        <v>7.8</v>
      </c>
      <c r="U25" s="6">
        <v>5.5</v>
      </c>
      <c r="V25" s="6">
        <v>6.76</v>
      </c>
      <c r="W25" s="6">
        <f>(3.7*2)/27.9</f>
        <v>0.26523297491039427</v>
      </c>
      <c r="X25" s="6">
        <f>(0.6*2+1.4+2.1*2+0.65*2+1.68*2+0.65*2+3.3*2+1.5*2)/109</f>
        <v>0.20513761467889907</v>
      </c>
    </row>
    <row r="26" spans="1:24" x14ac:dyDescent="0.25">
      <c r="A26" s="8">
        <v>24</v>
      </c>
      <c r="B26" s="5">
        <v>4</v>
      </c>
      <c r="C26" s="6"/>
      <c r="D26" s="6"/>
      <c r="E26" s="6">
        <v>2.2999999999999998</v>
      </c>
      <c r="F26" s="6">
        <v>3</v>
      </c>
      <c r="G26" s="6">
        <v>2.6</v>
      </c>
      <c r="H26" s="6">
        <v>2.5</v>
      </c>
      <c r="I26" s="6"/>
      <c r="J26" s="6"/>
      <c r="K26" s="6"/>
      <c r="L26" s="6"/>
      <c r="M26" s="7">
        <v>0.6</v>
      </c>
      <c r="N26" s="7">
        <v>0.6</v>
      </c>
      <c r="O26" s="7">
        <v>0.55000000000000004</v>
      </c>
      <c r="P26" s="7">
        <v>0.55000000000000004</v>
      </c>
      <c r="Q26" s="7"/>
      <c r="R26" s="7"/>
      <c r="S26" s="8"/>
      <c r="T26" s="6">
        <v>4.9000000000000004</v>
      </c>
      <c r="U26" s="6">
        <v>5.5</v>
      </c>
      <c r="V26" s="6">
        <v>2.14</v>
      </c>
      <c r="W26" s="6">
        <f>(2.92+2.51)/12.46</f>
        <v>0.43579454253611549</v>
      </c>
      <c r="X26" s="6">
        <f>(1.15*2+1.17*2+2*2+2.2*2)/52.1</f>
        <v>0.2502879078694818</v>
      </c>
    </row>
    <row r="27" spans="1:24" x14ac:dyDescent="0.25">
      <c r="A27" s="8">
        <v>25</v>
      </c>
      <c r="B27" s="5">
        <v>3</v>
      </c>
      <c r="C27" s="6"/>
      <c r="D27" s="6"/>
      <c r="E27" s="6">
        <v>3.7</v>
      </c>
      <c r="F27" s="6">
        <v>3.2</v>
      </c>
      <c r="G27" s="6">
        <v>3</v>
      </c>
      <c r="H27" s="6"/>
      <c r="I27" s="6"/>
      <c r="J27" s="6"/>
      <c r="K27" s="6"/>
      <c r="L27" s="6"/>
      <c r="M27" s="7">
        <v>0.7</v>
      </c>
      <c r="N27" s="7">
        <v>0.7</v>
      </c>
      <c r="O27" s="7">
        <v>0.65</v>
      </c>
      <c r="P27" s="7"/>
      <c r="Q27" s="7"/>
      <c r="R27" s="7"/>
      <c r="S27" s="8"/>
      <c r="T27" s="6">
        <v>6.7</v>
      </c>
      <c r="U27" s="6">
        <v>10.5</v>
      </c>
      <c r="V27" s="6">
        <v>7.7380000000000004</v>
      </c>
      <c r="W27" s="6">
        <f>+(5.04*2+3.31)/32.32</f>
        <v>0.41429455445544555</v>
      </c>
      <c r="X27" s="6">
        <f>((1.8*2+2.4)*2+4.85*2+3.22)/77.2</f>
        <v>0.32279792746113983</v>
      </c>
    </row>
    <row r="28" spans="1:24" x14ac:dyDescent="0.25">
      <c r="A28" s="8">
        <v>26</v>
      </c>
      <c r="B28" s="5">
        <v>3</v>
      </c>
      <c r="C28" s="6"/>
      <c r="D28" s="6"/>
      <c r="E28" s="6">
        <v>2.4</v>
      </c>
      <c r="F28" s="6">
        <v>2.8</v>
      </c>
      <c r="G28" s="6">
        <v>2.8</v>
      </c>
      <c r="H28" s="6"/>
      <c r="I28" s="6"/>
      <c r="J28" s="6"/>
      <c r="K28" s="6"/>
      <c r="L28" s="6"/>
      <c r="M28" s="7">
        <v>0.8</v>
      </c>
      <c r="N28" s="7">
        <v>0.65</v>
      </c>
      <c r="O28" s="7">
        <v>0.6</v>
      </c>
      <c r="P28" s="7"/>
      <c r="Q28" s="7"/>
      <c r="R28" s="7"/>
      <c r="S28" s="8"/>
      <c r="T28" s="6">
        <v>9</v>
      </c>
      <c r="U28" s="6">
        <v>8.5</v>
      </c>
      <c r="V28" s="6">
        <v>7.6899999999999986</v>
      </c>
      <c r="W28" s="6">
        <f>(2.11*2+0.89)/20.75</f>
        <v>0.24626506024096384</v>
      </c>
      <c r="X28" s="6">
        <f>(1*3+1.63*3+2.05*3)/67</f>
        <v>0.20955223880597013</v>
      </c>
    </row>
    <row r="29" spans="1:24" x14ac:dyDescent="0.25">
      <c r="A29" s="8">
        <v>27</v>
      </c>
      <c r="B29" s="5">
        <v>3</v>
      </c>
      <c r="C29" s="6"/>
      <c r="D29" s="6"/>
      <c r="E29" s="6">
        <v>2.5</v>
      </c>
      <c r="F29" s="6">
        <v>2.9</v>
      </c>
      <c r="G29" s="6">
        <v>2.5</v>
      </c>
      <c r="H29" s="6"/>
      <c r="I29" s="6"/>
      <c r="J29" s="6"/>
      <c r="K29" s="6"/>
      <c r="L29" s="6"/>
      <c r="M29" s="7">
        <v>0.6</v>
      </c>
      <c r="N29" s="7">
        <v>0.5</v>
      </c>
      <c r="O29" s="7">
        <v>0.5</v>
      </c>
      <c r="P29" s="7"/>
      <c r="Q29" s="7"/>
      <c r="R29" s="7"/>
      <c r="S29" s="8"/>
      <c r="T29" s="6">
        <v>6</v>
      </c>
      <c r="U29" s="6">
        <v>7.5</v>
      </c>
      <c r="V29" s="6">
        <v>2.0499999999999998</v>
      </c>
      <c r="W29" s="6">
        <f>(1.96*2+2.5)/16</f>
        <v>0.40125</v>
      </c>
      <c r="X29" s="6">
        <f>(1.17*3+2.54+1.78*2)/48</f>
        <v>0.20020833333333332</v>
      </c>
    </row>
    <row r="30" spans="1:24" x14ac:dyDescent="0.25">
      <c r="A30" s="8">
        <v>28</v>
      </c>
      <c r="B30" s="5">
        <v>3</v>
      </c>
      <c r="C30" s="6"/>
      <c r="D30" s="6"/>
      <c r="E30" s="6">
        <v>2.8</v>
      </c>
      <c r="F30" s="6">
        <v>2.9</v>
      </c>
      <c r="G30" s="6">
        <v>2.4</v>
      </c>
      <c r="H30" s="6"/>
      <c r="I30" s="6"/>
      <c r="J30" s="6"/>
      <c r="K30" s="6"/>
      <c r="L30" s="6"/>
      <c r="M30" s="7">
        <v>0.7</v>
      </c>
      <c r="N30" s="7">
        <v>0.65</v>
      </c>
      <c r="O30" s="7">
        <v>0.65</v>
      </c>
      <c r="P30" s="7"/>
      <c r="Q30" s="7"/>
      <c r="R30" s="7"/>
      <c r="S30" s="8"/>
      <c r="T30" s="6">
        <v>14</v>
      </c>
      <c r="U30" s="6">
        <v>8.6999999999999993</v>
      </c>
      <c r="V30" s="6">
        <v>6.9399999999999995</v>
      </c>
      <c r="W30" s="6">
        <f>(2.35*7/41.19)</f>
        <v>0.39936877882981309</v>
      </c>
      <c r="X30" s="6">
        <f>(1.43*7+2.2*7)/95.3</f>
        <v>0.26663168940188881</v>
      </c>
    </row>
    <row r="31" spans="1:24" x14ac:dyDescent="0.25">
      <c r="A31" s="8">
        <v>29</v>
      </c>
      <c r="B31" s="5">
        <v>4</v>
      </c>
      <c r="C31" s="6"/>
      <c r="D31" s="6"/>
      <c r="E31" s="6">
        <v>3.8</v>
      </c>
      <c r="F31" s="6">
        <v>3.1</v>
      </c>
      <c r="G31" s="6">
        <v>3.3</v>
      </c>
      <c r="H31" s="6">
        <v>2.4</v>
      </c>
      <c r="I31" s="6"/>
      <c r="J31" s="6"/>
      <c r="K31" s="6"/>
      <c r="L31" s="6"/>
      <c r="M31" s="7">
        <v>0.6</v>
      </c>
      <c r="N31" s="7">
        <v>0.6</v>
      </c>
      <c r="O31" s="7">
        <v>0.6</v>
      </c>
      <c r="P31" s="7">
        <v>0.6</v>
      </c>
      <c r="Q31" s="7"/>
      <c r="R31" s="7"/>
      <c r="S31" s="8"/>
      <c r="T31" s="6">
        <v>5.13</v>
      </c>
      <c r="U31" s="6">
        <v>8.6</v>
      </c>
      <c r="V31" s="6">
        <v>3.67</v>
      </c>
      <c r="W31" s="6">
        <f>+(3.43*3)/19.77</f>
        <v>0.52048558421851299</v>
      </c>
      <c r="X31" s="6">
        <f>(1.57*6+3*3)/57</f>
        <v>0.32315789473684214</v>
      </c>
    </row>
    <row r="32" spans="1:24" x14ac:dyDescent="0.25">
      <c r="A32" s="8">
        <v>30</v>
      </c>
      <c r="B32" s="5">
        <v>6</v>
      </c>
      <c r="C32" s="6"/>
      <c r="D32" s="6">
        <v>2.2999999999999998</v>
      </c>
      <c r="E32" s="6">
        <v>3.2</v>
      </c>
      <c r="F32" s="6">
        <v>2.8</v>
      </c>
      <c r="G32" s="6">
        <v>2.8</v>
      </c>
      <c r="H32" s="6">
        <v>2.7</v>
      </c>
      <c r="I32" s="6">
        <v>2.8</v>
      </c>
      <c r="J32" s="4"/>
      <c r="K32" s="6"/>
      <c r="L32" s="6"/>
      <c r="M32" s="7">
        <v>0.85</v>
      </c>
      <c r="N32" s="7">
        <v>0.85</v>
      </c>
      <c r="O32" s="7">
        <v>0.8</v>
      </c>
      <c r="P32" s="7">
        <v>0.65</v>
      </c>
      <c r="Q32" s="7">
        <v>0.6</v>
      </c>
      <c r="R32" s="7">
        <v>0.6</v>
      </c>
      <c r="S32" s="8"/>
      <c r="T32" s="6">
        <v>14.8</v>
      </c>
      <c r="U32" s="6">
        <v>4.5999999999999996</v>
      </c>
      <c r="V32" s="6">
        <v>2.6539999999999999</v>
      </c>
      <c r="W32" s="6">
        <f>(2.26+1.6)/9</f>
        <v>0.42888888888888888</v>
      </c>
      <c r="X32" s="6">
        <f>(1.5*6+1.62*2+1.78*2+2.27+1.6)/73</f>
        <v>0.26945205479452056</v>
      </c>
    </row>
    <row r="33" spans="1:24" x14ac:dyDescent="0.25">
      <c r="A33" s="8">
        <v>31</v>
      </c>
      <c r="B33" s="5">
        <v>2</v>
      </c>
      <c r="C33" s="6"/>
      <c r="D33" s="6"/>
      <c r="E33" s="6">
        <v>3.1</v>
      </c>
      <c r="F33" s="6">
        <v>3.1</v>
      </c>
      <c r="G33" s="6"/>
      <c r="H33" s="6"/>
      <c r="I33" s="6"/>
      <c r="J33" s="6"/>
      <c r="K33" s="6"/>
      <c r="L33" s="6"/>
      <c r="M33" s="7">
        <v>0.65</v>
      </c>
      <c r="N33" s="7">
        <v>0.6</v>
      </c>
      <c r="O33" s="7"/>
      <c r="P33" s="7"/>
      <c r="Q33" s="7"/>
      <c r="R33" s="7"/>
      <c r="S33" s="8"/>
      <c r="T33" s="6">
        <v>8.8000000000000007</v>
      </c>
      <c r="U33" s="6">
        <v>5.8</v>
      </c>
      <c r="V33" s="6">
        <v>2.08</v>
      </c>
      <c r="W33" s="6">
        <f>+(3.21+2.45+3.33)/29.88</f>
        <v>0.30087014725568945</v>
      </c>
      <c r="X33" s="6">
        <v>0.3</v>
      </c>
    </row>
    <row r="34" spans="1:24" x14ac:dyDescent="0.25">
      <c r="A34" s="8">
        <v>32</v>
      </c>
      <c r="B34" s="5">
        <v>3</v>
      </c>
      <c r="C34" s="6"/>
      <c r="D34" s="6"/>
      <c r="E34" s="6">
        <v>3.2</v>
      </c>
      <c r="F34" s="6">
        <v>3.1</v>
      </c>
      <c r="G34" s="6">
        <v>2.7</v>
      </c>
      <c r="H34" s="6"/>
      <c r="I34" s="6"/>
      <c r="J34" s="6"/>
      <c r="K34" s="6"/>
      <c r="L34" s="6"/>
      <c r="M34" s="7">
        <v>0.7</v>
      </c>
      <c r="N34" s="7">
        <v>0.6</v>
      </c>
      <c r="O34" s="7">
        <v>0.6</v>
      </c>
      <c r="P34" s="7"/>
      <c r="Q34" s="7"/>
      <c r="R34" s="7"/>
      <c r="S34" s="8"/>
      <c r="T34" s="6">
        <v>9.1999999999999993</v>
      </c>
      <c r="U34" s="6">
        <v>6</v>
      </c>
      <c r="V34" s="6">
        <v>3.8639999999999999</v>
      </c>
      <c r="W34" s="6">
        <f>(3.4+2.8)/19.9</f>
        <v>0.31155778894472358</v>
      </c>
      <c r="X34" s="6">
        <f>(1.29*2+1.29*2+2.74+3.42)/57.4</f>
        <v>0.19721254355400697</v>
      </c>
    </row>
    <row r="35" spans="1:24" x14ac:dyDescent="0.25">
      <c r="A35" s="8">
        <v>33</v>
      </c>
      <c r="B35" s="5">
        <v>4</v>
      </c>
      <c r="C35" s="6"/>
      <c r="D35" s="6"/>
      <c r="E35" s="6">
        <v>3.05</v>
      </c>
      <c r="F35" s="6">
        <v>3.2</v>
      </c>
      <c r="G35" s="6">
        <v>2.9</v>
      </c>
      <c r="H35" s="6">
        <v>2.7</v>
      </c>
      <c r="I35" s="6"/>
      <c r="J35" s="6"/>
      <c r="K35" s="6"/>
      <c r="L35" s="6"/>
      <c r="M35" s="7">
        <v>0.65</v>
      </c>
      <c r="N35" s="7">
        <v>0.6</v>
      </c>
      <c r="O35" s="7">
        <v>0.6</v>
      </c>
      <c r="P35" s="7">
        <v>0.2</v>
      </c>
      <c r="Q35" s="7"/>
      <c r="R35" s="7"/>
      <c r="S35" s="8"/>
      <c r="T35" s="6">
        <v>7.5</v>
      </c>
      <c r="U35" s="6">
        <v>9.6</v>
      </c>
      <c r="V35" s="6">
        <v>11.5</v>
      </c>
      <c r="W35" s="6">
        <f>(8.51)/20.21</f>
        <v>0.42107867392380005</v>
      </c>
      <c r="X35" s="6">
        <f>(1.38*6+2.35+2.03+3.4*2)/66.8</f>
        <v>0.29131736526946106</v>
      </c>
    </row>
    <row r="36" spans="1:24" x14ac:dyDescent="0.25">
      <c r="A36" s="8">
        <v>34</v>
      </c>
      <c r="B36" s="5">
        <v>4</v>
      </c>
      <c r="C36" s="6"/>
      <c r="D36" s="6"/>
      <c r="E36" s="6">
        <v>3.2</v>
      </c>
      <c r="F36" s="6">
        <v>3.2</v>
      </c>
      <c r="G36" s="6">
        <v>3.4</v>
      </c>
      <c r="H36" s="6">
        <v>3.2</v>
      </c>
      <c r="I36" s="6"/>
      <c r="J36" s="6"/>
      <c r="K36" s="6"/>
      <c r="L36" s="6"/>
      <c r="M36" s="7">
        <v>0.7</v>
      </c>
      <c r="N36" s="7">
        <v>0.7</v>
      </c>
      <c r="O36" s="7">
        <v>0.65</v>
      </c>
      <c r="P36" s="7">
        <v>0.2</v>
      </c>
      <c r="Q36" s="7"/>
      <c r="R36" s="7"/>
      <c r="S36" s="8"/>
      <c r="T36" s="6">
        <v>9.6999999999999993</v>
      </c>
      <c r="U36" s="6">
        <v>5.4</v>
      </c>
      <c r="V36" s="6">
        <v>7.0625000000000009</v>
      </c>
      <c r="W36" s="6">
        <f>(7.6)/12.28</f>
        <v>0.61889250814332253</v>
      </c>
      <c r="X36" s="6">
        <f>(10.4+1.5*2+2.3*2+2.9*2)/76.1</f>
        <v>0.31274638633377139</v>
      </c>
    </row>
    <row r="37" spans="1:24" x14ac:dyDescent="0.25">
      <c r="A37" s="8">
        <v>35</v>
      </c>
      <c r="B37" s="5">
        <v>3</v>
      </c>
      <c r="C37" s="6"/>
      <c r="D37" s="6"/>
      <c r="E37" s="6">
        <v>2.4</v>
      </c>
      <c r="F37" s="6">
        <v>2.1</v>
      </c>
      <c r="G37" s="6">
        <v>2</v>
      </c>
      <c r="H37" s="6">
        <v>1.6</v>
      </c>
      <c r="I37" s="6"/>
      <c r="J37" s="6"/>
      <c r="K37" s="6"/>
      <c r="L37" s="6"/>
      <c r="M37" s="7">
        <v>0.7</v>
      </c>
      <c r="N37" s="7">
        <v>0.7</v>
      </c>
      <c r="O37" s="7">
        <v>0.6</v>
      </c>
      <c r="P37" s="7"/>
      <c r="Q37" s="7"/>
      <c r="R37" s="7"/>
      <c r="S37" s="8"/>
      <c r="T37" s="6">
        <v>6.7</v>
      </c>
      <c r="U37" s="6">
        <v>8.8000000000000007</v>
      </c>
      <c r="V37" s="6">
        <v>4.57</v>
      </c>
      <c r="W37" s="6">
        <f>(1.84+1.56+1.67)/16.9</f>
        <v>0.30000000000000004</v>
      </c>
      <c r="X37" s="6">
        <f>(0.75*2+1.5*4+1.6*3)/59.3</f>
        <v>0.20741989881956158</v>
      </c>
    </row>
    <row r="38" spans="1:24" x14ac:dyDescent="0.25">
      <c r="A38" s="8">
        <v>36</v>
      </c>
      <c r="B38" s="5">
        <v>4</v>
      </c>
      <c r="C38" s="6"/>
      <c r="D38" s="6"/>
      <c r="E38" s="6">
        <v>3.3</v>
      </c>
      <c r="F38" s="6">
        <v>3</v>
      </c>
      <c r="G38" s="6">
        <v>2.7</v>
      </c>
      <c r="H38" s="6">
        <v>2.4</v>
      </c>
      <c r="I38" s="6"/>
      <c r="J38" s="6"/>
      <c r="K38" s="6"/>
      <c r="L38" s="6"/>
      <c r="M38" s="7">
        <v>0.7</v>
      </c>
      <c r="N38" s="7">
        <v>0.65</v>
      </c>
      <c r="O38" s="7">
        <v>0.65</v>
      </c>
      <c r="P38" s="7">
        <v>0.6</v>
      </c>
      <c r="Q38" s="7"/>
      <c r="R38" s="7"/>
      <c r="S38" s="8"/>
      <c r="T38" s="6">
        <v>5.5</v>
      </c>
      <c r="U38" s="6">
        <v>4.4000000000000004</v>
      </c>
      <c r="V38" s="6">
        <v>1.85</v>
      </c>
      <c r="W38" s="6">
        <f>(2.4+2.25)/18.95</f>
        <v>0.24538258575197891</v>
      </c>
      <c r="X38" s="6">
        <f>(1.15+1.8*2+2.2*2)/64</f>
        <v>0.14296875000000001</v>
      </c>
    </row>
    <row r="39" spans="1:24" x14ac:dyDescent="0.25">
      <c r="A39" s="8">
        <v>37</v>
      </c>
      <c r="B39" s="5">
        <v>3</v>
      </c>
      <c r="C39" s="6"/>
      <c r="D39" s="6"/>
      <c r="E39" s="6">
        <v>2.2999999999999998</v>
      </c>
      <c r="F39" s="6">
        <v>2.7</v>
      </c>
      <c r="G39" s="6">
        <v>2.7</v>
      </c>
      <c r="H39" s="6"/>
      <c r="I39" s="6"/>
      <c r="J39" s="6"/>
      <c r="K39" s="6"/>
      <c r="L39" s="6"/>
      <c r="M39" s="7">
        <v>0.7</v>
      </c>
      <c r="N39" s="7">
        <v>0.65</v>
      </c>
      <c r="O39" s="7">
        <v>0.65</v>
      </c>
      <c r="P39" s="7"/>
      <c r="Q39" s="7"/>
      <c r="R39" s="7"/>
      <c r="S39" s="8"/>
      <c r="T39" s="6">
        <v>5.5</v>
      </c>
      <c r="U39" s="6">
        <v>5.7</v>
      </c>
      <c r="V39" s="6">
        <v>0</v>
      </c>
      <c r="W39" s="6"/>
      <c r="X39" s="6">
        <f>(0.82+0.82+0.24+5.4)/43.8</f>
        <v>0.16621004566210049</v>
      </c>
    </row>
    <row r="40" spans="1:24" x14ac:dyDescent="0.25">
      <c r="A40" s="8">
        <v>38</v>
      </c>
      <c r="B40" s="5">
        <v>3</v>
      </c>
      <c r="C40" s="6"/>
      <c r="D40" s="6"/>
      <c r="E40" s="6">
        <v>2.4</v>
      </c>
      <c r="F40" s="6">
        <v>2.5499999999999998</v>
      </c>
      <c r="G40" s="6">
        <v>2.6</v>
      </c>
      <c r="H40" s="6"/>
      <c r="I40" s="6"/>
      <c r="J40" s="6"/>
      <c r="K40" s="6"/>
      <c r="L40" s="6"/>
      <c r="M40" s="7">
        <v>0.65</v>
      </c>
      <c r="N40" s="7">
        <v>0.6</v>
      </c>
      <c r="O40" s="7">
        <v>0.25</v>
      </c>
      <c r="P40" s="7"/>
      <c r="Q40" s="7"/>
      <c r="R40" s="7"/>
      <c r="S40" s="8"/>
      <c r="T40" s="6">
        <v>5.8</v>
      </c>
      <c r="U40" s="6">
        <v>8.5</v>
      </c>
      <c r="V40" s="6">
        <v>3.06</v>
      </c>
      <c r="W40" s="6">
        <f>(1.38+2+1.8)/12.14</f>
        <v>0.42668863261943984</v>
      </c>
      <c r="X40" s="6">
        <f>(1.27*4+1.33+1.94+1.76)/45</f>
        <v>0.22466666666666665</v>
      </c>
    </row>
    <row r="41" spans="1:24" x14ac:dyDescent="0.25">
      <c r="A41" s="8">
        <v>39</v>
      </c>
      <c r="B41" s="5">
        <v>3</v>
      </c>
      <c r="C41" s="6"/>
      <c r="D41" s="6"/>
      <c r="E41" s="6">
        <v>3.8</v>
      </c>
      <c r="F41" s="6">
        <v>3.6</v>
      </c>
      <c r="G41" s="6">
        <v>3.3</v>
      </c>
      <c r="H41" s="6"/>
      <c r="I41" s="6"/>
      <c r="J41" s="6"/>
      <c r="K41" s="6"/>
      <c r="L41" s="6"/>
      <c r="M41" s="7">
        <v>0.7</v>
      </c>
      <c r="N41" s="7">
        <v>0.65</v>
      </c>
      <c r="O41" s="7">
        <v>0.65</v>
      </c>
      <c r="P41" s="7"/>
      <c r="Q41" s="7"/>
      <c r="R41" s="7"/>
      <c r="S41" s="8"/>
      <c r="T41" s="6">
        <v>10.3</v>
      </c>
      <c r="U41" s="6">
        <v>15.5</v>
      </c>
      <c r="V41" s="6">
        <v>4.16</v>
      </c>
      <c r="W41" s="6">
        <f>(1)/38.3</f>
        <v>2.6109660574412535E-2</v>
      </c>
      <c r="X41" s="6">
        <f>(1.56*4+2.73+3.5+5.06*3)/(98.5)</f>
        <v>0.28071065989847716</v>
      </c>
    </row>
    <row r="42" spans="1:24" x14ac:dyDescent="0.25">
      <c r="A42" s="8">
        <v>40</v>
      </c>
      <c r="B42" s="5">
        <v>4</v>
      </c>
      <c r="C42" s="6"/>
      <c r="D42" s="6"/>
      <c r="E42" s="6">
        <v>3.3</v>
      </c>
      <c r="F42" s="6">
        <v>3.1</v>
      </c>
      <c r="G42" s="6">
        <v>3.1</v>
      </c>
      <c r="H42" s="6">
        <v>3.1</v>
      </c>
      <c r="I42" s="6"/>
      <c r="J42" s="6"/>
      <c r="K42" s="6"/>
      <c r="L42" s="6"/>
      <c r="M42" s="7">
        <v>0.65</v>
      </c>
      <c r="N42" s="7">
        <v>0.65</v>
      </c>
      <c r="O42" s="7">
        <v>0.6</v>
      </c>
      <c r="P42" s="7">
        <v>0.3</v>
      </c>
      <c r="Q42" s="7"/>
      <c r="R42" s="7"/>
      <c r="S42" s="8"/>
      <c r="T42" s="6">
        <v>4.3</v>
      </c>
      <c r="U42" s="6">
        <v>7.7</v>
      </c>
      <c r="V42" s="6">
        <v>3.3899999999999997</v>
      </c>
      <c r="W42" s="6">
        <f>(3.42+3.45)/15.39</f>
        <v>0.44639376218323584</v>
      </c>
      <c r="X42" s="6">
        <f>(3.1*2+1.8*4+3.4*2)/61.4</f>
        <v>0.3289902280130293</v>
      </c>
    </row>
    <row r="43" spans="1:24" x14ac:dyDescent="0.25">
      <c r="A43" s="8">
        <v>41</v>
      </c>
      <c r="B43" s="5">
        <v>4</v>
      </c>
      <c r="C43" s="6"/>
      <c r="D43" s="6"/>
      <c r="E43" s="6">
        <v>4.2</v>
      </c>
      <c r="F43" s="6">
        <v>3.2</v>
      </c>
      <c r="G43" s="6">
        <v>3.2</v>
      </c>
      <c r="H43" s="6">
        <v>3</v>
      </c>
      <c r="I43" s="6"/>
      <c r="J43" s="6"/>
      <c r="K43" s="6"/>
      <c r="L43" s="6"/>
      <c r="M43" s="7">
        <v>0.7</v>
      </c>
      <c r="N43" s="7">
        <v>0.7</v>
      </c>
      <c r="O43" s="7">
        <v>0.7</v>
      </c>
      <c r="P43" s="7">
        <v>0.55000000000000004</v>
      </c>
      <c r="Q43" s="7"/>
      <c r="R43" s="7"/>
      <c r="S43" s="8"/>
      <c r="T43" s="6">
        <v>7.4</v>
      </c>
      <c r="U43" s="6">
        <v>8.9</v>
      </c>
      <c r="V43" s="6">
        <v>12.02</v>
      </c>
      <c r="W43" s="6">
        <f>(6.9+15.45)/31.2</f>
        <v>0.71634615384615385</v>
      </c>
      <c r="X43" s="6">
        <f>(1+2.4+1.72*5+15.8+6.8)/101</f>
        <v>0.3425742574257426</v>
      </c>
    </row>
    <row r="44" spans="1:24" x14ac:dyDescent="0.25">
      <c r="A44" s="8">
        <v>42</v>
      </c>
      <c r="B44" s="5">
        <v>4</v>
      </c>
      <c r="C44" s="6"/>
      <c r="D44" s="6"/>
      <c r="E44" s="6">
        <v>2.4</v>
      </c>
      <c r="F44" s="6">
        <v>2.2999999999999998</v>
      </c>
      <c r="G44" s="6">
        <v>2.6</v>
      </c>
      <c r="H44" s="6">
        <v>2.6</v>
      </c>
      <c r="I44" s="6"/>
      <c r="J44" s="6"/>
      <c r="K44" s="6"/>
      <c r="L44" s="6"/>
      <c r="M44" s="7">
        <v>0.3</v>
      </c>
      <c r="N44" s="7">
        <v>0.3</v>
      </c>
      <c r="O44" s="7">
        <v>0.3</v>
      </c>
      <c r="P44" s="7">
        <v>0.3</v>
      </c>
      <c r="Q44" s="7"/>
      <c r="R44" s="7"/>
      <c r="S44" s="8"/>
      <c r="T44" s="6">
        <v>3.8</v>
      </c>
      <c r="U44" s="6">
        <v>8.8000000000000007</v>
      </c>
      <c r="V44" s="6">
        <v>4.2</v>
      </c>
      <c r="W44" s="6">
        <f>+(1.74+5.1)/9.01</f>
        <v>0.75915649278579356</v>
      </c>
      <c r="X44" s="6">
        <f>(1.14*6+1.66+4.66)/38.2</f>
        <v>0.34450261780104707</v>
      </c>
    </row>
    <row r="45" spans="1:24" x14ac:dyDescent="0.25">
      <c r="A45" s="8">
        <v>43</v>
      </c>
      <c r="B45" s="5">
        <v>4</v>
      </c>
      <c r="C45" s="6"/>
      <c r="D45" s="6"/>
      <c r="E45" s="6">
        <v>2.2999999999999998</v>
      </c>
      <c r="F45" s="6">
        <v>2.9</v>
      </c>
      <c r="G45" s="6">
        <v>2.6</v>
      </c>
      <c r="H45" s="6">
        <v>2.2999999999999998</v>
      </c>
      <c r="I45" s="6"/>
      <c r="J45" s="6"/>
      <c r="K45" s="6"/>
      <c r="L45" s="6"/>
      <c r="M45" s="7">
        <v>0.6</v>
      </c>
      <c r="N45" s="7">
        <v>0.6</v>
      </c>
      <c r="O45" s="7">
        <v>0.6</v>
      </c>
      <c r="P45" s="7">
        <v>0.6</v>
      </c>
      <c r="Q45" s="7"/>
      <c r="R45" s="7"/>
      <c r="S45" s="8"/>
      <c r="T45" s="6">
        <v>7</v>
      </c>
      <c r="U45" s="6">
        <v>16.5</v>
      </c>
      <c r="V45" s="6">
        <v>8.83</v>
      </c>
      <c r="W45" s="6">
        <f>(6+5.8)/16.6</f>
        <v>0.71084337349397586</v>
      </c>
      <c r="X45" s="6">
        <f>(1*4+1.36*8+5.6+6.3)/75</f>
        <v>0.3570666666666667</v>
      </c>
    </row>
    <row r="46" spans="1:24" x14ac:dyDescent="0.25">
      <c r="A46" s="8">
        <v>44</v>
      </c>
      <c r="B46" s="5">
        <v>3</v>
      </c>
      <c r="C46" s="6"/>
      <c r="D46" s="6"/>
      <c r="E46" s="6">
        <v>4</v>
      </c>
      <c r="F46" s="6">
        <v>3.2</v>
      </c>
      <c r="G46" s="6">
        <v>2.9</v>
      </c>
      <c r="H46" s="6"/>
      <c r="I46" s="6"/>
      <c r="J46" s="6"/>
      <c r="K46" s="6"/>
      <c r="L46" s="6"/>
      <c r="M46" s="7">
        <v>0.6</v>
      </c>
      <c r="N46" s="7">
        <v>0.55000000000000004</v>
      </c>
      <c r="O46" s="7">
        <v>0.55000000000000004</v>
      </c>
      <c r="P46" s="7"/>
      <c r="Q46" s="7"/>
      <c r="R46" s="7"/>
      <c r="S46" s="8"/>
      <c r="T46" s="6">
        <v>5.0999999999999996</v>
      </c>
      <c r="U46" s="6">
        <v>9.6</v>
      </c>
      <c r="V46" s="6">
        <v>5.2100000000000009</v>
      </c>
      <c r="W46" s="6">
        <f>(6+5.8)/16.6</f>
        <v>0.71084337349397586</v>
      </c>
      <c r="X46" s="6">
        <f>(5.9+1.8*2+10)/47.6</f>
        <v>0.40966386554621848</v>
      </c>
    </row>
    <row r="47" spans="1:24" x14ac:dyDescent="0.25">
      <c r="A47" s="8">
        <v>45</v>
      </c>
      <c r="B47" s="5">
        <v>3</v>
      </c>
      <c r="C47" s="6"/>
      <c r="D47" s="6"/>
      <c r="E47" s="6">
        <v>3.9</v>
      </c>
      <c r="F47" s="6">
        <v>3.2</v>
      </c>
      <c r="G47" s="6">
        <v>3</v>
      </c>
      <c r="H47" s="6"/>
      <c r="I47" s="6"/>
      <c r="J47" s="6"/>
      <c r="K47" s="6"/>
      <c r="L47" s="6"/>
      <c r="M47" s="7">
        <v>0.5</v>
      </c>
      <c r="N47" s="7">
        <v>0.3</v>
      </c>
      <c r="O47" s="7">
        <v>0.3</v>
      </c>
      <c r="P47" s="7"/>
      <c r="Q47" s="7"/>
      <c r="R47" s="7"/>
      <c r="S47" s="8"/>
      <c r="T47" s="6">
        <v>5.0999999999999996</v>
      </c>
      <c r="U47" s="6">
        <v>6.8</v>
      </c>
      <c r="V47" s="6">
        <v>4.6740000000000004</v>
      </c>
      <c r="W47" s="6">
        <f>(3.1*2)/21</f>
        <v>0.29523809523809524</v>
      </c>
      <c r="X47" s="6">
        <f>(2.6*2+1.7*2+3.1*2)/55.44</f>
        <v>0.266955266955267</v>
      </c>
    </row>
    <row r="48" spans="1:24" x14ac:dyDescent="0.25">
      <c r="A48" s="8">
        <v>46</v>
      </c>
      <c r="B48" s="5">
        <v>5</v>
      </c>
      <c r="C48" s="6"/>
      <c r="D48" s="6"/>
      <c r="E48" s="6">
        <v>2.2000000000000002</v>
      </c>
      <c r="F48" s="6">
        <v>2.2999999999999998</v>
      </c>
      <c r="G48" s="6">
        <v>2.4</v>
      </c>
      <c r="H48" s="6">
        <v>2.4</v>
      </c>
      <c r="I48" s="6">
        <v>2.2000000000000002</v>
      </c>
      <c r="J48" s="6"/>
      <c r="K48" s="6"/>
      <c r="L48" s="6"/>
      <c r="M48" s="7">
        <v>0.65</v>
      </c>
      <c r="N48" s="7">
        <v>0.65</v>
      </c>
      <c r="O48" s="7">
        <v>0.55000000000000004</v>
      </c>
      <c r="P48" s="7">
        <v>0.5</v>
      </c>
      <c r="Q48" s="7">
        <v>0.3</v>
      </c>
      <c r="R48" s="7"/>
      <c r="S48" s="8"/>
      <c r="T48" s="6">
        <v>3.6</v>
      </c>
      <c r="U48" s="6">
        <v>5.9</v>
      </c>
      <c r="V48" s="6">
        <v>4.2799999999999994</v>
      </c>
      <c r="W48" s="6">
        <f>(1.94*2)/7.5</f>
        <v>0.51733333333333331</v>
      </c>
      <c r="X48" s="6">
        <f>(0.54+1.11*6+1.8)/40.54</f>
        <v>0.22200296003946721</v>
      </c>
    </row>
    <row r="49" spans="1:24" x14ac:dyDescent="0.25">
      <c r="A49" s="8">
        <v>47</v>
      </c>
      <c r="B49" s="5">
        <v>3</v>
      </c>
      <c r="C49" s="6"/>
      <c r="D49" s="6"/>
      <c r="E49" s="6">
        <v>3.5</v>
      </c>
      <c r="F49" s="6">
        <v>3.2</v>
      </c>
      <c r="G49" s="6">
        <v>3.1</v>
      </c>
      <c r="H49" s="6"/>
      <c r="I49" s="6"/>
      <c r="J49" s="6"/>
      <c r="K49" s="6"/>
      <c r="L49" s="6"/>
      <c r="M49" s="7">
        <v>0.7</v>
      </c>
      <c r="N49" s="7">
        <v>0.65</v>
      </c>
      <c r="O49" s="7">
        <v>0.6</v>
      </c>
      <c r="P49" s="7"/>
      <c r="Q49" s="7"/>
      <c r="R49" s="7"/>
      <c r="S49" s="8"/>
      <c r="T49" s="6">
        <v>5</v>
      </c>
      <c r="U49" s="6">
        <v>7</v>
      </c>
      <c r="V49" s="6">
        <v>3.085</v>
      </c>
      <c r="W49" s="6">
        <f>(3.2*2)/17.95</f>
        <v>0.35654596100278557</v>
      </c>
      <c r="X49" s="6">
        <f>(2.3*2+1.9*2+2.9*2)/49.1</f>
        <v>0.28920570264765783</v>
      </c>
    </row>
    <row r="50" spans="1:24" x14ac:dyDescent="0.25">
      <c r="A50" s="8">
        <v>48</v>
      </c>
      <c r="B50" s="5">
        <v>4</v>
      </c>
      <c r="C50" s="6"/>
      <c r="D50" s="6"/>
      <c r="E50" s="6">
        <v>3.4</v>
      </c>
      <c r="F50" s="6">
        <v>3.3</v>
      </c>
      <c r="G50" s="6">
        <v>3.2</v>
      </c>
      <c r="H50" s="6">
        <v>2.6</v>
      </c>
      <c r="I50" s="6"/>
      <c r="J50" s="6"/>
      <c r="K50" s="6"/>
      <c r="L50" s="6"/>
      <c r="M50" s="7">
        <v>0.7</v>
      </c>
      <c r="N50" s="7">
        <v>0.7</v>
      </c>
      <c r="O50" s="7">
        <v>0.6</v>
      </c>
      <c r="P50" s="7">
        <v>0.25</v>
      </c>
      <c r="Q50" s="7"/>
      <c r="R50" s="7"/>
      <c r="S50" s="8"/>
      <c r="T50" s="6">
        <v>5</v>
      </c>
      <c r="U50" s="6">
        <v>7.5</v>
      </c>
      <c r="V50" s="6">
        <v>4.7899999999999991</v>
      </c>
      <c r="W50" s="6">
        <f>(3.23+4.1)/18.06</f>
        <v>0.40586932447397567</v>
      </c>
      <c r="X50" s="6">
        <f>(1.1*2+2.5*2+1.75*2+3.9*2)/66.6</f>
        <v>0.27777777777777779</v>
      </c>
    </row>
    <row r="51" spans="1:24" x14ac:dyDescent="0.25">
      <c r="A51" s="8">
        <v>49</v>
      </c>
      <c r="B51" s="5">
        <v>4</v>
      </c>
      <c r="C51" s="6"/>
      <c r="D51" s="6"/>
      <c r="E51" s="6">
        <v>3.1</v>
      </c>
      <c r="F51" s="6">
        <v>2.8</v>
      </c>
      <c r="G51" s="6">
        <v>2.7</v>
      </c>
      <c r="H51" s="6">
        <v>2.7</v>
      </c>
      <c r="I51" s="6"/>
      <c r="J51" s="6"/>
      <c r="K51" s="6"/>
      <c r="L51" s="6"/>
      <c r="M51" s="7">
        <v>0.7</v>
      </c>
      <c r="N51" s="7">
        <v>0.5</v>
      </c>
      <c r="O51" s="7">
        <v>0.4</v>
      </c>
      <c r="P51" s="7">
        <v>0.4</v>
      </c>
      <c r="Q51" s="7"/>
      <c r="R51" s="7"/>
      <c r="S51" s="8"/>
      <c r="T51" s="6">
        <v>5.2</v>
      </c>
      <c r="U51" s="6">
        <v>5.5</v>
      </c>
      <c r="V51" s="6">
        <v>5.7149999999999999</v>
      </c>
      <c r="W51" s="6">
        <f>+(3.8+3.4)/16.89</f>
        <v>0.42628774422735338</v>
      </c>
      <c r="X51" s="6">
        <f>(1.19*6+3.15+3.9)/67.8</f>
        <v>0.2092920353982301</v>
      </c>
    </row>
    <row r="52" spans="1:24" x14ac:dyDescent="0.25">
      <c r="A52" s="8">
        <v>50</v>
      </c>
      <c r="B52" s="5">
        <v>4</v>
      </c>
      <c r="C52" s="6"/>
      <c r="D52" s="6"/>
      <c r="E52" s="6">
        <v>2.1</v>
      </c>
      <c r="F52" s="6">
        <v>2.2000000000000002</v>
      </c>
      <c r="G52" s="6">
        <v>2.25</v>
      </c>
      <c r="H52" s="6">
        <v>2.6</v>
      </c>
      <c r="I52" s="6"/>
      <c r="J52" s="6"/>
      <c r="K52" s="6"/>
      <c r="L52" s="6"/>
      <c r="M52" s="7">
        <v>0.65</v>
      </c>
      <c r="N52" s="7">
        <v>0.6</v>
      </c>
      <c r="O52" s="7">
        <v>0.55000000000000004</v>
      </c>
      <c r="P52" s="7">
        <v>0.25</v>
      </c>
      <c r="Q52" s="7"/>
      <c r="R52" s="7"/>
      <c r="S52" s="8"/>
      <c r="T52" s="6">
        <v>5.2</v>
      </c>
      <c r="U52" s="6">
        <v>6.6</v>
      </c>
      <c r="V52" s="6">
        <v>2.99</v>
      </c>
      <c r="W52" s="6">
        <f>(1.68+1.78)/11.92</f>
        <v>0.29026845637583892</v>
      </c>
      <c r="X52" s="6">
        <f>(1.25*6+1.7+1.6)/64</f>
        <v>0.16874999999999998</v>
      </c>
    </row>
    <row r="53" spans="1:24" x14ac:dyDescent="0.25">
      <c r="A53" s="8">
        <v>51</v>
      </c>
      <c r="B53" s="5">
        <v>3</v>
      </c>
      <c r="C53" s="6"/>
      <c r="D53" s="6"/>
      <c r="E53" s="6">
        <v>2.6</v>
      </c>
      <c r="F53" s="6">
        <v>2.6</v>
      </c>
      <c r="G53" s="6">
        <v>2.6</v>
      </c>
      <c r="H53" s="6"/>
      <c r="I53" s="6"/>
      <c r="J53" s="6"/>
      <c r="K53" s="6"/>
      <c r="L53" s="6"/>
      <c r="M53" s="7">
        <v>0.65</v>
      </c>
      <c r="N53" s="7">
        <v>0.65</v>
      </c>
      <c r="O53" s="7">
        <v>0.25</v>
      </c>
      <c r="P53" s="7"/>
      <c r="Q53" s="7"/>
      <c r="R53" s="7"/>
      <c r="S53" s="8"/>
      <c r="T53" s="6">
        <v>9.11</v>
      </c>
      <c r="U53" s="6">
        <v>13.4</v>
      </c>
      <c r="V53" s="6">
        <v>8.7960000000000012</v>
      </c>
      <c r="W53" s="6">
        <f>(2.34+2.27)/11.35</f>
        <v>0.40616740088105724</v>
      </c>
      <c r="X53" s="6">
        <f>(0.91*2+1.92+1.34*3+3.15+2.25)/66.2</f>
        <v>0.19879154078549849</v>
      </c>
    </row>
    <row r="54" spans="1:24" x14ac:dyDescent="0.25">
      <c r="A54" s="8">
        <v>52</v>
      </c>
      <c r="B54" s="5">
        <v>3</v>
      </c>
      <c r="C54" s="6"/>
      <c r="D54" s="6"/>
      <c r="E54" s="6">
        <v>3.3</v>
      </c>
      <c r="F54" s="6">
        <v>3.2</v>
      </c>
      <c r="G54" s="6">
        <v>2.8</v>
      </c>
      <c r="H54" s="6"/>
      <c r="I54" s="6"/>
      <c r="J54" s="6"/>
      <c r="K54" s="6"/>
      <c r="L54" s="6"/>
      <c r="M54" s="7">
        <v>0.5</v>
      </c>
      <c r="N54" s="7">
        <v>0.3</v>
      </c>
      <c r="O54" s="7">
        <v>0.3</v>
      </c>
      <c r="P54" s="7"/>
      <c r="Q54" s="7"/>
      <c r="R54" s="7"/>
      <c r="S54" s="8"/>
      <c r="T54" s="6">
        <v>9.5</v>
      </c>
      <c r="U54" s="6">
        <v>12.6</v>
      </c>
      <c r="V54" s="6">
        <v>17.920000000000002</v>
      </c>
      <c r="W54" s="6">
        <f>(2.03*2+5.83)/34.54</f>
        <v>0.2863346844238564</v>
      </c>
      <c r="X54" s="6">
        <f>(1.5*6+1.7*2+5.9)/98.5</f>
        <v>0.18578680203045686</v>
      </c>
    </row>
    <row r="55" spans="1:24" x14ac:dyDescent="0.25">
      <c r="A55" s="8">
        <v>53</v>
      </c>
      <c r="B55" s="5">
        <v>6</v>
      </c>
      <c r="C55" s="6"/>
      <c r="D55" s="6"/>
      <c r="E55" s="6">
        <v>3.1</v>
      </c>
      <c r="F55" s="6">
        <v>2.2999999999999998</v>
      </c>
      <c r="G55" s="6">
        <v>2.9</v>
      </c>
      <c r="H55" s="6">
        <v>3.1</v>
      </c>
      <c r="I55" s="6">
        <v>2.5</v>
      </c>
      <c r="J55" s="6">
        <v>3.1</v>
      </c>
      <c r="K55" s="6"/>
      <c r="L55" s="6"/>
      <c r="M55" s="7">
        <v>0.75</v>
      </c>
      <c r="N55" s="7">
        <v>0.75</v>
      </c>
      <c r="O55" s="7">
        <v>0.75</v>
      </c>
      <c r="P55" s="7">
        <v>0.7</v>
      </c>
      <c r="Q55" s="7">
        <v>0.6</v>
      </c>
      <c r="R55" s="7">
        <v>0.35</v>
      </c>
      <c r="S55" s="8"/>
      <c r="T55" s="6">
        <v>7</v>
      </c>
      <c r="U55" s="6">
        <v>8.3000000000000007</v>
      </c>
      <c r="V55" s="6">
        <v>17.089999999999996</v>
      </c>
      <c r="W55" s="6">
        <f>(3.57*3)/26.66</f>
        <v>0.40172543135783945</v>
      </c>
      <c r="X55" s="6">
        <f>(2.5*3+0.75*3+2.5*3+3*3+3.4*3)/119</f>
        <v>0.30630252100840338</v>
      </c>
    </row>
    <row r="56" spans="1:24" x14ac:dyDescent="0.25">
      <c r="A56" s="8">
        <v>54</v>
      </c>
      <c r="B56" s="5">
        <v>4</v>
      </c>
      <c r="C56" s="6"/>
      <c r="D56" s="6"/>
      <c r="E56" s="6">
        <v>2.4</v>
      </c>
      <c r="F56" s="6">
        <v>2.8</v>
      </c>
      <c r="G56" s="6">
        <v>2.6</v>
      </c>
      <c r="H56" s="6">
        <v>2.7</v>
      </c>
      <c r="I56" s="6"/>
      <c r="J56" s="6"/>
      <c r="K56" s="6"/>
      <c r="L56" s="6"/>
      <c r="M56" s="7">
        <v>0.6</v>
      </c>
      <c r="N56" s="7">
        <v>0.55000000000000004</v>
      </c>
      <c r="O56" s="7">
        <v>0.6</v>
      </c>
      <c r="P56" s="7">
        <v>0.25</v>
      </c>
      <c r="Q56" s="7"/>
      <c r="R56" s="7"/>
      <c r="S56" s="8"/>
      <c r="T56" s="6">
        <v>3</v>
      </c>
      <c r="U56" s="6">
        <v>8.1999999999999993</v>
      </c>
      <c r="V56" s="6">
        <v>4.0999999999999996</v>
      </c>
      <c r="W56" s="6">
        <f>(2.22+1.86)/8.05</f>
        <v>0.50683229813664588</v>
      </c>
      <c r="X56" s="6">
        <f>(1.3+2.8+1.14*2+1.83+2.18)/35.5</f>
        <v>0.29267605633802812</v>
      </c>
    </row>
    <row r="57" spans="1:24" x14ac:dyDescent="0.25">
      <c r="A57" s="8">
        <v>55</v>
      </c>
      <c r="B57" s="5">
        <v>4</v>
      </c>
      <c r="C57" s="6"/>
      <c r="D57" s="6"/>
      <c r="E57" s="6">
        <v>2.6</v>
      </c>
      <c r="F57" s="6">
        <v>2.5</v>
      </c>
      <c r="G57" s="6">
        <v>2.6</v>
      </c>
      <c r="H57" s="6">
        <v>2.4</v>
      </c>
      <c r="I57" s="6"/>
      <c r="J57" s="6"/>
      <c r="K57" s="6"/>
      <c r="L57" s="6"/>
      <c r="M57" s="7">
        <v>0.65</v>
      </c>
      <c r="N57" s="7">
        <v>0.65</v>
      </c>
      <c r="O57" s="7">
        <v>0.6</v>
      </c>
      <c r="P57" s="7">
        <v>0.6</v>
      </c>
      <c r="Q57" s="7"/>
      <c r="R57" s="7"/>
      <c r="S57" s="8"/>
      <c r="T57" s="6">
        <v>3.8</v>
      </c>
      <c r="U57" s="6">
        <v>10</v>
      </c>
      <c r="V57" s="6">
        <v>4.7450000000000001</v>
      </c>
      <c r="W57" s="6">
        <f>(2.19+5.6)/11.19</f>
        <v>0.69615728328865056</v>
      </c>
      <c r="X57" s="6">
        <f>(1.05+1.25*2+1.35*2+5)/41.2</f>
        <v>0.27305825242718446</v>
      </c>
    </row>
    <row r="58" spans="1:24" x14ac:dyDescent="0.25">
      <c r="A58" s="8">
        <v>56</v>
      </c>
      <c r="B58" s="5">
        <v>2</v>
      </c>
      <c r="C58" s="6"/>
      <c r="D58" s="6"/>
      <c r="E58" s="6">
        <v>3.3</v>
      </c>
      <c r="F58" s="6">
        <v>2.6</v>
      </c>
      <c r="G58" s="6"/>
      <c r="H58" s="6"/>
      <c r="I58" s="6"/>
      <c r="J58" s="6"/>
      <c r="K58" s="6"/>
      <c r="L58" s="6"/>
      <c r="M58" s="7">
        <v>0.75</v>
      </c>
      <c r="N58" s="7">
        <v>0.75</v>
      </c>
      <c r="O58" s="7"/>
      <c r="P58" s="7"/>
      <c r="Q58" s="7"/>
      <c r="R58" s="7"/>
      <c r="S58" s="8"/>
      <c r="T58" s="6">
        <v>4.0999999999999996</v>
      </c>
      <c r="U58" s="6">
        <v>6.1</v>
      </c>
      <c r="V58" s="6">
        <v>0.77</v>
      </c>
      <c r="W58" s="6">
        <f>(6.63+3.37)/16.47</f>
        <v>0.60716454159077116</v>
      </c>
      <c r="X58" s="6">
        <f>(1.1*2+3.2+5.5)/27</f>
        <v>0.40370370370370373</v>
      </c>
    </row>
    <row r="59" spans="1:24" x14ac:dyDescent="0.25">
      <c r="A59" s="8">
        <v>57</v>
      </c>
      <c r="B59" s="5">
        <v>3</v>
      </c>
      <c r="C59" s="6"/>
      <c r="D59" s="6"/>
      <c r="E59" s="6">
        <v>2.8</v>
      </c>
      <c r="F59" s="6">
        <v>2.7</v>
      </c>
      <c r="G59" s="6">
        <v>3</v>
      </c>
      <c r="H59" s="6"/>
      <c r="I59" s="6"/>
      <c r="J59" s="6"/>
      <c r="K59" s="6"/>
      <c r="L59" s="6"/>
      <c r="M59" s="7">
        <v>0.7</v>
      </c>
      <c r="N59" s="7">
        <v>0.65</v>
      </c>
      <c r="O59" s="7">
        <v>0.65</v>
      </c>
      <c r="P59" s="7"/>
      <c r="Q59" s="7"/>
      <c r="R59" s="7"/>
      <c r="S59" s="8"/>
      <c r="T59" s="6">
        <v>7.7</v>
      </c>
      <c r="U59" s="6">
        <v>16.8</v>
      </c>
      <c r="V59" s="6">
        <v>18.623899999999999</v>
      </c>
      <c r="W59" s="6">
        <f>(2.6+3.3+3.04)/18.5</f>
        <v>0.4832432432432433</v>
      </c>
      <c r="X59" s="6">
        <f>(1.5*4+2.8+3.5+2.4)/65</f>
        <v>0.22615384615384618</v>
      </c>
    </row>
    <row r="60" spans="1:24" x14ac:dyDescent="0.25">
      <c r="A60" s="8">
        <v>58</v>
      </c>
      <c r="B60" s="5">
        <v>4</v>
      </c>
      <c r="C60" s="6"/>
      <c r="D60" s="6"/>
      <c r="E60" s="6">
        <v>3.2</v>
      </c>
      <c r="F60" s="6">
        <v>3.2</v>
      </c>
      <c r="G60" s="6">
        <v>3.1</v>
      </c>
      <c r="H60" s="6">
        <v>2.6</v>
      </c>
      <c r="I60" s="6"/>
      <c r="J60" s="6"/>
      <c r="K60" s="6"/>
      <c r="L60" s="6"/>
      <c r="M60" s="7">
        <v>0.75</v>
      </c>
      <c r="N60" s="7">
        <v>0.7</v>
      </c>
      <c r="O60" s="7">
        <v>0.65</v>
      </c>
      <c r="P60" s="7">
        <v>0.25</v>
      </c>
      <c r="Q60" s="7"/>
      <c r="R60" s="7"/>
      <c r="S60" s="8"/>
      <c r="T60" s="6">
        <v>7.9</v>
      </c>
      <c r="U60" s="6">
        <v>5.6</v>
      </c>
      <c r="V60" s="6">
        <v>5.2799999999999994</v>
      </c>
      <c r="W60" s="6">
        <f>(3.34*4)/26.67</f>
        <v>0.5009373828271465</v>
      </c>
      <c r="X60" s="6">
        <f>(1.42*4+0.7*3+1.6*2+2*2.15+2.7*4)/105</f>
        <v>0.2483809523809524</v>
      </c>
    </row>
    <row r="61" spans="1:24" x14ac:dyDescent="0.25">
      <c r="A61" s="8">
        <v>59</v>
      </c>
      <c r="B61" s="5">
        <v>3</v>
      </c>
      <c r="C61" s="6"/>
      <c r="D61" s="6"/>
      <c r="E61" s="6">
        <v>4.5999999999999996</v>
      </c>
      <c r="F61" s="6">
        <v>3.5</v>
      </c>
      <c r="G61" s="6">
        <v>2.8</v>
      </c>
      <c r="H61" s="6"/>
      <c r="I61" s="6"/>
      <c r="J61" s="6"/>
      <c r="K61" s="6"/>
      <c r="L61" s="6"/>
      <c r="M61" s="7">
        <v>0.75</v>
      </c>
      <c r="N61" s="7">
        <v>0.75</v>
      </c>
      <c r="O61" s="7">
        <v>0.6</v>
      </c>
      <c r="P61" s="7"/>
      <c r="Q61" s="7"/>
      <c r="R61" s="7"/>
      <c r="S61" s="8"/>
      <c r="T61" s="6">
        <v>20.399999999999999</v>
      </c>
      <c r="U61" s="6">
        <v>12.7</v>
      </c>
      <c r="V61" s="6">
        <v>20.150000000000002</v>
      </c>
      <c r="W61" s="6">
        <f>(5.34+10.63+17.1)/62</f>
        <v>0.5333870967741936</v>
      </c>
      <c r="X61" s="6">
        <f>(0.7*6+2.11*4+3*3+37.57)/251.2</f>
        <v>0.23570859872611466</v>
      </c>
    </row>
    <row r="62" spans="1:24" x14ac:dyDescent="0.25">
      <c r="A62" s="8">
        <v>60</v>
      </c>
      <c r="B62" s="5">
        <v>3</v>
      </c>
      <c r="C62" s="6"/>
      <c r="D62" s="6"/>
      <c r="E62" s="6">
        <v>3.1</v>
      </c>
      <c r="F62" s="6">
        <v>3.5</v>
      </c>
      <c r="G62" s="6">
        <v>3.3</v>
      </c>
      <c r="H62" s="6"/>
      <c r="I62" s="6"/>
      <c r="J62" s="6"/>
      <c r="K62" s="6"/>
      <c r="L62" s="6"/>
      <c r="M62" s="7">
        <v>0.75</v>
      </c>
      <c r="N62" s="7">
        <v>0.5</v>
      </c>
      <c r="O62" s="7">
        <v>0.3</v>
      </c>
      <c r="P62" s="7"/>
      <c r="Q62" s="7"/>
      <c r="R62" s="7"/>
      <c r="S62" s="8"/>
      <c r="T62" s="6">
        <v>6.35</v>
      </c>
      <c r="U62" s="6">
        <v>8.6999999999999993</v>
      </c>
      <c r="V62" s="6">
        <v>7.91</v>
      </c>
      <c r="W62" s="6">
        <f>(10.87)/22.36</f>
        <v>0.48613595706618962</v>
      </c>
      <c r="X62" s="6">
        <f>(1.25*8+3*4)/88.1</f>
        <v>0.2497162315550511</v>
      </c>
    </row>
    <row r="63" spans="1:24" x14ac:dyDescent="0.25">
      <c r="A63" s="8">
        <v>61</v>
      </c>
      <c r="B63" s="5">
        <v>3</v>
      </c>
      <c r="C63" s="6"/>
      <c r="D63" s="6"/>
      <c r="E63" s="6">
        <v>3</v>
      </c>
      <c r="F63" s="6">
        <v>3.1</v>
      </c>
      <c r="G63" s="6">
        <v>3.2</v>
      </c>
      <c r="H63" s="6"/>
      <c r="I63" s="6"/>
      <c r="J63" s="6"/>
      <c r="K63" s="6"/>
      <c r="L63" s="6"/>
      <c r="M63" s="7">
        <v>0.5</v>
      </c>
      <c r="N63" s="7">
        <v>0.5</v>
      </c>
      <c r="O63" s="7">
        <v>0.25</v>
      </c>
      <c r="P63" s="7"/>
      <c r="Q63" s="7"/>
      <c r="R63" s="7"/>
      <c r="S63" s="8"/>
      <c r="T63" s="6">
        <v>5.0999999999999996</v>
      </c>
      <c r="U63" s="6">
        <v>7.8</v>
      </c>
      <c r="V63" s="6">
        <v>1.5099999999999998</v>
      </c>
      <c r="W63" s="6">
        <f>(3.4+3.7)/15.44</f>
        <v>0.4598445595854922</v>
      </c>
      <c r="X63" s="6">
        <f>(1.4*2+2.63+1.4*2)/45.4</f>
        <v>0.18127753303964758</v>
      </c>
    </row>
    <row r="64" spans="1:24" x14ac:dyDescent="0.25">
      <c r="A64" s="8">
        <v>62</v>
      </c>
      <c r="B64" s="5">
        <v>3</v>
      </c>
      <c r="C64" s="6"/>
      <c r="D64" s="6"/>
      <c r="E64" s="6">
        <v>2.8</v>
      </c>
      <c r="F64" s="6">
        <v>2.9</v>
      </c>
      <c r="G64" s="6">
        <v>2.7</v>
      </c>
      <c r="H64" s="6"/>
      <c r="I64" s="6"/>
      <c r="J64" s="6"/>
      <c r="K64" s="6"/>
      <c r="L64" s="6"/>
      <c r="M64" s="7">
        <v>0.6</v>
      </c>
      <c r="N64" s="7">
        <v>0.6</v>
      </c>
      <c r="O64" s="7">
        <v>0.5</v>
      </c>
      <c r="P64" s="7"/>
      <c r="Q64" s="7"/>
      <c r="R64" s="7"/>
      <c r="S64" s="8"/>
      <c r="T64" s="6">
        <v>4.5999999999999996</v>
      </c>
      <c r="U64" s="6">
        <v>7.7</v>
      </c>
      <c r="V64" s="6">
        <v>2.5700000000000003</v>
      </c>
      <c r="W64" s="6">
        <f>(1.8+2.8)/13.4</f>
        <v>0.34328358208955223</v>
      </c>
      <c r="X64" s="6">
        <f>(1+1+1.15+5.9)/43.7</f>
        <v>0.20709382151029748</v>
      </c>
    </row>
    <row r="65" spans="1:24" x14ac:dyDescent="0.25">
      <c r="A65" s="8">
        <v>63</v>
      </c>
      <c r="B65" s="5">
        <v>3</v>
      </c>
      <c r="C65" s="6"/>
      <c r="D65" s="6"/>
      <c r="E65" s="6">
        <v>3</v>
      </c>
      <c r="F65" s="6">
        <v>3.4</v>
      </c>
      <c r="G65" s="6">
        <v>3.5</v>
      </c>
      <c r="H65" s="6"/>
      <c r="I65" s="6"/>
      <c r="J65" s="6"/>
      <c r="K65" s="6"/>
      <c r="L65" s="6"/>
      <c r="M65" s="7">
        <v>0.65</v>
      </c>
      <c r="N65" s="7">
        <v>0.3</v>
      </c>
      <c r="O65" s="7">
        <v>0.3</v>
      </c>
      <c r="P65" s="7"/>
      <c r="Q65" s="7"/>
      <c r="R65" s="7"/>
      <c r="S65" s="8"/>
      <c r="T65" s="6">
        <v>5.9</v>
      </c>
      <c r="U65" s="6">
        <v>9.4</v>
      </c>
      <c r="V65" s="6">
        <v>7.8440000000000012</v>
      </c>
      <c r="W65" s="6">
        <f>(2.64*2+1.06*2)/32.33</f>
        <v>0.22888957624497372</v>
      </c>
      <c r="X65" s="6">
        <f>(1.71*6+2.96*3)/59.6</f>
        <v>0.32114093959731543</v>
      </c>
    </row>
    <row r="66" spans="1:24" x14ac:dyDescent="0.25">
      <c r="A66" s="8">
        <v>64</v>
      </c>
      <c r="B66" s="5">
        <v>2</v>
      </c>
      <c r="C66" s="6"/>
      <c r="D66" s="6"/>
      <c r="E66" s="6">
        <v>2.1</v>
      </c>
      <c r="F66" s="6">
        <v>2.6</v>
      </c>
      <c r="G66" s="6"/>
      <c r="H66" s="6"/>
      <c r="I66" s="6"/>
      <c r="J66" s="6"/>
      <c r="K66" s="6"/>
      <c r="L66" s="6"/>
      <c r="M66" s="7">
        <v>0.65</v>
      </c>
      <c r="N66" s="7">
        <v>0.6</v>
      </c>
      <c r="O66" s="7"/>
      <c r="P66" s="7"/>
      <c r="Q66" s="7"/>
      <c r="R66" s="7"/>
      <c r="S66" s="8"/>
      <c r="T66" s="6">
        <v>13.2</v>
      </c>
      <c r="U66" s="6">
        <v>5.15</v>
      </c>
      <c r="V66" s="6">
        <v>4.04</v>
      </c>
      <c r="W66" s="6">
        <v>0.48</v>
      </c>
      <c r="X66" s="6">
        <v>0.2</v>
      </c>
    </row>
    <row r="67" spans="1:24" x14ac:dyDescent="0.25">
      <c r="A67" s="8">
        <v>65</v>
      </c>
      <c r="B67" s="5">
        <v>3</v>
      </c>
      <c r="C67" s="6"/>
      <c r="D67" s="6"/>
      <c r="E67" s="6">
        <v>2.1</v>
      </c>
      <c r="F67" s="6">
        <v>2.7</v>
      </c>
      <c r="G67" s="6">
        <v>2.9</v>
      </c>
      <c r="H67" s="6"/>
      <c r="I67" s="6"/>
      <c r="J67" s="6"/>
      <c r="K67" s="6"/>
      <c r="L67" s="6"/>
      <c r="M67" s="7">
        <v>0.65</v>
      </c>
      <c r="N67" s="7">
        <v>0.65</v>
      </c>
      <c r="O67" s="7">
        <v>0.65</v>
      </c>
      <c r="P67" s="7"/>
      <c r="Q67" s="7"/>
      <c r="R67" s="7"/>
      <c r="S67" s="8"/>
      <c r="T67" s="6">
        <v>5</v>
      </c>
      <c r="U67" s="6">
        <v>8</v>
      </c>
      <c r="V67" s="6">
        <v>4.5200000000000005</v>
      </c>
      <c r="W67" s="6">
        <f>(2.72+1.7)/11.02</f>
        <v>0.40108892921960071</v>
      </c>
      <c r="X67" s="6">
        <f>(1.27*4+2.61+1.71)/39</f>
        <v>0.241025641025641</v>
      </c>
    </row>
    <row r="68" spans="1:24" x14ac:dyDescent="0.25">
      <c r="A68" s="8">
        <v>66</v>
      </c>
      <c r="B68" s="5">
        <v>4</v>
      </c>
      <c r="C68" s="6"/>
      <c r="D68" s="6"/>
      <c r="E68" s="6">
        <v>2.75</v>
      </c>
      <c r="F68" s="6">
        <v>3</v>
      </c>
      <c r="G68" s="6">
        <v>3.15</v>
      </c>
      <c r="H68" s="6">
        <v>3.3</v>
      </c>
      <c r="I68" s="6"/>
      <c r="J68" s="6"/>
      <c r="K68" s="6"/>
      <c r="L68" s="6"/>
      <c r="M68" s="7">
        <v>0.8</v>
      </c>
      <c r="N68" s="7">
        <v>0.75</v>
      </c>
      <c r="O68" s="7">
        <v>0.65</v>
      </c>
      <c r="P68" s="7">
        <v>0.2</v>
      </c>
      <c r="Q68" s="7"/>
      <c r="R68" s="7"/>
      <c r="S68" s="8"/>
      <c r="T68" s="6">
        <v>8.9</v>
      </c>
      <c r="U68" s="6">
        <v>17.7</v>
      </c>
      <c r="V68" s="6">
        <v>26.120000000000005</v>
      </c>
      <c r="W68" s="6">
        <f>(0.71+3.76)/12</f>
        <v>0.3725</v>
      </c>
      <c r="X68" s="6">
        <f>(1.43*3+2.45*2+1.2*2+2.4+2.1+1.9+3.1)/81.3</f>
        <v>0.259409594095941</v>
      </c>
    </row>
    <row r="69" spans="1:24" x14ac:dyDescent="0.25">
      <c r="A69" s="8">
        <v>67</v>
      </c>
      <c r="B69" s="5">
        <v>4</v>
      </c>
      <c r="C69" s="6"/>
      <c r="D69" s="6"/>
      <c r="E69" s="6">
        <v>3.5</v>
      </c>
      <c r="F69" s="6">
        <v>3</v>
      </c>
      <c r="G69" s="6">
        <v>3</v>
      </c>
      <c r="H69" s="6">
        <v>3</v>
      </c>
      <c r="I69" s="6"/>
      <c r="J69" s="6"/>
      <c r="K69" s="6"/>
      <c r="L69" s="6"/>
      <c r="M69" s="7">
        <v>0.55000000000000004</v>
      </c>
      <c r="N69" s="7">
        <v>0.55000000000000004</v>
      </c>
      <c r="O69" s="7">
        <v>0.55000000000000004</v>
      </c>
      <c r="P69" s="7">
        <v>0.5</v>
      </c>
      <c r="Q69" s="7"/>
      <c r="R69" s="7"/>
      <c r="S69" s="8"/>
      <c r="T69" s="6">
        <v>5.1100000000000003</v>
      </c>
      <c r="U69" s="6">
        <v>10.4</v>
      </c>
      <c r="V69" s="6">
        <v>7.75</v>
      </c>
      <c r="W69" s="6">
        <f>+(8.34+2.21)/19.57</f>
        <v>0.53909044455799693</v>
      </c>
      <c r="X69" s="6">
        <f>(1.45*6+7.82+2.12)/63</f>
        <v>0.2958730158730159</v>
      </c>
    </row>
    <row r="70" spans="1:24" x14ac:dyDescent="0.25">
      <c r="A70" s="8">
        <v>68</v>
      </c>
      <c r="B70" s="5">
        <v>2</v>
      </c>
      <c r="C70" s="6"/>
      <c r="D70" s="6"/>
      <c r="E70" s="6">
        <v>3.2</v>
      </c>
      <c r="F70" s="6">
        <v>3.1</v>
      </c>
      <c r="G70" s="6"/>
      <c r="H70" s="6"/>
      <c r="I70" s="6"/>
      <c r="J70" s="6"/>
      <c r="K70" s="6"/>
      <c r="L70" s="6"/>
      <c r="M70" s="7">
        <v>0.7</v>
      </c>
      <c r="N70" s="7">
        <v>0.55000000000000004</v>
      </c>
      <c r="O70" s="7"/>
      <c r="P70" s="7"/>
      <c r="Q70" s="7"/>
      <c r="R70" s="7"/>
      <c r="S70" s="8"/>
      <c r="T70" s="6">
        <v>17.5</v>
      </c>
      <c r="U70" s="6">
        <v>8.6</v>
      </c>
      <c r="V70" s="6">
        <v>4.75</v>
      </c>
      <c r="W70" s="6">
        <v>0.25</v>
      </c>
      <c r="X70" s="6">
        <v>0.25</v>
      </c>
    </row>
    <row r="71" spans="1:24" x14ac:dyDescent="0.25">
      <c r="A71" s="8">
        <v>69</v>
      </c>
      <c r="B71" s="5">
        <v>4</v>
      </c>
      <c r="C71" s="6"/>
      <c r="D71" s="6"/>
      <c r="E71" s="6">
        <v>3</v>
      </c>
      <c r="F71" s="6">
        <v>3.2</v>
      </c>
      <c r="G71" s="6">
        <v>3</v>
      </c>
      <c r="H71" s="6">
        <v>2.7</v>
      </c>
      <c r="I71" s="6"/>
      <c r="J71" s="6"/>
      <c r="K71" s="6"/>
      <c r="L71" s="6"/>
      <c r="M71" s="7">
        <v>0.7</v>
      </c>
      <c r="N71" s="7">
        <v>0.7</v>
      </c>
      <c r="O71" s="7">
        <v>0.6</v>
      </c>
      <c r="P71" s="7">
        <v>0.3</v>
      </c>
      <c r="Q71" s="7"/>
      <c r="R71" s="7"/>
      <c r="S71" s="8"/>
      <c r="T71" s="6">
        <v>6.2</v>
      </c>
      <c r="U71" s="6">
        <v>11</v>
      </c>
      <c r="V71" s="6">
        <v>8.0399999999999991</v>
      </c>
      <c r="W71" s="6">
        <f>(1.97+3.38)/14.7</f>
        <v>0.36394557823129253</v>
      </c>
      <c r="X71" s="6">
        <f>(1.72+2.3+1.2+2*2+2+3.2)/61.67</f>
        <v>0.23382519863791143</v>
      </c>
    </row>
    <row r="72" spans="1:24" x14ac:dyDescent="0.25">
      <c r="A72" s="8">
        <v>70</v>
      </c>
      <c r="B72" s="5">
        <v>5</v>
      </c>
      <c r="C72" s="6"/>
      <c r="D72" s="6"/>
      <c r="E72" s="6">
        <v>4</v>
      </c>
      <c r="F72" s="6">
        <v>3.7</v>
      </c>
      <c r="G72" s="6">
        <v>3.6</v>
      </c>
      <c r="H72" s="6">
        <v>3.4</v>
      </c>
      <c r="I72" s="6">
        <v>2.5</v>
      </c>
      <c r="J72" s="6"/>
      <c r="K72" s="6"/>
      <c r="L72" s="6"/>
      <c r="M72" s="7">
        <v>0.65</v>
      </c>
      <c r="N72" s="7">
        <v>0.65</v>
      </c>
      <c r="O72" s="7">
        <v>0.6</v>
      </c>
      <c r="P72" s="7">
        <v>0.2</v>
      </c>
      <c r="Q72" s="7">
        <v>0.2</v>
      </c>
      <c r="R72" s="7"/>
      <c r="S72" s="8"/>
      <c r="T72" s="6">
        <v>7.4</v>
      </c>
      <c r="U72" s="6">
        <v>5.3</v>
      </c>
      <c r="V72" s="6">
        <v>5.4700000000000006</v>
      </c>
      <c r="W72" s="6">
        <f>(3.67*4)/39.7</f>
        <v>0.3697732997481108</v>
      </c>
      <c r="X72" s="6">
        <f>(0.9*4+1.8*2+2.6*2+2*4+2.6*2+2*2+3.6*4)/119</f>
        <v>0.36974789915966388</v>
      </c>
    </row>
    <row r="73" spans="1:24" x14ac:dyDescent="0.25">
      <c r="A73" s="8">
        <v>71</v>
      </c>
      <c r="B73" s="5">
        <v>5</v>
      </c>
      <c r="C73" s="6"/>
      <c r="D73" s="6"/>
      <c r="E73" s="6">
        <v>2.4</v>
      </c>
      <c r="F73" s="6">
        <v>2.6</v>
      </c>
      <c r="G73" s="6">
        <v>2.7</v>
      </c>
      <c r="H73" s="6">
        <v>2.6</v>
      </c>
      <c r="I73" s="6">
        <v>2.8</v>
      </c>
      <c r="J73" s="6"/>
      <c r="K73" s="6"/>
      <c r="L73" s="6"/>
      <c r="M73" s="7">
        <v>0.6</v>
      </c>
      <c r="N73" s="7">
        <v>0.6</v>
      </c>
      <c r="O73" s="7">
        <v>0.6</v>
      </c>
      <c r="P73" s="7">
        <v>0.6</v>
      </c>
      <c r="Q73" s="7">
        <v>0.2</v>
      </c>
      <c r="R73" s="7"/>
      <c r="S73" s="8"/>
      <c r="T73" s="6">
        <v>4</v>
      </c>
      <c r="U73" s="6">
        <v>10.4</v>
      </c>
      <c r="V73" s="6">
        <v>7.86</v>
      </c>
      <c r="W73" s="6">
        <f>(2.2+3.14)/11.52</f>
        <v>0.46354166666666669</v>
      </c>
      <c r="X73" s="6">
        <f>(1*2+2.7*2+1.15*6+2.15+3.2)/65</f>
        <v>0.30230769230769228</v>
      </c>
    </row>
    <row r="74" spans="1:24" x14ac:dyDescent="0.25">
      <c r="A74" s="8">
        <v>72</v>
      </c>
      <c r="B74" s="5">
        <v>4</v>
      </c>
      <c r="C74" s="6"/>
      <c r="D74" s="6"/>
      <c r="E74" s="6">
        <v>2.7</v>
      </c>
      <c r="F74" s="6">
        <v>2.7</v>
      </c>
      <c r="G74" s="6">
        <v>2.7</v>
      </c>
      <c r="H74" s="6">
        <v>2.4</v>
      </c>
      <c r="I74" s="6"/>
      <c r="J74" s="6"/>
      <c r="K74" s="6"/>
      <c r="L74" s="6"/>
      <c r="M74" s="7">
        <v>0.7</v>
      </c>
      <c r="N74" s="7">
        <v>0.6</v>
      </c>
      <c r="O74" s="7">
        <v>0.6</v>
      </c>
      <c r="P74" s="7">
        <v>0.4</v>
      </c>
      <c r="Q74" s="7"/>
      <c r="R74" s="7"/>
      <c r="S74" s="8"/>
      <c r="T74" s="6">
        <v>5.7</v>
      </c>
      <c r="U74" s="6">
        <v>10.6</v>
      </c>
      <c r="V74" s="6">
        <v>10.379999999999999</v>
      </c>
      <c r="W74" s="6">
        <f>(2.17+3.7+2.3*3)/18.81</f>
        <v>0.67889420520999466</v>
      </c>
      <c r="X74" s="6">
        <f>(0.7+1.3*8+2.2*4+3.64)/64.5</f>
        <v>0.36496124031007748</v>
      </c>
    </row>
    <row r="75" spans="1:24" x14ac:dyDescent="0.25">
      <c r="A75" s="8">
        <v>73</v>
      </c>
      <c r="B75" s="5">
        <v>3</v>
      </c>
      <c r="C75" s="6"/>
      <c r="D75" s="6"/>
      <c r="E75" s="6">
        <v>2.2000000000000002</v>
      </c>
      <c r="F75" s="6">
        <v>2.5</v>
      </c>
      <c r="G75" s="6">
        <v>2.5</v>
      </c>
      <c r="H75" s="6"/>
      <c r="I75" s="6"/>
      <c r="J75" s="6"/>
      <c r="K75" s="6"/>
      <c r="L75" s="6"/>
      <c r="M75" s="7">
        <v>0.6</v>
      </c>
      <c r="N75" s="7">
        <v>0.6</v>
      </c>
      <c r="O75" s="7">
        <v>0.6</v>
      </c>
      <c r="P75" s="7"/>
      <c r="Q75" s="7"/>
      <c r="R75" s="7"/>
      <c r="S75" s="8"/>
      <c r="T75" s="6">
        <v>7</v>
      </c>
      <c r="U75" s="6">
        <v>17</v>
      </c>
      <c r="V75" s="6">
        <v>11.759999999999998</v>
      </c>
      <c r="W75" s="6">
        <f>1.07/2.4</f>
        <v>0.44583333333333336</v>
      </c>
      <c r="X75" s="6">
        <f>(1.4*8+2.6*4)/52.4</f>
        <v>0.41221374045801529</v>
      </c>
    </row>
    <row r="76" spans="1:24" x14ac:dyDescent="0.25">
      <c r="A76" s="8">
        <v>74</v>
      </c>
      <c r="B76" s="5">
        <v>5</v>
      </c>
      <c r="C76" s="6"/>
      <c r="D76" s="6"/>
      <c r="E76" s="6">
        <v>3.1</v>
      </c>
      <c r="F76" s="6">
        <v>3.2</v>
      </c>
      <c r="G76" s="6">
        <v>3.1</v>
      </c>
      <c r="H76" s="6">
        <v>2.8</v>
      </c>
      <c r="I76" s="6">
        <v>2.5</v>
      </c>
      <c r="J76" s="6"/>
      <c r="K76" s="6"/>
      <c r="L76" s="6"/>
      <c r="M76" s="7">
        <v>0.7</v>
      </c>
      <c r="N76" s="7">
        <v>0.6</v>
      </c>
      <c r="O76" s="7">
        <v>0.5</v>
      </c>
      <c r="P76" s="7">
        <v>0.5</v>
      </c>
      <c r="Q76" s="7">
        <v>0.2</v>
      </c>
      <c r="R76" s="7"/>
      <c r="S76" s="8"/>
      <c r="T76" s="6">
        <v>4.3</v>
      </c>
      <c r="U76" s="6">
        <v>6.7</v>
      </c>
      <c r="V76" s="6">
        <v>4.5</v>
      </c>
      <c r="W76" s="6">
        <f>+(9.6)/14.17</f>
        <v>0.67748764996471411</v>
      </c>
      <c r="X76" s="6">
        <f>(0.6*2+1.33*2+2.3*2+1.6*2+7+2.4)/64.6</f>
        <v>0.32600619195046443</v>
      </c>
    </row>
    <row r="77" spans="1:24" x14ac:dyDescent="0.25">
      <c r="A77" s="8">
        <v>75</v>
      </c>
      <c r="B77" s="5">
        <v>5</v>
      </c>
      <c r="C77" s="6"/>
      <c r="D77" s="6"/>
      <c r="E77" s="6">
        <v>3.5</v>
      </c>
      <c r="F77" s="6">
        <v>2.9</v>
      </c>
      <c r="G77" s="6">
        <v>2.5</v>
      </c>
      <c r="H77" s="6">
        <v>2.5</v>
      </c>
      <c r="I77" s="6">
        <v>2.5</v>
      </c>
      <c r="J77" s="6"/>
      <c r="K77" s="6"/>
      <c r="L77" s="6"/>
      <c r="M77" s="7">
        <v>0.7</v>
      </c>
      <c r="N77" s="7">
        <v>0.65</v>
      </c>
      <c r="O77" s="7">
        <v>0.6</v>
      </c>
      <c r="P77" s="7">
        <v>0.55000000000000004</v>
      </c>
      <c r="Q77" s="7">
        <v>0.5</v>
      </c>
      <c r="R77" s="7"/>
      <c r="S77" s="8"/>
      <c r="T77" s="6">
        <v>5.6</v>
      </c>
      <c r="U77" s="6">
        <v>7.3</v>
      </c>
      <c r="V77" s="6">
        <v>2.66</v>
      </c>
      <c r="W77" s="6">
        <f>(12.73)/20.53</f>
        <v>0.62006819288845594</v>
      </c>
      <c r="X77" s="6">
        <f>(0.63*2+1.25*6+3.35*2)/60.6</f>
        <v>0.25511551155115514</v>
      </c>
    </row>
    <row r="78" spans="1:24" x14ac:dyDescent="0.25">
      <c r="A78" s="8">
        <v>76</v>
      </c>
      <c r="B78" s="5">
        <v>5</v>
      </c>
      <c r="C78" s="6"/>
      <c r="D78" s="6"/>
      <c r="E78" s="6">
        <v>3.6</v>
      </c>
      <c r="F78" s="6">
        <v>3.6</v>
      </c>
      <c r="G78" s="6">
        <v>3.6</v>
      </c>
      <c r="H78" s="6">
        <v>3.2</v>
      </c>
      <c r="I78" s="6">
        <v>2.7</v>
      </c>
      <c r="J78" s="6"/>
      <c r="K78" s="6"/>
      <c r="L78" s="6"/>
      <c r="M78" s="7">
        <v>0.9</v>
      </c>
      <c r="N78" s="7">
        <v>0.65</v>
      </c>
      <c r="O78" s="7">
        <v>0.65</v>
      </c>
      <c r="P78" s="7">
        <v>0.65</v>
      </c>
      <c r="Q78" s="7">
        <v>0.3</v>
      </c>
      <c r="R78" s="7"/>
      <c r="S78" s="8"/>
      <c r="T78" s="6">
        <v>7.3</v>
      </c>
      <c r="U78" s="6">
        <v>6.4</v>
      </c>
      <c r="V78" s="6">
        <v>6.9799999999999995</v>
      </c>
      <c r="W78" s="6">
        <f>(3.95+8.29)/29</f>
        <v>0.42206896551724132</v>
      </c>
      <c r="X78" s="6">
        <f>(1.6*6+2.54*4+0.23*2+8+3.7)/118.8</f>
        <v>0.2686868686868687</v>
      </c>
    </row>
    <row r="79" spans="1:24" x14ac:dyDescent="0.25">
      <c r="A79" s="8">
        <v>77</v>
      </c>
      <c r="B79" s="5">
        <v>2</v>
      </c>
      <c r="C79" s="6"/>
      <c r="D79" s="6"/>
      <c r="E79" s="6">
        <v>3</v>
      </c>
      <c r="F79" s="6">
        <v>3.5</v>
      </c>
      <c r="G79" s="6"/>
      <c r="H79" s="6"/>
      <c r="I79" s="6"/>
      <c r="J79" s="6"/>
      <c r="K79" s="6"/>
      <c r="L79" s="6"/>
      <c r="M79" s="7">
        <v>0.55000000000000004</v>
      </c>
      <c r="N79" s="7">
        <v>0.5</v>
      </c>
      <c r="O79" s="7"/>
      <c r="P79" s="7"/>
      <c r="Q79" s="7"/>
      <c r="R79" s="7"/>
      <c r="S79" s="8"/>
      <c r="T79" s="6">
        <v>4.3</v>
      </c>
      <c r="U79" s="6">
        <v>7.4</v>
      </c>
      <c r="V79" s="6">
        <v>1.3399999999999999</v>
      </c>
      <c r="W79" s="6">
        <v>0.42</v>
      </c>
      <c r="X79" s="6">
        <f>(2*3+2.72*3)/53.4</f>
        <v>0.26516853932584272</v>
      </c>
    </row>
    <row r="80" spans="1:24" x14ac:dyDescent="0.25">
      <c r="A80" s="8">
        <v>78</v>
      </c>
      <c r="B80" s="5">
        <v>4</v>
      </c>
      <c r="C80" s="6"/>
      <c r="D80" s="6"/>
      <c r="E80" s="6">
        <v>2.6</v>
      </c>
      <c r="F80" s="6">
        <v>2.6</v>
      </c>
      <c r="G80" s="6">
        <v>2.9</v>
      </c>
      <c r="H80" s="6">
        <v>3.3</v>
      </c>
      <c r="I80" s="6"/>
      <c r="J80" s="6"/>
      <c r="K80" s="6"/>
      <c r="L80" s="6"/>
      <c r="M80" s="7">
        <v>0.75</v>
      </c>
      <c r="N80" s="7">
        <v>0.65</v>
      </c>
      <c r="O80" s="7">
        <v>0.65</v>
      </c>
      <c r="P80" s="7">
        <v>0.25</v>
      </c>
      <c r="Q80" s="7"/>
      <c r="R80" s="7"/>
      <c r="S80" s="8"/>
      <c r="T80" s="6">
        <v>9.8000000000000007</v>
      </c>
      <c r="U80" s="6">
        <v>5.35</v>
      </c>
      <c r="V80" s="6">
        <v>8</v>
      </c>
      <c r="W80" s="6">
        <f>(3.2+2.4*2)/27</f>
        <v>0.29629629629629628</v>
      </c>
      <c r="X80" s="6">
        <f>(2.32*3+1.22*6+2.34*3)/111.7</f>
        <v>0.19068934646374214</v>
      </c>
    </row>
    <row r="81" spans="1:24" x14ac:dyDescent="0.25">
      <c r="A81" s="8">
        <v>79</v>
      </c>
      <c r="B81" s="5">
        <v>5</v>
      </c>
      <c r="C81" s="6"/>
      <c r="D81" s="6"/>
      <c r="E81" s="6">
        <v>2.7</v>
      </c>
      <c r="F81" s="6">
        <v>2.9</v>
      </c>
      <c r="G81" s="6">
        <v>2.9</v>
      </c>
      <c r="H81" s="6">
        <v>2.6</v>
      </c>
      <c r="I81" s="6">
        <v>2.6</v>
      </c>
      <c r="J81" s="6"/>
      <c r="K81" s="6"/>
      <c r="L81" s="6"/>
      <c r="M81" s="7">
        <v>0.6</v>
      </c>
      <c r="N81" s="7">
        <v>0.55000000000000004</v>
      </c>
      <c r="O81" s="7">
        <v>0.55000000000000004</v>
      </c>
      <c r="P81" s="7">
        <v>0.55000000000000004</v>
      </c>
      <c r="Q81" s="7">
        <v>0.25</v>
      </c>
      <c r="R81" s="7"/>
      <c r="S81" s="8"/>
      <c r="T81" s="6">
        <v>4.8</v>
      </c>
      <c r="U81" s="6">
        <v>7.6</v>
      </c>
      <c r="V81" s="6">
        <v>7.1099999999999994</v>
      </c>
      <c r="W81" s="6">
        <v>0.8</v>
      </c>
      <c r="X81" s="6">
        <f>(2.2*2+0.96*2+1.35*6+7+2)/67</f>
        <v>0.34955223880597019</v>
      </c>
    </row>
    <row r="82" spans="1:24" x14ac:dyDescent="0.25">
      <c r="A82" s="8">
        <v>80</v>
      </c>
      <c r="B82" s="5">
        <v>5</v>
      </c>
      <c r="C82" s="6"/>
      <c r="D82" s="6"/>
      <c r="E82" s="6">
        <v>2.9</v>
      </c>
      <c r="F82" s="6">
        <v>3.3</v>
      </c>
      <c r="G82" s="6">
        <v>2.9</v>
      </c>
      <c r="H82" s="6">
        <v>2.8</v>
      </c>
      <c r="I82" s="6">
        <v>2.7</v>
      </c>
      <c r="J82" s="6"/>
      <c r="K82" s="6"/>
      <c r="L82" s="6"/>
      <c r="M82" s="7">
        <v>0.8</v>
      </c>
      <c r="N82" s="7">
        <v>0.75</v>
      </c>
      <c r="O82" s="7">
        <v>0.65</v>
      </c>
      <c r="P82" s="7">
        <v>0.6</v>
      </c>
      <c r="Q82" s="7">
        <v>0.25</v>
      </c>
      <c r="R82" s="7"/>
      <c r="S82" s="8"/>
      <c r="T82" s="6">
        <v>9.5</v>
      </c>
      <c r="U82" s="6">
        <v>6.3</v>
      </c>
      <c r="V82" s="6">
        <v>8.7824999999999989</v>
      </c>
      <c r="W82" s="6">
        <f>+(2.5+1.6)/21.5</f>
        <v>0.19069767441860463</v>
      </c>
      <c r="X82" s="6">
        <f>(2.91+1*6+2.6*3)/131.9</f>
        <v>0.1266868840030326</v>
      </c>
    </row>
    <row r="83" spans="1:24" x14ac:dyDescent="0.25">
      <c r="A83" s="8">
        <v>81</v>
      </c>
      <c r="B83" s="5">
        <v>5</v>
      </c>
      <c r="C83" s="6"/>
      <c r="D83" s="6"/>
      <c r="E83" s="6">
        <v>3.1</v>
      </c>
      <c r="F83" s="6">
        <v>2.8</v>
      </c>
      <c r="G83" s="6">
        <v>2.8</v>
      </c>
      <c r="H83" s="6">
        <v>2.8</v>
      </c>
      <c r="I83" s="6">
        <v>2.8</v>
      </c>
      <c r="J83" s="6"/>
      <c r="K83" s="6"/>
      <c r="L83" s="6"/>
      <c r="M83" s="7">
        <v>0.8</v>
      </c>
      <c r="N83" s="7">
        <v>0.8</v>
      </c>
      <c r="O83" s="7">
        <v>0.75</v>
      </c>
      <c r="P83" s="7">
        <v>0.65</v>
      </c>
      <c r="Q83" s="7">
        <v>0.65</v>
      </c>
      <c r="R83" s="7"/>
      <c r="S83" s="8"/>
      <c r="T83" s="6">
        <v>12.25</v>
      </c>
      <c r="U83" s="6">
        <v>3.3</v>
      </c>
      <c r="V83" s="6">
        <v>6.588000000000001</v>
      </c>
      <c r="W83" s="6">
        <v>0.8</v>
      </c>
      <c r="X83" s="6">
        <f>(1.02*5+1.59*10+1.54*5+3.15*5)/197.9</f>
        <v>0.22460838807478525</v>
      </c>
    </row>
    <row r="84" spans="1:24" x14ac:dyDescent="0.25">
      <c r="A84" s="8">
        <v>82</v>
      </c>
      <c r="B84" s="5">
        <v>1</v>
      </c>
      <c r="C84" s="6"/>
      <c r="D84" s="6"/>
      <c r="E84" s="6">
        <v>4.2</v>
      </c>
      <c r="F84" s="6"/>
      <c r="G84" s="6"/>
      <c r="H84" s="6"/>
      <c r="I84" s="6"/>
      <c r="J84" s="6"/>
      <c r="K84" s="6"/>
      <c r="L84" s="6"/>
      <c r="M84" s="7">
        <v>0.8</v>
      </c>
      <c r="N84" s="7"/>
      <c r="O84" s="7"/>
      <c r="P84" s="7"/>
      <c r="Q84" s="7"/>
      <c r="R84" s="7"/>
      <c r="S84" s="8"/>
      <c r="T84" s="6">
        <v>11.5</v>
      </c>
      <c r="U84" s="6">
        <v>9.1999999999999993</v>
      </c>
      <c r="V84" s="6">
        <v>1.51</v>
      </c>
      <c r="W84" s="6">
        <f>(2*2+6.28+3.28)/63</f>
        <v>0.21523809523809526</v>
      </c>
      <c r="X84" s="6">
        <f>(2*2+6.28+3.28)/63</f>
        <v>0.21523809523809526</v>
      </c>
    </row>
    <row r="85" spans="1:24" x14ac:dyDescent="0.25">
      <c r="A85" s="8">
        <v>83</v>
      </c>
      <c r="B85" s="5">
        <v>4</v>
      </c>
      <c r="C85" s="6"/>
      <c r="D85" s="6"/>
      <c r="E85" s="6">
        <v>3.3</v>
      </c>
      <c r="F85" s="6">
        <v>3.1</v>
      </c>
      <c r="G85" s="6">
        <v>3.2</v>
      </c>
      <c r="H85" s="6">
        <v>3.3</v>
      </c>
      <c r="I85" s="6"/>
      <c r="J85" s="6"/>
      <c r="K85" s="6"/>
      <c r="L85" s="6"/>
      <c r="M85" s="7">
        <v>0.65</v>
      </c>
      <c r="N85" s="7">
        <v>0.65</v>
      </c>
      <c r="O85" s="7">
        <v>0.6</v>
      </c>
      <c r="P85" s="7">
        <v>0.3</v>
      </c>
      <c r="Q85" s="7"/>
      <c r="R85" s="7"/>
      <c r="S85" s="8"/>
      <c r="T85" s="6">
        <v>7.6</v>
      </c>
      <c r="U85" s="6">
        <v>3.1</v>
      </c>
      <c r="V85" s="6">
        <v>2.5300000000000002</v>
      </c>
      <c r="W85" s="6">
        <f>(12)/27.11</f>
        <v>0.44264109184802658</v>
      </c>
      <c r="X85" s="6">
        <f>(2.77*4+1.93*4+2.85*4+3.11*4)/102.8</f>
        <v>0.41478599221789886</v>
      </c>
    </row>
    <row r="86" spans="1:24" x14ac:dyDescent="0.25">
      <c r="A86" s="8">
        <v>84</v>
      </c>
      <c r="B86" s="5">
        <v>5</v>
      </c>
      <c r="C86" s="6"/>
      <c r="D86" s="6"/>
      <c r="E86" s="6">
        <v>3.9</v>
      </c>
      <c r="F86" s="6">
        <v>3.9</v>
      </c>
      <c r="G86" s="6">
        <v>3.6</v>
      </c>
      <c r="H86" s="6">
        <v>3.1</v>
      </c>
      <c r="I86" s="6">
        <v>2.8</v>
      </c>
      <c r="J86" s="6"/>
      <c r="K86" s="6"/>
      <c r="L86" s="6"/>
      <c r="M86" s="7">
        <v>0.9</v>
      </c>
      <c r="N86" s="7">
        <v>0.55000000000000004</v>
      </c>
      <c r="O86" s="7">
        <v>0.55000000000000004</v>
      </c>
      <c r="P86" s="7">
        <v>0.35</v>
      </c>
      <c r="Q86" s="7">
        <v>0.25</v>
      </c>
      <c r="R86" s="7"/>
      <c r="S86" s="8"/>
      <c r="T86" s="6">
        <v>6.2</v>
      </c>
      <c r="U86" s="6">
        <v>14.15</v>
      </c>
      <c r="V86" s="6">
        <v>13.657499999999997</v>
      </c>
      <c r="W86" s="6">
        <f>(3.2*4)/24.78</f>
        <v>0.51654560129136395</v>
      </c>
      <c r="X86" s="6">
        <f>(3*3+2.57+2.07*6+3.05*3)/101</f>
        <v>0.32811881188118813</v>
      </c>
    </row>
    <row r="87" spans="1:24" x14ac:dyDescent="0.25">
      <c r="A87" s="8">
        <v>85</v>
      </c>
      <c r="B87" s="5">
        <v>4</v>
      </c>
      <c r="C87" s="6"/>
      <c r="D87" s="6"/>
      <c r="E87" s="6">
        <v>4.45</v>
      </c>
      <c r="F87" s="6">
        <v>4</v>
      </c>
      <c r="G87" s="6">
        <v>4</v>
      </c>
      <c r="H87" s="6">
        <v>3.8</v>
      </c>
      <c r="I87" s="6"/>
      <c r="J87" s="6"/>
      <c r="K87" s="6"/>
      <c r="L87" s="6"/>
      <c r="M87" s="7">
        <v>0.65</v>
      </c>
      <c r="N87" s="7">
        <v>0.65</v>
      </c>
      <c r="O87" s="7">
        <v>0.65</v>
      </c>
      <c r="P87" s="7">
        <v>0.65</v>
      </c>
      <c r="Q87" s="7"/>
      <c r="R87" s="7"/>
      <c r="S87" s="8"/>
      <c r="T87" s="6">
        <v>17</v>
      </c>
      <c r="U87" s="6">
        <v>10.3</v>
      </c>
      <c r="V87" s="6">
        <v>16.535</v>
      </c>
      <c r="W87" s="6">
        <f>(4.22*7)/79.9</f>
        <v>0.36971214017521897</v>
      </c>
      <c r="X87" s="6">
        <f>(2.77*2+3.2+2.2*9+3.11*5+4.11*7)/248</f>
        <v>0.29379032258064514</v>
      </c>
    </row>
    <row r="88" spans="1:24" x14ac:dyDescent="0.25">
      <c r="A88" s="8">
        <v>86</v>
      </c>
      <c r="B88" s="5">
        <v>4</v>
      </c>
      <c r="C88" s="6"/>
      <c r="D88" s="6"/>
      <c r="E88" s="6">
        <v>3.1</v>
      </c>
      <c r="F88" s="6">
        <v>2.7</v>
      </c>
      <c r="G88" s="6">
        <v>2.7</v>
      </c>
      <c r="H88" s="6">
        <v>2.7</v>
      </c>
      <c r="I88" s="6"/>
      <c r="J88" s="6"/>
      <c r="K88" s="6"/>
      <c r="L88" s="6"/>
      <c r="M88" s="7">
        <v>0.4</v>
      </c>
      <c r="N88" s="7">
        <v>0.35</v>
      </c>
      <c r="O88" s="7">
        <v>0.35</v>
      </c>
      <c r="P88" s="7">
        <v>0.35</v>
      </c>
      <c r="Q88" s="7"/>
      <c r="R88" s="7"/>
      <c r="S88" s="8"/>
      <c r="T88" s="6">
        <v>5.65</v>
      </c>
      <c r="U88" s="6">
        <v>10.3</v>
      </c>
      <c r="V88" s="6">
        <v>10.050000000000001</v>
      </c>
      <c r="W88" s="6">
        <v>0.8</v>
      </c>
      <c r="X88" s="6">
        <f>(1.05*6+3.6*3)/65.8</f>
        <v>0.25987841945288759</v>
      </c>
    </row>
    <row r="89" spans="1:24" x14ac:dyDescent="0.25">
      <c r="A89" s="8">
        <v>87</v>
      </c>
      <c r="B89" s="5">
        <v>3</v>
      </c>
      <c r="C89" s="6"/>
      <c r="D89" s="6"/>
      <c r="E89" s="6">
        <v>4</v>
      </c>
      <c r="F89" s="6">
        <v>3.7</v>
      </c>
      <c r="G89" s="6">
        <v>3.6</v>
      </c>
      <c r="H89" s="6"/>
      <c r="I89" s="6"/>
      <c r="J89" s="6"/>
      <c r="K89" s="6"/>
      <c r="L89" s="6"/>
      <c r="M89" s="7">
        <v>0.75</v>
      </c>
      <c r="N89" s="7">
        <v>0.75</v>
      </c>
      <c r="O89" s="7">
        <v>0.75</v>
      </c>
      <c r="P89" s="7"/>
      <c r="Q89" s="7"/>
      <c r="R89" s="7"/>
      <c r="S89" s="8"/>
      <c r="T89" s="6">
        <v>8.6</v>
      </c>
      <c r="U89" s="6">
        <v>9.9</v>
      </c>
      <c r="V89" s="6">
        <v>5.66</v>
      </c>
      <c r="W89" s="6">
        <f>(3.3+12.64)/33.8</f>
        <v>0.47159763313609476</v>
      </c>
      <c r="X89" s="6">
        <f>(1.83*5+2.7+3+12.37)/106</f>
        <v>0.25679245283018864</v>
      </c>
    </row>
    <row r="90" spans="1:24" x14ac:dyDescent="0.25">
      <c r="A90" s="8">
        <v>88</v>
      </c>
      <c r="B90" s="5">
        <v>3</v>
      </c>
      <c r="C90" s="6"/>
      <c r="D90" s="6"/>
      <c r="E90" s="6">
        <v>3</v>
      </c>
      <c r="F90" s="6">
        <v>3.1</v>
      </c>
      <c r="G90" s="6">
        <v>2.6</v>
      </c>
      <c r="H90" s="6"/>
      <c r="I90" s="6"/>
      <c r="J90" s="6"/>
      <c r="K90" s="6"/>
      <c r="L90" s="6"/>
      <c r="M90" s="7">
        <v>0.75</v>
      </c>
      <c r="N90" s="7">
        <v>0.75</v>
      </c>
      <c r="O90" s="7">
        <v>0.55000000000000004</v>
      </c>
      <c r="P90" s="7"/>
      <c r="Q90" s="7"/>
      <c r="R90" s="7"/>
      <c r="S90" s="8"/>
      <c r="T90" s="6">
        <v>5.2</v>
      </c>
      <c r="U90" s="6">
        <v>9.5</v>
      </c>
      <c r="V90" s="6">
        <v>6.5500000000000007</v>
      </c>
      <c r="W90" s="6">
        <v>0.8</v>
      </c>
      <c r="X90" s="6">
        <f>(1.2+3.05+9.8)/50.4</f>
        <v>0.27876984126984128</v>
      </c>
    </row>
    <row r="91" spans="1:24" x14ac:dyDescent="0.25">
      <c r="A91" s="8">
        <v>89</v>
      </c>
      <c r="B91" s="5">
        <v>5</v>
      </c>
      <c r="C91" s="6"/>
      <c r="D91" s="6"/>
      <c r="E91" s="6">
        <v>2.2999999999999998</v>
      </c>
      <c r="F91" s="6">
        <v>2.7</v>
      </c>
      <c r="G91" s="6">
        <v>2.2999999999999998</v>
      </c>
      <c r="H91" s="6">
        <v>2.2000000000000002</v>
      </c>
      <c r="I91" s="6">
        <v>2.7</v>
      </c>
      <c r="J91" s="6"/>
      <c r="K91" s="6"/>
      <c r="L91" s="6"/>
      <c r="M91" s="7">
        <v>0.6</v>
      </c>
      <c r="N91" s="7">
        <v>0.55000000000000004</v>
      </c>
      <c r="O91" s="7">
        <v>0.55000000000000004</v>
      </c>
      <c r="P91" s="7">
        <v>0.2</v>
      </c>
      <c r="Q91" s="7">
        <v>0.2</v>
      </c>
      <c r="R91" s="7"/>
      <c r="S91" s="8"/>
      <c r="T91" s="6">
        <v>8.35</v>
      </c>
      <c r="U91" s="6">
        <v>2.9</v>
      </c>
      <c r="V91" s="6">
        <v>2.97</v>
      </c>
      <c r="W91" s="6">
        <v>0.8</v>
      </c>
      <c r="X91" s="6">
        <f>(1.05*8+1.5+2.04)/36</f>
        <v>0.33166666666666672</v>
      </c>
    </row>
    <row r="92" spans="1:24" x14ac:dyDescent="0.25">
      <c r="A92" s="8">
        <v>90</v>
      </c>
      <c r="B92" s="5">
        <v>2</v>
      </c>
      <c r="C92" s="6"/>
      <c r="D92" s="6"/>
      <c r="E92" s="6">
        <v>3.25</v>
      </c>
      <c r="F92" s="6">
        <v>3.65</v>
      </c>
      <c r="G92" s="6"/>
      <c r="H92" s="6"/>
      <c r="I92" s="6"/>
      <c r="J92" s="6"/>
      <c r="K92" s="6"/>
      <c r="L92" s="6"/>
      <c r="M92" s="7">
        <v>0.85</v>
      </c>
      <c r="N92" s="7">
        <v>0.75</v>
      </c>
      <c r="O92" s="7"/>
      <c r="P92" s="7"/>
      <c r="Q92" s="7"/>
      <c r="R92" s="7"/>
      <c r="S92" s="8"/>
      <c r="T92" s="6">
        <v>13.7</v>
      </c>
      <c r="U92" s="6">
        <v>11.2</v>
      </c>
      <c r="V92" s="6">
        <v>3.9400000000000004</v>
      </c>
      <c r="W92" s="6">
        <v>0.4</v>
      </c>
      <c r="X92" s="6">
        <f>(1.79*5+2.55*2+4.3*3)/104.7</f>
        <v>0.25740210124164276</v>
      </c>
    </row>
    <row r="93" spans="1:24" x14ac:dyDescent="0.25">
      <c r="A93" s="8">
        <v>91</v>
      </c>
      <c r="B93" s="5">
        <v>3</v>
      </c>
      <c r="C93" s="6"/>
      <c r="D93" s="6"/>
      <c r="E93" s="6">
        <v>3.6</v>
      </c>
      <c r="F93" s="6">
        <v>3.8</v>
      </c>
      <c r="G93" s="6">
        <v>3.7</v>
      </c>
      <c r="H93" s="6"/>
      <c r="I93" s="6"/>
      <c r="J93" s="6"/>
      <c r="K93" s="6"/>
      <c r="L93" s="6"/>
      <c r="M93" s="7">
        <v>0.65</v>
      </c>
      <c r="N93" s="7">
        <v>0.6</v>
      </c>
      <c r="O93" s="7">
        <v>0.55000000000000004</v>
      </c>
      <c r="P93" s="7"/>
      <c r="Q93" s="7"/>
      <c r="R93" s="7"/>
      <c r="S93" s="8"/>
      <c r="T93" s="6">
        <v>11.9</v>
      </c>
      <c r="U93" s="6">
        <v>11.7</v>
      </c>
      <c r="V93" s="6">
        <v>3.1589999999999998</v>
      </c>
      <c r="W93" s="6">
        <f>(3.4*3+5.2)/42.7</f>
        <v>0.36065573770491799</v>
      </c>
      <c r="X93" s="6">
        <f>(2.2*4+3.1*4+3.2*4)/126.2</f>
        <v>0.26941362916006339</v>
      </c>
    </row>
    <row r="94" spans="1:24" x14ac:dyDescent="0.25">
      <c r="A94" s="8">
        <v>92</v>
      </c>
      <c r="B94" s="5">
        <v>4</v>
      </c>
      <c r="C94" s="6"/>
      <c r="D94" s="6"/>
      <c r="E94" s="6">
        <v>2.2000000000000002</v>
      </c>
      <c r="F94" s="6">
        <v>2.6</v>
      </c>
      <c r="G94" s="6">
        <v>2.7</v>
      </c>
      <c r="H94" s="6">
        <v>2.6</v>
      </c>
      <c r="I94" s="6"/>
      <c r="J94" s="6"/>
      <c r="K94" s="6"/>
      <c r="L94" s="6"/>
      <c r="M94" s="7">
        <v>0.65</v>
      </c>
      <c r="N94" s="7">
        <v>0.6</v>
      </c>
      <c r="O94" s="7">
        <v>0.3</v>
      </c>
      <c r="P94" s="7">
        <v>0.3</v>
      </c>
      <c r="Q94" s="7"/>
      <c r="R94" s="7"/>
      <c r="S94" s="8"/>
      <c r="T94" s="6">
        <v>7.9</v>
      </c>
      <c r="U94" s="6">
        <v>4.9000000000000004</v>
      </c>
      <c r="V94" s="6">
        <v>6.89</v>
      </c>
      <c r="W94" s="6">
        <f>(2.2*4)/11.5</f>
        <v>0.76521739130434785</v>
      </c>
      <c r="X94" s="6">
        <f>(1.25*6+2.14*2)/48.9</f>
        <v>0.24089979550102253</v>
      </c>
    </row>
    <row r="95" spans="1:24" x14ac:dyDescent="0.25">
      <c r="A95" s="8">
        <v>93</v>
      </c>
      <c r="B95" s="5">
        <v>4</v>
      </c>
      <c r="C95" s="6"/>
      <c r="D95" s="6"/>
      <c r="E95" s="6">
        <v>3</v>
      </c>
      <c r="F95" s="6">
        <v>2.7</v>
      </c>
      <c r="G95" s="6">
        <v>2.5</v>
      </c>
      <c r="H95" s="6">
        <v>2.2999999999999998</v>
      </c>
      <c r="I95" s="6"/>
      <c r="J95" s="6"/>
      <c r="K95" s="6"/>
      <c r="L95" s="6"/>
      <c r="M95" s="7">
        <v>0.6</v>
      </c>
      <c r="N95" s="7">
        <v>0.55000000000000004</v>
      </c>
      <c r="O95" s="7">
        <v>0.55000000000000004</v>
      </c>
      <c r="P95" s="7">
        <v>0.25</v>
      </c>
      <c r="Q95" s="7"/>
      <c r="R95" s="7"/>
      <c r="S95" s="8"/>
      <c r="T95" s="6">
        <v>3</v>
      </c>
      <c r="U95" s="6">
        <v>9.1999999999999993</v>
      </c>
      <c r="V95" s="6">
        <v>4.9499999999999993</v>
      </c>
      <c r="W95" s="6">
        <v>0.8</v>
      </c>
      <c r="X95" s="6">
        <f>(0.6+1.2*3+5.5)/30.15</f>
        <v>0.32172470978441126</v>
      </c>
    </row>
    <row r="96" spans="1:24" x14ac:dyDescent="0.25">
      <c r="A96" s="8">
        <v>94</v>
      </c>
      <c r="B96" s="5">
        <v>4</v>
      </c>
      <c r="C96" s="6"/>
      <c r="D96" s="6"/>
      <c r="E96" s="6">
        <v>3.2</v>
      </c>
      <c r="F96" s="6">
        <v>3.1</v>
      </c>
      <c r="G96" s="6">
        <v>3.1</v>
      </c>
      <c r="H96" s="6">
        <v>2.5</v>
      </c>
      <c r="I96" s="6"/>
      <c r="J96" s="6"/>
      <c r="K96" s="6"/>
      <c r="L96" s="6"/>
      <c r="M96" s="7">
        <v>0.7</v>
      </c>
      <c r="N96" s="7">
        <v>0.65</v>
      </c>
      <c r="O96" s="7">
        <v>0.6</v>
      </c>
      <c r="P96" s="7">
        <v>0.35</v>
      </c>
      <c r="Q96" s="7"/>
      <c r="R96" s="7"/>
      <c r="S96" s="8"/>
      <c r="T96" s="6">
        <v>5.5</v>
      </c>
      <c r="U96" s="6">
        <v>7.6</v>
      </c>
      <c r="V96" s="6">
        <v>2.7250000000000001</v>
      </c>
      <c r="W96" s="6">
        <f>(3.36*3)/21.48</f>
        <v>0.46927374301675978</v>
      </c>
      <c r="X96" s="6">
        <f>(2.01*6+3.2*3)/63.3</f>
        <v>0.34218009478672989</v>
      </c>
    </row>
    <row r="97" spans="1:24" x14ac:dyDescent="0.25">
      <c r="A97" s="8">
        <v>95</v>
      </c>
      <c r="B97" s="5">
        <v>3</v>
      </c>
      <c r="C97" s="6"/>
      <c r="D97" s="6"/>
      <c r="E97" s="6">
        <v>3.2</v>
      </c>
      <c r="F97" s="6">
        <v>3.2</v>
      </c>
      <c r="G97" s="6">
        <v>2.6</v>
      </c>
      <c r="H97" s="6"/>
      <c r="I97" s="6"/>
      <c r="J97" s="6"/>
      <c r="K97" s="6"/>
      <c r="L97" s="6"/>
      <c r="M97" s="7">
        <v>0.65</v>
      </c>
      <c r="N97" s="7">
        <v>0.55000000000000004</v>
      </c>
      <c r="O97" s="7">
        <v>0.25</v>
      </c>
      <c r="P97" s="7"/>
      <c r="Q97" s="7"/>
      <c r="R97" s="7"/>
      <c r="S97" s="8"/>
      <c r="T97" s="6">
        <v>14.2</v>
      </c>
      <c r="U97" s="6">
        <v>5.6</v>
      </c>
      <c r="V97" s="6">
        <v>7.2700000000000005</v>
      </c>
      <c r="W97" s="6">
        <f>(1.1+1.63+3.2+3.7)/58.1</f>
        <v>0.16574870912220308</v>
      </c>
      <c r="X97" s="6">
        <f>(5*2+1+3.2*2)/129.5</f>
        <v>0.13436293436293434</v>
      </c>
    </row>
    <row r="98" spans="1:24" x14ac:dyDescent="0.25">
      <c r="A98" s="8">
        <v>96</v>
      </c>
      <c r="B98" s="5">
        <v>3</v>
      </c>
      <c r="C98" s="6"/>
      <c r="D98" s="6"/>
      <c r="E98" s="6">
        <v>2.5499999999999998</v>
      </c>
      <c r="F98" s="6">
        <v>2.65</v>
      </c>
      <c r="G98" s="6">
        <v>2.4500000000000002</v>
      </c>
      <c r="H98" s="6"/>
      <c r="I98" s="6"/>
      <c r="J98" s="6"/>
      <c r="K98" s="6"/>
      <c r="L98" s="6"/>
      <c r="M98" s="7">
        <v>0.55000000000000004</v>
      </c>
      <c r="N98" s="7">
        <v>0.55000000000000004</v>
      </c>
      <c r="O98" s="7">
        <v>0.25</v>
      </c>
      <c r="P98" s="7"/>
      <c r="Q98" s="7"/>
      <c r="R98" s="7"/>
      <c r="S98" s="8"/>
      <c r="T98" s="6">
        <v>3.55</v>
      </c>
      <c r="U98" s="6">
        <v>9.1</v>
      </c>
      <c r="V98" s="6">
        <v>2.6599999999999997</v>
      </c>
      <c r="W98" s="6">
        <f>(2.21+2.73)/11.097</f>
        <v>0.44516536000720913</v>
      </c>
      <c r="X98" s="6">
        <f>(1.25*4+2.5*2)/36.5</f>
        <v>0.27397260273972601</v>
      </c>
    </row>
    <row r="99" spans="1:24" x14ac:dyDescent="0.25">
      <c r="A99" s="8">
        <v>97</v>
      </c>
      <c r="B99" s="5">
        <v>3</v>
      </c>
      <c r="C99" s="6"/>
      <c r="D99" s="6"/>
      <c r="E99" s="6">
        <v>2.4</v>
      </c>
      <c r="F99" s="6">
        <v>2.6</v>
      </c>
      <c r="G99" s="6">
        <v>2.6</v>
      </c>
      <c r="H99" s="6"/>
      <c r="I99" s="6"/>
      <c r="J99" s="6"/>
      <c r="K99" s="6"/>
      <c r="L99" s="6"/>
      <c r="M99" s="7">
        <v>0.8</v>
      </c>
      <c r="N99" s="7">
        <v>0.7</v>
      </c>
      <c r="O99" s="7">
        <v>0.65</v>
      </c>
      <c r="P99" s="7"/>
      <c r="Q99" s="7"/>
      <c r="R99" s="7"/>
      <c r="S99" s="8"/>
      <c r="T99" s="6">
        <v>13.2</v>
      </c>
      <c r="U99" s="6">
        <v>9.1999999999999993</v>
      </c>
      <c r="V99" s="6">
        <v>14.189999999999998</v>
      </c>
      <c r="W99" s="6">
        <f>(1.78+2.99+1.65)/16.02</f>
        <v>0.40074906367041196</v>
      </c>
      <c r="X99" s="6">
        <f>(1.15*5+0.8+1.6+2.8+1.9)/49.6</f>
        <v>0.25907258064516125</v>
      </c>
    </row>
    <row r="100" spans="1:24" x14ac:dyDescent="0.25">
      <c r="A100" s="8">
        <v>98</v>
      </c>
      <c r="B100" s="5">
        <v>2</v>
      </c>
      <c r="C100" s="6"/>
      <c r="D100" s="6"/>
      <c r="E100" s="6">
        <v>2.6</v>
      </c>
      <c r="F100" s="6">
        <v>2.9</v>
      </c>
      <c r="G100" s="6"/>
      <c r="H100" s="6"/>
      <c r="I100" s="6"/>
      <c r="J100" s="6"/>
      <c r="K100" s="6"/>
      <c r="L100" s="6"/>
      <c r="M100" s="7">
        <v>0.6</v>
      </c>
      <c r="N100" s="7">
        <v>0.6</v>
      </c>
      <c r="O100" s="7"/>
      <c r="P100" s="7"/>
      <c r="Q100" s="7"/>
      <c r="R100" s="7"/>
      <c r="S100" s="8"/>
      <c r="T100" s="6">
        <v>7.5</v>
      </c>
      <c r="U100" s="6">
        <v>5.7</v>
      </c>
      <c r="V100" s="6">
        <v>1.44</v>
      </c>
      <c r="W100" s="6">
        <v>0.4</v>
      </c>
      <c r="X100" s="6">
        <v>0.25</v>
      </c>
    </row>
    <row r="101" spans="1:24" x14ac:dyDescent="0.25">
      <c r="A101" s="8">
        <v>99</v>
      </c>
      <c r="B101" s="5">
        <v>4</v>
      </c>
      <c r="C101" s="6"/>
      <c r="D101" s="6"/>
      <c r="E101" s="6">
        <v>3.6</v>
      </c>
      <c r="F101" s="6">
        <v>3.5</v>
      </c>
      <c r="G101" s="6">
        <v>3.5</v>
      </c>
      <c r="H101" s="6">
        <v>3.2</v>
      </c>
      <c r="I101" s="6"/>
      <c r="J101" s="6"/>
      <c r="K101" s="6"/>
      <c r="L101" s="6"/>
      <c r="M101" s="7">
        <v>0.6</v>
      </c>
      <c r="N101" s="7">
        <v>0.6</v>
      </c>
      <c r="O101" s="7">
        <v>0.5</v>
      </c>
      <c r="P101" s="7">
        <v>0.5</v>
      </c>
      <c r="Q101" s="7"/>
      <c r="R101" s="7"/>
      <c r="S101" s="8"/>
      <c r="T101" s="6">
        <v>5.15</v>
      </c>
      <c r="U101" s="6">
        <v>11.85</v>
      </c>
      <c r="V101" s="6">
        <v>8.5300000000000011</v>
      </c>
      <c r="W101" s="6">
        <v>0.8</v>
      </c>
      <c r="X101" s="6">
        <f>(1.45*6+3.03*2)/72.5</f>
        <v>0.20358620689655169</v>
      </c>
    </row>
    <row r="102" spans="1:24" x14ac:dyDescent="0.25">
      <c r="A102" s="8">
        <v>100</v>
      </c>
      <c r="B102" s="5">
        <v>4</v>
      </c>
      <c r="C102" s="6"/>
      <c r="D102" s="6"/>
      <c r="E102" s="6">
        <v>4.2</v>
      </c>
      <c r="F102" s="6">
        <v>3.4</v>
      </c>
      <c r="G102" s="6">
        <v>3.4</v>
      </c>
      <c r="H102" s="6">
        <v>2.6</v>
      </c>
      <c r="I102" s="6"/>
      <c r="J102" s="6"/>
      <c r="K102" s="6"/>
      <c r="L102" s="6"/>
      <c r="M102" s="7">
        <v>0.75</v>
      </c>
      <c r="N102" s="7">
        <v>0.75</v>
      </c>
      <c r="O102" s="7">
        <v>0.75</v>
      </c>
      <c r="P102" s="7">
        <v>0.75</v>
      </c>
      <c r="Q102" s="7"/>
      <c r="R102" s="7"/>
      <c r="S102" s="8"/>
      <c r="T102" s="6">
        <v>11.95</v>
      </c>
      <c r="U102" s="6">
        <v>16.3</v>
      </c>
      <c r="V102" s="6">
        <v>11.13</v>
      </c>
      <c r="W102" s="6">
        <v>0.8</v>
      </c>
      <c r="X102" s="6">
        <f>(2.33*6+3.35*2+2.9*3+8.2)/144</f>
        <v>0.26097222222222222</v>
      </c>
    </row>
    <row r="103" spans="1:24" x14ac:dyDescent="0.25">
      <c r="A103" s="8">
        <v>101</v>
      </c>
      <c r="B103" s="5">
        <v>4</v>
      </c>
      <c r="C103" s="6"/>
      <c r="D103" s="6"/>
      <c r="E103" s="6">
        <v>2.7</v>
      </c>
      <c r="F103" s="6">
        <v>2.7</v>
      </c>
      <c r="G103" s="6">
        <v>2.8</v>
      </c>
      <c r="H103" s="6">
        <v>2.9</v>
      </c>
      <c r="I103" s="6"/>
      <c r="J103" s="6"/>
      <c r="K103" s="6"/>
      <c r="L103" s="6"/>
      <c r="M103" s="7">
        <v>0.7</v>
      </c>
      <c r="N103" s="7">
        <v>0.7</v>
      </c>
      <c r="O103" s="7">
        <v>0.7</v>
      </c>
      <c r="P103" s="7">
        <v>0.25</v>
      </c>
      <c r="Q103" s="7"/>
      <c r="R103" s="7"/>
      <c r="S103" s="8"/>
      <c r="T103" s="6">
        <v>5.7</v>
      </c>
      <c r="U103" s="6">
        <v>10.4</v>
      </c>
      <c r="V103" s="6">
        <v>12.400000000000002</v>
      </c>
      <c r="W103" s="6">
        <f>(2.6*3)/(17.4)</f>
        <v>0.44827586206896558</v>
      </c>
      <c r="X103" s="6">
        <f>(1.23*7+2.6+2.5+2.5)/66.7</f>
        <v>0.24302848575712144</v>
      </c>
    </row>
    <row r="104" spans="1:24" x14ac:dyDescent="0.25">
      <c r="A104" s="8">
        <v>102</v>
      </c>
      <c r="B104" s="5">
        <v>3</v>
      </c>
      <c r="C104" s="6"/>
      <c r="D104" s="6"/>
      <c r="E104" s="6">
        <v>3.1</v>
      </c>
      <c r="F104" s="6">
        <v>2.5</v>
      </c>
      <c r="G104" s="6">
        <v>2.4</v>
      </c>
      <c r="H104" s="6"/>
      <c r="I104" s="6"/>
      <c r="J104" s="6"/>
      <c r="K104" s="6"/>
      <c r="L104" s="6"/>
      <c r="M104" s="7">
        <v>0.6</v>
      </c>
      <c r="N104" s="7">
        <v>0.5</v>
      </c>
      <c r="O104" s="7">
        <v>0.25</v>
      </c>
      <c r="P104" s="7"/>
      <c r="Q104" s="7"/>
      <c r="R104" s="7"/>
      <c r="S104" s="8"/>
      <c r="T104" s="6">
        <v>4.4000000000000004</v>
      </c>
      <c r="U104" s="6">
        <v>7.3</v>
      </c>
      <c r="V104" s="6">
        <v>4.8099999999999996</v>
      </c>
      <c r="W104" s="6">
        <f>(2.64+3.4)/13.42</f>
        <v>0.45007451564828616</v>
      </c>
      <c r="X104" s="6">
        <f>(1.13*2+1.21*2+2.4+4.3)/33.43</f>
        <v>0.34041280287167214</v>
      </c>
    </row>
    <row r="105" spans="1:24" x14ac:dyDescent="0.25">
      <c r="A105" s="8">
        <v>103</v>
      </c>
      <c r="B105" s="5">
        <v>1</v>
      </c>
      <c r="C105" s="6"/>
      <c r="D105" s="6"/>
      <c r="E105" s="6">
        <v>3.05</v>
      </c>
      <c r="F105" s="6"/>
      <c r="G105" s="6"/>
      <c r="H105" s="6"/>
      <c r="I105" s="6"/>
      <c r="J105" s="6"/>
      <c r="K105" s="6"/>
      <c r="L105" s="6"/>
      <c r="M105" s="7">
        <v>0.5</v>
      </c>
      <c r="N105" s="7"/>
      <c r="O105" s="7"/>
      <c r="P105" s="7"/>
      <c r="Q105" s="7"/>
      <c r="R105" s="7"/>
      <c r="S105" s="8"/>
      <c r="T105" s="6">
        <v>6</v>
      </c>
      <c r="U105" s="6">
        <v>7.7</v>
      </c>
      <c r="V105" s="6">
        <v>0.9</v>
      </c>
      <c r="W105" s="6">
        <v>0.56000000000000005</v>
      </c>
      <c r="X105" s="6">
        <v>0.56000000000000005</v>
      </c>
    </row>
    <row r="106" spans="1:24" x14ac:dyDescent="0.25">
      <c r="A106" s="8">
        <v>104</v>
      </c>
      <c r="B106" s="5">
        <v>1</v>
      </c>
      <c r="C106" s="6"/>
      <c r="D106" s="6"/>
      <c r="E106" s="6">
        <v>3.1</v>
      </c>
      <c r="F106" s="6"/>
      <c r="G106" s="6"/>
      <c r="H106" s="6"/>
      <c r="I106" s="6"/>
      <c r="J106" s="6"/>
      <c r="K106" s="6"/>
      <c r="L106" s="6"/>
      <c r="M106" s="7">
        <v>0.5</v>
      </c>
      <c r="N106" s="7"/>
      <c r="O106" s="7"/>
      <c r="P106" s="7"/>
      <c r="Q106" s="7"/>
      <c r="R106" s="7"/>
      <c r="S106" s="8"/>
      <c r="T106" s="6">
        <v>6</v>
      </c>
      <c r="U106" s="6">
        <v>7.6</v>
      </c>
      <c r="V106" s="6">
        <v>0.9</v>
      </c>
      <c r="W106" s="6">
        <v>0.61</v>
      </c>
      <c r="X106" s="6">
        <v>0.61</v>
      </c>
    </row>
    <row r="107" spans="1:24" x14ac:dyDescent="0.25">
      <c r="A107" s="8">
        <v>105</v>
      </c>
      <c r="B107" s="5">
        <v>1</v>
      </c>
      <c r="C107" s="6"/>
      <c r="D107" s="6"/>
      <c r="E107" s="6">
        <v>3</v>
      </c>
      <c r="F107" s="6"/>
      <c r="G107" s="6"/>
      <c r="H107" s="6"/>
      <c r="I107" s="6"/>
      <c r="J107" s="6"/>
      <c r="K107" s="6"/>
      <c r="L107" s="6"/>
      <c r="M107" s="7">
        <v>0.7</v>
      </c>
      <c r="N107" s="7"/>
      <c r="O107" s="7"/>
      <c r="P107" s="7"/>
      <c r="Q107" s="7"/>
      <c r="R107" s="7"/>
      <c r="S107" s="8"/>
      <c r="T107" s="6">
        <v>6.2</v>
      </c>
      <c r="U107" s="6">
        <v>7.2</v>
      </c>
      <c r="V107" s="6">
        <v>0.78</v>
      </c>
      <c r="W107" s="6">
        <v>0.54</v>
      </c>
      <c r="X107" s="6">
        <v>0.54</v>
      </c>
    </row>
    <row r="108" spans="1:24" x14ac:dyDescent="0.25">
      <c r="A108" s="8">
        <v>106</v>
      </c>
      <c r="B108" s="5">
        <v>1</v>
      </c>
      <c r="C108" s="6"/>
      <c r="D108" s="6"/>
      <c r="E108" s="6">
        <v>2.9</v>
      </c>
      <c r="F108" s="6"/>
      <c r="G108" s="6"/>
      <c r="H108" s="6"/>
      <c r="I108" s="6"/>
      <c r="J108" s="6"/>
      <c r="K108" s="6"/>
      <c r="L108" s="6"/>
      <c r="M108" s="7">
        <v>0.7</v>
      </c>
      <c r="N108" s="7"/>
      <c r="O108" s="7"/>
      <c r="P108" s="7"/>
      <c r="Q108" s="7"/>
      <c r="R108" s="7"/>
      <c r="S108" s="8"/>
      <c r="T108" s="6">
        <v>5.13</v>
      </c>
      <c r="U108" s="6">
        <v>7</v>
      </c>
      <c r="V108" s="6">
        <v>0.48</v>
      </c>
      <c r="W108" s="6">
        <v>0.59</v>
      </c>
      <c r="X108" s="6">
        <v>0.59</v>
      </c>
    </row>
  </sheetData>
  <mergeCells count="9">
    <mergeCell ref="A1:A2"/>
    <mergeCell ref="B1:B2"/>
    <mergeCell ref="C1:L1"/>
    <mergeCell ref="M1:S2"/>
    <mergeCell ref="V1:V2"/>
    <mergeCell ref="X1:X2"/>
    <mergeCell ref="W1:W2"/>
    <mergeCell ref="T1:T2"/>
    <mergeCell ref="U1:U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>
      <selection activeCell="F35" sqref="E35:F35"/>
    </sheetView>
  </sheetViews>
  <sheetFormatPr baseColWidth="10" defaultColWidth="8.85546875" defaultRowHeight="15" x14ac:dyDescent="0.25"/>
  <cols>
    <col min="1" max="1" width="5.7109375" style="1" customWidth="1"/>
    <col min="2" max="2" width="11.42578125" customWidth="1"/>
    <col min="3" max="19" width="5.5703125" customWidth="1"/>
    <col min="20" max="26" width="5.85546875" customWidth="1"/>
    <col min="27" max="28" width="14.28515625" customWidth="1"/>
    <col min="29" max="29" width="15.7109375" customWidth="1"/>
    <col min="30" max="31" width="14.28515625" customWidth="1"/>
  </cols>
  <sheetData>
    <row r="1" spans="1:31" ht="18" customHeight="1" x14ac:dyDescent="0.25">
      <c r="A1" s="11" t="s">
        <v>14</v>
      </c>
      <c r="B1" s="10" t="s">
        <v>0</v>
      </c>
      <c r="C1" s="10" t="s">
        <v>18</v>
      </c>
      <c r="D1" s="10"/>
      <c r="E1" s="10"/>
      <c r="F1" s="10"/>
      <c r="G1" s="10"/>
      <c r="H1" s="10"/>
      <c r="I1" s="10"/>
      <c r="J1" s="10"/>
      <c r="K1" s="10"/>
      <c r="L1" s="10"/>
      <c r="M1" s="10" t="s">
        <v>23</v>
      </c>
      <c r="N1" s="10"/>
      <c r="O1" s="10"/>
      <c r="P1" s="10"/>
      <c r="Q1" s="10"/>
      <c r="R1" s="10"/>
      <c r="S1" s="10"/>
      <c r="T1" s="10" t="s">
        <v>24</v>
      </c>
      <c r="U1" s="10"/>
      <c r="V1" s="10"/>
      <c r="W1" s="10"/>
      <c r="X1" s="10"/>
      <c r="Y1" s="10"/>
      <c r="Z1" s="10"/>
      <c r="AA1" s="10" t="s">
        <v>1</v>
      </c>
      <c r="AB1" s="10" t="s">
        <v>2</v>
      </c>
      <c r="AC1" s="10" t="s">
        <v>3</v>
      </c>
      <c r="AD1" s="10" t="s">
        <v>19</v>
      </c>
      <c r="AE1" s="10" t="s">
        <v>20</v>
      </c>
    </row>
    <row r="2" spans="1:31" ht="18" customHeight="1" x14ac:dyDescent="0.25">
      <c r="A2" s="11"/>
      <c r="B2" s="10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s="8">
        <v>1</v>
      </c>
      <c r="B3" s="8">
        <v>3</v>
      </c>
      <c r="C3" s="7" t="s">
        <v>22</v>
      </c>
      <c r="D3" s="7" t="s">
        <v>22</v>
      </c>
      <c r="E3" s="7">
        <v>3.3</v>
      </c>
      <c r="F3" s="7">
        <v>3.3</v>
      </c>
      <c r="G3" s="7">
        <v>3.3</v>
      </c>
      <c r="H3" s="7" t="s">
        <v>22</v>
      </c>
      <c r="I3" s="7" t="s">
        <v>22</v>
      </c>
      <c r="J3" s="7" t="s">
        <v>22</v>
      </c>
      <c r="K3" s="7" t="s">
        <v>22</v>
      </c>
      <c r="L3" s="7" t="s">
        <v>22</v>
      </c>
      <c r="M3" s="7">
        <v>0.6</v>
      </c>
      <c r="N3" s="7">
        <v>0.6</v>
      </c>
      <c r="O3" s="7">
        <v>0.6</v>
      </c>
      <c r="P3" s="7" t="s">
        <v>22</v>
      </c>
      <c r="Q3" s="7" t="s">
        <v>22</v>
      </c>
      <c r="R3" s="7" t="s">
        <v>22</v>
      </c>
      <c r="S3" s="7" t="s">
        <v>22</v>
      </c>
      <c r="T3" s="7">
        <v>0.6</v>
      </c>
      <c r="U3" s="7">
        <v>0.45</v>
      </c>
      <c r="V3" s="7">
        <v>0.45</v>
      </c>
      <c r="W3" s="7" t="s">
        <v>22</v>
      </c>
      <c r="X3" s="7" t="s">
        <v>22</v>
      </c>
      <c r="Y3" s="7" t="s">
        <v>22</v>
      </c>
      <c r="Z3" s="7" t="s">
        <v>22</v>
      </c>
      <c r="AA3" s="7">
        <v>5.7</v>
      </c>
      <c r="AB3" s="7">
        <v>23.3</v>
      </c>
      <c r="AC3" s="7">
        <v>7.2024999999999997</v>
      </c>
      <c r="AD3" s="7">
        <v>0.5321795565170363</v>
      </c>
      <c r="AE3" s="7">
        <v>0.60323069156991416</v>
      </c>
    </row>
    <row r="4" spans="1:31" x14ac:dyDescent="0.25">
      <c r="A4" s="8">
        <v>2</v>
      </c>
      <c r="B4" s="8">
        <v>2</v>
      </c>
      <c r="C4" s="7" t="s">
        <v>22</v>
      </c>
      <c r="D4" s="7" t="s">
        <v>22</v>
      </c>
      <c r="E4" s="7">
        <v>3.5</v>
      </c>
      <c r="F4" s="7">
        <v>3.5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  <c r="M4" s="7">
        <v>0.5</v>
      </c>
      <c r="N4" s="7">
        <v>0.5</v>
      </c>
      <c r="O4" s="7">
        <v>0.5</v>
      </c>
      <c r="P4" s="7" t="s">
        <v>22</v>
      </c>
      <c r="Q4" s="7" t="s">
        <v>22</v>
      </c>
      <c r="R4" s="7" t="s">
        <v>22</v>
      </c>
      <c r="S4" s="7" t="s">
        <v>22</v>
      </c>
      <c r="T4" s="7">
        <v>0.5</v>
      </c>
      <c r="U4" s="7">
        <v>0.5</v>
      </c>
      <c r="V4" s="7">
        <v>0.5</v>
      </c>
      <c r="W4" s="7" t="s">
        <v>22</v>
      </c>
      <c r="X4" s="7" t="s">
        <v>22</v>
      </c>
      <c r="Y4" s="7" t="s">
        <v>22</v>
      </c>
      <c r="Z4" s="7" t="s">
        <v>22</v>
      </c>
      <c r="AA4" s="7">
        <v>5.5</v>
      </c>
      <c r="AB4" s="7">
        <v>14</v>
      </c>
      <c r="AC4" s="7">
        <v>5.56</v>
      </c>
      <c r="AD4" s="7">
        <v>0.47422680412371132</v>
      </c>
      <c r="AE4" s="7">
        <v>0.53729456384323637</v>
      </c>
    </row>
    <row r="5" spans="1:31" x14ac:dyDescent="0.25">
      <c r="A5" s="8">
        <v>3</v>
      </c>
      <c r="B5" s="8">
        <v>3</v>
      </c>
      <c r="C5" s="7" t="s">
        <v>22</v>
      </c>
      <c r="D5" s="7" t="s">
        <v>22</v>
      </c>
      <c r="E5" s="7">
        <v>4.0999999999999996</v>
      </c>
      <c r="F5" s="7">
        <v>3.8</v>
      </c>
      <c r="G5" s="7">
        <v>3.3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  <c r="M5" s="7">
        <v>0.55000000000000004</v>
      </c>
      <c r="N5" s="7">
        <v>0.55000000000000004</v>
      </c>
      <c r="O5" s="7">
        <v>0.55000000000000004</v>
      </c>
      <c r="P5" s="7" t="s">
        <v>22</v>
      </c>
      <c r="Q5" s="7" t="s">
        <v>22</v>
      </c>
      <c r="R5" s="7" t="s">
        <v>22</v>
      </c>
      <c r="S5" s="7" t="s">
        <v>22</v>
      </c>
      <c r="T5" s="7">
        <v>0.4</v>
      </c>
      <c r="U5" s="7">
        <v>0.4</v>
      </c>
      <c r="V5" s="7">
        <v>0.4</v>
      </c>
      <c r="W5" s="7" t="s">
        <v>22</v>
      </c>
      <c r="X5" s="7" t="s">
        <v>22</v>
      </c>
      <c r="Y5" s="7" t="s">
        <v>22</v>
      </c>
      <c r="Z5" s="7" t="s">
        <v>22</v>
      </c>
      <c r="AA5" s="7">
        <v>6</v>
      </c>
      <c r="AB5" s="7">
        <v>14.2</v>
      </c>
      <c r="AC5" s="7">
        <v>2.2599999999999998</v>
      </c>
      <c r="AD5" s="7">
        <v>0.29849462365591395</v>
      </c>
      <c r="AE5" s="7">
        <v>0.36035087719298242</v>
      </c>
    </row>
    <row r="6" spans="1:31" x14ac:dyDescent="0.25">
      <c r="A6" s="8">
        <v>4</v>
      </c>
      <c r="B6" s="8">
        <v>4</v>
      </c>
      <c r="C6" s="7" t="s">
        <v>22</v>
      </c>
      <c r="D6" s="7" t="s">
        <v>22</v>
      </c>
      <c r="E6" s="7">
        <v>3.3</v>
      </c>
      <c r="F6" s="7">
        <v>2.6</v>
      </c>
      <c r="G6" s="7">
        <v>2.6</v>
      </c>
      <c r="H6" s="7">
        <v>2.6</v>
      </c>
      <c r="I6" s="7" t="s">
        <v>22</v>
      </c>
      <c r="J6" s="7" t="s">
        <v>22</v>
      </c>
      <c r="K6" s="7" t="s">
        <v>22</v>
      </c>
      <c r="L6" s="7" t="s">
        <v>22</v>
      </c>
      <c r="M6" s="7">
        <v>0.6</v>
      </c>
      <c r="N6" s="7">
        <v>0.6</v>
      </c>
      <c r="O6" s="7">
        <v>0.3</v>
      </c>
      <c r="P6" s="7">
        <v>0.25</v>
      </c>
      <c r="Q6" s="7" t="s">
        <v>22</v>
      </c>
      <c r="R6" s="7" t="s">
        <v>22</v>
      </c>
      <c r="S6" s="7" t="s">
        <v>22</v>
      </c>
      <c r="T6" s="7">
        <v>0.4</v>
      </c>
      <c r="U6" s="7">
        <v>0.4</v>
      </c>
      <c r="V6" s="7">
        <v>0.4</v>
      </c>
      <c r="W6" s="7">
        <v>0.3</v>
      </c>
      <c r="X6" s="7" t="s">
        <v>22</v>
      </c>
      <c r="Y6" s="7" t="s">
        <v>22</v>
      </c>
      <c r="Z6" s="7" t="s">
        <v>22</v>
      </c>
      <c r="AA6" s="7">
        <v>11.1</v>
      </c>
      <c r="AB6" s="7">
        <v>4.0999999999999996</v>
      </c>
      <c r="AC6" s="7">
        <v>4.532</v>
      </c>
      <c r="AD6" s="7">
        <v>0.34844444444444445</v>
      </c>
      <c r="AE6" s="7">
        <v>0.34646302250803857</v>
      </c>
    </row>
    <row r="7" spans="1:31" x14ac:dyDescent="0.25">
      <c r="A7" s="8">
        <v>5</v>
      </c>
      <c r="B7" s="8">
        <v>4</v>
      </c>
      <c r="C7" s="7" t="s">
        <v>22</v>
      </c>
      <c r="D7" s="7" t="s">
        <v>22</v>
      </c>
      <c r="E7" s="7">
        <v>3.6</v>
      </c>
      <c r="F7" s="7">
        <v>3.6</v>
      </c>
      <c r="G7" s="7">
        <v>3.6</v>
      </c>
      <c r="H7" s="7">
        <v>3.4</v>
      </c>
      <c r="I7" s="7" t="s">
        <v>22</v>
      </c>
      <c r="J7" s="7" t="s">
        <v>22</v>
      </c>
      <c r="K7" s="7" t="s">
        <v>22</v>
      </c>
      <c r="L7" s="7" t="s">
        <v>22</v>
      </c>
      <c r="M7" s="7">
        <v>0.55000000000000004</v>
      </c>
      <c r="N7" s="7">
        <v>0.55000000000000004</v>
      </c>
      <c r="O7" s="7">
        <v>0.55000000000000004</v>
      </c>
      <c r="P7" s="7">
        <v>0.55000000000000004</v>
      </c>
      <c r="Q7" s="7" t="s">
        <v>22</v>
      </c>
      <c r="R7" s="7" t="s">
        <v>22</v>
      </c>
      <c r="S7" s="7" t="s">
        <v>22</v>
      </c>
      <c r="T7" s="7">
        <v>0.25</v>
      </c>
      <c r="U7" s="7">
        <v>0.25</v>
      </c>
      <c r="V7" s="7">
        <v>0.25</v>
      </c>
      <c r="W7" s="7">
        <v>0.25</v>
      </c>
      <c r="X7" s="7" t="s">
        <v>22</v>
      </c>
      <c r="Y7" s="7" t="s">
        <v>22</v>
      </c>
      <c r="Z7" s="7" t="s">
        <v>22</v>
      </c>
      <c r="AA7" s="7">
        <v>5.0999999999999996</v>
      </c>
      <c r="AB7" s="7">
        <v>15.9</v>
      </c>
      <c r="AC7" s="7">
        <v>1.8840000000000003</v>
      </c>
      <c r="AD7" s="7">
        <v>0.52549019607843139</v>
      </c>
      <c r="AE7" s="7">
        <v>0.52589285714285727</v>
      </c>
    </row>
    <row r="8" spans="1:31" x14ac:dyDescent="0.25">
      <c r="A8" s="8">
        <v>6</v>
      </c>
      <c r="B8" s="8">
        <v>3</v>
      </c>
      <c r="C8" s="7" t="s">
        <v>22</v>
      </c>
      <c r="D8" s="7" t="s">
        <v>22</v>
      </c>
      <c r="E8" s="7">
        <v>3.7</v>
      </c>
      <c r="F8" s="7">
        <v>3.35</v>
      </c>
      <c r="G8" s="7">
        <v>3.3</v>
      </c>
      <c r="H8" s="7" t="s">
        <v>22</v>
      </c>
      <c r="I8" s="7" t="s">
        <v>22</v>
      </c>
      <c r="J8" s="7" t="s">
        <v>22</v>
      </c>
      <c r="K8" s="7" t="s">
        <v>22</v>
      </c>
      <c r="L8" s="7" t="s">
        <v>22</v>
      </c>
      <c r="M8" s="7">
        <v>0.3</v>
      </c>
      <c r="N8" s="7">
        <v>0.3</v>
      </c>
      <c r="O8" s="7">
        <v>0.3</v>
      </c>
      <c r="P8" s="7" t="s">
        <v>22</v>
      </c>
      <c r="Q8" s="7" t="s">
        <v>22</v>
      </c>
      <c r="R8" s="7" t="s">
        <v>22</v>
      </c>
      <c r="S8" s="7" t="s">
        <v>22</v>
      </c>
      <c r="T8" s="7">
        <v>0.3</v>
      </c>
      <c r="U8" s="7">
        <v>0.3</v>
      </c>
      <c r="V8" s="7">
        <v>0.3</v>
      </c>
      <c r="W8" s="7" t="s">
        <v>22</v>
      </c>
      <c r="X8" s="7" t="s">
        <v>22</v>
      </c>
      <c r="Y8" s="7" t="s">
        <v>22</v>
      </c>
      <c r="Z8" s="7" t="s">
        <v>22</v>
      </c>
      <c r="AA8" s="7">
        <v>4.1500000000000004</v>
      </c>
      <c r="AB8" s="7">
        <v>12</v>
      </c>
      <c r="AC8" s="7">
        <v>1.8199999999999998</v>
      </c>
      <c r="AD8" s="7">
        <v>0.42465753424657537</v>
      </c>
      <c r="AE8" s="7">
        <v>0.68965517241379315</v>
      </c>
    </row>
    <row r="9" spans="1:31" x14ac:dyDescent="0.25">
      <c r="A9" s="8">
        <v>7</v>
      </c>
      <c r="B9" s="8">
        <v>3</v>
      </c>
      <c r="C9" s="7" t="s">
        <v>22</v>
      </c>
      <c r="D9" s="7" t="s">
        <v>22</v>
      </c>
      <c r="E9" s="7">
        <v>2.5</v>
      </c>
      <c r="F9" s="7">
        <v>3.6</v>
      </c>
      <c r="G9" s="7">
        <v>4</v>
      </c>
      <c r="H9" s="7" t="s">
        <v>22</v>
      </c>
      <c r="I9" s="7" t="s">
        <v>22</v>
      </c>
      <c r="J9" s="7" t="s">
        <v>22</v>
      </c>
      <c r="K9" s="7" t="s">
        <v>22</v>
      </c>
      <c r="L9" s="7" t="s">
        <v>22</v>
      </c>
      <c r="M9" s="7">
        <v>0.8</v>
      </c>
      <c r="N9" s="7">
        <v>0.6</v>
      </c>
      <c r="O9" s="7">
        <v>0.6</v>
      </c>
      <c r="P9" s="7" t="s">
        <v>22</v>
      </c>
      <c r="Q9" s="7" t="s">
        <v>22</v>
      </c>
      <c r="R9" s="7" t="s">
        <v>22</v>
      </c>
      <c r="S9" s="7" t="s">
        <v>22</v>
      </c>
      <c r="T9" s="7">
        <v>0.4</v>
      </c>
      <c r="U9" s="7">
        <v>0.4</v>
      </c>
      <c r="V9" s="7">
        <v>0.4</v>
      </c>
      <c r="W9" s="7" t="s">
        <v>22</v>
      </c>
      <c r="X9" s="7" t="s">
        <v>22</v>
      </c>
      <c r="Y9" s="7" t="s">
        <v>22</v>
      </c>
      <c r="Z9" s="7" t="s">
        <v>22</v>
      </c>
      <c r="AA9" s="7">
        <v>6.3</v>
      </c>
      <c r="AB9" s="7">
        <v>17.399999999999999</v>
      </c>
      <c r="AC9" s="7">
        <v>5.8</v>
      </c>
      <c r="AD9" s="7">
        <v>0.56470588235294117</v>
      </c>
      <c r="AE9" s="7">
        <v>0.56470588235294117</v>
      </c>
    </row>
    <row r="10" spans="1:31" x14ac:dyDescent="0.25">
      <c r="A10" s="8">
        <v>8</v>
      </c>
      <c r="B10" s="8">
        <v>4</v>
      </c>
      <c r="C10" s="7" t="s">
        <v>22</v>
      </c>
      <c r="D10" s="7" t="s">
        <v>22</v>
      </c>
      <c r="E10" s="7">
        <v>3.5</v>
      </c>
      <c r="F10" s="7">
        <v>3</v>
      </c>
      <c r="G10" s="7">
        <v>3</v>
      </c>
      <c r="H10" s="7">
        <v>3.3</v>
      </c>
      <c r="I10" s="7" t="s">
        <v>22</v>
      </c>
      <c r="J10" s="7" t="s">
        <v>22</v>
      </c>
      <c r="K10" s="7" t="s">
        <v>22</v>
      </c>
      <c r="L10" s="7" t="s">
        <v>22</v>
      </c>
      <c r="M10" s="7">
        <v>0.75</v>
      </c>
      <c r="N10" s="7">
        <v>0.75</v>
      </c>
      <c r="O10" s="7">
        <v>0.6</v>
      </c>
      <c r="P10" s="7">
        <v>0.35</v>
      </c>
      <c r="Q10" s="7" t="s">
        <v>22</v>
      </c>
      <c r="R10" s="7" t="s">
        <v>22</v>
      </c>
      <c r="S10" s="7" t="s">
        <v>22</v>
      </c>
      <c r="T10" s="7">
        <v>0.7</v>
      </c>
      <c r="U10" s="7">
        <v>0.6</v>
      </c>
      <c r="V10" s="7">
        <v>0.3</v>
      </c>
      <c r="W10" s="7">
        <v>0.3</v>
      </c>
      <c r="X10" s="7" t="s">
        <v>22</v>
      </c>
      <c r="Y10" s="7" t="s">
        <v>22</v>
      </c>
      <c r="Z10" s="7" t="s">
        <v>22</v>
      </c>
      <c r="AA10" s="7">
        <v>5.8</v>
      </c>
      <c r="AB10" s="7">
        <v>14.8</v>
      </c>
      <c r="AC10" s="7">
        <v>9.1</v>
      </c>
      <c r="AD10" s="7">
        <v>0.27361702127659571</v>
      </c>
      <c r="AE10" s="7">
        <v>0.27361702127659571</v>
      </c>
    </row>
    <row r="11" spans="1:31" x14ac:dyDescent="0.25">
      <c r="A11" s="8">
        <v>9</v>
      </c>
      <c r="B11" s="8">
        <v>2</v>
      </c>
      <c r="C11" s="7" t="s">
        <v>22</v>
      </c>
      <c r="D11" s="7" t="s">
        <v>22</v>
      </c>
      <c r="E11" s="7">
        <v>3.65</v>
      </c>
      <c r="F11" s="7">
        <v>3.2</v>
      </c>
      <c r="G11" s="7">
        <v>3</v>
      </c>
      <c r="H11" s="7" t="s">
        <v>22</v>
      </c>
      <c r="I11" s="7" t="s">
        <v>22</v>
      </c>
      <c r="J11" s="7" t="s">
        <v>22</v>
      </c>
      <c r="K11" s="7" t="s">
        <v>22</v>
      </c>
      <c r="L11" s="7" t="s">
        <v>22</v>
      </c>
      <c r="M11" s="7">
        <v>0.6</v>
      </c>
      <c r="N11" s="7">
        <v>0.6</v>
      </c>
      <c r="O11" s="7">
        <v>0.55000000000000004</v>
      </c>
      <c r="P11" s="7" t="s">
        <v>22</v>
      </c>
      <c r="Q11" s="7" t="s">
        <v>22</v>
      </c>
      <c r="R11" s="7" t="s">
        <v>22</v>
      </c>
      <c r="S11" s="7" t="s">
        <v>22</v>
      </c>
      <c r="T11" s="7">
        <v>0.4</v>
      </c>
      <c r="U11" s="7">
        <v>0.4</v>
      </c>
      <c r="V11" s="7">
        <v>0.3</v>
      </c>
      <c r="W11" s="7" t="s">
        <v>22</v>
      </c>
      <c r="X11" s="7" t="s">
        <v>22</v>
      </c>
      <c r="Y11" s="7" t="s">
        <v>22</v>
      </c>
      <c r="Z11" s="7" t="s">
        <v>22</v>
      </c>
      <c r="AA11" s="7">
        <v>8.1</v>
      </c>
      <c r="AB11" s="7">
        <v>16.5</v>
      </c>
      <c r="AC11" s="7">
        <v>10.98</v>
      </c>
      <c r="AD11" s="7">
        <v>0.51369863013698636</v>
      </c>
      <c r="AE11" s="7">
        <v>0.66055045871559637</v>
      </c>
    </row>
    <row r="12" spans="1:31" x14ac:dyDescent="0.25">
      <c r="A12" s="8">
        <v>10</v>
      </c>
      <c r="B12" s="9">
        <v>6</v>
      </c>
      <c r="C12" s="7" t="s">
        <v>22</v>
      </c>
      <c r="D12" s="7" t="s">
        <v>22</v>
      </c>
      <c r="E12" s="7">
        <v>4</v>
      </c>
      <c r="F12" s="7">
        <v>3.6</v>
      </c>
      <c r="G12" s="7">
        <v>3.6</v>
      </c>
      <c r="H12" s="7">
        <v>3.6</v>
      </c>
      <c r="I12" s="7">
        <v>3.6</v>
      </c>
      <c r="J12" s="7">
        <v>3</v>
      </c>
      <c r="K12" s="7" t="s">
        <v>22</v>
      </c>
      <c r="L12" s="7" t="s">
        <v>22</v>
      </c>
      <c r="M12" s="7">
        <v>0.6</v>
      </c>
      <c r="N12" s="7">
        <v>0.6</v>
      </c>
      <c r="O12" s="7">
        <v>0.6</v>
      </c>
      <c r="P12" s="7">
        <v>0.6</v>
      </c>
      <c r="Q12" s="7">
        <v>0.6</v>
      </c>
      <c r="R12" s="7">
        <v>0.6</v>
      </c>
      <c r="S12" s="7" t="s">
        <v>22</v>
      </c>
      <c r="T12" s="7">
        <v>0.4</v>
      </c>
      <c r="U12" s="7">
        <v>0.4</v>
      </c>
      <c r="V12" s="7">
        <v>0.4</v>
      </c>
      <c r="W12" s="7">
        <v>0.4</v>
      </c>
      <c r="X12" s="7">
        <v>0.4</v>
      </c>
      <c r="Y12" s="7">
        <v>0.4</v>
      </c>
      <c r="Z12" s="7" t="s">
        <v>22</v>
      </c>
      <c r="AA12" s="7">
        <v>5.3</v>
      </c>
      <c r="AB12" s="7">
        <v>13</v>
      </c>
      <c r="AC12" s="7">
        <v>10.45</v>
      </c>
      <c r="AD12" s="7">
        <v>0.57361623616236157</v>
      </c>
      <c r="AE12" s="7">
        <v>0.5207423580786027</v>
      </c>
    </row>
    <row r="13" spans="1:31" x14ac:dyDescent="0.25">
      <c r="A13" s="8">
        <v>11</v>
      </c>
      <c r="B13" s="8">
        <v>4</v>
      </c>
      <c r="C13" s="7" t="s">
        <v>22</v>
      </c>
      <c r="D13" s="7" t="s">
        <v>22</v>
      </c>
      <c r="E13" s="7">
        <v>4.2</v>
      </c>
      <c r="F13" s="7">
        <v>3.8</v>
      </c>
      <c r="G13" s="7">
        <v>3.8</v>
      </c>
      <c r="H13" s="7">
        <v>3.8</v>
      </c>
      <c r="I13" s="7" t="s">
        <v>22</v>
      </c>
      <c r="J13" s="7" t="s">
        <v>22</v>
      </c>
      <c r="K13" s="7" t="s">
        <v>22</v>
      </c>
      <c r="L13" s="7" t="s">
        <v>22</v>
      </c>
      <c r="M13" s="7">
        <v>0.6</v>
      </c>
      <c r="N13" s="7">
        <v>0.6</v>
      </c>
      <c r="O13" s="7">
        <v>0.6</v>
      </c>
      <c r="P13" s="7">
        <v>0.6</v>
      </c>
      <c r="Q13" s="7" t="s">
        <v>22</v>
      </c>
      <c r="R13" s="7" t="s">
        <v>22</v>
      </c>
      <c r="S13" s="7" t="s">
        <v>22</v>
      </c>
      <c r="T13" s="7">
        <v>0.5</v>
      </c>
      <c r="U13" s="7">
        <v>0.4</v>
      </c>
      <c r="V13" s="7">
        <v>0.4</v>
      </c>
      <c r="W13" s="7">
        <v>0.3</v>
      </c>
      <c r="X13" s="7" t="s">
        <v>22</v>
      </c>
      <c r="Y13" s="7" t="s">
        <v>22</v>
      </c>
      <c r="Z13" s="7" t="s">
        <v>22</v>
      </c>
      <c r="AA13" s="7">
        <v>8.1999999999999993</v>
      </c>
      <c r="AB13" s="7">
        <v>20</v>
      </c>
      <c r="AC13" s="7">
        <v>8.370000000000001</v>
      </c>
      <c r="AD13" s="7">
        <v>0.53999999999999992</v>
      </c>
      <c r="AE13" s="7">
        <v>0.56373626373626373</v>
      </c>
    </row>
    <row r="14" spans="1:31" x14ac:dyDescent="0.25">
      <c r="A14" s="8">
        <v>12</v>
      </c>
      <c r="B14" s="8">
        <v>3</v>
      </c>
      <c r="C14" s="7" t="s">
        <v>22</v>
      </c>
      <c r="D14" s="7" t="s">
        <v>22</v>
      </c>
      <c r="E14" s="7">
        <v>3.05</v>
      </c>
      <c r="F14" s="7">
        <v>2.4</v>
      </c>
      <c r="G14" s="7">
        <v>2.8</v>
      </c>
      <c r="H14" s="7">
        <v>3</v>
      </c>
      <c r="I14" s="7" t="s">
        <v>22</v>
      </c>
      <c r="J14" s="7" t="s">
        <v>22</v>
      </c>
      <c r="K14" s="7" t="s">
        <v>22</v>
      </c>
      <c r="L14" s="7" t="s">
        <v>22</v>
      </c>
      <c r="M14" s="7">
        <v>0.55000000000000004</v>
      </c>
      <c r="N14" s="7">
        <v>0.55000000000000004</v>
      </c>
      <c r="O14" s="7">
        <v>0.55000000000000004</v>
      </c>
      <c r="P14" s="7">
        <v>0.55000000000000004</v>
      </c>
      <c r="Q14" s="7" t="s">
        <v>22</v>
      </c>
      <c r="R14" s="7" t="s">
        <v>22</v>
      </c>
      <c r="S14" s="7" t="s">
        <v>22</v>
      </c>
      <c r="T14" s="7">
        <v>0.6</v>
      </c>
      <c r="U14" s="7">
        <v>0.55000000000000004</v>
      </c>
      <c r="V14" s="7">
        <v>0.3</v>
      </c>
      <c r="W14" s="7">
        <v>0.3</v>
      </c>
      <c r="X14" s="7" t="s">
        <v>22</v>
      </c>
      <c r="Y14" s="7" t="s">
        <v>22</v>
      </c>
      <c r="Z14" s="7" t="s">
        <v>22</v>
      </c>
      <c r="AA14" s="7">
        <v>5.1100000000000003</v>
      </c>
      <c r="AB14" s="7">
        <v>14.5</v>
      </c>
      <c r="AC14" s="7">
        <v>2.35</v>
      </c>
      <c r="AD14" s="7">
        <v>0.33684210526315789</v>
      </c>
      <c r="AE14" s="7">
        <v>0.50666666666666671</v>
      </c>
    </row>
    <row r="15" spans="1:31" x14ac:dyDescent="0.25">
      <c r="A15" s="8">
        <v>13</v>
      </c>
      <c r="B15" s="8">
        <v>4</v>
      </c>
      <c r="C15" s="7" t="s">
        <v>22</v>
      </c>
      <c r="D15" s="7" t="s">
        <v>22</v>
      </c>
      <c r="E15" s="7">
        <v>3.6</v>
      </c>
      <c r="F15" s="7">
        <v>3.8</v>
      </c>
      <c r="G15" s="7">
        <v>3.2</v>
      </c>
      <c r="H15" s="7" t="s">
        <v>22</v>
      </c>
      <c r="I15" s="7" t="s">
        <v>22</v>
      </c>
      <c r="J15" s="7" t="s">
        <v>22</v>
      </c>
      <c r="K15" s="7" t="s">
        <v>22</v>
      </c>
      <c r="L15" s="7" t="s">
        <v>22</v>
      </c>
      <c r="M15" s="7">
        <v>0.55000000000000004</v>
      </c>
      <c r="N15" s="7">
        <v>0.55000000000000004</v>
      </c>
      <c r="O15" s="7">
        <v>0.55000000000000004</v>
      </c>
      <c r="P15" s="7" t="s">
        <v>22</v>
      </c>
      <c r="Q15" s="7" t="s">
        <v>22</v>
      </c>
      <c r="R15" s="7" t="s">
        <v>22</v>
      </c>
      <c r="S15" s="7" t="s">
        <v>22</v>
      </c>
      <c r="T15" s="7">
        <v>0.5</v>
      </c>
      <c r="U15" s="7">
        <v>0.4</v>
      </c>
      <c r="V15" s="7">
        <v>0.4</v>
      </c>
      <c r="W15" s="7" t="s">
        <v>22</v>
      </c>
      <c r="X15" s="7" t="s">
        <v>22</v>
      </c>
      <c r="Y15" s="7" t="s">
        <v>22</v>
      </c>
      <c r="Z15" s="7" t="s">
        <v>22</v>
      </c>
      <c r="AA15" s="7">
        <v>6.7</v>
      </c>
      <c r="AB15" s="7">
        <v>17.399999999999999</v>
      </c>
      <c r="AC15" s="7">
        <v>11.830000000000002</v>
      </c>
      <c r="AD15" s="7">
        <v>0.33138401559454195</v>
      </c>
      <c r="AE15" s="7">
        <v>0.63346774193548394</v>
      </c>
    </row>
    <row r="16" spans="1:31" x14ac:dyDescent="0.25">
      <c r="A16" s="8">
        <v>14</v>
      </c>
      <c r="B16" s="8">
        <v>4</v>
      </c>
      <c r="C16" s="7" t="s">
        <v>22</v>
      </c>
      <c r="D16" s="7" t="s">
        <v>22</v>
      </c>
      <c r="E16" s="7">
        <v>3</v>
      </c>
      <c r="F16" s="7">
        <v>3.3</v>
      </c>
      <c r="G16" s="7">
        <v>3.6</v>
      </c>
      <c r="H16" s="7">
        <v>2.4</v>
      </c>
      <c r="I16" s="7" t="s">
        <v>22</v>
      </c>
      <c r="J16" s="7" t="s">
        <v>22</v>
      </c>
      <c r="K16" s="7" t="s">
        <v>22</v>
      </c>
      <c r="L16" s="7" t="s">
        <v>22</v>
      </c>
      <c r="M16" s="7">
        <v>0.45</v>
      </c>
      <c r="N16" s="7">
        <v>0.45</v>
      </c>
      <c r="O16" s="7">
        <v>0.45</v>
      </c>
      <c r="P16" s="7">
        <v>0.45</v>
      </c>
      <c r="Q16" s="7" t="s">
        <v>22</v>
      </c>
      <c r="R16" s="7" t="s">
        <v>22</v>
      </c>
      <c r="S16" s="7" t="s">
        <v>22</v>
      </c>
      <c r="T16" s="7">
        <v>0.35</v>
      </c>
      <c r="U16" s="7">
        <v>0.35</v>
      </c>
      <c r="V16" s="7">
        <v>0.35</v>
      </c>
      <c r="W16" s="7">
        <v>0.35</v>
      </c>
      <c r="X16" s="7" t="s">
        <v>22</v>
      </c>
      <c r="Y16" s="7" t="s">
        <v>22</v>
      </c>
      <c r="Z16" s="7" t="s">
        <v>22</v>
      </c>
      <c r="AA16" s="7">
        <v>6</v>
      </c>
      <c r="AB16" s="7">
        <v>16.8</v>
      </c>
      <c r="AC16" s="7">
        <v>9.879999999999999</v>
      </c>
      <c r="AD16" s="7">
        <v>0.3603603603603604</v>
      </c>
      <c r="AE16" s="7">
        <v>0.44</v>
      </c>
    </row>
    <row r="17" spans="1:31" x14ac:dyDescent="0.25">
      <c r="A17" s="8">
        <v>15</v>
      </c>
      <c r="B17" s="8">
        <v>4</v>
      </c>
      <c r="C17" s="7" t="s">
        <v>22</v>
      </c>
      <c r="D17" s="7" t="s">
        <v>22</v>
      </c>
      <c r="E17" s="7">
        <v>4.3</v>
      </c>
      <c r="F17" s="7">
        <v>3.5</v>
      </c>
      <c r="G17" s="7">
        <v>3.5</v>
      </c>
      <c r="H17" s="7">
        <v>3.5</v>
      </c>
      <c r="I17" s="7" t="s">
        <v>22</v>
      </c>
      <c r="J17" s="7" t="s">
        <v>22</v>
      </c>
      <c r="K17" s="7" t="s">
        <v>22</v>
      </c>
      <c r="L17" s="7" t="s">
        <v>22</v>
      </c>
      <c r="M17" s="7">
        <v>0.65</v>
      </c>
      <c r="N17" s="7">
        <v>0.65</v>
      </c>
      <c r="O17" s="7">
        <v>0.65</v>
      </c>
      <c r="P17" s="7">
        <v>0.65</v>
      </c>
      <c r="Q17" s="7" t="s">
        <v>22</v>
      </c>
      <c r="R17" s="7" t="s">
        <v>22</v>
      </c>
      <c r="S17" s="7" t="s">
        <v>22</v>
      </c>
      <c r="T17" s="7">
        <v>0.3</v>
      </c>
      <c r="U17" s="7">
        <v>0.3</v>
      </c>
      <c r="V17" s="7">
        <v>0.25</v>
      </c>
      <c r="W17" s="7">
        <v>0.25</v>
      </c>
      <c r="X17" s="7" t="s">
        <v>22</v>
      </c>
      <c r="Y17" s="7" t="s">
        <v>22</v>
      </c>
      <c r="Z17" s="7" t="s">
        <v>22</v>
      </c>
      <c r="AA17" s="7">
        <v>7.2</v>
      </c>
      <c r="AB17" s="7">
        <v>9.6</v>
      </c>
      <c r="AC17" s="7">
        <v>11.149999999999999</v>
      </c>
      <c r="AD17" s="7">
        <v>0.54214876033057857</v>
      </c>
      <c r="AE17" s="7">
        <v>0.53135313531353134</v>
      </c>
    </row>
    <row r="18" spans="1:31" x14ac:dyDescent="0.25">
      <c r="A18" s="8">
        <v>16</v>
      </c>
      <c r="B18" s="8">
        <v>4</v>
      </c>
      <c r="C18" s="7" t="s">
        <v>22</v>
      </c>
      <c r="D18" s="7" t="s">
        <v>22</v>
      </c>
      <c r="E18" s="7">
        <v>4.4000000000000004</v>
      </c>
      <c r="F18" s="7">
        <v>4</v>
      </c>
      <c r="G18" s="7">
        <v>3.4</v>
      </c>
      <c r="H18" s="7">
        <v>3.4</v>
      </c>
      <c r="I18" s="7" t="s">
        <v>22</v>
      </c>
      <c r="J18" s="7" t="s">
        <v>22</v>
      </c>
      <c r="K18" s="7" t="s">
        <v>22</v>
      </c>
      <c r="L18" s="7" t="s">
        <v>22</v>
      </c>
      <c r="M18" s="7">
        <v>0.6</v>
      </c>
      <c r="N18" s="7">
        <v>0.6</v>
      </c>
      <c r="O18" s="7">
        <v>0.6</v>
      </c>
      <c r="P18" s="7">
        <v>0.6</v>
      </c>
      <c r="Q18" s="7" t="s">
        <v>22</v>
      </c>
      <c r="R18" s="7" t="s">
        <v>22</v>
      </c>
      <c r="S18" s="7" t="s">
        <v>22</v>
      </c>
      <c r="T18" s="7">
        <v>0.5</v>
      </c>
      <c r="U18" s="7">
        <v>0.5</v>
      </c>
      <c r="V18" s="7">
        <v>0.4</v>
      </c>
      <c r="W18" s="7">
        <v>0.4</v>
      </c>
      <c r="X18" s="7" t="s">
        <v>22</v>
      </c>
      <c r="Y18" s="7" t="s">
        <v>22</v>
      </c>
      <c r="Z18" s="7" t="s">
        <v>22</v>
      </c>
      <c r="AA18" s="7">
        <v>6.2</v>
      </c>
      <c r="AB18" s="7">
        <v>21</v>
      </c>
      <c r="AC18" s="7">
        <v>9.5200000000000014</v>
      </c>
      <c r="AD18" s="7">
        <v>0.45859872611464964</v>
      </c>
      <c r="AE18" s="7">
        <v>0.52389078498293518</v>
      </c>
    </row>
    <row r="19" spans="1:31" x14ac:dyDescent="0.25">
      <c r="A19" s="8">
        <v>17</v>
      </c>
      <c r="B19" s="8">
        <v>3</v>
      </c>
      <c r="C19" s="7" t="s">
        <v>22</v>
      </c>
      <c r="D19" s="7" t="s">
        <v>22</v>
      </c>
      <c r="E19" s="7">
        <v>4</v>
      </c>
      <c r="F19" s="7">
        <v>4</v>
      </c>
      <c r="G19" s="7">
        <v>4</v>
      </c>
      <c r="H19" s="7" t="s">
        <v>22</v>
      </c>
      <c r="I19" s="7" t="s">
        <v>22</v>
      </c>
      <c r="J19" s="7" t="s">
        <v>22</v>
      </c>
      <c r="K19" s="7" t="s">
        <v>22</v>
      </c>
      <c r="L19" s="7" t="s">
        <v>22</v>
      </c>
      <c r="M19" s="7">
        <v>0.3</v>
      </c>
      <c r="N19" s="7">
        <v>0.3</v>
      </c>
      <c r="O19" s="7">
        <v>0.3</v>
      </c>
      <c r="P19" s="7" t="s">
        <v>22</v>
      </c>
      <c r="Q19" s="7" t="s">
        <v>22</v>
      </c>
      <c r="R19" s="7" t="s">
        <v>22</v>
      </c>
      <c r="S19" s="7" t="s">
        <v>22</v>
      </c>
      <c r="T19" s="7">
        <v>0.3</v>
      </c>
      <c r="U19" s="7">
        <v>0.3</v>
      </c>
      <c r="V19" s="7">
        <v>0.3</v>
      </c>
      <c r="W19" s="7" t="s">
        <v>22</v>
      </c>
      <c r="X19" s="7" t="s">
        <v>22</v>
      </c>
      <c r="Y19" s="7" t="s">
        <v>22</v>
      </c>
      <c r="Z19" s="7" t="s">
        <v>22</v>
      </c>
      <c r="AA19" s="7">
        <v>8.6</v>
      </c>
      <c r="AB19" s="7">
        <v>16.399999999999999</v>
      </c>
      <c r="AC19" s="7">
        <v>8.2749999999999986</v>
      </c>
      <c r="AD19" s="7">
        <v>0.34873949579831937</v>
      </c>
      <c r="AE19" s="7">
        <v>0.72055166176803076</v>
      </c>
    </row>
    <row r="20" spans="1:31" x14ac:dyDescent="0.25">
      <c r="A20" s="8">
        <v>18</v>
      </c>
      <c r="B20" s="8">
        <v>3</v>
      </c>
      <c r="C20" s="7" t="s">
        <v>22</v>
      </c>
      <c r="D20" s="7" t="s">
        <v>22</v>
      </c>
      <c r="E20" s="7">
        <v>3.6</v>
      </c>
      <c r="F20" s="7">
        <v>3.6</v>
      </c>
      <c r="G20" s="7">
        <v>3</v>
      </c>
      <c r="H20" s="7" t="s">
        <v>22</v>
      </c>
      <c r="I20" s="7" t="s">
        <v>22</v>
      </c>
      <c r="J20" s="7" t="s">
        <v>22</v>
      </c>
      <c r="K20" s="7" t="s">
        <v>22</v>
      </c>
      <c r="L20" s="7" t="s">
        <v>22</v>
      </c>
      <c r="M20" s="7">
        <v>0.6</v>
      </c>
      <c r="N20" s="7">
        <v>0.6</v>
      </c>
      <c r="O20" s="7">
        <v>0.35</v>
      </c>
      <c r="P20" s="7" t="s">
        <v>22</v>
      </c>
      <c r="Q20" s="7" t="s">
        <v>22</v>
      </c>
      <c r="R20" s="7" t="s">
        <v>22</v>
      </c>
      <c r="S20" s="7" t="s">
        <v>22</v>
      </c>
      <c r="T20" s="7">
        <v>0.3</v>
      </c>
      <c r="U20" s="7">
        <v>0.3</v>
      </c>
      <c r="V20" s="7">
        <v>0.3</v>
      </c>
      <c r="W20" s="7" t="s">
        <v>22</v>
      </c>
      <c r="X20" s="7" t="s">
        <v>22</v>
      </c>
      <c r="Y20" s="7" t="s">
        <v>22</v>
      </c>
      <c r="Z20" s="7" t="s">
        <v>22</v>
      </c>
      <c r="AA20" s="7">
        <v>4.5</v>
      </c>
      <c r="AB20" s="7">
        <v>16.8</v>
      </c>
      <c r="AC20" s="7">
        <v>4.5</v>
      </c>
      <c r="AD20" s="7">
        <v>0.42905982905982903</v>
      </c>
      <c r="AE20" s="7">
        <v>0.69879518072289148</v>
      </c>
    </row>
    <row r="21" spans="1:31" x14ac:dyDescent="0.25">
      <c r="A21" s="8">
        <v>19</v>
      </c>
      <c r="B21" s="8">
        <v>3</v>
      </c>
      <c r="C21" s="7" t="s">
        <v>22</v>
      </c>
      <c r="D21" s="7" t="s">
        <v>22</v>
      </c>
      <c r="E21" s="7">
        <v>4</v>
      </c>
      <c r="F21" s="7">
        <v>3</v>
      </c>
      <c r="G21" s="7">
        <v>3.2</v>
      </c>
      <c r="H21" s="7" t="s">
        <v>22</v>
      </c>
      <c r="I21" s="7" t="s">
        <v>22</v>
      </c>
      <c r="J21" s="7" t="s">
        <v>22</v>
      </c>
      <c r="K21" s="7" t="s">
        <v>22</v>
      </c>
      <c r="L21" s="7" t="s">
        <v>22</v>
      </c>
      <c r="M21" s="7">
        <v>0.6</v>
      </c>
      <c r="N21" s="7">
        <v>0.6</v>
      </c>
      <c r="O21" s="7">
        <v>0.6</v>
      </c>
      <c r="P21" s="7" t="s">
        <v>22</v>
      </c>
      <c r="Q21" s="7" t="s">
        <v>22</v>
      </c>
      <c r="R21" s="7" t="s">
        <v>22</v>
      </c>
      <c r="S21" s="7" t="s">
        <v>22</v>
      </c>
      <c r="T21" s="7">
        <v>0.25</v>
      </c>
      <c r="U21" s="7">
        <v>0.25</v>
      </c>
      <c r="V21" s="7">
        <v>0.25</v>
      </c>
      <c r="W21" s="7" t="s">
        <v>22</v>
      </c>
      <c r="X21" s="7" t="s">
        <v>22</v>
      </c>
      <c r="Y21" s="7" t="s">
        <v>22</v>
      </c>
      <c r="Z21" s="7" t="s">
        <v>22</v>
      </c>
      <c r="AA21" s="7">
        <v>6.2</v>
      </c>
      <c r="AB21" s="7">
        <v>21.4</v>
      </c>
      <c r="AC21" s="7">
        <v>8.58</v>
      </c>
      <c r="AD21" s="7">
        <v>0.44</v>
      </c>
      <c r="AE21" s="7">
        <v>0.52</v>
      </c>
    </row>
    <row r="22" spans="1:31" x14ac:dyDescent="0.25">
      <c r="A22" s="8">
        <v>20</v>
      </c>
      <c r="B22" s="8">
        <v>5</v>
      </c>
      <c r="C22" s="7" t="s">
        <v>22</v>
      </c>
      <c r="D22" s="7" t="s">
        <v>22</v>
      </c>
      <c r="E22" s="7">
        <v>3.5</v>
      </c>
      <c r="F22" s="7">
        <v>3.4</v>
      </c>
      <c r="G22" s="7">
        <v>3.4</v>
      </c>
      <c r="H22" s="7">
        <v>3.4</v>
      </c>
      <c r="I22" s="7">
        <v>3.4</v>
      </c>
      <c r="J22" s="7" t="s">
        <v>22</v>
      </c>
      <c r="K22" s="7" t="s">
        <v>22</v>
      </c>
      <c r="L22" s="7" t="s">
        <v>22</v>
      </c>
      <c r="M22" s="7">
        <v>0.6</v>
      </c>
      <c r="N22" s="7">
        <v>0.55000000000000004</v>
      </c>
      <c r="O22" s="7">
        <v>0.55000000000000004</v>
      </c>
      <c r="P22" s="7">
        <v>0.4</v>
      </c>
      <c r="Q22" s="7">
        <v>0.4</v>
      </c>
      <c r="R22" s="7">
        <v>0.3</v>
      </c>
      <c r="S22" s="7" t="s">
        <v>22</v>
      </c>
      <c r="T22" s="7">
        <v>0.3</v>
      </c>
      <c r="U22" s="7">
        <v>0.3</v>
      </c>
      <c r="V22" s="7">
        <v>0.3</v>
      </c>
      <c r="W22" s="7">
        <v>0.3</v>
      </c>
      <c r="X22" s="7">
        <v>0.3</v>
      </c>
      <c r="Y22" s="7">
        <v>0.3</v>
      </c>
      <c r="Z22" s="7" t="s">
        <v>22</v>
      </c>
      <c r="AA22" s="7">
        <v>5.6</v>
      </c>
      <c r="AB22" s="7">
        <v>20</v>
      </c>
      <c r="AC22" s="7">
        <v>12.780000000000001</v>
      </c>
      <c r="AD22" s="7">
        <v>0.48220973782771542</v>
      </c>
      <c r="AE22" s="7">
        <v>0.81195652173913047</v>
      </c>
    </row>
    <row r="23" spans="1:31" x14ac:dyDescent="0.25">
      <c r="A23" s="8">
        <v>21</v>
      </c>
      <c r="B23" s="8">
        <v>2</v>
      </c>
      <c r="C23" s="7" t="s">
        <v>22</v>
      </c>
      <c r="D23" s="7" t="s">
        <v>22</v>
      </c>
      <c r="E23" s="7">
        <v>3.5</v>
      </c>
      <c r="F23" s="7">
        <v>2.6</v>
      </c>
      <c r="G23" s="7" t="s">
        <v>22</v>
      </c>
      <c r="H23" s="7" t="s">
        <v>22</v>
      </c>
      <c r="I23" s="7" t="s">
        <v>22</v>
      </c>
      <c r="J23" s="7" t="s">
        <v>22</v>
      </c>
      <c r="K23" s="7" t="s">
        <v>22</v>
      </c>
      <c r="L23" s="7" t="s">
        <v>22</v>
      </c>
      <c r="M23" s="7">
        <v>0.3</v>
      </c>
      <c r="N23" s="7">
        <v>0.3</v>
      </c>
      <c r="O23" s="7" t="s">
        <v>22</v>
      </c>
      <c r="P23" s="7" t="s">
        <v>22</v>
      </c>
      <c r="Q23" s="7" t="s">
        <v>22</v>
      </c>
      <c r="R23" s="7" t="s">
        <v>22</v>
      </c>
      <c r="S23" s="7" t="s">
        <v>22</v>
      </c>
      <c r="T23" s="7">
        <v>0.35</v>
      </c>
      <c r="U23" s="7">
        <v>0.35</v>
      </c>
      <c r="V23" s="7" t="s">
        <v>22</v>
      </c>
      <c r="W23" s="7" t="s">
        <v>22</v>
      </c>
      <c r="X23" s="7" t="s">
        <v>22</v>
      </c>
      <c r="Y23" s="7" t="s">
        <v>22</v>
      </c>
      <c r="Z23" s="7" t="s">
        <v>22</v>
      </c>
      <c r="AA23" s="7">
        <v>6.15</v>
      </c>
      <c r="AB23" s="7">
        <v>11.5</v>
      </c>
      <c r="AC23" s="7">
        <v>2.57</v>
      </c>
      <c r="AD23" s="7">
        <v>0.26570915619389585</v>
      </c>
      <c r="AE23" s="7">
        <v>0.45017182130584193</v>
      </c>
    </row>
    <row r="24" spans="1:31" x14ac:dyDescent="0.25">
      <c r="A24" s="8">
        <v>22</v>
      </c>
      <c r="B24" s="8">
        <v>4</v>
      </c>
      <c r="C24" s="7" t="s">
        <v>22</v>
      </c>
      <c r="D24" s="7" t="s">
        <v>22</v>
      </c>
      <c r="E24" s="7">
        <v>3.2</v>
      </c>
      <c r="F24" s="7">
        <v>3.8</v>
      </c>
      <c r="G24" s="7">
        <v>3.2</v>
      </c>
      <c r="H24" s="7">
        <v>3</v>
      </c>
      <c r="I24" s="7" t="s">
        <v>22</v>
      </c>
      <c r="J24" s="7" t="s">
        <v>22</v>
      </c>
      <c r="K24" s="7" t="s">
        <v>22</v>
      </c>
      <c r="L24" s="7" t="s">
        <v>22</v>
      </c>
      <c r="M24" s="7">
        <v>0.4</v>
      </c>
      <c r="N24" s="7">
        <v>0.3</v>
      </c>
      <c r="O24" s="7">
        <v>0.3</v>
      </c>
      <c r="P24" s="7">
        <v>0.3</v>
      </c>
      <c r="Q24" s="7" t="s">
        <v>22</v>
      </c>
      <c r="R24" s="7" t="s">
        <v>22</v>
      </c>
      <c r="S24" s="7" t="s">
        <v>22</v>
      </c>
      <c r="T24" s="7">
        <v>0.3</v>
      </c>
      <c r="U24" s="7">
        <v>0.3</v>
      </c>
      <c r="V24" s="7">
        <v>0.3</v>
      </c>
      <c r="W24" s="7">
        <v>0.3</v>
      </c>
      <c r="X24" s="7" t="s">
        <v>22</v>
      </c>
      <c r="Y24" s="7" t="s">
        <v>22</v>
      </c>
      <c r="Z24" s="7" t="s">
        <v>22</v>
      </c>
      <c r="AA24" s="7">
        <v>5.7</v>
      </c>
      <c r="AB24" s="7">
        <v>25.2</v>
      </c>
      <c r="AC24" s="7">
        <v>15.530000000000001</v>
      </c>
      <c r="AD24" s="7">
        <v>0.63025210084033612</v>
      </c>
      <c r="AE24" s="7">
        <v>0.77459016393442626</v>
      </c>
    </row>
    <row r="25" spans="1:31" x14ac:dyDescent="0.25">
      <c r="A25" s="8">
        <v>23</v>
      </c>
      <c r="B25" s="8">
        <v>3</v>
      </c>
      <c r="C25" s="7" t="s">
        <v>22</v>
      </c>
      <c r="D25" s="7" t="s">
        <v>22</v>
      </c>
      <c r="E25" s="7">
        <v>3.2</v>
      </c>
      <c r="F25" s="7">
        <v>3.5</v>
      </c>
      <c r="G25" s="7">
        <v>3</v>
      </c>
      <c r="H25" s="7" t="s">
        <v>22</v>
      </c>
      <c r="I25" s="7" t="s">
        <v>22</v>
      </c>
      <c r="J25" s="7" t="s">
        <v>22</v>
      </c>
      <c r="K25" s="7" t="s">
        <v>22</v>
      </c>
      <c r="L25" s="7" t="s">
        <v>22</v>
      </c>
      <c r="M25" s="7">
        <v>0.6</v>
      </c>
      <c r="N25" s="7">
        <v>0.4</v>
      </c>
      <c r="O25" s="7">
        <v>0.4</v>
      </c>
      <c r="P25" s="7" t="s">
        <v>22</v>
      </c>
      <c r="Q25" s="7" t="s">
        <v>22</v>
      </c>
      <c r="R25" s="7" t="s">
        <v>22</v>
      </c>
      <c r="S25" s="7" t="s">
        <v>22</v>
      </c>
      <c r="T25" s="7">
        <v>0.25</v>
      </c>
      <c r="U25" s="7">
        <v>0.25</v>
      </c>
      <c r="V25" s="7">
        <v>0.25</v>
      </c>
      <c r="W25" s="7" t="s">
        <v>22</v>
      </c>
      <c r="X25" s="7" t="s">
        <v>22</v>
      </c>
      <c r="Y25" s="7" t="s">
        <v>22</v>
      </c>
      <c r="Z25" s="7" t="s">
        <v>22</v>
      </c>
      <c r="AA25" s="7">
        <v>5.5</v>
      </c>
      <c r="AB25" s="7">
        <v>13.1</v>
      </c>
      <c r="AC25" s="7">
        <v>9.1999999999999993</v>
      </c>
      <c r="AD25" s="7">
        <v>0.47058823529411764</v>
      </c>
      <c r="AE25" s="7">
        <v>0.79451371571072316</v>
      </c>
    </row>
    <row r="26" spans="1:31" x14ac:dyDescent="0.25">
      <c r="A26" s="8">
        <v>24</v>
      </c>
      <c r="B26" s="8">
        <v>4</v>
      </c>
      <c r="C26" s="7" t="s">
        <v>22</v>
      </c>
      <c r="D26" s="7" t="s">
        <v>22</v>
      </c>
      <c r="E26" s="7">
        <v>4</v>
      </c>
      <c r="F26" s="7">
        <v>4</v>
      </c>
      <c r="G26" s="7">
        <v>3.8</v>
      </c>
      <c r="H26" s="7">
        <v>3.3</v>
      </c>
      <c r="I26" s="7" t="s">
        <v>22</v>
      </c>
      <c r="J26" s="7" t="s">
        <v>22</v>
      </c>
      <c r="K26" s="7" t="s">
        <v>22</v>
      </c>
      <c r="L26" s="7" t="s">
        <v>22</v>
      </c>
      <c r="M26" s="7">
        <v>0.45</v>
      </c>
      <c r="N26" s="7">
        <v>0.45</v>
      </c>
      <c r="O26" s="7">
        <v>0.45</v>
      </c>
      <c r="P26" s="7">
        <v>0.45</v>
      </c>
      <c r="Q26" s="7" t="s">
        <v>22</v>
      </c>
      <c r="R26" s="7" t="s">
        <v>22</v>
      </c>
      <c r="S26" s="7" t="s">
        <v>22</v>
      </c>
      <c r="T26" s="7">
        <v>0.35</v>
      </c>
      <c r="U26" s="7">
        <v>0.35</v>
      </c>
      <c r="V26" s="7">
        <v>0.3</v>
      </c>
      <c r="W26" s="7">
        <v>0.3</v>
      </c>
      <c r="X26" s="7" t="s">
        <v>22</v>
      </c>
      <c r="Y26" s="7" t="s">
        <v>22</v>
      </c>
      <c r="Z26" s="7" t="s">
        <v>22</v>
      </c>
      <c r="AA26" s="7">
        <v>11</v>
      </c>
      <c r="AB26" s="7">
        <v>17</v>
      </c>
      <c r="AC26" s="7">
        <v>31.469999999999995</v>
      </c>
      <c r="AD26" s="7">
        <v>0.33709677419354839</v>
      </c>
      <c r="AE26" s="7">
        <v>0.36396396396396397</v>
      </c>
    </row>
    <row r="27" spans="1:31" x14ac:dyDescent="0.25">
      <c r="A27" s="8">
        <v>25</v>
      </c>
      <c r="B27" s="8">
        <v>6</v>
      </c>
      <c r="C27" s="7" t="s">
        <v>22</v>
      </c>
      <c r="D27" s="7" t="s">
        <v>22</v>
      </c>
      <c r="E27" s="7">
        <v>3.8</v>
      </c>
      <c r="F27" s="7">
        <v>3.2</v>
      </c>
      <c r="G27" s="7">
        <v>3.8</v>
      </c>
      <c r="H27" s="7">
        <v>3.8</v>
      </c>
      <c r="I27" s="7">
        <v>3.4</v>
      </c>
      <c r="J27" s="7">
        <v>3</v>
      </c>
      <c r="K27" s="7" t="s">
        <v>22</v>
      </c>
      <c r="L27" s="7" t="s">
        <v>22</v>
      </c>
      <c r="M27" s="7">
        <v>0.9</v>
      </c>
      <c r="N27" s="7">
        <v>0.8</v>
      </c>
      <c r="O27" s="7">
        <v>0.75</v>
      </c>
      <c r="P27" s="7">
        <v>0.75</v>
      </c>
      <c r="Q27" s="7">
        <v>0.6</v>
      </c>
      <c r="R27" s="7">
        <v>0.3</v>
      </c>
      <c r="S27" s="7" t="s">
        <v>22</v>
      </c>
      <c r="T27" s="7">
        <v>0.9</v>
      </c>
      <c r="U27" s="7">
        <v>0.45</v>
      </c>
      <c r="V27" s="7">
        <v>0.4</v>
      </c>
      <c r="W27" s="7">
        <v>0.4</v>
      </c>
      <c r="X27" s="7">
        <v>0.4</v>
      </c>
      <c r="Y27" s="7">
        <v>0.4</v>
      </c>
      <c r="Z27" s="7" t="s">
        <v>22</v>
      </c>
      <c r="AA27" s="7">
        <v>7.2</v>
      </c>
      <c r="AB27" s="7">
        <v>24</v>
      </c>
      <c r="AC27" s="7">
        <v>24.550000000000004</v>
      </c>
      <c r="AD27" s="7">
        <v>0.35819672131147545</v>
      </c>
      <c r="AE27" s="7">
        <v>0.65444084861560592</v>
      </c>
    </row>
    <row r="28" spans="1:31" x14ac:dyDescent="0.25">
      <c r="A28" s="8">
        <v>26</v>
      </c>
      <c r="B28" s="8">
        <v>4</v>
      </c>
      <c r="C28" s="7" t="s">
        <v>22</v>
      </c>
      <c r="D28" s="7" t="s">
        <v>22</v>
      </c>
      <c r="E28" s="7">
        <v>3.4</v>
      </c>
      <c r="F28" s="7">
        <v>3.4</v>
      </c>
      <c r="G28" s="7">
        <v>3.4</v>
      </c>
      <c r="H28" s="7">
        <v>3.4</v>
      </c>
      <c r="I28" s="7" t="s">
        <v>22</v>
      </c>
      <c r="J28" s="7" t="s">
        <v>22</v>
      </c>
      <c r="K28" s="7" t="s">
        <v>22</v>
      </c>
      <c r="L28" s="7" t="s">
        <v>22</v>
      </c>
      <c r="M28" s="7">
        <v>0.65</v>
      </c>
      <c r="N28" s="7">
        <v>0.65</v>
      </c>
      <c r="O28" s="7">
        <v>0.65</v>
      </c>
      <c r="P28" s="7">
        <v>0.45</v>
      </c>
      <c r="Q28" s="7" t="s">
        <v>22</v>
      </c>
      <c r="R28" s="7" t="s">
        <v>22</v>
      </c>
      <c r="S28" s="7" t="s">
        <v>22</v>
      </c>
      <c r="T28" s="7">
        <v>0.3</v>
      </c>
      <c r="U28" s="7">
        <v>0.3</v>
      </c>
      <c r="V28" s="7">
        <v>0.25</v>
      </c>
      <c r="W28" s="7">
        <v>0.25</v>
      </c>
      <c r="X28" s="7" t="s">
        <v>22</v>
      </c>
      <c r="Y28" s="7" t="s">
        <v>22</v>
      </c>
      <c r="Z28" s="7" t="s">
        <v>22</v>
      </c>
      <c r="AA28" s="7">
        <v>5.2</v>
      </c>
      <c r="AB28" s="7">
        <v>18.600000000000001</v>
      </c>
      <c r="AC28" s="7">
        <v>7.2000000000000011</v>
      </c>
      <c r="AD28" s="7">
        <v>0.66982248520710053</v>
      </c>
      <c r="AE28" s="7">
        <v>0.73</v>
      </c>
    </row>
    <row r="29" spans="1:31" x14ac:dyDescent="0.25">
      <c r="A29" s="8">
        <v>27</v>
      </c>
      <c r="B29" s="8">
        <v>4</v>
      </c>
      <c r="C29" s="7" t="s">
        <v>22</v>
      </c>
      <c r="D29" s="7" t="s">
        <v>22</v>
      </c>
      <c r="E29" s="7">
        <v>3.5</v>
      </c>
      <c r="F29" s="7">
        <v>3.4</v>
      </c>
      <c r="G29" s="7">
        <v>3.4</v>
      </c>
      <c r="H29" s="7">
        <v>3</v>
      </c>
      <c r="I29" s="7" t="s">
        <v>22</v>
      </c>
      <c r="J29" s="7" t="s">
        <v>22</v>
      </c>
      <c r="K29" s="7" t="s">
        <v>22</v>
      </c>
      <c r="L29" s="7" t="s">
        <v>22</v>
      </c>
      <c r="M29" s="7">
        <v>0.75</v>
      </c>
      <c r="N29" s="7">
        <v>0.75</v>
      </c>
      <c r="O29" s="7">
        <v>0.75</v>
      </c>
      <c r="P29" s="7">
        <v>0.4</v>
      </c>
      <c r="Q29" s="7" t="s">
        <v>22</v>
      </c>
      <c r="R29" s="7" t="s">
        <v>22</v>
      </c>
      <c r="S29" s="7" t="s">
        <v>22</v>
      </c>
      <c r="T29" s="7">
        <v>0.6</v>
      </c>
      <c r="U29" s="7">
        <v>0.4</v>
      </c>
      <c r="V29" s="7">
        <v>0.4</v>
      </c>
      <c r="W29" s="7">
        <v>0.4</v>
      </c>
      <c r="X29" s="7" t="s">
        <v>22</v>
      </c>
      <c r="Y29" s="7" t="s">
        <v>22</v>
      </c>
      <c r="Z29" s="7" t="s">
        <v>22</v>
      </c>
      <c r="AA29" s="7">
        <v>5.2</v>
      </c>
      <c r="AB29" s="7">
        <v>22</v>
      </c>
      <c r="AC29" s="7">
        <v>11.8475</v>
      </c>
      <c r="AD29" s="7">
        <v>0.57510729613733902</v>
      </c>
      <c r="AE29" s="7">
        <v>0.56818181818181812</v>
      </c>
    </row>
    <row r="30" spans="1:31" x14ac:dyDescent="0.25">
      <c r="A30" s="8">
        <v>28</v>
      </c>
      <c r="B30" s="8">
        <v>4</v>
      </c>
      <c r="C30" s="7" t="s">
        <v>22</v>
      </c>
      <c r="D30" s="7" t="s">
        <v>22</v>
      </c>
      <c r="E30" s="7">
        <v>2.7</v>
      </c>
      <c r="F30" s="7">
        <v>3</v>
      </c>
      <c r="G30" s="7">
        <v>3</v>
      </c>
      <c r="H30" s="7" t="s">
        <v>22</v>
      </c>
      <c r="I30" s="7" t="s">
        <v>22</v>
      </c>
      <c r="J30" s="7" t="s">
        <v>22</v>
      </c>
      <c r="K30" s="7" t="s">
        <v>22</v>
      </c>
      <c r="L30" s="7" t="s">
        <v>22</v>
      </c>
      <c r="M30" s="7">
        <v>0.65</v>
      </c>
      <c r="N30" s="7">
        <v>0.4</v>
      </c>
      <c r="O30" s="7">
        <v>0.4</v>
      </c>
      <c r="P30" s="7" t="s">
        <v>22</v>
      </c>
      <c r="Q30" s="7" t="s">
        <v>22</v>
      </c>
      <c r="R30" s="7" t="s">
        <v>22</v>
      </c>
      <c r="S30" s="7" t="s">
        <v>22</v>
      </c>
      <c r="T30" s="7">
        <v>0.4</v>
      </c>
      <c r="U30" s="7">
        <v>0.2</v>
      </c>
      <c r="V30" s="7">
        <v>0.2</v>
      </c>
      <c r="W30" s="7" t="s">
        <v>22</v>
      </c>
      <c r="X30" s="7" t="s">
        <v>22</v>
      </c>
      <c r="Y30" s="7" t="s">
        <v>22</v>
      </c>
      <c r="Z30" s="7" t="s">
        <v>22</v>
      </c>
      <c r="AA30" s="7">
        <v>4.7</v>
      </c>
      <c r="AB30" s="7">
        <v>14.4</v>
      </c>
      <c r="AC30" s="7">
        <v>6.8000000000000007</v>
      </c>
      <c r="AD30" s="7">
        <v>0.46</v>
      </c>
      <c r="AE30" s="7">
        <v>0.62</v>
      </c>
    </row>
    <row r="31" spans="1:31" x14ac:dyDescent="0.25">
      <c r="A31" s="8">
        <v>29</v>
      </c>
      <c r="B31" s="8">
        <v>5</v>
      </c>
      <c r="C31" s="7" t="s">
        <v>22</v>
      </c>
      <c r="D31" s="7" t="s">
        <v>22</v>
      </c>
      <c r="E31" s="7">
        <v>2.8</v>
      </c>
      <c r="F31" s="7">
        <v>3.3</v>
      </c>
      <c r="G31" s="7">
        <v>3.5</v>
      </c>
      <c r="H31" s="7">
        <v>3.5</v>
      </c>
      <c r="I31" s="7">
        <v>2.8</v>
      </c>
      <c r="J31" s="7" t="s">
        <v>22</v>
      </c>
      <c r="K31" s="7" t="s">
        <v>22</v>
      </c>
      <c r="L31" s="7" t="s">
        <v>22</v>
      </c>
      <c r="M31" s="7">
        <v>0.65</v>
      </c>
      <c r="N31" s="7">
        <v>0.65</v>
      </c>
      <c r="O31" s="7">
        <v>0.65</v>
      </c>
      <c r="P31" s="7">
        <v>0.65</v>
      </c>
      <c r="Q31" s="7">
        <v>0.4</v>
      </c>
      <c r="R31" s="7" t="s">
        <v>22</v>
      </c>
      <c r="S31" s="7" t="s">
        <v>22</v>
      </c>
      <c r="T31" s="7">
        <v>0.45</v>
      </c>
      <c r="U31" s="7">
        <v>0.4</v>
      </c>
      <c r="V31" s="7">
        <v>0.4</v>
      </c>
      <c r="W31" s="7">
        <v>0.35</v>
      </c>
      <c r="X31" s="7">
        <v>0.35</v>
      </c>
      <c r="Y31" s="7" t="s">
        <v>22</v>
      </c>
      <c r="Z31" s="7" t="s">
        <v>22</v>
      </c>
      <c r="AA31" s="7">
        <v>10.8</v>
      </c>
      <c r="AB31" s="7">
        <v>30</v>
      </c>
      <c r="AC31" s="7">
        <v>39.4</v>
      </c>
      <c r="AD31" s="7">
        <v>0.41717791411042943</v>
      </c>
      <c r="AE31" s="7">
        <v>0.54545454545454541</v>
      </c>
    </row>
    <row r="32" spans="1:31" x14ac:dyDescent="0.25">
      <c r="A32" s="8">
        <v>30</v>
      </c>
      <c r="B32" s="8">
        <v>3</v>
      </c>
      <c r="C32" s="7" t="s">
        <v>22</v>
      </c>
      <c r="D32" s="7" t="s">
        <v>22</v>
      </c>
      <c r="E32" s="7">
        <v>4.2</v>
      </c>
      <c r="F32" s="7">
        <v>4.2</v>
      </c>
      <c r="G32" s="7">
        <v>3.6</v>
      </c>
      <c r="H32" s="7" t="s">
        <v>22</v>
      </c>
      <c r="I32" s="7" t="s">
        <v>22</v>
      </c>
      <c r="J32" s="7" t="s">
        <v>22</v>
      </c>
      <c r="K32" s="7" t="s">
        <v>22</v>
      </c>
      <c r="L32" s="7" t="s">
        <v>22</v>
      </c>
      <c r="M32" s="7">
        <v>0.7</v>
      </c>
      <c r="N32" s="7">
        <v>0.65</v>
      </c>
      <c r="O32" s="7">
        <v>0.55000000000000004</v>
      </c>
      <c r="P32" s="7" t="s">
        <v>22</v>
      </c>
      <c r="Q32" s="7" t="s">
        <v>22</v>
      </c>
      <c r="R32" s="7" t="s">
        <v>22</v>
      </c>
      <c r="S32" s="7" t="s">
        <v>22</v>
      </c>
      <c r="T32" s="7">
        <v>0.4</v>
      </c>
      <c r="U32" s="7">
        <v>0.35</v>
      </c>
      <c r="V32" s="7">
        <v>0.35</v>
      </c>
      <c r="W32" s="7" t="s">
        <v>22</v>
      </c>
      <c r="X32" s="7" t="s">
        <v>22</v>
      </c>
      <c r="Y32" s="7" t="s">
        <v>22</v>
      </c>
      <c r="Z32" s="7" t="s">
        <v>22</v>
      </c>
      <c r="AA32" s="7">
        <v>6.8</v>
      </c>
      <c r="AB32" s="7">
        <v>23.3</v>
      </c>
      <c r="AC32" s="7">
        <v>12.4</v>
      </c>
      <c r="AD32" s="7">
        <v>0.4249541284403669</v>
      </c>
      <c r="AE32" s="7">
        <v>0.56587926509186348</v>
      </c>
    </row>
    <row r="33" spans="1:31" x14ac:dyDescent="0.25">
      <c r="A33" s="8">
        <v>31</v>
      </c>
      <c r="B33" s="8">
        <v>3</v>
      </c>
      <c r="C33" s="7" t="s">
        <v>22</v>
      </c>
      <c r="D33" s="7" t="s">
        <v>22</v>
      </c>
      <c r="E33" s="7">
        <v>3.6</v>
      </c>
      <c r="F33" s="7">
        <v>3.4</v>
      </c>
      <c r="G33" s="7">
        <v>3.4</v>
      </c>
      <c r="H33" s="7" t="s">
        <v>22</v>
      </c>
      <c r="I33" s="7" t="s">
        <v>22</v>
      </c>
      <c r="J33" s="7" t="s">
        <v>22</v>
      </c>
      <c r="K33" s="7" t="s">
        <v>22</v>
      </c>
      <c r="L33" s="7" t="s">
        <v>22</v>
      </c>
      <c r="M33" s="7">
        <v>0.5</v>
      </c>
      <c r="N33" s="7">
        <v>0.5</v>
      </c>
      <c r="O33" s="7">
        <v>0.2</v>
      </c>
      <c r="P33" s="7" t="s">
        <v>22</v>
      </c>
      <c r="Q33" s="7" t="s">
        <v>22</v>
      </c>
      <c r="R33" s="7" t="s">
        <v>22</v>
      </c>
      <c r="S33" s="7" t="s">
        <v>22</v>
      </c>
      <c r="T33" s="7">
        <v>0.2</v>
      </c>
      <c r="U33" s="7">
        <v>0.2</v>
      </c>
      <c r="V33" s="7">
        <v>0.2</v>
      </c>
      <c r="W33" s="7" t="s">
        <v>22</v>
      </c>
      <c r="X33" s="7" t="s">
        <v>22</v>
      </c>
      <c r="Y33" s="7" t="s">
        <v>22</v>
      </c>
      <c r="Z33" s="7" t="s">
        <v>22</v>
      </c>
      <c r="AA33" s="7">
        <v>6.5</v>
      </c>
      <c r="AB33" s="7">
        <v>18</v>
      </c>
      <c r="AC33" s="7">
        <v>9.7799999999999994</v>
      </c>
      <c r="AD33" s="7">
        <v>0.33411214953271035</v>
      </c>
      <c r="AE33" s="7">
        <v>0.73933649289099523</v>
      </c>
    </row>
    <row r="34" spans="1:31" x14ac:dyDescent="0.25">
      <c r="A34" s="8">
        <v>32</v>
      </c>
      <c r="B34" s="8">
        <v>3</v>
      </c>
      <c r="C34" s="7" t="s">
        <v>22</v>
      </c>
      <c r="D34" s="7">
        <v>2.6</v>
      </c>
      <c r="E34" s="7">
        <v>3.5</v>
      </c>
      <c r="F34" s="7">
        <v>3.5</v>
      </c>
      <c r="G34" s="7" t="s">
        <v>22</v>
      </c>
      <c r="H34" s="7" t="s">
        <v>22</v>
      </c>
      <c r="I34" s="7" t="s">
        <v>22</v>
      </c>
      <c r="J34" s="7" t="s">
        <v>22</v>
      </c>
      <c r="K34" s="7" t="s">
        <v>22</v>
      </c>
      <c r="L34" s="7" t="s">
        <v>22</v>
      </c>
      <c r="M34" s="7">
        <v>0.4</v>
      </c>
      <c r="N34" s="7">
        <v>0.4</v>
      </c>
      <c r="O34" s="7">
        <v>0.35</v>
      </c>
      <c r="P34" s="7" t="s">
        <v>22</v>
      </c>
      <c r="Q34" s="7" t="s">
        <v>22</v>
      </c>
      <c r="R34" s="7" t="s">
        <v>22</v>
      </c>
      <c r="S34" s="7" t="s">
        <v>22</v>
      </c>
      <c r="T34" s="7">
        <v>0.35</v>
      </c>
      <c r="U34" s="7">
        <v>0.35</v>
      </c>
      <c r="V34" s="7">
        <v>0.35</v>
      </c>
      <c r="W34" s="7" t="s">
        <v>22</v>
      </c>
      <c r="X34" s="7" t="s">
        <v>22</v>
      </c>
      <c r="Y34" s="7" t="s">
        <v>22</v>
      </c>
      <c r="Z34" s="7" t="s">
        <v>22</v>
      </c>
      <c r="AA34" s="7">
        <v>6.7</v>
      </c>
      <c r="AB34" s="7">
        <v>12</v>
      </c>
      <c r="AC34" s="7">
        <v>8.5</v>
      </c>
      <c r="AD34" s="7">
        <v>0.65777777777777779</v>
      </c>
      <c r="AE34" s="7">
        <v>0.65777777777777779</v>
      </c>
    </row>
    <row r="35" spans="1:31" x14ac:dyDescent="0.25">
      <c r="A35" s="8">
        <v>33</v>
      </c>
      <c r="B35" s="8">
        <v>3</v>
      </c>
      <c r="C35" s="7" t="s">
        <v>22</v>
      </c>
      <c r="D35" s="7">
        <v>3</v>
      </c>
      <c r="E35" s="7">
        <v>3.7</v>
      </c>
      <c r="F35" s="7">
        <v>3.6</v>
      </c>
      <c r="G35" s="7" t="s">
        <v>22</v>
      </c>
      <c r="H35" s="7" t="s">
        <v>22</v>
      </c>
      <c r="I35" s="7" t="s">
        <v>22</v>
      </c>
      <c r="J35" s="7" t="s">
        <v>22</v>
      </c>
      <c r="K35" s="7" t="s">
        <v>22</v>
      </c>
      <c r="L35" s="7" t="s">
        <v>22</v>
      </c>
      <c r="M35" s="7">
        <v>0.6</v>
      </c>
      <c r="N35" s="7">
        <v>0.6</v>
      </c>
      <c r="O35" s="7">
        <v>0.55000000000000004</v>
      </c>
      <c r="P35" s="7" t="s">
        <v>22</v>
      </c>
      <c r="Q35" s="7" t="s">
        <v>22</v>
      </c>
      <c r="R35" s="7" t="s">
        <v>22</v>
      </c>
      <c r="S35" s="7" t="s">
        <v>22</v>
      </c>
      <c r="T35" s="7">
        <v>0.35</v>
      </c>
      <c r="U35" s="7">
        <v>0.35</v>
      </c>
      <c r="V35" s="7">
        <v>0.35</v>
      </c>
      <c r="W35" s="7" t="s">
        <v>22</v>
      </c>
      <c r="X35" s="7" t="s">
        <v>22</v>
      </c>
      <c r="Y35" s="7" t="s">
        <v>22</v>
      </c>
      <c r="Z35" s="7" t="s">
        <v>22</v>
      </c>
      <c r="AA35" s="7">
        <v>6.3</v>
      </c>
      <c r="AB35" s="7">
        <v>16</v>
      </c>
      <c r="AC35" s="7">
        <v>12.4</v>
      </c>
      <c r="AD35" s="7">
        <v>0.45103857566765571</v>
      </c>
      <c r="AE35" s="7">
        <v>0.5714285714285714</v>
      </c>
    </row>
    <row r="36" spans="1:31" x14ac:dyDescent="0.25">
      <c r="A36" s="8">
        <v>34</v>
      </c>
      <c r="B36" s="8">
        <v>5</v>
      </c>
      <c r="C36" s="7" t="s">
        <v>22</v>
      </c>
      <c r="D36" s="7" t="s">
        <v>22</v>
      </c>
      <c r="E36" s="7">
        <v>3.3</v>
      </c>
      <c r="F36" s="7">
        <v>3.1</v>
      </c>
      <c r="G36" s="7">
        <v>3.1</v>
      </c>
      <c r="H36" s="7">
        <v>3.1</v>
      </c>
      <c r="I36" s="7">
        <v>2.8</v>
      </c>
      <c r="J36" s="7" t="s">
        <v>22</v>
      </c>
      <c r="K36" s="7" t="s">
        <v>22</v>
      </c>
      <c r="L36" s="7" t="s">
        <v>22</v>
      </c>
      <c r="M36" s="7">
        <v>0.6</v>
      </c>
      <c r="N36" s="7">
        <v>0.6</v>
      </c>
      <c r="O36" s="7">
        <v>0.6</v>
      </c>
      <c r="P36" s="7">
        <v>0.35</v>
      </c>
      <c r="Q36" s="7">
        <v>0.35</v>
      </c>
      <c r="R36" s="7" t="s">
        <v>22</v>
      </c>
      <c r="S36" s="7" t="s">
        <v>22</v>
      </c>
      <c r="T36" s="7">
        <v>0.8</v>
      </c>
      <c r="U36" s="7">
        <v>0.7</v>
      </c>
      <c r="V36" s="7">
        <v>0.6</v>
      </c>
      <c r="W36" s="7">
        <v>0.4</v>
      </c>
      <c r="X36" s="7">
        <v>0.3</v>
      </c>
      <c r="Y36" s="7">
        <v>0.3</v>
      </c>
      <c r="Z36" s="7" t="s">
        <v>22</v>
      </c>
      <c r="AA36" s="7">
        <v>6</v>
      </c>
      <c r="AB36" s="7">
        <v>10.6</v>
      </c>
      <c r="AC36" s="7">
        <v>7.1000000000000005</v>
      </c>
      <c r="AD36" s="7">
        <v>0.38600563753937989</v>
      </c>
      <c r="AE36" s="7">
        <v>0.55502392344497609</v>
      </c>
    </row>
    <row r="37" spans="1:31" x14ac:dyDescent="0.25">
      <c r="A37" s="8">
        <v>35</v>
      </c>
      <c r="B37" s="8">
        <v>4</v>
      </c>
      <c r="C37" s="7" t="s">
        <v>22</v>
      </c>
      <c r="D37" s="7" t="s">
        <v>22</v>
      </c>
      <c r="E37" s="7">
        <v>3.95</v>
      </c>
      <c r="F37" s="7">
        <v>3.7</v>
      </c>
      <c r="G37" s="7">
        <v>3.4</v>
      </c>
      <c r="H37" s="7">
        <v>3.4</v>
      </c>
      <c r="I37" s="7" t="s">
        <v>22</v>
      </c>
      <c r="J37" s="7" t="s">
        <v>22</v>
      </c>
      <c r="K37" s="7" t="s">
        <v>22</v>
      </c>
      <c r="L37" s="7" t="s">
        <v>22</v>
      </c>
      <c r="M37" s="7">
        <v>0.5</v>
      </c>
      <c r="N37" s="7">
        <v>0.5</v>
      </c>
      <c r="O37" s="7">
        <v>0.5</v>
      </c>
      <c r="P37" s="7">
        <v>0.5</v>
      </c>
      <c r="Q37" s="7" t="s">
        <v>22</v>
      </c>
      <c r="R37" s="7" t="s">
        <v>22</v>
      </c>
      <c r="S37" s="7" t="s">
        <v>22</v>
      </c>
      <c r="T37" s="7">
        <v>0.3</v>
      </c>
      <c r="U37" s="7">
        <v>0.3</v>
      </c>
      <c r="V37" s="7">
        <v>0.3</v>
      </c>
      <c r="W37" s="7">
        <v>0.3</v>
      </c>
      <c r="X37" s="7" t="s">
        <v>22</v>
      </c>
      <c r="Y37" s="7" t="s">
        <v>22</v>
      </c>
      <c r="Z37" s="7" t="s">
        <v>22</v>
      </c>
      <c r="AA37" s="7">
        <v>6.4</v>
      </c>
      <c r="AB37" s="7">
        <v>22</v>
      </c>
      <c r="AC37" s="7">
        <v>22.95</v>
      </c>
      <c r="AD37" s="7">
        <v>0.29657794676806082</v>
      </c>
      <c r="AE37" s="7">
        <v>0.30491803278688528</v>
      </c>
    </row>
    <row r="38" spans="1:31" x14ac:dyDescent="0.25">
      <c r="A38" s="8">
        <v>36</v>
      </c>
      <c r="B38" s="8">
        <v>2</v>
      </c>
      <c r="C38" s="7" t="s">
        <v>22</v>
      </c>
      <c r="D38" s="7" t="s">
        <v>22</v>
      </c>
      <c r="E38" s="7">
        <v>3.5</v>
      </c>
      <c r="F38" s="7">
        <v>4</v>
      </c>
      <c r="G38" s="7" t="s">
        <v>22</v>
      </c>
      <c r="H38" s="7" t="s">
        <v>22</v>
      </c>
      <c r="I38" s="7" t="s">
        <v>22</v>
      </c>
      <c r="J38" s="7" t="s">
        <v>22</v>
      </c>
      <c r="K38" s="7" t="s">
        <v>22</v>
      </c>
      <c r="L38" s="7" t="s">
        <v>22</v>
      </c>
      <c r="M38" s="7">
        <v>0.6</v>
      </c>
      <c r="N38" s="7">
        <v>0.5</v>
      </c>
      <c r="O38" s="7" t="s">
        <v>22</v>
      </c>
      <c r="P38" s="7" t="s">
        <v>22</v>
      </c>
      <c r="Q38" s="7" t="s">
        <v>22</v>
      </c>
      <c r="R38" s="7" t="s">
        <v>22</v>
      </c>
      <c r="S38" s="7" t="s">
        <v>22</v>
      </c>
      <c r="T38" s="7">
        <v>0.35</v>
      </c>
      <c r="U38" s="7">
        <v>0.35</v>
      </c>
      <c r="V38" s="7" t="s">
        <v>22</v>
      </c>
      <c r="W38" s="7" t="s">
        <v>22</v>
      </c>
      <c r="X38" s="7" t="s">
        <v>22</v>
      </c>
      <c r="Y38" s="7" t="s">
        <v>22</v>
      </c>
      <c r="Z38" s="7" t="s">
        <v>22</v>
      </c>
      <c r="AA38" s="7">
        <v>5.3</v>
      </c>
      <c r="AB38" s="7">
        <v>16.5</v>
      </c>
      <c r="AC38" s="7">
        <v>5.7750000000000004</v>
      </c>
      <c r="AD38" s="7">
        <v>0.32977099236641222</v>
      </c>
      <c r="AE38" s="7">
        <v>0.34763948497854075</v>
      </c>
    </row>
    <row r="39" spans="1:31" x14ac:dyDescent="0.25">
      <c r="A39" s="8">
        <v>37</v>
      </c>
      <c r="B39" s="8">
        <v>2</v>
      </c>
      <c r="C39" s="7" t="s">
        <v>22</v>
      </c>
      <c r="D39" s="7" t="s">
        <v>22</v>
      </c>
      <c r="E39" s="7">
        <v>3.6</v>
      </c>
      <c r="F39" s="7">
        <v>3</v>
      </c>
      <c r="G39" s="7" t="s">
        <v>22</v>
      </c>
      <c r="H39" s="7" t="s">
        <v>22</v>
      </c>
      <c r="I39" s="7" t="s">
        <v>22</v>
      </c>
      <c r="J39" s="7" t="s">
        <v>22</v>
      </c>
      <c r="K39" s="7" t="s">
        <v>22</v>
      </c>
      <c r="L39" s="7" t="s">
        <v>22</v>
      </c>
      <c r="M39" s="7">
        <v>0.4</v>
      </c>
      <c r="N39" s="7">
        <v>0.4</v>
      </c>
      <c r="O39" s="7" t="s">
        <v>22</v>
      </c>
      <c r="P39" s="7" t="s">
        <v>22</v>
      </c>
      <c r="Q39" s="7" t="s">
        <v>22</v>
      </c>
      <c r="R39" s="7" t="s">
        <v>22</v>
      </c>
      <c r="S39" s="7" t="s">
        <v>22</v>
      </c>
      <c r="T39" s="7">
        <v>0.35</v>
      </c>
      <c r="U39" s="7">
        <v>0.35</v>
      </c>
      <c r="V39" s="7" t="s">
        <v>22</v>
      </c>
      <c r="W39" s="7" t="s">
        <v>22</v>
      </c>
      <c r="X39" s="7" t="s">
        <v>22</v>
      </c>
      <c r="Y39" s="7" t="s">
        <v>22</v>
      </c>
      <c r="Z39" s="7" t="s">
        <v>22</v>
      </c>
      <c r="AA39" s="7">
        <v>5.8</v>
      </c>
      <c r="AB39" s="7">
        <v>13.5</v>
      </c>
      <c r="AC39" s="7">
        <v>6.5</v>
      </c>
      <c r="AD39" s="7">
        <v>0.41520467836257302</v>
      </c>
      <c r="AE39" s="7">
        <v>0.41818181818181821</v>
      </c>
    </row>
    <row r="40" spans="1:31" x14ac:dyDescent="0.25">
      <c r="A40" s="8">
        <v>38</v>
      </c>
      <c r="B40" s="8">
        <v>2</v>
      </c>
      <c r="C40" s="7" t="s">
        <v>22</v>
      </c>
      <c r="D40" s="7" t="s">
        <v>22</v>
      </c>
      <c r="E40" s="7">
        <v>2.8</v>
      </c>
      <c r="F40" s="7">
        <v>2.8</v>
      </c>
      <c r="G40" s="7">
        <v>2.8</v>
      </c>
      <c r="H40" s="7" t="s">
        <v>22</v>
      </c>
      <c r="I40" s="7" t="s">
        <v>22</v>
      </c>
      <c r="J40" s="7" t="s">
        <v>22</v>
      </c>
      <c r="K40" s="7" t="s">
        <v>22</v>
      </c>
      <c r="L40" s="7" t="s">
        <v>22</v>
      </c>
      <c r="M40" s="7">
        <v>0.8</v>
      </c>
      <c r="N40" s="7">
        <v>0.6</v>
      </c>
      <c r="O40" s="7">
        <v>0.6</v>
      </c>
      <c r="P40" s="7" t="s">
        <v>22</v>
      </c>
      <c r="Q40" s="7" t="s">
        <v>22</v>
      </c>
      <c r="R40" s="7" t="s">
        <v>22</v>
      </c>
      <c r="S40" s="7" t="s">
        <v>22</v>
      </c>
      <c r="T40" s="7">
        <v>0.25</v>
      </c>
      <c r="U40" s="7">
        <v>0.25</v>
      </c>
      <c r="V40" s="7" t="s">
        <v>22</v>
      </c>
      <c r="W40" s="7" t="s">
        <v>22</v>
      </c>
      <c r="X40" s="7" t="s">
        <v>22</v>
      </c>
      <c r="Y40" s="7" t="s">
        <v>22</v>
      </c>
      <c r="Z40" s="7" t="s">
        <v>22</v>
      </c>
      <c r="AA40" s="7">
        <v>5.8</v>
      </c>
      <c r="AB40" s="7">
        <v>7</v>
      </c>
      <c r="AC40" s="7">
        <v>5.0999999999999996</v>
      </c>
      <c r="AD40" s="7">
        <v>0.44</v>
      </c>
      <c r="AE40" s="7">
        <v>0.56000000000000005</v>
      </c>
    </row>
    <row r="41" spans="1:31" x14ac:dyDescent="0.25">
      <c r="A41" s="8">
        <v>39</v>
      </c>
      <c r="B41" s="8">
        <v>3</v>
      </c>
      <c r="C41" s="7" t="s">
        <v>22</v>
      </c>
      <c r="D41" s="7" t="s">
        <v>22</v>
      </c>
      <c r="E41" s="7">
        <v>3.7</v>
      </c>
      <c r="F41" s="7">
        <v>3.3</v>
      </c>
      <c r="G41" s="7">
        <v>3.3</v>
      </c>
      <c r="H41" s="7" t="s">
        <v>22</v>
      </c>
      <c r="I41" s="7" t="s">
        <v>22</v>
      </c>
      <c r="J41" s="7" t="s">
        <v>22</v>
      </c>
      <c r="K41" s="7" t="s">
        <v>22</v>
      </c>
      <c r="L41" s="7" t="s">
        <v>22</v>
      </c>
      <c r="M41" s="7">
        <v>0.6</v>
      </c>
      <c r="N41" s="7">
        <v>0.5</v>
      </c>
      <c r="O41" s="7">
        <v>0.25</v>
      </c>
      <c r="P41" s="7" t="s">
        <v>22</v>
      </c>
      <c r="Q41" s="7" t="s">
        <v>22</v>
      </c>
      <c r="R41" s="7" t="s">
        <v>22</v>
      </c>
      <c r="S41" s="7" t="s">
        <v>22</v>
      </c>
      <c r="T41" s="7">
        <v>0.45</v>
      </c>
      <c r="U41" s="7">
        <v>0.45</v>
      </c>
      <c r="V41" s="7">
        <v>0.4</v>
      </c>
      <c r="W41" s="7" t="s">
        <v>22</v>
      </c>
      <c r="X41" s="7" t="s">
        <v>22</v>
      </c>
      <c r="Y41" s="7" t="s">
        <v>22</v>
      </c>
      <c r="Z41" s="7" t="s">
        <v>22</v>
      </c>
      <c r="AA41" s="7">
        <v>6.4</v>
      </c>
      <c r="AB41" s="7">
        <v>11</v>
      </c>
      <c r="AC41" s="7">
        <v>9.5</v>
      </c>
      <c r="AD41" s="7">
        <v>0.39189189189189189</v>
      </c>
      <c r="AE41" s="7">
        <v>0.64313725490196072</v>
      </c>
    </row>
    <row r="42" spans="1:31" x14ac:dyDescent="0.25">
      <c r="A42" s="8">
        <v>40</v>
      </c>
      <c r="B42" s="8">
        <v>4</v>
      </c>
      <c r="C42" s="7" t="s">
        <v>22</v>
      </c>
      <c r="D42" s="7" t="s">
        <v>22</v>
      </c>
      <c r="E42" s="7">
        <v>3.3</v>
      </c>
      <c r="F42" s="7">
        <v>3.4</v>
      </c>
      <c r="G42" s="7">
        <v>3.4</v>
      </c>
      <c r="H42" s="7">
        <v>2.6</v>
      </c>
      <c r="I42" s="7" t="s">
        <v>22</v>
      </c>
      <c r="J42" s="7" t="s">
        <v>22</v>
      </c>
      <c r="K42" s="7" t="s">
        <v>22</v>
      </c>
      <c r="L42" s="7" t="s">
        <v>22</v>
      </c>
      <c r="M42" s="7">
        <v>0.35</v>
      </c>
      <c r="N42" s="7">
        <v>0.3</v>
      </c>
      <c r="O42" s="7">
        <v>0.3</v>
      </c>
      <c r="P42" s="7">
        <v>0.2</v>
      </c>
      <c r="Q42" s="7" t="s">
        <v>22</v>
      </c>
      <c r="R42" s="7" t="s">
        <v>22</v>
      </c>
      <c r="S42" s="7" t="s">
        <v>22</v>
      </c>
      <c r="T42" s="7">
        <v>0.5</v>
      </c>
      <c r="U42" s="7">
        <v>0.5</v>
      </c>
      <c r="V42" s="7">
        <v>0.5</v>
      </c>
      <c r="W42" s="7">
        <v>0.5</v>
      </c>
      <c r="X42" s="7" t="s">
        <v>22</v>
      </c>
      <c r="Y42" s="7" t="s">
        <v>22</v>
      </c>
      <c r="Z42" s="7" t="s">
        <v>22</v>
      </c>
      <c r="AA42" s="7">
        <v>6</v>
      </c>
      <c r="AB42" s="7">
        <v>24</v>
      </c>
      <c r="AC42" s="7">
        <v>10.7</v>
      </c>
      <c r="AD42" s="7">
        <v>0.51948051948051943</v>
      </c>
      <c r="AE42" s="7">
        <v>0.56862745098039214</v>
      </c>
    </row>
    <row r="43" spans="1:31" x14ac:dyDescent="0.25">
      <c r="A43" s="8">
        <v>41</v>
      </c>
      <c r="B43" s="8">
        <v>3</v>
      </c>
      <c r="C43" s="7" t="s">
        <v>22</v>
      </c>
      <c r="D43" s="7" t="s">
        <v>22</v>
      </c>
      <c r="E43" s="7">
        <v>3.9</v>
      </c>
      <c r="F43" s="7">
        <v>3.8</v>
      </c>
      <c r="G43" s="7">
        <v>3.5</v>
      </c>
      <c r="H43" s="7" t="s">
        <v>22</v>
      </c>
      <c r="I43" s="7" t="s">
        <v>22</v>
      </c>
      <c r="J43" s="7" t="s">
        <v>22</v>
      </c>
      <c r="K43" s="7" t="s">
        <v>22</v>
      </c>
      <c r="L43" s="7" t="s">
        <v>22</v>
      </c>
      <c r="M43" s="7">
        <v>0.5</v>
      </c>
      <c r="N43" s="7">
        <v>0.4</v>
      </c>
      <c r="O43" s="7">
        <v>0.4</v>
      </c>
      <c r="P43" s="7" t="s">
        <v>22</v>
      </c>
      <c r="Q43" s="7" t="s">
        <v>22</v>
      </c>
      <c r="R43" s="7" t="s">
        <v>22</v>
      </c>
      <c r="S43" s="7" t="s">
        <v>22</v>
      </c>
      <c r="T43" s="7">
        <v>0.4</v>
      </c>
      <c r="U43" s="7">
        <v>0.4</v>
      </c>
      <c r="V43" s="7">
        <v>0.4</v>
      </c>
      <c r="W43" s="7" t="s">
        <v>22</v>
      </c>
      <c r="X43" s="7" t="s">
        <v>22</v>
      </c>
      <c r="Y43" s="7" t="s">
        <v>22</v>
      </c>
      <c r="Z43" s="7" t="s">
        <v>22</v>
      </c>
      <c r="AA43" s="7">
        <v>6.3</v>
      </c>
      <c r="AB43" s="7">
        <v>16.3</v>
      </c>
      <c r="AC43" s="7">
        <v>4.82</v>
      </c>
      <c r="AD43" s="7">
        <v>0.50724637681159412</v>
      </c>
      <c r="AE43" s="7">
        <v>0.5</v>
      </c>
    </row>
    <row r="44" spans="1:31" x14ac:dyDescent="0.25">
      <c r="A44" s="8">
        <v>42</v>
      </c>
      <c r="B44" s="8">
        <v>5</v>
      </c>
      <c r="C44" s="7" t="s">
        <v>22</v>
      </c>
      <c r="D44" s="7" t="s">
        <v>22</v>
      </c>
      <c r="E44" s="7">
        <v>3.2</v>
      </c>
      <c r="F44" s="7">
        <v>3.1</v>
      </c>
      <c r="G44" s="7">
        <v>2.8</v>
      </c>
      <c r="H44" s="7">
        <v>2.8</v>
      </c>
      <c r="I44" s="7">
        <v>2.7</v>
      </c>
      <c r="J44" s="7" t="s">
        <v>22</v>
      </c>
      <c r="K44" s="7" t="s">
        <v>22</v>
      </c>
      <c r="L44" s="7" t="s">
        <v>22</v>
      </c>
      <c r="M44" s="7">
        <v>0.7</v>
      </c>
      <c r="N44" s="7">
        <v>0.7</v>
      </c>
      <c r="O44" s="7">
        <v>0.6</v>
      </c>
      <c r="P44" s="7">
        <v>0.55000000000000004</v>
      </c>
      <c r="Q44" s="7">
        <v>0.55000000000000004</v>
      </c>
      <c r="R44" s="7" t="s">
        <v>22</v>
      </c>
      <c r="S44" s="7" t="s">
        <v>22</v>
      </c>
      <c r="T44" s="7">
        <v>0.35</v>
      </c>
      <c r="U44" s="7">
        <v>0.35</v>
      </c>
      <c r="V44" s="7">
        <v>0.35</v>
      </c>
      <c r="W44" s="7">
        <v>0.35</v>
      </c>
      <c r="X44" s="7">
        <v>0.35</v>
      </c>
      <c r="Y44" s="7" t="s">
        <v>22</v>
      </c>
      <c r="Z44" s="7" t="s">
        <v>22</v>
      </c>
      <c r="AA44" s="7">
        <v>5.5</v>
      </c>
      <c r="AB44" s="7">
        <v>12</v>
      </c>
      <c r="AC44" s="7">
        <v>6.6899999999999995</v>
      </c>
      <c r="AD44" s="7">
        <v>0.33223140495867765</v>
      </c>
      <c r="AE44" s="7">
        <v>0.50731707317073171</v>
      </c>
    </row>
    <row r="45" spans="1:31" x14ac:dyDescent="0.25">
      <c r="A45" s="8">
        <v>43</v>
      </c>
      <c r="B45" s="8">
        <v>3</v>
      </c>
      <c r="C45" s="7" t="s">
        <v>22</v>
      </c>
      <c r="D45" s="7" t="s">
        <v>22</v>
      </c>
      <c r="E45" s="7">
        <v>3.9</v>
      </c>
      <c r="F45" s="7">
        <v>3.1</v>
      </c>
      <c r="G45" s="7">
        <v>3</v>
      </c>
      <c r="H45" s="7" t="s">
        <v>22</v>
      </c>
      <c r="I45" s="7" t="s">
        <v>22</v>
      </c>
      <c r="J45" s="7" t="s">
        <v>22</v>
      </c>
      <c r="K45" s="7" t="s">
        <v>22</v>
      </c>
      <c r="L45" s="7" t="s">
        <v>22</v>
      </c>
      <c r="M45" s="7">
        <v>0.4</v>
      </c>
      <c r="N45" s="7">
        <v>0.4</v>
      </c>
      <c r="O45" s="7">
        <v>0.25</v>
      </c>
      <c r="P45" s="7" t="s">
        <v>22</v>
      </c>
      <c r="Q45" s="7" t="s">
        <v>22</v>
      </c>
      <c r="R45" s="7" t="s">
        <v>22</v>
      </c>
      <c r="S45" s="7" t="s">
        <v>22</v>
      </c>
      <c r="T45" s="7">
        <v>0.4</v>
      </c>
      <c r="U45" s="7">
        <v>0.4</v>
      </c>
      <c r="V45" s="7">
        <v>0.4</v>
      </c>
      <c r="W45" s="7" t="s">
        <v>22</v>
      </c>
      <c r="X45" s="7" t="s">
        <v>22</v>
      </c>
      <c r="Y45" s="7" t="s">
        <v>22</v>
      </c>
      <c r="Z45" s="7" t="s">
        <v>22</v>
      </c>
      <c r="AA45" s="7">
        <v>5.6</v>
      </c>
      <c r="AB45" s="7">
        <v>18.600000000000001</v>
      </c>
      <c r="AC45" s="7">
        <v>9.5</v>
      </c>
      <c r="AD45" s="7">
        <v>0.42328042328042331</v>
      </c>
      <c r="AE45" s="7">
        <v>0.8457446808510638</v>
      </c>
    </row>
    <row r="46" spans="1:31" x14ac:dyDescent="0.25">
      <c r="A46" s="8">
        <v>44</v>
      </c>
      <c r="B46" s="8">
        <v>3</v>
      </c>
      <c r="C46" s="7" t="s">
        <v>22</v>
      </c>
      <c r="D46" s="7" t="s">
        <v>22</v>
      </c>
      <c r="E46" s="7">
        <v>3.9</v>
      </c>
      <c r="F46" s="7">
        <v>3.7</v>
      </c>
      <c r="G46" s="7">
        <v>3.1</v>
      </c>
      <c r="H46" s="7" t="s">
        <v>22</v>
      </c>
      <c r="I46" s="7" t="s">
        <v>22</v>
      </c>
      <c r="J46" s="7" t="s">
        <v>22</v>
      </c>
      <c r="K46" s="7" t="s">
        <v>22</v>
      </c>
      <c r="L46" s="7" t="s">
        <v>22</v>
      </c>
      <c r="M46" s="7">
        <v>0.7</v>
      </c>
      <c r="N46" s="7">
        <v>0.65</v>
      </c>
      <c r="O46" s="7">
        <v>0.3</v>
      </c>
      <c r="P46" s="7" t="s">
        <v>22</v>
      </c>
      <c r="Q46" s="7" t="s">
        <v>22</v>
      </c>
      <c r="R46" s="7" t="s">
        <v>22</v>
      </c>
      <c r="S46" s="7" t="s">
        <v>22</v>
      </c>
      <c r="T46" s="7">
        <v>0.3</v>
      </c>
      <c r="U46" s="7">
        <v>0.3</v>
      </c>
      <c r="V46" s="7">
        <v>0.3</v>
      </c>
      <c r="W46" s="7" t="s">
        <v>22</v>
      </c>
      <c r="X46" s="7" t="s">
        <v>22</v>
      </c>
      <c r="Y46" s="7" t="s">
        <v>22</v>
      </c>
      <c r="Z46" s="7" t="s">
        <v>22</v>
      </c>
      <c r="AA46" s="7">
        <v>6</v>
      </c>
      <c r="AB46" s="7">
        <v>17.399999999999999</v>
      </c>
      <c r="AC46" s="7">
        <v>5.3</v>
      </c>
      <c r="AD46" s="7">
        <v>0.38115631691648821</v>
      </c>
      <c r="AE46" s="7">
        <v>0.45798486658701715</v>
      </c>
    </row>
    <row r="47" spans="1:31" x14ac:dyDescent="0.25">
      <c r="A47" s="8">
        <v>45</v>
      </c>
      <c r="B47" s="8">
        <v>3</v>
      </c>
      <c r="C47" s="7" t="s">
        <v>22</v>
      </c>
      <c r="D47" s="7" t="s">
        <v>22</v>
      </c>
      <c r="E47" s="7">
        <v>3.7</v>
      </c>
      <c r="F47" s="7">
        <v>3.7</v>
      </c>
      <c r="G47" s="7">
        <v>3.7</v>
      </c>
      <c r="H47" s="7" t="s">
        <v>22</v>
      </c>
      <c r="I47" s="7" t="s">
        <v>22</v>
      </c>
      <c r="J47" s="7" t="s">
        <v>22</v>
      </c>
      <c r="K47" s="7" t="s">
        <v>22</v>
      </c>
      <c r="L47" s="7" t="s">
        <v>22</v>
      </c>
      <c r="M47" s="7">
        <v>0.65</v>
      </c>
      <c r="N47" s="7">
        <v>0.6</v>
      </c>
      <c r="O47" s="7">
        <v>0.2</v>
      </c>
      <c r="P47" s="7" t="s">
        <v>22</v>
      </c>
      <c r="Q47" s="7" t="s">
        <v>22</v>
      </c>
      <c r="R47" s="7" t="s">
        <v>22</v>
      </c>
      <c r="S47" s="7" t="s">
        <v>22</v>
      </c>
      <c r="T47" s="7">
        <v>0.35</v>
      </c>
      <c r="U47" s="7">
        <v>0.35</v>
      </c>
      <c r="V47" s="7">
        <v>0.3</v>
      </c>
      <c r="W47" s="7" t="s">
        <v>22</v>
      </c>
      <c r="X47" s="7" t="s">
        <v>22</v>
      </c>
      <c r="Y47" s="7" t="s">
        <v>22</v>
      </c>
      <c r="Z47" s="7" t="s">
        <v>22</v>
      </c>
      <c r="AA47" s="7">
        <v>6.3</v>
      </c>
      <c r="AB47" s="7">
        <v>19.100000000000001</v>
      </c>
      <c r="AC47" s="7">
        <v>12.579999999999998</v>
      </c>
      <c r="AD47" s="7">
        <v>0.5859375</v>
      </c>
      <c r="AE47" s="7">
        <v>0.58921161825726132</v>
      </c>
    </row>
    <row r="48" spans="1:31" x14ac:dyDescent="0.25">
      <c r="A48" s="8">
        <v>46</v>
      </c>
      <c r="B48" s="8">
        <v>2</v>
      </c>
      <c r="C48" s="7" t="s">
        <v>22</v>
      </c>
      <c r="D48" s="7" t="s">
        <v>22</v>
      </c>
      <c r="E48" s="7">
        <v>3.2</v>
      </c>
      <c r="F48" s="7">
        <v>3.1</v>
      </c>
      <c r="G48" s="7" t="s">
        <v>22</v>
      </c>
      <c r="H48" s="7" t="s">
        <v>22</v>
      </c>
      <c r="I48" s="7" t="s">
        <v>22</v>
      </c>
      <c r="J48" s="7" t="s">
        <v>22</v>
      </c>
      <c r="K48" s="7" t="s">
        <v>22</v>
      </c>
      <c r="L48" s="7" t="s">
        <v>22</v>
      </c>
      <c r="M48" s="7">
        <v>0.35</v>
      </c>
      <c r="N48" s="7">
        <v>0.3</v>
      </c>
      <c r="O48" s="7" t="s">
        <v>22</v>
      </c>
      <c r="P48" s="7" t="s">
        <v>22</v>
      </c>
      <c r="Q48" s="7" t="s">
        <v>22</v>
      </c>
      <c r="R48" s="7" t="s">
        <v>22</v>
      </c>
      <c r="S48" s="7" t="s">
        <v>22</v>
      </c>
      <c r="T48" s="7">
        <v>0.35</v>
      </c>
      <c r="U48" s="7">
        <v>0.3</v>
      </c>
      <c r="V48" s="7" t="s">
        <v>22</v>
      </c>
      <c r="W48" s="7" t="s">
        <v>22</v>
      </c>
      <c r="X48" s="7" t="s">
        <v>22</v>
      </c>
      <c r="Y48" s="7" t="s">
        <v>22</v>
      </c>
      <c r="Z48" s="7" t="s">
        <v>22</v>
      </c>
      <c r="AA48" s="7">
        <v>8</v>
      </c>
      <c r="AB48" s="7">
        <v>12</v>
      </c>
      <c r="AC48" s="7">
        <v>12.25</v>
      </c>
      <c r="AD48" s="7">
        <v>0.1825</v>
      </c>
      <c r="AE48" s="7">
        <v>0.23625000000000002</v>
      </c>
    </row>
    <row r="49" spans="1:31" x14ac:dyDescent="0.25">
      <c r="A49" s="8">
        <v>47</v>
      </c>
      <c r="B49" s="8">
        <v>3</v>
      </c>
      <c r="C49" s="7" t="s">
        <v>22</v>
      </c>
      <c r="D49" s="7">
        <v>2.9</v>
      </c>
      <c r="E49" s="7">
        <v>3.1</v>
      </c>
      <c r="F49" s="7">
        <v>3.1</v>
      </c>
      <c r="G49" s="7" t="s">
        <v>22</v>
      </c>
      <c r="H49" s="7" t="s">
        <v>22</v>
      </c>
      <c r="I49" s="7" t="s">
        <v>22</v>
      </c>
      <c r="J49" s="7" t="s">
        <v>22</v>
      </c>
      <c r="K49" s="7" t="s">
        <v>22</v>
      </c>
      <c r="L49" s="7" t="s">
        <v>22</v>
      </c>
      <c r="M49" s="7">
        <v>0.35</v>
      </c>
      <c r="N49" s="7">
        <v>0.35</v>
      </c>
      <c r="O49" s="7">
        <v>0.35</v>
      </c>
      <c r="P49" s="7" t="s">
        <v>22</v>
      </c>
      <c r="Q49" s="7" t="s">
        <v>22</v>
      </c>
      <c r="R49" s="7" t="s">
        <v>22</v>
      </c>
      <c r="S49" s="7" t="s">
        <v>22</v>
      </c>
      <c r="T49" s="7">
        <v>0.35</v>
      </c>
      <c r="U49" s="7">
        <v>0.35</v>
      </c>
      <c r="V49" s="7">
        <v>0.35</v>
      </c>
      <c r="W49" s="7" t="s">
        <v>22</v>
      </c>
      <c r="X49" s="7" t="s">
        <v>22</v>
      </c>
      <c r="Y49" s="7" t="s">
        <v>22</v>
      </c>
      <c r="Z49" s="7" t="s">
        <v>22</v>
      </c>
      <c r="AA49" s="7">
        <v>6.6</v>
      </c>
      <c r="AB49" s="7">
        <v>15.6</v>
      </c>
      <c r="AC49" s="7">
        <v>11.6</v>
      </c>
      <c r="AD49" s="7">
        <v>0.30434782608695654</v>
      </c>
      <c r="AE49" s="7">
        <v>0.30645161290322576</v>
      </c>
    </row>
    <row r="50" spans="1:31" x14ac:dyDescent="0.25">
      <c r="A50" s="8">
        <v>48</v>
      </c>
      <c r="B50" s="8">
        <v>4</v>
      </c>
      <c r="C50" s="7" t="s">
        <v>22</v>
      </c>
      <c r="D50" s="7" t="s">
        <v>22</v>
      </c>
      <c r="E50" s="7">
        <v>3</v>
      </c>
      <c r="F50" s="7">
        <v>2.75</v>
      </c>
      <c r="G50" s="7">
        <v>2.65</v>
      </c>
      <c r="H50" s="7">
        <v>2.7</v>
      </c>
      <c r="I50" s="7" t="s">
        <v>22</v>
      </c>
      <c r="J50" s="7" t="s">
        <v>22</v>
      </c>
      <c r="K50" s="7" t="s">
        <v>22</v>
      </c>
      <c r="L50" s="7" t="s">
        <v>22</v>
      </c>
      <c r="M50" s="7">
        <v>0.5</v>
      </c>
      <c r="N50" s="7">
        <v>0.5</v>
      </c>
      <c r="O50" s="7">
        <v>0.45</v>
      </c>
      <c r="P50" s="7">
        <v>0.45</v>
      </c>
      <c r="Q50" s="7" t="s">
        <v>22</v>
      </c>
      <c r="R50" s="7" t="s">
        <v>22</v>
      </c>
      <c r="S50" s="7" t="s">
        <v>22</v>
      </c>
      <c r="T50" s="7">
        <v>0.3</v>
      </c>
      <c r="U50" s="7">
        <v>0.3</v>
      </c>
      <c r="V50" s="7">
        <v>0.3</v>
      </c>
      <c r="W50" s="7">
        <v>0.3</v>
      </c>
      <c r="X50" s="7" t="s">
        <v>22</v>
      </c>
      <c r="Y50" s="7" t="s">
        <v>22</v>
      </c>
      <c r="Z50" s="7" t="s">
        <v>22</v>
      </c>
      <c r="AA50" s="7">
        <v>4</v>
      </c>
      <c r="AB50" s="7">
        <v>19</v>
      </c>
      <c r="AC50" s="7">
        <v>7.65</v>
      </c>
      <c r="AD50" s="7">
        <v>0.66</v>
      </c>
      <c r="AE50" s="7">
        <v>0.70909090909090911</v>
      </c>
    </row>
    <row r="51" spans="1:31" x14ac:dyDescent="0.25">
      <c r="A51" s="8">
        <v>49</v>
      </c>
      <c r="B51" s="8">
        <v>2</v>
      </c>
      <c r="C51" s="7" t="s">
        <v>22</v>
      </c>
      <c r="D51" s="7" t="s">
        <v>22</v>
      </c>
      <c r="E51" s="7">
        <v>3.2</v>
      </c>
      <c r="F51" s="7">
        <v>3</v>
      </c>
      <c r="G51" s="7" t="s">
        <v>22</v>
      </c>
      <c r="H51" s="7" t="s">
        <v>22</v>
      </c>
      <c r="I51" s="7" t="s">
        <v>22</v>
      </c>
      <c r="J51" s="7" t="s">
        <v>22</v>
      </c>
      <c r="K51" s="7" t="s">
        <v>22</v>
      </c>
      <c r="L51" s="7" t="s">
        <v>22</v>
      </c>
      <c r="M51" s="7">
        <v>0.3</v>
      </c>
      <c r="N51" s="7">
        <v>0.3</v>
      </c>
      <c r="O51" s="7" t="s">
        <v>22</v>
      </c>
      <c r="P51" s="7" t="s">
        <v>22</v>
      </c>
      <c r="Q51" s="7" t="s">
        <v>22</v>
      </c>
      <c r="R51" s="7" t="s">
        <v>22</v>
      </c>
      <c r="S51" s="7" t="s">
        <v>22</v>
      </c>
      <c r="T51" s="7">
        <v>0.3</v>
      </c>
      <c r="U51" s="7">
        <v>0.3</v>
      </c>
      <c r="V51" s="7" t="s">
        <v>22</v>
      </c>
      <c r="W51" s="7" t="s">
        <v>22</v>
      </c>
      <c r="X51" s="7" t="s">
        <v>22</v>
      </c>
      <c r="Y51" s="7" t="s">
        <v>22</v>
      </c>
      <c r="Z51" s="7" t="s">
        <v>22</v>
      </c>
      <c r="AA51" s="7">
        <v>7</v>
      </c>
      <c r="AB51" s="7">
        <v>11</v>
      </c>
      <c r="AC51" s="7">
        <v>3.9099999999999997</v>
      </c>
      <c r="AD51" s="7">
        <v>0.23891891891891892</v>
      </c>
      <c r="AE51" s="7">
        <v>0.38400000000000001</v>
      </c>
    </row>
    <row r="52" spans="1:31" x14ac:dyDescent="0.25">
      <c r="A52" s="8">
        <v>50</v>
      </c>
      <c r="B52" s="8">
        <v>4</v>
      </c>
      <c r="C52" s="7" t="s">
        <v>22</v>
      </c>
      <c r="D52" s="7">
        <v>3</v>
      </c>
      <c r="E52" s="7">
        <v>4</v>
      </c>
      <c r="F52" s="7">
        <v>4</v>
      </c>
      <c r="G52" s="7">
        <v>3.5</v>
      </c>
      <c r="H52" s="7" t="s">
        <v>22</v>
      </c>
      <c r="I52" s="7" t="s">
        <v>22</v>
      </c>
      <c r="J52" s="7" t="s">
        <v>22</v>
      </c>
      <c r="K52" s="7" t="s">
        <v>22</v>
      </c>
      <c r="L52" s="7" t="s">
        <v>22</v>
      </c>
      <c r="M52" s="7">
        <v>0.65</v>
      </c>
      <c r="N52" s="7">
        <v>0.6</v>
      </c>
      <c r="O52" s="7">
        <v>0.55000000000000004</v>
      </c>
      <c r="P52" s="7">
        <v>0.55000000000000004</v>
      </c>
      <c r="Q52" s="7" t="s">
        <v>22</v>
      </c>
      <c r="R52" s="7" t="s">
        <v>22</v>
      </c>
      <c r="S52" s="7" t="s">
        <v>22</v>
      </c>
      <c r="T52" s="7">
        <v>0.5</v>
      </c>
      <c r="U52" s="7">
        <v>0.5</v>
      </c>
      <c r="V52" s="7">
        <v>0.5</v>
      </c>
      <c r="W52" s="7">
        <v>0.5</v>
      </c>
      <c r="X52" s="7" t="s">
        <v>22</v>
      </c>
      <c r="Y52" s="7" t="s">
        <v>22</v>
      </c>
      <c r="Z52" s="7" t="s">
        <v>22</v>
      </c>
      <c r="AA52" s="7">
        <v>6.5</v>
      </c>
      <c r="AB52" s="7" t="s">
        <v>21</v>
      </c>
      <c r="AC52" s="7">
        <v>7.1999999999999993</v>
      </c>
      <c r="AD52" s="7">
        <v>0.43</v>
      </c>
      <c r="AE52" s="7">
        <v>0.55000000000000004</v>
      </c>
    </row>
    <row r="53" spans="1:31" x14ac:dyDescent="0.25">
      <c r="A53" s="8">
        <v>51</v>
      </c>
      <c r="B53" s="8">
        <v>4</v>
      </c>
      <c r="C53" s="7" t="s">
        <v>22</v>
      </c>
      <c r="D53" s="7" t="s">
        <v>22</v>
      </c>
      <c r="E53" s="7">
        <v>2.6</v>
      </c>
      <c r="F53" s="7">
        <v>2.6</v>
      </c>
      <c r="G53" s="7">
        <v>2.6</v>
      </c>
      <c r="H53" s="7">
        <v>2.6</v>
      </c>
      <c r="I53" s="7" t="s">
        <v>22</v>
      </c>
      <c r="J53" s="7" t="s">
        <v>22</v>
      </c>
      <c r="K53" s="7" t="s">
        <v>22</v>
      </c>
      <c r="L53" s="7" t="s">
        <v>22</v>
      </c>
      <c r="M53" s="7">
        <v>0.4</v>
      </c>
      <c r="N53" s="7">
        <v>0.3</v>
      </c>
      <c r="O53" s="7">
        <v>0.2</v>
      </c>
      <c r="P53" s="7">
        <v>0.2</v>
      </c>
      <c r="Q53" s="7" t="s">
        <v>22</v>
      </c>
      <c r="R53" s="7" t="s">
        <v>22</v>
      </c>
      <c r="S53" s="7" t="s">
        <v>22</v>
      </c>
      <c r="T53" s="7">
        <v>0.4</v>
      </c>
      <c r="U53" s="7">
        <v>0.4</v>
      </c>
      <c r="V53" s="7">
        <v>0.3</v>
      </c>
      <c r="W53" s="7">
        <v>0.3</v>
      </c>
      <c r="X53" s="7" t="s">
        <v>22</v>
      </c>
      <c r="Y53" s="7" t="s">
        <v>22</v>
      </c>
      <c r="Z53" s="7" t="s">
        <v>22</v>
      </c>
      <c r="AA53" s="7">
        <v>3.6</v>
      </c>
      <c r="AB53" s="7">
        <v>14</v>
      </c>
      <c r="AC53" s="7">
        <v>3.4</v>
      </c>
      <c r="AD53" s="7">
        <v>0.38461538461538464</v>
      </c>
      <c r="AE53" s="7">
        <v>0.38461538461538464</v>
      </c>
    </row>
    <row r="54" spans="1:31" x14ac:dyDescent="0.25">
      <c r="A54" s="8">
        <v>52</v>
      </c>
      <c r="B54" s="8">
        <v>3</v>
      </c>
      <c r="C54" s="7" t="s">
        <v>22</v>
      </c>
      <c r="D54" s="7" t="s">
        <v>22</v>
      </c>
      <c r="E54" s="7">
        <v>4.4000000000000004</v>
      </c>
      <c r="F54" s="7">
        <v>4.4000000000000004</v>
      </c>
      <c r="G54" s="7">
        <v>4.3</v>
      </c>
      <c r="H54" s="7" t="s">
        <v>22</v>
      </c>
      <c r="I54" s="7" t="s">
        <v>22</v>
      </c>
      <c r="J54" s="7" t="s">
        <v>22</v>
      </c>
      <c r="K54" s="7" t="s">
        <v>22</v>
      </c>
      <c r="L54" s="7" t="s">
        <v>22</v>
      </c>
      <c r="M54" s="7">
        <v>0.6</v>
      </c>
      <c r="N54" s="7">
        <v>0.55000000000000004</v>
      </c>
      <c r="O54" s="7">
        <v>0.55000000000000004</v>
      </c>
      <c r="P54" s="7" t="s">
        <v>22</v>
      </c>
      <c r="Q54" s="7" t="s">
        <v>22</v>
      </c>
      <c r="R54" s="7" t="s">
        <v>22</v>
      </c>
      <c r="S54" s="7" t="s">
        <v>22</v>
      </c>
      <c r="T54" s="7">
        <v>0.5</v>
      </c>
      <c r="U54" s="7">
        <v>0.5</v>
      </c>
      <c r="V54" s="7">
        <v>0.5</v>
      </c>
      <c r="W54" s="7" t="s">
        <v>22</v>
      </c>
      <c r="X54" s="7" t="s">
        <v>22</v>
      </c>
      <c r="Y54" s="7" t="s">
        <v>22</v>
      </c>
      <c r="Z54" s="7" t="s">
        <v>22</v>
      </c>
      <c r="AA54" s="7">
        <v>10.1</v>
      </c>
      <c r="AB54" s="7">
        <v>20.100000000000001</v>
      </c>
      <c r="AC54" s="7">
        <v>14</v>
      </c>
      <c r="AD54" s="7">
        <v>0.49574468085106382</v>
      </c>
      <c r="AE54" s="7">
        <v>0.5714285714285714</v>
      </c>
    </row>
    <row r="55" spans="1:31" x14ac:dyDescent="0.25">
      <c r="A55" s="8">
        <v>53</v>
      </c>
      <c r="B55" s="8">
        <v>4</v>
      </c>
      <c r="C55" s="7" t="s">
        <v>22</v>
      </c>
      <c r="D55" s="7" t="s">
        <v>22</v>
      </c>
      <c r="E55" s="7">
        <v>4.05</v>
      </c>
      <c r="F55" s="7">
        <v>4.0999999999999996</v>
      </c>
      <c r="G55" s="7">
        <v>4.0999999999999996</v>
      </c>
      <c r="H55" s="7">
        <v>3</v>
      </c>
      <c r="I55" s="7" t="s">
        <v>22</v>
      </c>
      <c r="J55" s="7" t="s">
        <v>22</v>
      </c>
      <c r="K55" s="7" t="s">
        <v>22</v>
      </c>
      <c r="L55" s="7" t="s">
        <v>22</v>
      </c>
      <c r="M55" s="7">
        <v>0.6</v>
      </c>
      <c r="N55" s="7">
        <v>0.6</v>
      </c>
      <c r="O55" s="7">
        <v>0.6</v>
      </c>
      <c r="P55" s="7">
        <v>0.6</v>
      </c>
      <c r="Q55" s="7" t="s">
        <v>22</v>
      </c>
      <c r="R55" s="7" t="s">
        <v>22</v>
      </c>
      <c r="S55" s="7" t="s">
        <v>22</v>
      </c>
      <c r="T55" s="7">
        <v>0.35</v>
      </c>
      <c r="U55" s="7">
        <v>0.35</v>
      </c>
      <c r="V55" s="7">
        <v>0.35</v>
      </c>
      <c r="W55" s="7">
        <v>0.35</v>
      </c>
      <c r="X55" s="7" t="s">
        <v>22</v>
      </c>
      <c r="Y55" s="7" t="s">
        <v>22</v>
      </c>
      <c r="Z55" s="7" t="s">
        <v>22</v>
      </c>
      <c r="AA55" s="7">
        <v>6.8</v>
      </c>
      <c r="AB55" s="7">
        <v>22.2</v>
      </c>
      <c r="AC55" s="7">
        <v>11.299999999999999</v>
      </c>
      <c r="AD55" s="7">
        <v>0.58656716417910459</v>
      </c>
      <c r="AE55" s="7">
        <v>0.78859060402684567</v>
      </c>
    </row>
    <row r="56" spans="1:31" x14ac:dyDescent="0.25">
      <c r="A56" s="8">
        <v>54</v>
      </c>
      <c r="B56" s="8">
        <v>2</v>
      </c>
      <c r="C56" s="7" t="s">
        <v>22</v>
      </c>
      <c r="D56" s="7" t="s">
        <v>22</v>
      </c>
      <c r="E56" s="7">
        <v>3.5</v>
      </c>
      <c r="F56" s="7">
        <v>3.5</v>
      </c>
      <c r="G56" s="7" t="s">
        <v>22</v>
      </c>
      <c r="H56" s="7" t="s">
        <v>22</v>
      </c>
      <c r="I56" s="7" t="s">
        <v>22</v>
      </c>
      <c r="J56" s="7" t="s">
        <v>22</v>
      </c>
      <c r="K56" s="7" t="s">
        <v>22</v>
      </c>
      <c r="L56" s="7" t="s">
        <v>22</v>
      </c>
      <c r="M56" s="7">
        <v>0.3</v>
      </c>
      <c r="N56" s="7">
        <v>0.3</v>
      </c>
      <c r="O56" s="7" t="s">
        <v>22</v>
      </c>
      <c r="P56" s="7" t="s">
        <v>22</v>
      </c>
      <c r="Q56" s="7" t="s">
        <v>22</v>
      </c>
      <c r="R56" s="7" t="s">
        <v>22</v>
      </c>
      <c r="S56" s="7" t="s">
        <v>22</v>
      </c>
      <c r="T56" s="7">
        <v>0.3</v>
      </c>
      <c r="U56" s="7">
        <v>0.3</v>
      </c>
      <c r="V56" s="7" t="s">
        <v>22</v>
      </c>
      <c r="W56" s="7" t="s">
        <v>22</v>
      </c>
      <c r="X56" s="7" t="s">
        <v>22</v>
      </c>
      <c r="Y56" s="7" t="s">
        <v>22</v>
      </c>
      <c r="Z56" s="7" t="s">
        <v>22</v>
      </c>
      <c r="AA56" s="7">
        <v>6.4</v>
      </c>
      <c r="AB56" s="7">
        <v>16</v>
      </c>
      <c r="AC56" s="7">
        <v>7.1</v>
      </c>
      <c r="AD56" s="7">
        <v>0.42083333333333334</v>
      </c>
      <c r="AE56" s="7">
        <v>0.47200000000000003</v>
      </c>
    </row>
    <row r="57" spans="1:31" x14ac:dyDescent="0.25">
      <c r="A57" s="8">
        <v>55</v>
      </c>
      <c r="B57" s="8">
        <v>2</v>
      </c>
      <c r="C57" s="7" t="s">
        <v>22</v>
      </c>
      <c r="D57" s="7" t="s">
        <v>22</v>
      </c>
      <c r="E57" s="7">
        <v>3.6</v>
      </c>
      <c r="F57" s="7">
        <v>3.6</v>
      </c>
      <c r="G57" s="7" t="s">
        <v>22</v>
      </c>
      <c r="H57" s="7" t="s">
        <v>22</v>
      </c>
      <c r="I57" s="7" t="s">
        <v>22</v>
      </c>
      <c r="J57" s="7" t="s">
        <v>22</v>
      </c>
      <c r="K57" s="7" t="s">
        <v>22</v>
      </c>
      <c r="L57" s="7" t="s">
        <v>22</v>
      </c>
      <c r="M57" s="7">
        <v>0.4</v>
      </c>
      <c r="N57" s="7">
        <v>0.4</v>
      </c>
      <c r="O57" s="7" t="s">
        <v>22</v>
      </c>
      <c r="P57" s="7" t="s">
        <v>22</v>
      </c>
      <c r="Q57" s="7" t="s">
        <v>22</v>
      </c>
      <c r="R57" s="7" t="s">
        <v>22</v>
      </c>
      <c r="S57" s="7" t="s">
        <v>22</v>
      </c>
      <c r="T57" s="7">
        <v>0.5</v>
      </c>
      <c r="U57" s="7">
        <v>0.5</v>
      </c>
      <c r="V57" s="7" t="s">
        <v>22</v>
      </c>
      <c r="W57" s="7" t="s">
        <v>22</v>
      </c>
      <c r="X57" s="7" t="s">
        <v>22</v>
      </c>
      <c r="Y57" s="7" t="s">
        <v>22</v>
      </c>
      <c r="Z57" s="7" t="s">
        <v>22</v>
      </c>
      <c r="AA57" s="7">
        <v>10</v>
      </c>
      <c r="AB57" s="7">
        <v>12.1</v>
      </c>
      <c r="AC57" s="7">
        <v>7.09</v>
      </c>
      <c r="AD57" s="7">
        <v>0.28612716763005774</v>
      </c>
      <c r="AE57" s="7">
        <v>0.44810126582278481</v>
      </c>
    </row>
    <row r="58" spans="1:31" x14ac:dyDescent="0.25">
      <c r="A58" s="8">
        <v>56</v>
      </c>
      <c r="B58" s="8">
        <v>4</v>
      </c>
      <c r="C58" s="7" t="s">
        <v>22</v>
      </c>
      <c r="D58" s="7" t="s">
        <v>22</v>
      </c>
      <c r="E58" s="7">
        <v>3.1</v>
      </c>
      <c r="F58" s="7">
        <v>3.1</v>
      </c>
      <c r="G58" s="7">
        <v>3</v>
      </c>
      <c r="H58" s="7">
        <v>3.1</v>
      </c>
      <c r="I58" s="7" t="s">
        <v>22</v>
      </c>
      <c r="J58" s="7" t="s">
        <v>22</v>
      </c>
      <c r="K58" s="7" t="s">
        <v>22</v>
      </c>
      <c r="L58" s="7" t="s">
        <v>22</v>
      </c>
      <c r="M58" s="7">
        <v>0.65</v>
      </c>
      <c r="N58" s="7">
        <v>0.65</v>
      </c>
      <c r="O58" s="7">
        <v>0.65</v>
      </c>
      <c r="P58" s="7">
        <v>0.65</v>
      </c>
      <c r="Q58" s="7" t="s">
        <v>22</v>
      </c>
      <c r="R58" s="7" t="s">
        <v>22</v>
      </c>
      <c r="S58" s="7" t="s">
        <v>22</v>
      </c>
      <c r="T58" s="7">
        <v>0.2</v>
      </c>
      <c r="U58" s="7">
        <v>0.2</v>
      </c>
      <c r="V58" s="7">
        <v>0.2</v>
      </c>
      <c r="W58" s="7">
        <v>0.2</v>
      </c>
      <c r="X58" s="7" t="s">
        <v>22</v>
      </c>
      <c r="Y58" s="7" t="s">
        <v>22</v>
      </c>
      <c r="Z58" s="7" t="s">
        <v>22</v>
      </c>
      <c r="AA58" s="7">
        <v>3.4</v>
      </c>
      <c r="AB58" s="7">
        <v>13.5</v>
      </c>
      <c r="AC58" s="7">
        <v>3.45</v>
      </c>
      <c r="AD58" s="7">
        <v>0.58617511520737331</v>
      </c>
      <c r="AE58" s="7">
        <v>0.70431893687707636</v>
      </c>
    </row>
    <row r="59" spans="1:31" x14ac:dyDescent="0.25">
      <c r="A59" s="8">
        <v>57</v>
      </c>
      <c r="B59" s="8">
        <v>3</v>
      </c>
      <c r="C59" s="7" t="s">
        <v>22</v>
      </c>
      <c r="D59" s="7" t="s">
        <v>22</v>
      </c>
      <c r="E59" s="7">
        <v>3.2</v>
      </c>
      <c r="F59" s="7">
        <v>3.8</v>
      </c>
      <c r="G59" s="7">
        <v>3.7</v>
      </c>
      <c r="H59" s="7" t="s">
        <v>22</v>
      </c>
      <c r="I59" s="7" t="s">
        <v>22</v>
      </c>
      <c r="J59" s="7" t="s">
        <v>22</v>
      </c>
      <c r="K59" s="7" t="s">
        <v>22</v>
      </c>
      <c r="L59" s="7" t="s">
        <v>22</v>
      </c>
      <c r="M59" s="7">
        <v>0.4</v>
      </c>
      <c r="N59" s="7">
        <v>0.3</v>
      </c>
      <c r="O59" s="7">
        <v>0.3</v>
      </c>
      <c r="P59" s="7" t="s">
        <v>22</v>
      </c>
      <c r="Q59" s="7" t="s">
        <v>22</v>
      </c>
      <c r="R59" s="7" t="s">
        <v>22</v>
      </c>
      <c r="S59" s="7" t="s">
        <v>22</v>
      </c>
      <c r="T59" s="7">
        <v>0.3</v>
      </c>
      <c r="U59" s="7">
        <v>0.3</v>
      </c>
      <c r="V59" s="7">
        <v>0.3</v>
      </c>
      <c r="W59" s="7" t="s">
        <v>22</v>
      </c>
      <c r="X59" s="7" t="s">
        <v>22</v>
      </c>
      <c r="Y59" s="7" t="s">
        <v>22</v>
      </c>
      <c r="Z59" s="7" t="s">
        <v>22</v>
      </c>
      <c r="AA59" s="7">
        <v>6.2</v>
      </c>
      <c r="AB59" s="7">
        <v>25</v>
      </c>
      <c r="AC59" s="7">
        <v>16.3</v>
      </c>
      <c r="AD59" s="7">
        <v>0.4457478005865102</v>
      </c>
      <c r="AE59" s="7">
        <v>0.4457478005865102</v>
      </c>
    </row>
    <row r="60" spans="1:31" x14ac:dyDescent="0.25">
      <c r="A60" s="8">
        <v>58</v>
      </c>
      <c r="B60" s="8">
        <v>4</v>
      </c>
      <c r="C60" s="7" t="s">
        <v>22</v>
      </c>
      <c r="D60" s="7" t="s">
        <v>22</v>
      </c>
      <c r="E60" s="7">
        <v>2.8</v>
      </c>
      <c r="F60" s="7">
        <v>2.8</v>
      </c>
      <c r="G60" s="7">
        <v>2.6</v>
      </c>
      <c r="H60" s="7">
        <v>2.6</v>
      </c>
      <c r="I60" s="7" t="s">
        <v>22</v>
      </c>
      <c r="J60" s="7" t="s">
        <v>22</v>
      </c>
      <c r="K60" s="7" t="s">
        <v>22</v>
      </c>
      <c r="L60" s="7" t="s">
        <v>22</v>
      </c>
      <c r="M60" s="7">
        <v>0.65</v>
      </c>
      <c r="N60" s="7">
        <v>0.55000000000000004</v>
      </c>
      <c r="O60" s="7">
        <v>0.4</v>
      </c>
      <c r="P60" s="7">
        <v>0.2</v>
      </c>
      <c r="Q60" s="7" t="s">
        <v>22</v>
      </c>
      <c r="R60" s="7" t="s">
        <v>22</v>
      </c>
      <c r="S60" s="7" t="s">
        <v>22</v>
      </c>
      <c r="T60" s="7">
        <v>0.3</v>
      </c>
      <c r="U60" s="7">
        <v>0.3</v>
      </c>
      <c r="V60" s="7">
        <v>0.3</v>
      </c>
      <c r="W60" s="7">
        <v>0.3</v>
      </c>
      <c r="X60" s="7" t="s">
        <v>22</v>
      </c>
      <c r="Y60" s="7" t="s">
        <v>22</v>
      </c>
      <c r="Z60" s="7" t="s">
        <v>22</v>
      </c>
      <c r="AA60" s="7">
        <v>4.5</v>
      </c>
      <c r="AB60" s="7">
        <v>11.7</v>
      </c>
      <c r="AC60" s="7">
        <v>5.5</v>
      </c>
      <c r="AD60" s="7">
        <v>0.38031319910514538</v>
      </c>
      <c r="AE60" s="7">
        <v>0.35856573705179279</v>
      </c>
    </row>
    <row r="61" spans="1:31" x14ac:dyDescent="0.25">
      <c r="A61" s="8">
        <v>59</v>
      </c>
      <c r="B61" s="8">
        <v>3</v>
      </c>
      <c r="C61" s="7" t="s">
        <v>22</v>
      </c>
      <c r="D61" s="7">
        <v>2.6</v>
      </c>
      <c r="E61" s="7">
        <v>3.8</v>
      </c>
      <c r="F61" s="7">
        <v>3.6</v>
      </c>
      <c r="G61" s="7">
        <v>2.6</v>
      </c>
      <c r="H61" s="7" t="s">
        <v>22</v>
      </c>
      <c r="I61" s="7" t="s">
        <v>22</v>
      </c>
      <c r="J61" s="7" t="s">
        <v>22</v>
      </c>
      <c r="K61" s="7" t="s">
        <v>22</v>
      </c>
      <c r="L61" s="7" t="s">
        <v>22</v>
      </c>
      <c r="M61" s="7">
        <v>0.6</v>
      </c>
      <c r="N61" s="7">
        <v>0.6</v>
      </c>
      <c r="O61" s="7">
        <v>0.4</v>
      </c>
      <c r="P61" s="7">
        <v>0.4</v>
      </c>
      <c r="Q61" s="7" t="s">
        <v>22</v>
      </c>
      <c r="R61" s="7" t="s">
        <v>22</v>
      </c>
      <c r="S61" s="7" t="s">
        <v>22</v>
      </c>
      <c r="T61" s="7">
        <v>0.35</v>
      </c>
      <c r="U61" s="7">
        <v>0.35</v>
      </c>
      <c r="V61" s="7">
        <v>0.35</v>
      </c>
      <c r="W61" s="7">
        <v>0.35</v>
      </c>
      <c r="X61" s="7" t="s">
        <v>22</v>
      </c>
      <c r="Y61" s="7" t="s">
        <v>22</v>
      </c>
      <c r="Z61" s="7" t="s">
        <v>22</v>
      </c>
      <c r="AA61" s="7">
        <v>6.2</v>
      </c>
      <c r="AB61" s="7">
        <v>19.5</v>
      </c>
      <c r="AC61" s="7">
        <v>12.999999999999998</v>
      </c>
      <c r="AD61" s="7">
        <v>0.64308681672025725</v>
      </c>
      <c r="AE61" s="7">
        <v>0.63775510204081631</v>
      </c>
    </row>
    <row r="62" spans="1:31" x14ac:dyDescent="0.25">
      <c r="A62" s="8">
        <v>60</v>
      </c>
      <c r="B62" s="8">
        <v>2</v>
      </c>
      <c r="C62" s="7" t="s">
        <v>22</v>
      </c>
      <c r="D62" s="7" t="s">
        <v>22</v>
      </c>
      <c r="E62" s="7">
        <v>3.3</v>
      </c>
      <c r="F62" s="7">
        <v>3.1</v>
      </c>
      <c r="G62" s="7" t="s">
        <v>22</v>
      </c>
      <c r="H62" s="7" t="s">
        <v>22</v>
      </c>
      <c r="I62" s="7" t="s">
        <v>22</v>
      </c>
      <c r="J62" s="7" t="s">
        <v>22</v>
      </c>
      <c r="K62" s="7" t="s">
        <v>22</v>
      </c>
      <c r="L62" s="7" t="s">
        <v>22</v>
      </c>
      <c r="M62" s="7">
        <v>0.5</v>
      </c>
      <c r="N62" s="7">
        <v>0.4</v>
      </c>
      <c r="O62" s="7" t="s">
        <v>22</v>
      </c>
      <c r="P62" s="7" t="s">
        <v>22</v>
      </c>
      <c r="Q62" s="7" t="s">
        <v>22</v>
      </c>
      <c r="R62" s="7" t="s">
        <v>22</v>
      </c>
      <c r="S62" s="7" t="s">
        <v>22</v>
      </c>
      <c r="T62" s="7">
        <v>0.3</v>
      </c>
      <c r="U62" s="7">
        <v>0.3</v>
      </c>
      <c r="V62" s="7" t="s">
        <v>22</v>
      </c>
      <c r="W62" s="7" t="s">
        <v>22</v>
      </c>
      <c r="X62" s="7" t="s">
        <v>22</v>
      </c>
      <c r="Y62" s="7" t="s">
        <v>22</v>
      </c>
      <c r="Z62" s="7" t="s">
        <v>22</v>
      </c>
      <c r="AA62" s="7">
        <v>5.6</v>
      </c>
      <c r="AB62" s="7">
        <v>12</v>
      </c>
      <c r="AC62" s="7">
        <v>6</v>
      </c>
      <c r="AD62" s="7">
        <v>0.49450549450549447</v>
      </c>
      <c r="AE62" s="7">
        <v>0.56224899598393574</v>
      </c>
    </row>
    <row r="63" spans="1:31" x14ac:dyDescent="0.25">
      <c r="A63" s="8">
        <v>61</v>
      </c>
      <c r="B63" s="8">
        <v>4</v>
      </c>
      <c r="C63" s="7" t="s">
        <v>22</v>
      </c>
      <c r="D63" s="7" t="s">
        <v>22</v>
      </c>
      <c r="E63" s="7">
        <v>4</v>
      </c>
      <c r="F63" s="7">
        <v>3.6</v>
      </c>
      <c r="G63" s="7">
        <v>3.9</v>
      </c>
      <c r="H63" s="7">
        <v>3.5</v>
      </c>
      <c r="I63" s="7" t="s">
        <v>22</v>
      </c>
      <c r="J63" s="7" t="s">
        <v>22</v>
      </c>
      <c r="K63" s="7" t="s">
        <v>22</v>
      </c>
      <c r="L63" s="7" t="s">
        <v>22</v>
      </c>
      <c r="M63" s="7">
        <v>0.6</v>
      </c>
      <c r="N63" s="7">
        <v>0.6</v>
      </c>
      <c r="O63" s="7">
        <v>0.6</v>
      </c>
      <c r="P63" s="7">
        <v>0.6</v>
      </c>
      <c r="Q63" s="7" t="s">
        <v>22</v>
      </c>
      <c r="R63" s="7" t="s">
        <v>22</v>
      </c>
      <c r="S63" s="7" t="s">
        <v>22</v>
      </c>
      <c r="T63" s="7">
        <v>0.4</v>
      </c>
      <c r="U63" s="7">
        <v>0.35</v>
      </c>
      <c r="V63" s="7">
        <v>0.35</v>
      </c>
      <c r="W63" s="7">
        <v>0.35</v>
      </c>
      <c r="X63" s="7" t="s">
        <v>22</v>
      </c>
      <c r="Y63" s="7" t="s">
        <v>22</v>
      </c>
      <c r="Z63" s="7" t="s">
        <v>22</v>
      </c>
      <c r="AA63" s="7">
        <v>6.7</v>
      </c>
      <c r="AB63" s="7">
        <v>17.399999999999999</v>
      </c>
      <c r="AC63" s="7">
        <v>13.7</v>
      </c>
      <c r="AD63" s="7">
        <v>0.45643431635388748</v>
      </c>
      <c r="AE63" s="7">
        <v>0.67449664429530209</v>
      </c>
    </row>
    <row r="64" spans="1:31" x14ac:dyDescent="0.25">
      <c r="A64" s="8">
        <v>62</v>
      </c>
      <c r="B64" s="8">
        <v>4</v>
      </c>
      <c r="C64" s="7" t="s">
        <v>22</v>
      </c>
      <c r="D64" s="7">
        <v>3</v>
      </c>
      <c r="E64" s="7">
        <v>3.8</v>
      </c>
      <c r="F64" s="7">
        <v>3.4</v>
      </c>
      <c r="G64" s="7">
        <v>3</v>
      </c>
      <c r="H64" s="7" t="s">
        <v>22</v>
      </c>
      <c r="I64" s="7" t="s">
        <v>22</v>
      </c>
      <c r="J64" s="7" t="s">
        <v>22</v>
      </c>
      <c r="K64" s="7" t="s">
        <v>22</v>
      </c>
      <c r="L64" s="7" t="s">
        <v>22</v>
      </c>
      <c r="M64" s="7">
        <v>0.5</v>
      </c>
      <c r="N64" s="7">
        <v>0.5</v>
      </c>
      <c r="O64" s="7">
        <v>0.5</v>
      </c>
      <c r="P64" s="7">
        <v>0.3</v>
      </c>
      <c r="Q64" s="7" t="s">
        <v>22</v>
      </c>
      <c r="R64" s="7" t="s">
        <v>22</v>
      </c>
      <c r="S64" s="7" t="s">
        <v>22</v>
      </c>
      <c r="T64" s="7">
        <v>0.3</v>
      </c>
      <c r="U64" s="7">
        <v>0.3</v>
      </c>
      <c r="V64" s="7">
        <v>0.3</v>
      </c>
      <c r="W64" s="7">
        <v>0.3</v>
      </c>
      <c r="X64" s="7" t="s">
        <v>22</v>
      </c>
      <c r="Y64" s="7" t="s">
        <v>22</v>
      </c>
      <c r="Z64" s="7" t="s">
        <v>22</v>
      </c>
      <c r="AA64" s="7">
        <v>5.8</v>
      </c>
      <c r="AB64" s="7">
        <v>21</v>
      </c>
      <c r="AC64" s="7">
        <v>20.8</v>
      </c>
      <c r="AD64" s="7">
        <v>0.44</v>
      </c>
      <c r="AE64" s="7">
        <v>0.55000000000000004</v>
      </c>
    </row>
    <row r="65" spans="1:31" x14ac:dyDescent="0.25">
      <c r="A65" s="8">
        <v>63</v>
      </c>
      <c r="B65" s="8">
        <v>3</v>
      </c>
      <c r="C65" s="7" t="s">
        <v>22</v>
      </c>
      <c r="D65" s="7" t="s">
        <v>22</v>
      </c>
      <c r="E65" s="7">
        <v>4.0999999999999996</v>
      </c>
      <c r="F65" s="7">
        <v>4.0999999999999996</v>
      </c>
      <c r="G65" s="7">
        <v>4.0999999999999996</v>
      </c>
      <c r="H65" s="7" t="s">
        <v>22</v>
      </c>
      <c r="I65" s="7" t="s">
        <v>22</v>
      </c>
      <c r="J65" s="7" t="s">
        <v>22</v>
      </c>
      <c r="K65" s="7" t="s">
        <v>22</v>
      </c>
      <c r="L65" s="7" t="s">
        <v>22</v>
      </c>
      <c r="M65" s="7">
        <v>0.65</v>
      </c>
      <c r="N65" s="7">
        <v>0.65</v>
      </c>
      <c r="O65" s="7">
        <v>0.65</v>
      </c>
      <c r="P65" s="7" t="s">
        <v>22</v>
      </c>
      <c r="Q65" s="7" t="s">
        <v>22</v>
      </c>
      <c r="R65" s="7" t="s">
        <v>22</v>
      </c>
      <c r="S65" s="7" t="s">
        <v>22</v>
      </c>
      <c r="T65" s="7">
        <v>0.5</v>
      </c>
      <c r="U65" s="7">
        <v>0.5</v>
      </c>
      <c r="V65" s="7">
        <v>0.5</v>
      </c>
      <c r="W65" s="7" t="s">
        <v>22</v>
      </c>
      <c r="X65" s="7" t="s">
        <v>22</v>
      </c>
      <c r="Y65" s="7" t="s">
        <v>22</v>
      </c>
      <c r="Z65" s="7" t="s">
        <v>22</v>
      </c>
      <c r="AA65" s="7">
        <v>12</v>
      </c>
      <c r="AB65" s="7">
        <v>18</v>
      </c>
      <c r="AC65" s="7">
        <v>34.74</v>
      </c>
      <c r="AD65" s="7">
        <v>0.4008403361344538</v>
      </c>
      <c r="AE65" s="7">
        <v>0.49064625850340132</v>
      </c>
    </row>
    <row r="66" spans="1:31" x14ac:dyDescent="0.25">
      <c r="A66" s="8">
        <v>64</v>
      </c>
      <c r="B66" s="8">
        <v>6</v>
      </c>
      <c r="C66" s="7" t="s">
        <v>22</v>
      </c>
      <c r="D66" s="7" t="s">
        <v>22</v>
      </c>
      <c r="E66" s="7">
        <v>4</v>
      </c>
      <c r="F66" s="7">
        <v>2.9</v>
      </c>
      <c r="G66" s="7">
        <v>3.8</v>
      </c>
      <c r="H66" s="7">
        <v>4</v>
      </c>
      <c r="I66" s="7">
        <v>3.6</v>
      </c>
      <c r="J66" s="7">
        <v>2.8</v>
      </c>
      <c r="K66" s="7" t="s">
        <v>22</v>
      </c>
      <c r="L66" s="7" t="s">
        <v>22</v>
      </c>
      <c r="M66" s="7">
        <v>0.8</v>
      </c>
      <c r="N66" s="7">
        <v>0.75</v>
      </c>
      <c r="O66" s="7">
        <v>0.75</v>
      </c>
      <c r="P66" s="7">
        <v>0.75</v>
      </c>
      <c r="Q66" s="7">
        <v>0.55000000000000004</v>
      </c>
      <c r="R66" s="7">
        <v>0.35</v>
      </c>
      <c r="S66" s="7" t="s">
        <v>22</v>
      </c>
      <c r="T66" s="7">
        <v>0.5</v>
      </c>
      <c r="U66" s="7">
        <v>0.5</v>
      </c>
      <c r="V66" s="7">
        <v>0.5</v>
      </c>
      <c r="W66" s="7">
        <v>0.4</v>
      </c>
      <c r="X66" s="7">
        <v>0.4</v>
      </c>
      <c r="Y66" s="7">
        <v>0.4</v>
      </c>
      <c r="Z66" s="7" t="s">
        <v>22</v>
      </c>
      <c r="AA66" s="7">
        <v>7.5</v>
      </c>
      <c r="AB66" s="7">
        <v>18.5</v>
      </c>
      <c r="AC66" s="7">
        <v>33.1</v>
      </c>
      <c r="AD66" s="7">
        <v>0.3459760956175299</v>
      </c>
      <c r="AE66" s="7">
        <v>0.64768683274021344</v>
      </c>
    </row>
    <row r="67" spans="1:31" x14ac:dyDescent="0.25">
      <c r="A67" s="8">
        <v>65</v>
      </c>
      <c r="B67" s="8">
        <v>5</v>
      </c>
      <c r="C67" s="7" t="s">
        <v>22</v>
      </c>
      <c r="D67" s="7" t="s">
        <v>22</v>
      </c>
      <c r="E67" s="7">
        <v>3.8</v>
      </c>
      <c r="F67" s="7">
        <v>4</v>
      </c>
      <c r="G67" s="7">
        <v>3.5</v>
      </c>
      <c r="H67" s="7">
        <v>3.4</v>
      </c>
      <c r="I67" s="7">
        <v>3</v>
      </c>
      <c r="J67" s="7" t="s">
        <v>22</v>
      </c>
      <c r="K67" s="7" t="s">
        <v>22</v>
      </c>
      <c r="L67" s="7" t="s">
        <v>22</v>
      </c>
      <c r="M67" s="7">
        <v>0.65</v>
      </c>
      <c r="N67" s="7">
        <v>0.65</v>
      </c>
      <c r="O67" s="7">
        <v>0.65</v>
      </c>
      <c r="P67" s="7">
        <v>0.55000000000000004</v>
      </c>
      <c r="Q67" s="7">
        <v>0.4</v>
      </c>
      <c r="R67" s="7" t="s">
        <v>22</v>
      </c>
      <c r="S67" s="7" t="s">
        <v>22</v>
      </c>
      <c r="T67" s="7">
        <v>0.4</v>
      </c>
      <c r="U67" s="7">
        <v>0.4</v>
      </c>
      <c r="V67" s="7">
        <v>0.4</v>
      </c>
      <c r="W67" s="7">
        <v>0.35</v>
      </c>
      <c r="X67" s="7">
        <v>0.35</v>
      </c>
      <c r="Y67" s="7">
        <v>0.35</v>
      </c>
      <c r="Z67" s="7" t="s">
        <v>22</v>
      </c>
      <c r="AA67" s="7">
        <v>6.3</v>
      </c>
      <c r="AB67" s="7">
        <v>19.7</v>
      </c>
      <c r="AC67" s="7">
        <v>10.1</v>
      </c>
      <c r="AD67" s="7">
        <v>0.69979296066252583</v>
      </c>
      <c r="AE67" s="7">
        <v>0.7366071428571429</v>
      </c>
    </row>
    <row r="68" spans="1:31" x14ac:dyDescent="0.25">
      <c r="A68" s="8">
        <v>66</v>
      </c>
      <c r="B68" s="8">
        <v>2</v>
      </c>
      <c r="C68" s="7" t="s">
        <v>22</v>
      </c>
      <c r="D68" s="7" t="s">
        <v>22</v>
      </c>
      <c r="E68" s="7">
        <v>3.2</v>
      </c>
      <c r="F68" s="7">
        <v>4</v>
      </c>
      <c r="G68" s="7" t="s">
        <v>22</v>
      </c>
      <c r="H68" s="7" t="s">
        <v>22</v>
      </c>
      <c r="I68" s="7" t="s">
        <v>22</v>
      </c>
      <c r="J68" s="7" t="s">
        <v>22</v>
      </c>
      <c r="K68" s="7" t="s">
        <v>22</v>
      </c>
      <c r="L68" s="7" t="s">
        <v>22</v>
      </c>
      <c r="M68" s="7">
        <v>0.6</v>
      </c>
      <c r="N68" s="7">
        <v>0.6</v>
      </c>
      <c r="O68" s="7" t="s">
        <v>22</v>
      </c>
      <c r="P68" s="7" t="s">
        <v>22</v>
      </c>
      <c r="Q68" s="7" t="s">
        <v>22</v>
      </c>
      <c r="R68" s="7" t="s">
        <v>22</v>
      </c>
      <c r="S68" s="7" t="s">
        <v>22</v>
      </c>
      <c r="T68" s="7">
        <v>0.25</v>
      </c>
      <c r="U68" s="7">
        <v>0.25</v>
      </c>
      <c r="V68" s="7" t="s">
        <v>22</v>
      </c>
      <c r="W68" s="7" t="s">
        <v>22</v>
      </c>
      <c r="X68" s="7" t="s">
        <v>22</v>
      </c>
      <c r="Y68" s="7" t="s">
        <v>22</v>
      </c>
      <c r="Z68" s="7" t="s">
        <v>22</v>
      </c>
      <c r="AA68" s="7">
        <v>5</v>
      </c>
      <c r="AB68" s="7">
        <v>13</v>
      </c>
      <c r="AC68" s="7">
        <v>4.4000000000000004</v>
      </c>
      <c r="AD68" s="7">
        <v>0.41506849315068495</v>
      </c>
      <c r="AE68" s="7">
        <v>0.53403141361256534</v>
      </c>
    </row>
    <row r="69" spans="1:31" x14ac:dyDescent="0.25">
      <c r="A69" s="8">
        <v>67</v>
      </c>
      <c r="B69" s="8">
        <v>5</v>
      </c>
      <c r="C69" s="7" t="s">
        <v>22</v>
      </c>
      <c r="D69" s="7" t="s">
        <v>22</v>
      </c>
      <c r="E69" s="7">
        <v>3.5</v>
      </c>
      <c r="F69" s="7">
        <v>3.5</v>
      </c>
      <c r="G69" s="7">
        <v>3.2</v>
      </c>
      <c r="H69" s="7">
        <v>3.2</v>
      </c>
      <c r="I69" s="7">
        <v>2.9</v>
      </c>
      <c r="J69" s="7" t="s">
        <v>22</v>
      </c>
      <c r="K69" s="7" t="s">
        <v>22</v>
      </c>
      <c r="L69" s="7" t="s">
        <v>22</v>
      </c>
      <c r="M69" s="7">
        <v>1</v>
      </c>
      <c r="N69" s="7">
        <v>0.8</v>
      </c>
      <c r="O69" s="7">
        <v>0.7</v>
      </c>
      <c r="P69" s="7">
        <v>0.65</v>
      </c>
      <c r="Q69" s="7">
        <v>0.65</v>
      </c>
      <c r="R69" s="7" t="s">
        <v>22</v>
      </c>
      <c r="S69" s="7" t="s">
        <v>22</v>
      </c>
      <c r="T69" s="7">
        <v>0.75</v>
      </c>
      <c r="U69" s="7">
        <v>0.75</v>
      </c>
      <c r="V69" s="7">
        <v>0.75</v>
      </c>
      <c r="W69" s="7">
        <v>0.7</v>
      </c>
      <c r="X69" s="7">
        <v>0.7</v>
      </c>
      <c r="Y69" s="7" t="s">
        <v>22</v>
      </c>
      <c r="Z69" s="7" t="s">
        <v>22</v>
      </c>
      <c r="AA69" s="7">
        <v>7.1</v>
      </c>
      <c r="AB69" s="7">
        <v>18.2</v>
      </c>
      <c r="AC69" s="7">
        <v>25.099999999999998</v>
      </c>
      <c r="AD69" s="7">
        <v>0.44</v>
      </c>
      <c r="AE69" s="7">
        <v>0.55000000000000004</v>
      </c>
    </row>
    <row r="70" spans="1:31" x14ac:dyDescent="0.25">
      <c r="A70" s="8">
        <v>68</v>
      </c>
      <c r="B70" s="8">
        <v>2</v>
      </c>
      <c r="C70" s="7" t="s">
        <v>22</v>
      </c>
      <c r="D70" s="7" t="s">
        <v>22</v>
      </c>
      <c r="E70" s="7">
        <v>4</v>
      </c>
      <c r="F70" s="7">
        <v>3.4</v>
      </c>
      <c r="G70" s="7" t="s">
        <v>22</v>
      </c>
      <c r="H70" s="7" t="s">
        <v>22</v>
      </c>
      <c r="I70" s="7" t="s">
        <v>22</v>
      </c>
      <c r="J70" s="7" t="s">
        <v>22</v>
      </c>
      <c r="K70" s="7" t="s">
        <v>22</v>
      </c>
      <c r="L70" s="7" t="s">
        <v>22</v>
      </c>
      <c r="M70" s="7">
        <v>0.45</v>
      </c>
      <c r="N70" s="7">
        <v>0.45</v>
      </c>
      <c r="O70" s="7" t="s">
        <v>22</v>
      </c>
      <c r="P70" s="7" t="s">
        <v>22</v>
      </c>
      <c r="Q70" s="7" t="s">
        <v>22</v>
      </c>
      <c r="R70" s="7" t="s">
        <v>22</v>
      </c>
      <c r="S70" s="7" t="s">
        <v>22</v>
      </c>
      <c r="T70" s="7">
        <v>0.5</v>
      </c>
      <c r="U70" s="7">
        <v>0.5</v>
      </c>
      <c r="V70" s="7" t="s">
        <v>22</v>
      </c>
      <c r="W70" s="7" t="s">
        <v>22</v>
      </c>
      <c r="X70" s="7" t="s">
        <v>22</v>
      </c>
      <c r="Y70" s="7" t="s">
        <v>22</v>
      </c>
      <c r="Z70" s="7" t="s">
        <v>22</v>
      </c>
      <c r="AA70" s="7">
        <v>5.5</v>
      </c>
      <c r="AB70" s="7">
        <v>13.6</v>
      </c>
      <c r="AC70" s="7">
        <v>4.25</v>
      </c>
      <c r="AD70" s="7">
        <v>0.42592592592592587</v>
      </c>
      <c r="AE70" s="7">
        <v>0.72347826086956524</v>
      </c>
    </row>
    <row r="71" spans="1:31" x14ac:dyDescent="0.25">
      <c r="A71" s="8">
        <v>69</v>
      </c>
      <c r="B71" s="8">
        <v>5</v>
      </c>
      <c r="C71" s="7" t="s">
        <v>22</v>
      </c>
      <c r="D71" s="7" t="s">
        <v>22</v>
      </c>
      <c r="E71" s="7">
        <v>4</v>
      </c>
      <c r="F71" s="7">
        <v>4</v>
      </c>
      <c r="G71" s="7">
        <v>4</v>
      </c>
      <c r="H71" s="7">
        <v>4</v>
      </c>
      <c r="I71" s="7">
        <v>3.2</v>
      </c>
      <c r="J71" s="7" t="s">
        <v>22</v>
      </c>
      <c r="K71" s="7" t="s">
        <v>22</v>
      </c>
      <c r="L71" s="7" t="s">
        <v>22</v>
      </c>
      <c r="M71" s="7">
        <v>0.65</v>
      </c>
      <c r="N71" s="7">
        <v>0.65</v>
      </c>
      <c r="O71" s="7">
        <v>0.6</v>
      </c>
      <c r="P71" s="7">
        <v>0.6</v>
      </c>
      <c r="Q71" s="7">
        <v>0.4</v>
      </c>
      <c r="R71" s="7" t="s">
        <v>22</v>
      </c>
      <c r="S71" s="7" t="s">
        <v>22</v>
      </c>
      <c r="T71" s="7">
        <v>0.3</v>
      </c>
      <c r="U71" s="7">
        <v>0.3</v>
      </c>
      <c r="V71" s="7">
        <v>0.3</v>
      </c>
      <c r="W71" s="7">
        <v>0.3</v>
      </c>
      <c r="X71" s="7">
        <v>0.3</v>
      </c>
      <c r="Y71" s="7" t="s">
        <v>22</v>
      </c>
      <c r="Z71" s="7" t="s">
        <v>22</v>
      </c>
      <c r="AA71" s="7">
        <v>9.5</v>
      </c>
      <c r="AB71" s="7">
        <v>15.5</v>
      </c>
      <c r="AC71" s="7">
        <v>20.6</v>
      </c>
      <c r="AD71" s="7">
        <v>0.6</v>
      </c>
      <c r="AE71" s="7">
        <v>0.89673913043478271</v>
      </c>
    </row>
    <row r="72" spans="1:31" x14ac:dyDescent="0.25">
      <c r="A72" s="8">
        <v>70</v>
      </c>
      <c r="B72" s="8">
        <v>3</v>
      </c>
      <c r="C72" s="7" t="s">
        <v>22</v>
      </c>
      <c r="D72" s="7" t="s">
        <v>22</v>
      </c>
      <c r="E72" s="7">
        <v>4.0999999999999996</v>
      </c>
      <c r="F72" s="7">
        <v>4.0999999999999996</v>
      </c>
      <c r="G72" s="7">
        <v>4.0999999999999996</v>
      </c>
      <c r="H72" s="7" t="s">
        <v>22</v>
      </c>
      <c r="I72" s="7" t="s">
        <v>22</v>
      </c>
      <c r="J72" s="7" t="s">
        <v>22</v>
      </c>
      <c r="K72" s="7" t="s">
        <v>22</v>
      </c>
      <c r="L72" s="7" t="s">
        <v>22</v>
      </c>
      <c r="M72" s="7">
        <v>0.85</v>
      </c>
      <c r="N72" s="7">
        <v>0.75</v>
      </c>
      <c r="O72" s="7">
        <v>0.65</v>
      </c>
      <c r="P72" s="7" t="s">
        <v>22</v>
      </c>
      <c r="Q72" s="7" t="s">
        <v>22</v>
      </c>
      <c r="R72" s="7" t="s">
        <v>22</v>
      </c>
      <c r="S72" s="7" t="s">
        <v>22</v>
      </c>
      <c r="T72" s="7">
        <v>0.5</v>
      </c>
      <c r="U72" s="7">
        <v>0.5</v>
      </c>
      <c r="V72" s="7">
        <v>0.5</v>
      </c>
      <c r="W72" s="7" t="s">
        <v>22</v>
      </c>
      <c r="X72" s="7" t="s">
        <v>22</v>
      </c>
      <c r="Y72" s="7" t="s">
        <v>22</v>
      </c>
      <c r="Z72" s="7" t="s">
        <v>22</v>
      </c>
      <c r="AA72" s="7">
        <v>8</v>
      </c>
      <c r="AB72" s="7">
        <v>21</v>
      </c>
      <c r="AC72" s="7">
        <v>19</v>
      </c>
      <c r="AD72" s="7">
        <v>0.36544850498338871</v>
      </c>
      <c r="AE72" s="7">
        <v>0.58153846153846145</v>
      </c>
    </row>
    <row r="73" spans="1:31" x14ac:dyDescent="0.25">
      <c r="A73" s="8">
        <v>71</v>
      </c>
      <c r="B73" s="8">
        <v>2</v>
      </c>
      <c r="C73" s="7" t="s">
        <v>22</v>
      </c>
      <c r="D73" s="7" t="s">
        <v>22</v>
      </c>
      <c r="E73" s="7">
        <v>3.1</v>
      </c>
      <c r="F73" s="7">
        <v>3.1</v>
      </c>
      <c r="G73" s="7" t="s">
        <v>22</v>
      </c>
      <c r="H73" s="7" t="s">
        <v>22</v>
      </c>
      <c r="I73" s="7" t="s">
        <v>22</v>
      </c>
      <c r="J73" s="7" t="s">
        <v>22</v>
      </c>
      <c r="K73" s="7" t="s">
        <v>22</v>
      </c>
      <c r="L73" s="7" t="s">
        <v>22</v>
      </c>
      <c r="M73" s="7">
        <v>0.75</v>
      </c>
      <c r="N73" s="7">
        <v>0.6</v>
      </c>
      <c r="O73" s="7" t="s">
        <v>22</v>
      </c>
      <c r="P73" s="7" t="s">
        <v>22</v>
      </c>
      <c r="Q73" s="7" t="s">
        <v>22</v>
      </c>
      <c r="R73" s="7" t="s">
        <v>22</v>
      </c>
      <c r="S73" s="7" t="s">
        <v>22</v>
      </c>
      <c r="T73" s="7">
        <v>0.75</v>
      </c>
      <c r="U73" s="7">
        <v>0.6</v>
      </c>
      <c r="V73" s="7" t="s">
        <v>22</v>
      </c>
      <c r="W73" s="7" t="s">
        <v>22</v>
      </c>
      <c r="X73" s="7" t="s">
        <v>22</v>
      </c>
      <c r="Y73" s="7" t="s">
        <v>22</v>
      </c>
      <c r="Z73" s="7" t="s">
        <v>22</v>
      </c>
      <c r="AA73" s="7">
        <v>6</v>
      </c>
      <c r="AB73" s="7">
        <v>16</v>
      </c>
      <c r="AC73" s="7">
        <v>2.1</v>
      </c>
      <c r="AD73" s="7">
        <v>0.25543478260869568</v>
      </c>
      <c r="AE73" s="7">
        <v>0.25391304347826088</v>
      </c>
    </row>
    <row r="74" spans="1:31" x14ac:dyDescent="0.25">
      <c r="A74" s="8">
        <v>72</v>
      </c>
      <c r="B74" s="8">
        <v>2</v>
      </c>
      <c r="C74" s="7" t="s">
        <v>22</v>
      </c>
      <c r="D74" s="7" t="s">
        <v>22</v>
      </c>
      <c r="E74" s="7">
        <v>3.6</v>
      </c>
      <c r="F74" s="7">
        <v>3.4</v>
      </c>
      <c r="G74" s="7" t="s">
        <v>22</v>
      </c>
      <c r="H74" s="7" t="s">
        <v>22</v>
      </c>
      <c r="I74" s="7" t="s">
        <v>22</v>
      </c>
      <c r="J74" s="7" t="s">
        <v>22</v>
      </c>
      <c r="K74" s="7" t="s">
        <v>22</v>
      </c>
      <c r="L74" s="7" t="s">
        <v>22</v>
      </c>
      <c r="M74" s="7">
        <v>0.65</v>
      </c>
      <c r="N74" s="7">
        <v>0.65</v>
      </c>
      <c r="O74" s="7" t="s">
        <v>22</v>
      </c>
      <c r="P74" s="7" t="s">
        <v>22</v>
      </c>
      <c r="Q74" s="7" t="s">
        <v>22</v>
      </c>
      <c r="R74" s="7" t="s">
        <v>22</v>
      </c>
      <c r="S74" s="7" t="s">
        <v>22</v>
      </c>
      <c r="T74" s="7">
        <v>0.65</v>
      </c>
      <c r="U74" s="7">
        <v>0.65</v>
      </c>
      <c r="V74" s="7" t="s">
        <v>22</v>
      </c>
      <c r="W74" s="7" t="s">
        <v>22</v>
      </c>
      <c r="X74" s="7" t="s">
        <v>22</v>
      </c>
      <c r="Y74" s="7" t="s">
        <v>22</v>
      </c>
      <c r="Z74" s="7" t="s">
        <v>22</v>
      </c>
      <c r="AA74" s="7">
        <v>8.8000000000000007</v>
      </c>
      <c r="AB74" s="7">
        <v>19</v>
      </c>
      <c r="AC74" s="7">
        <v>10.64</v>
      </c>
      <c r="AD74" s="7">
        <v>0.44</v>
      </c>
      <c r="AE74" s="7">
        <v>0.56000000000000005</v>
      </c>
    </row>
    <row r="75" spans="1:31" x14ac:dyDescent="0.25">
      <c r="A75" s="8">
        <v>73</v>
      </c>
      <c r="B75" s="8">
        <v>3</v>
      </c>
      <c r="C75" s="7" t="s">
        <v>22</v>
      </c>
      <c r="D75" s="7" t="s">
        <v>22</v>
      </c>
      <c r="E75" s="7">
        <v>3.6</v>
      </c>
      <c r="F75" s="7">
        <v>4.3</v>
      </c>
      <c r="G75" s="7">
        <v>3.4</v>
      </c>
      <c r="H75" s="7" t="s">
        <v>22</v>
      </c>
      <c r="I75" s="7" t="s">
        <v>22</v>
      </c>
      <c r="J75" s="7" t="s">
        <v>22</v>
      </c>
      <c r="K75" s="7" t="s">
        <v>22</v>
      </c>
      <c r="L75" s="7" t="s">
        <v>22</v>
      </c>
      <c r="M75" s="7">
        <v>0.7</v>
      </c>
      <c r="N75" s="7">
        <v>0.65</v>
      </c>
      <c r="O75" s="7">
        <v>0.2</v>
      </c>
      <c r="P75" s="7" t="s">
        <v>22</v>
      </c>
      <c r="Q75" s="7" t="s">
        <v>22</v>
      </c>
      <c r="R75" s="7" t="s">
        <v>22</v>
      </c>
      <c r="S75" s="7" t="s">
        <v>22</v>
      </c>
      <c r="T75" s="7">
        <v>0.6</v>
      </c>
      <c r="U75" s="7">
        <v>0.6</v>
      </c>
      <c r="V75" s="7">
        <v>0.5</v>
      </c>
      <c r="W75" s="7" t="s">
        <v>22</v>
      </c>
      <c r="X75" s="7" t="s">
        <v>22</v>
      </c>
      <c r="Y75" s="7" t="s">
        <v>22</v>
      </c>
      <c r="Z75" s="7" t="s">
        <v>22</v>
      </c>
      <c r="AA75" s="7">
        <v>11</v>
      </c>
      <c r="AB75" s="7">
        <v>22</v>
      </c>
      <c r="AC75" s="7">
        <v>30.599999999999998</v>
      </c>
      <c r="AD75" s="7">
        <v>0.46875</v>
      </c>
      <c r="AE75" s="7">
        <v>0.49625000000000002</v>
      </c>
    </row>
    <row r="76" spans="1:31" x14ac:dyDescent="0.25">
      <c r="A76" s="8">
        <v>74</v>
      </c>
      <c r="B76" s="8">
        <v>2</v>
      </c>
      <c r="C76" s="7" t="s">
        <v>22</v>
      </c>
      <c r="D76" s="7" t="s">
        <v>22</v>
      </c>
      <c r="E76" s="7">
        <v>2.8</v>
      </c>
      <c r="F76" s="7">
        <v>2.9</v>
      </c>
      <c r="G76" s="7" t="s">
        <v>22</v>
      </c>
      <c r="H76" s="7" t="s">
        <v>22</v>
      </c>
      <c r="I76" s="7" t="s">
        <v>22</v>
      </c>
      <c r="J76" s="7" t="s">
        <v>22</v>
      </c>
      <c r="K76" s="7" t="s">
        <v>22</v>
      </c>
      <c r="L76" s="7" t="s">
        <v>22</v>
      </c>
      <c r="M76" s="7">
        <v>0.6</v>
      </c>
      <c r="N76" s="7">
        <v>0.6</v>
      </c>
      <c r="O76" s="7" t="s">
        <v>22</v>
      </c>
      <c r="P76" s="7" t="s">
        <v>22</v>
      </c>
      <c r="Q76" s="7" t="s">
        <v>22</v>
      </c>
      <c r="R76" s="7" t="s">
        <v>22</v>
      </c>
      <c r="S76" s="7" t="s">
        <v>22</v>
      </c>
      <c r="T76" s="7">
        <v>0.25</v>
      </c>
      <c r="U76" s="7">
        <v>0.25</v>
      </c>
      <c r="V76" s="7" t="s">
        <v>22</v>
      </c>
      <c r="W76" s="7" t="s">
        <v>22</v>
      </c>
      <c r="X76" s="7" t="s">
        <v>22</v>
      </c>
      <c r="Y76" s="7" t="s">
        <v>22</v>
      </c>
      <c r="Z76" s="7" t="s">
        <v>22</v>
      </c>
      <c r="AA76" s="7">
        <v>7.4</v>
      </c>
      <c r="AB76" s="7">
        <v>8.3000000000000007</v>
      </c>
      <c r="AC76" s="7">
        <v>2.2000000000000002</v>
      </c>
      <c r="AD76" s="7">
        <v>0.28508771929824561</v>
      </c>
      <c r="AE76" s="7">
        <v>0.28508771929824561</v>
      </c>
    </row>
    <row r="77" spans="1:31" x14ac:dyDescent="0.25">
      <c r="A77" s="8">
        <v>75</v>
      </c>
      <c r="B77" s="8">
        <v>2</v>
      </c>
      <c r="C77" s="7" t="s">
        <v>22</v>
      </c>
      <c r="D77" s="7" t="s">
        <v>22</v>
      </c>
      <c r="E77" s="7">
        <v>3.8</v>
      </c>
      <c r="F77" s="7">
        <v>3.8</v>
      </c>
      <c r="G77" s="7" t="s">
        <v>22</v>
      </c>
      <c r="H77" s="7" t="s">
        <v>22</v>
      </c>
      <c r="I77" s="7" t="s">
        <v>22</v>
      </c>
      <c r="J77" s="7" t="s">
        <v>22</v>
      </c>
      <c r="K77" s="7" t="s">
        <v>22</v>
      </c>
      <c r="L77" s="7" t="s">
        <v>22</v>
      </c>
      <c r="M77" s="7">
        <v>0.55000000000000004</v>
      </c>
      <c r="N77" s="7">
        <v>0.55000000000000004</v>
      </c>
      <c r="O77" s="7" t="s">
        <v>22</v>
      </c>
      <c r="P77" s="7" t="s">
        <v>22</v>
      </c>
      <c r="Q77" s="7" t="s">
        <v>22</v>
      </c>
      <c r="R77" s="7" t="s">
        <v>22</v>
      </c>
      <c r="S77" s="7" t="s">
        <v>22</v>
      </c>
      <c r="T77" s="7">
        <v>0.55000000000000004</v>
      </c>
      <c r="U77" s="7">
        <v>0.55000000000000004</v>
      </c>
      <c r="V77" s="7" t="s">
        <v>22</v>
      </c>
      <c r="W77" s="7" t="s">
        <v>22</v>
      </c>
      <c r="X77" s="7" t="s">
        <v>22</v>
      </c>
      <c r="Y77" s="7" t="s">
        <v>22</v>
      </c>
      <c r="Z77" s="7" t="s">
        <v>22</v>
      </c>
      <c r="AA77" s="7">
        <v>6</v>
      </c>
      <c r="AB77" s="7">
        <v>17</v>
      </c>
      <c r="AC77" s="7">
        <v>0</v>
      </c>
      <c r="AD77" s="7">
        <v>0.42766666666666669</v>
      </c>
      <c r="AE77" s="7">
        <v>0.42766666666666669</v>
      </c>
    </row>
    <row r="78" spans="1:31" x14ac:dyDescent="0.25">
      <c r="A78" s="8">
        <v>76</v>
      </c>
      <c r="B78" s="8">
        <v>2</v>
      </c>
      <c r="C78" s="7" t="s">
        <v>22</v>
      </c>
      <c r="D78" s="7" t="s">
        <v>22</v>
      </c>
      <c r="E78" s="7">
        <v>3.45</v>
      </c>
      <c r="F78" s="7">
        <v>3.5999999999999996</v>
      </c>
      <c r="G78" s="7" t="s">
        <v>22</v>
      </c>
      <c r="H78" s="7" t="s">
        <v>22</v>
      </c>
      <c r="I78" s="7" t="s">
        <v>22</v>
      </c>
      <c r="J78" s="7" t="s">
        <v>22</v>
      </c>
      <c r="K78" s="7" t="s">
        <v>22</v>
      </c>
      <c r="L78" s="7" t="s">
        <v>22</v>
      </c>
      <c r="M78" s="7">
        <v>0.6</v>
      </c>
      <c r="N78" s="7">
        <v>0.6</v>
      </c>
      <c r="O78" s="7" t="s">
        <v>22</v>
      </c>
      <c r="P78" s="7" t="s">
        <v>22</v>
      </c>
      <c r="Q78" s="7" t="s">
        <v>22</v>
      </c>
      <c r="R78" s="7" t="s">
        <v>22</v>
      </c>
      <c r="S78" s="7" t="s">
        <v>22</v>
      </c>
      <c r="T78" s="7">
        <v>0.45</v>
      </c>
      <c r="U78" s="7">
        <v>0.45</v>
      </c>
      <c r="V78" s="7" t="s">
        <v>22</v>
      </c>
      <c r="W78" s="7" t="s">
        <v>22</v>
      </c>
      <c r="X78" s="7" t="s">
        <v>22</v>
      </c>
      <c r="Y78" s="7" t="s">
        <v>22</v>
      </c>
      <c r="Z78" s="7" t="s">
        <v>22</v>
      </c>
      <c r="AA78" s="7">
        <v>5.5</v>
      </c>
      <c r="AB78" s="7">
        <v>16.7</v>
      </c>
      <c r="AC78" s="7">
        <v>11.2</v>
      </c>
      <c r="AD78" s="7">
        <v>0.44</v>
      </c>
      <c r="AE78" s="7">
        <v>0.55000000000000004</v>
      </c>
    </row>
    <row r="79" spans="1:31" x14ac:dyDescent="0.25">
      <c r="A79" s="8">
        <v>77</v>
      </c>
      <c r="B79" s="8">
        <v>2</v>
      </c>
      <c r="C79" s="7" t="s">
        <v>22</v>
      </c>
      <c r="D79" s="7" t="s">
        <v>22</v>
      </c>
      <c r="E79" s="7">
        <v>3.45</v>
      </c>
      <c r="F79" s="7">
        <v>1.8499999999999996</v>
      </c>
      <c r="G79" s="7" t="s">
        <v>22</v>
      </c>
      <c r="H79" s="7" t="s">
        <v>22</v>
      </c>
      <c r="I79" s="7" t="s">
        <v>22</v>
      </c>
      <c r="J79" s="7" t="s">
        <v>22</v>
      </c>
      <c r="K79" s="7" t="s">
        <v>22</v>
      </c>
      <c r="L79" s="7" t="s">
        <v>22</v>
      </c>
      <c r="M79" s="7">
        <v>0.65</v>
      </c>
      <c r="N79" s="7">
        <v>0.65</v>
      </c>
      <c r="O79" s="7" t="s">
        <v>22</v>
      </c>
      <c r="P79" s="7" t="s">
        <v>22</v>
      </c>
      <c r="Q79" s="7" t="s">
        <v>22</v>
      </c>
      <c r="R79" s="7" t="s">
        <v>22</v>
      </c>
      <c r="S79" s="7" t="s">
        <v>22</v>
      </c>
      <c r="T79" s="7">
        <v>0.3</v>
      </c>
      <c r="U79" s="7">
        <v>0.3</v>
      </c>
      <c r="V79" s="7" t="s">
        <v>22</v>
      </c>
      <c r="W79" s="7" t="s">
        <v>22</v>
      </c>
      <c r="X79" s="7" t="s">
        <v>22</v>
      </c>
      <c r="Y79" s="7" t="s">
        <v>22</v>
      </c>
      <c r="Z79" s="7" t="s">
        <v>22</v>
      </c>
      <c r="AA79" s="7">
        <v>7.4</v>
      </c>
      <c r="AB79" s="7">
        <v>21</v>
      </c>
      <c r="AC79" s="7">
        <v>4</v>
      </c>
      <c r="AD79" s="7">
        <v>0.44</v>
      </c>
      <c r="AE79" s="7">
        <v>0.55000000000000004</v>
      </c>
    </row>
    <row r="80" spans="1:31" x14ac:dyDescent="0.25">
      <c r="A80" s="8">
        <v>78</v>
      </c>
      <c r="B80" s="8">
        <v>3</v>
      </c>
      <c r="C80" s="7" t="s">
        <v>22</v>
      </c>
      <c r="D80" s="7" t="s">
        <v>22</v>
      </c>
      <c r="E80" s="7">
        <v>3.8</v>
      </c>
      <c r="F80" s="7">
        <v>4.3</v>
      </c>
      <c r="G80" s="7">
        <v>3.8</v>
      </c>
      <c r="H80" s="7" t="s">
        <v>22</v>
      </c>
      <c r="I80" s="7" t="s">
        <v>22</v>
      </c>
      <c r="J80" s="7" t="s">
        <v>22</v>
      </c>
      <c r="K80" s="7" t="s">
        <v>22</v>
      </c>
      <c r="L80" s="7" t="s">
        <v>22</v>
      </c>
      <c r="M80" s="7">
        <v>0.6</v>
      </c>
      <c r="N80" s="7">
        <v>0.5</v>
      </c>
      <c r="O80" s="7">
        <v>0.5</v>
      </c>
      <c r="P80" s="7" t="s">
        <v>22</v>
      </c>
      <c r="Q80" s="7" t="s">
        <v>22</v>
      </c>
      <c r="R80" s="7" t="s">
        <v>22</v>
      </c>
      <c r="S80" s="7" t="s">
        <v>22</v>
      </c>
      <c r="T80" s="7">
        <v>0.25</v>
      </c>
      <c r="U80" s="7">
        <v>0.25</v>
      </c>
      <c r="V80" s="7">
        <v>0.25</v>
      </c>
      <c r="W80" s="7" t="s">
        <v>22</v>
      </c>
      <c r="X80" s="7" t="s">
        <v>22</v>
      </c>
      <c r="Y80" s="7" t="s">
        <v>22</v>
      </c>
      <c r="Z80" s="7" t="s">
        <v>22</v>
      </c>
      <c r="AA80" s="7">
        <v>3.8</v>
      </c>
      <c r="AB80" s="7">
        <v>13</v>
      </c>
      <c r="AC80" s="7">
        <v>5.65</v>
      </c>
      <c r="AD80" s="7">
        <v>0.54641909814323608</v>
      </c>
      <c r="AE80" s="7">
        <v>0.83207261724659598</v>
      </c>
    </row>
    <row r="81" spans="1:31" x14ac:dyDescent="0.25">
      <c r="A81" s="8">
        <v>79</v>
      </c>
      <c r="B81" s="8">
        <v>1</v>
      </c>
      <c r="C81" s="7" t="s">
        <v>22</v>
      </c>
      <c r="D81" s="7" t="s">
        <v>22</v>
      </c>
      <c r="E81" s="7">
        <v>3</v>
      </c>
      <c r="F81" s="7" t="s">
        <v>22</v>
      </c>
      <c r="G81" s="7" t="s">
        <v>22</v>
      </c>
      <c r="H81" s="7" t="s">
        <v>22</v>
      </c>
      <c r="I81" s="7" t="s">
        <v>22</v>
      </c>
      <c r="J81" s="7" t="s">
        <v>22</v>
      </c>
      <c r="K81" s="7" t="s">
        <v>22</v>
      </c>
      <c r="L81" s="7" t="s">
        <v>22</v>
      </c>
      <c r="M81" s="7">
        <v>0.45</v>
      </c>
      <c r="N81" s="7" t="s">
        <v>22</v>
      </c>
      <c r="O81" s="7" t="s">
        <v>22</v>
      </c>
      <c r="P81" s="7" t="s">
        <v>22</v>
      </c>
      <c r="Q81" s="7" t="s">
        <v>22</v>
      </c>
      <c r="R81" s="7" t="s">
        <v>22</v>
      </c>
      <c r="S81" s="7" t="s">
        <v>22</v>
      </c>
      <c r="T81" s="7">
        <v>0.45</v>
      </c>
      <c r="U81" s="7" t="s">
        <v>22</v>
      </c>
      <c r="V81" s="7" t="s">
        <v>22</v>
      </c>
      <c r="W81" s="7" t="s">
        <v>22</v>
      </c>
      <c r="X81" s="7" t="s">
        <v>22</v>
      </c>
      <c r="Y81" s="7" t="s">
        <v>22</v>
      </c>
      <c r="Z81" s="7" t="s">
        <v>22</v>
      </c>
      <c r="AA81" s="7">
        <v>18</v>
      </c>
      <c r="AB81" s="7">
        <v>29</v>
      </c>
      <c r="AC81" s="7">
        <v>10.6</v>
      </c>
      <c r="AD81" s="7">
        <v>0.54</v>
      </c>
      <c r="AE81" s="7">
        <v>0.82</v>
      </c>
    </row>
    <row r="82" spans="1:31" x14ac:dyDescent="0.25">
      <c r="A82" s="8">
        <v>80</v>
      </c>
      <c r="B82" s="8">
        <v>3</v>
      </c>
      <c r="C82" s="7" t="s">
        <v>22</v>
      </c>
      <c r="D82" s="7" t="s">
        <v>22</v>
      </c>
      <c r="E82" s="7">
        <v>3.6</v>
      </c>
      <c r="F82" s="7">
        <v>3.6</v>
      </c>
      <c r="G82" s="7">
        <v>3.6</v>
      </c>
      <c r="H82" s="7" t="s">
        <v>22</v>
      </c>
      <c r="I82" s="7" t="s">
        <v>22</v>
      </c>
      <c r="J82" s="7" t="s">
        <v>22</v>
      </c>
      <c r="K82" s="7" t="s">
        <v>22</v>
      </c>
      <c r="L82" s="7" t="s">
        <v>22</v>
      </c>
      <c r="M82" s="7">
        <v>0.8</v>
      </c>
      <c r="N82" s="7">
        <v>0.7</v>
      </c>
      <c r="O82" s="7">
        <v>0.7</v>
      </c>
      <c r="P82" s="7" t="s">
        <v>22</v>
      </c>
      <c r="Q82" s="7" t="s">
        <v>22</v>
      </c>
      <c r="R82" s="7" t="s">
        <v>22</v>
      </c>
      <c r="S82" s="7" t="s">
        <v>22</v>
      </c>
      <c r="T82" s="7">
        <v>0.4</v>
      </c>
      <c r="U82" s="7">
        <v>0.4</v>
      </c>
      <c r="V82" s="7">
        <v>0.4</v>
      </c>
      <c r="W82" s="7" t="s">
        <v>22</v>
      </c>
      <c r="X82" s="7" t="s">
        <v>22</v>
      </c>
      <c r="Y82" s="7" t="s">
        <v>22</v>
      </c>
      <c r="Z82" s="7" t="s">
        <v>22</v>
      </c>
      <c r="AA82" s="7">
        <v>9</v>
      </c>
      <c r="AB82" s="7">
        <v>19</v>
      </c>
      <c r="AC82" s="7">
        <v>24.02</v>
      </c>
      <c r="AD82" s="7">
        <v>0.45</v>
      </c>
      <c r="AE82" s="7">
        <v>0.56000000000000005</v>
      </c>
    </row>
    <row r="83" spans="1:31" x14ac:dyDescent="0.25">
      <c r="A83" s="8">
        <v>81</v>
      </c>
      <c r="B83" s="8">
        <v>2</v>
      </c>
      <c r="C83" s="7" t="s">
        <v>22</v>
      </c>
      <c r="D83" s="7" t="s">
        <v>22</v>
      </c>
      <c r="E83" s="7">
        <v>3.3</v>
      </c>
      <c r="F83" s="7">
        <v>3.15</v>
      </c>
      <c r="G83" s="7" t="s">
        <v>22</v>
      </c>
      <c r="H83" s="7" t="s">
        <v>22</v>
      </c>
      <c r="I83" s="7" t="s">
        <v>22</v>
      </c>
      <c r="J83" s="7" t="s">
        <v>22</v>
      </c>
      <c r="K83" s="7" t="s">
        <v>22</v>
      </c>
      <c r="L83" s="7" t="s">
        <v>22</v>
      </c>
      <c r="M83" s="7">
        <v>0.4</v>
      </c>
      <c r="N83" s="7">
        <v>0.3</v>
      </c>
      <c r="O83" s="7" t="s">
        <v>22</v>
      </c>
      <c r="P83" s="7" t="s">
        <v>22</v>
      </c>
      <c r="Q83" s="7" t="s">
        <v>22</v>
      </c>
      <c r="R83" s="7" t="s">
        <v>22</v>
      </c>
      <c r="S83" s="7" t="s">
        <v>22</v>
      </c>
      <c r="T83" s="7">
        <v>0.35</v>
      </c>
      <c r="U83" s="7">
        <v>0.35</v>
      </c>
      <c r="V83" s="7" t="s">
        <v>22</v>
      </c>
      <c r="W83" s="7" t="s">
        <v>22</v>
      </c>
      <c r="X83" s="7" t="s">
        <v>22</v>
      </c>
      <c r="Y83" s="7" t="s">
        <v>22</v>
      </c>
      <c r="Z83" s="7" t="s">
        <v>22</v>
      </c>
      <c r="AA83" s="7">
        <v>6.9</v>
      </c>
      <c r="AB83" s="7">
        <v>7.4</v>
      </c>
      <c r="AC83" s="7">
        <v>12.4</v>
      </c>
      <c r="AD83" s="7">
        <v>0.30290456431535268</v>
      </c>
      <c r="AE83" s="7">
        <v>0.51282051282051289</v>
      </c>
    </row>
    <row r="84" spans="1:31" x14ac:dyDescent="0.25">
      <c r="A84" s="8">
        <v>82</v>
      </c>
      <c r="B84" s="8">
        <v>1</v>
      </c>
      <c r="C84" s="7" t="s">
        <v>22</v>
      </c>
      <c r="D84" s="7" t="s">
        <v>22</v>
      </c>
      <c r="E84" s="7">
        <v>4.2</v>
      </c>
      <c r="F84" s="7" t="s">
        <v>22</v>
      </c>
      <c r="G84" s="7" t="s">
        <v>22</v>
      </c>
      <c r="H84" s="7" t="s">
        <v>22</v>
      </c>
      <c r="I84" s="7" t="s">
        <v>22</v>
      </c>
      <c r="J84" s="7" t="s">
        <v>22</v>
      </c>
      <c r="K84" s="7" t="s">
        <v>22</v>
      </c>
      <c r="L84" s="7" t="s">
        <v>22</v>
      </c>
      <c r="M84" s="7">
        <v>0.55000000000000004</v>
      </c>
      <c r="N84" s="7" t="s">
        <v>22</v>
      </c>
      <c r="O84" s="7" t="s">
        <v>22</v>
      </c>
      <c r="P84" s="7" t="s">
        <v>22</v>
      </c>
      <c r="Q84" s="7" t="s">
        <v>22</v>
      </c>
      <c r="R84" s="7" t="s">
        <v>22</v>
      </c>
      <c r="S84" s="7" t="s">
        <v>22</v>
      </c>
      <c r="T84" s="7">
        <v>0.55000000000000004</v>
      </c>
      <c r="U84" s="7" t="s">
        <v>22</v>
      </c>
      <c r="V84" s="7" t="s">
        <v>22</v>
      </c>
      <c r="W84" s="7" t="s">
        <v>22</v>
      </c>
      <c r="X84" s="7" t="s">
        <v>22</v>
      </c>
      <c r="Y84" s="7" t="s">
        <v>22</v>
      </c>
      <c r="Z84" s="7" t="s">
        <v>22</v>
      </c>
      <c r="AA84" s="7">
        <v>9</v>
      </c>
      <c r="AB84" s="7">
        <v>20</v>
      </c>
      <c r="AC84" s="7">
        <v>14</v>
      </c>
      <c r="AD84" s="7">
        <v>0.22</v>
      </c>
      <c r="AE84" s="7">
        <v>0.44155844155844154</v>
      </c>
    </row>
    <row r="85" spans="1:31" x14ac:dyDescent="0.25">
      <c r="A85" s="8">
        <v>83</v>
      </c>
      <c r="B85" s="8">
        <v>3</v>
      </c>
      <c r="C85" s="7" t="s">
        <v>22</v>
      </c>
      <c r="D85" s="7" t="s">
        <v>22</v>
      </c>
      <c r="E85" s="7">
        <v>3.8</v>
      </c>
      <c r="F85" s="7">
        <v>3.7</v>
      </c>
      <c r="G85" s="7">
        <v>3.7</v>
      </c>
      <c r="H85" s="7" t="s">
        <v>22</v>
      </c>
      <c r="I85" s="7" t="s">
        <v>22</v>
      </c>
      <c r="J85" s="7" t="s">
        <v>22</v>
      </c>
      <c r="K85" s="7" t="s">
        <v>22</v>
      </c>
      <c r="L85" s="7" t="s">
        <v>22</v>
      </c>
      <c r="M85" s="7">
        <v>0.65</v>
      </c>
      <c r="N85" s="7">
        <v>0.55000000000000004</v>
      </c>
      <c r="O85" s="7">
        <v>0.25</v>
      </c>
      <c r="P85" s="7" t="s">
        <v>22</v>
      </c>
      <c r="Q85" s="7" t="s">
        <v>22</v>
      </c>
      <c r="R85" s="7" t="s">
        <v>22</v>
      </c>
      <c r="S85" s="7" t="s">
        <v>22</v>
      </c>
      <c r="T85" s="7">
        <v>0.75</v>
      </c>
      <c r="U85" s="7">
        <v>0.65</v>
      </c>
      <c r="V85" s="7">
        <v>0.4</v>
      </c>
      <c r="W85" s="7" t="s">
        <v>22</v>
      </c>
      <c r="X85" s="7" t="s">
        <v>22</v>
      </c>
      <c r="Y85" s="7" t="s">
        <v>22</v>
      </c>
      <c r="Z85" s="7" t="s">
        <v>22</v>
      </c>
      <c r="AA85" s="7">
        <v>10.4</v>
      </c>
      <c r="AB85" s="7">
        <v>22</v>
      </c>
      <c r="AC85" s="7">
        <v>15.700000000000001</v>
      </c>
      <c r="AD85" s="7">
        <v>0.44941176470588229</v>
      </c>
      <c r="AE85" s="7">
        <v>0.5145631067961165</v>
      </c>
    </row>
    <row r="86" spans="1:31" x14ac:dyDescent="0.25">
      <c r="A86" s="8">
        <v>84</v>
      </c>
      <c r="B86" s="8">
        <v>2</v>
      </c>
      <c r="C86" s="7" t="s">
        <v>22</v>
      </c>
      <c r="D86" s="7" t="s">
        <v>22</v>
      </c>
      <c r="E86" s="7">
        <v>2.5</v>
      </c>
      <c r="F86" s="7">
        <v>2.8</v>
      </c>
      <c r="G86" s="7" t="s">
        <v>22</v>
      </c>
      <c r="H86" s="7" t="s">
        <v>22</v>
      </c>
      <c r="I86" s="7" t="s">
        <v>22</v>
      </c>
      <c r="J86" s="7" t="s">
        <v>22</v>
      </c>
      <c r="K86" s="7" t="s">
        <v>22</v>
      </c>
      <c r="L86" s="7" t="s">
        <v>22</v>
      </c>
      <c r="M86" s="7">
        <v>0.6</v>
      </c>
      <c r="N86" s="7">
        <v>0.25</v>
      </c>
      <c r="O86" s="7" t="s">
        <v>22</v>
      </c>
      <c r="P86" s="7" t="s">
        <v>22</v>
      </c>
      <c r="Q86" s="7" t="s">
        <v>22</v>
      </c>
      <c r="R86" s="7" t="s">
        <v>22</v>
      </c>
      <c r="S86" s="7" t="s">
        <v>22</v>
      </c>
      <c r="T86" s="7">
        <v>0.6</v>
      </c>
      <c r="U86" s="7">
        <v>0.25</v>
      </c>
      <c r="V86" s="7" t="s">
        <v>22</v>
      </c>
      <c r="W86" s="7" t="s">
        <v>22</v>
      </c>
      <c r="X86" s="7" t="s">
        <v>22</v>
      </c>
      <c r="Y86" s="7" t="s">
        <v>22</v>
      </c>
      <c r="Z86" s="7" t="s">
        <v>22</v>
      </c>
      <c r="AA86" s="7">
        <v>5.6</v>
      </c>
      <c r="AB86" s="7">
        <v>8.5</v>
      </c>
      <c r="AC86" s="7">
        <v>2.2999999999999998</v>
      </c>
      <c r="AD86" s="7">
        <v>0.36099585062240658</v>
      </c>
      <c r="AE86" s="7">
        <v>0.28444444444444444</v>
      </c>
    </row>
  </sheetData>
  <mergeCells count="10">
    <mergeCell ref="C1:L1"/>
    <mergeCell ref="A1:A2"/>
    <mergeCell ref="B1:B2"/>
    <mergeCell ref="AA1:AA2"/>
    <mergeCell ref="M1:S2"/>
    <mergeCell ref="T1:Z2"/>
    <mergeCell ref="AC1:AC2"/>
    <mergeCell ref="AE1:AE2"/>
    <mergeCell ref="AB1:AB2"/>
    <mergeCell ref="AD1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Limestone</vt:lpstr>
      <vt:lpstr>Granite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Quispe</dc:creator>
  <cp:lastModifiedBy>Holger</cp:lastModifiedBy>
  <dcterms:created xsi:type="dcterms:W3CDTF">2019-09-18T10:04:30Z</dcterms:created>
  <dcterms:modified xsi:type="dcterms:W3CDTF">2020-05-12T18:52:54Z</dcterms:modified>
</cp:coreProperties>
</file>