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单机收益" sheetId="1" r:id="rId1"/>
    <sheet name="复利模式下收益" sheetId="2" r:id="rId2"/>
  </sheets>
  <calcPr calcId="144525"/>
</workbook>
</file>

<file path=xl/comments1.xml><?xml version="1.0" encoding="utf-8"?>
<comments xmlns="http://schemas.openxmlformats.org/spreadsheetml/2006/main">
  <authors>
    <author>鲁运波</author>
  </authors>
  <commentList>
    <comment ref="J5" authorId="0">
      <text>
        <r>
          <rPr>
            <b/>
            <sz val="9"/>
            <rFont val="宋体"/>
            <charset val="0"/>
          </rPr>
          <t>批注:</t>
        </r>
        <r>
          <rPr>
            <sz val="9"/>
            <rFont val="宋体"/>
            <charset val="0"/>
          </rPr>
          <t xml:space="preserve">
当月租金*当月发货数*12-当月回款+买断金</t>
        </r>
      </text>
    </comment>
    <comment ref="I8" authorId="0">
      <text>
        <r>
          <rPr>
            <b/>
            <sz val="9"/>
            <rFont val="宋体"/>
            <charset val="0"/>
          </rPr>
          <t>批注:</t>
        </r>
        <r>
          <rPr>
            <sz val="9"/>
            <rFont val="宋体"/>
            <charset val="0"/>
          </rPr>
          <t xml:space="preserve">
开始回1月份放的第2期</t>
        </r>
      </text>
    </comment>
    <comment ref="J8" authorId="0">
      <text>
        <r>
          <rPr>
            <b/>
            <sz val="9"/>
            <rFont val="宋体"/>
            <charset val="0"/>
          </rPr>
          <t>批注:</t>
        </r>
        <r>
          <rPr>
            <sz val="9"/>
            <rFont val="宋体"/>
            <charset val="0"/>
          </rPr>
          <t xml:space="preserve">
1月份放的应收债权+2月份放出去的应收债权-当月回款-次月回款</t>
        </r>
      </text>
    </comment>
  </commentList>
</comments>
</file>

<file path=xl/sharedStrings.xml><?xml version="1.0" encoding="utf-8"?>
<sst xmlns="http://schemas.openxmlformats.org/spreadsheetml/2006/main" count="150" uniqueCount="89">
  <si>
    <t>以苹果15 pro max 256g为例</t>
  </si>
  <si>
    <t>官网价及总融</t>
  </si>
  <si>
    <t>官网价</t>
  </si>
  <si>
    <t>总融（官价*1.29）</t>
  </si>
  <si>
    <t>总投入</t>
  </si>
  <si>
    <t>采购价</t>
  </si>
  <si>
    <t>保险</t>
  </si>
  <si>
    <t>采购价1%</t>
  </si>
  <si>
    <t>流量风控</t>
  </si>
  <si>
    <t>总融10%</t>
  </si>
  <si>
    <t>代审核</t>
  </si>
  <si>
    <t>物流费</t>
  </si>
  <si>
    <t>合计</t>
  </si>
  <si>
    <t>模式</t>
  </si>
  <si>
    <t>租完即送（相当于12个月分期）</t>
  </si>
  <si>
    <t>到期买断或者归还（到期买断金4999.47）</t>
  </si>
  <si>
    <t>实际本金投入</t>
  </si>
  <si>
    <t>免押</t>
  </si>
  <si>
    <t>不免押</t>
  </si>
  <si>
    <t>押金</t>
  </si>
  <si>
    <t>最高2000</t>
  </si>
  <si>
    <t>前期租金</t>
  </si>
  <si>
    <t>实际投入</t>
  </si>
  <si>
    <t>租完即送（每期还1074.89）</t>
  </si>
  <si>
    <t>还款计划</t>
  </si>
  <si>
    <t>每期还款</t>
  </si>
  <si>
    <t>第1期</t>
  </si>
  <si>
    <t>第12期</t>
  </si>
  <si>
    <t>实际本金占用</t>
  </si>
  <si>
    <t>第2期</t>
  </si>
  <si>
    <t>第3期</t>
  </si>
  <si>
    <t>第4期</t>
  </si>
  <si>
    <t>第5期</t>
  </si>
  <si>
    <t>第6期</t>
  </si>
  <si>
    <t>第7期</t>
  </si>
  <si>
    <t>第8期</t>
  </si>
  <si>
    <t>第9期</t>
  </si>
  <si>
    <t>第10期</t>
  </si>
  <si>
    <t>第11期</t>
  </si>
  <si>
    <t>收11+12开始押金抵扣租金</t>
  </si>
  <si>
    <t>第12期买断</t>
  </si>
  <si>
    <t>第12期买断并退押金</t>
  </si>
  <si>
    <t>单机利润</t>
  </si>
  <si>
    <t>单利</t>
  </si>
  <si>
    <t>资金年化</t>
  </si>
  <si>
    <t>以租完即送的模式测算，假设本金1000万，坏账计提10%，复利打满的情况以及手机采购价不变的情况下预期的收益（实际采购价会逐月下降）</t>
  </si>
  <si>
    <t>持续15个月放量，除去成本后债权能够达到2828万，除去坏账10%（1000*10%）=100万算，总待收2728万，本金投入1000万，利润1728万，实际运营过程中涉及不同机型和复利不可能完全打满，按收益70%折算，预计获益1209万。</t>
  </si>
  <si>
    <t>月份</t>
  </si>
  <si>
    <t>本金</t>
  </si>
  <si>
    <t>手机进货成本</t>
  </si>
  <si>
    <t>单月租金</t>
  </si>
  <si>
    <t>首次2期（租金+押金）</t>
  </si>
  <si>
    <t>月发货量</t>
  </si>
  <si>
    <t>买断金</t>
  </si>
  <si>
    <t>当月回款（前期已经收）</t>
  </si>
  <si>
    <t>次月回款</t>
  </si>
  <si>
    <t>剩余应收债权</t>
  </si>
  <si>
    <t>流量风控上链等运营成本（总融*10%）</t>
  </si>
  <si>
    <t>保险成本（采购价1%）</t>
  </si>
  <si>
    <t>代审核费用（100/单，如自己审核不收）</t>
  </si>
  <si>
    <t>资金成本</t>
  </si>
  <si>
    <t>总成本</t>
  </si>
  <si>
    <t>备注</t>
  </si>
  <si>
    <t>本金满放</t>
  </si>
  <si>
    <t>回第1个月的第2期</t>
  </si>
  <si>
    <t>回第1个月的第3期
回第2个月的第1期</t>
  </si>
  <si>
    <t xml:space="preserve">回第1个月的第4期
回第2个月的第3期
回第3个月的第2期
</t>
  </si>
  <si>
    <t xml:space="preserve">回第1个月的第5期
回第2个月的第4期
回第3个月的第3期
回第4个月的第2期
</t>
  </si>
  <si>
    <t>回第1个月的第6期
回第2个月的第5期
回第3个月的第4期
回第4个月的第3期
回第5个月的第2期</t>
  </si>
  <si>
    <t>回第1个月的第7期
回第2个月的第6期
回第3个月的第5期
回第4个月的第4期
回第5个月的第3期
回第6个月的第2期</t>
  </si>
  <si>
    <t>回第1个月的第8期
回第2个月的第7期
回第3个月的第6期
回第4个月的第5期
回第5个月的第4期
回第6个月的第3期
回第7个月的第2期</t>
  </si>
  <si>
    <t>回第1个月的第9期
回第2个月的第8期
回第3个月的第7期
回第4个月的第6期
回第5个月的第5期
回第6个月的第4期
回第7个月的第3期
回第8个月的第2期</t>
  </si>
  <si>
    <t>回第1个月的第10期
回第2个月的第9期
回第3个月的第8期
回第4个月的第7期
回第5个月的第6期
回第6个月的第5期
回第7个月的第4期
回第8个月的第3期
回第9个月的第2期</t>
  </si>
  <si>
    <t>回第1个月放的第11期
回第2个月的第10期
回第3个月的第9期
回第4个月的第8期
回第5个月的第7期
回第6个月的第6期
回第7个月的第5期
回第8个月的第4期
回第9个月的第3期
回第10个月的第2期</t>
  </si>
  <si>
    <t>第一个月放的结束
回第2个月的第11期
回第3个月的第10期
回第4个月的第9期
回第5个月的第8期
回第6个月的第7期
回第7个月的第6期
回第8个月的第5期
回第9个月的第4期
回第10个月的第3期
回第11个月的第2期</t>
  </si>
  <si>
    <t>第二个月的结束
回第3个月的第11期
回第4个月的第10期
回第5个月的第9期
回第6个月的第8期
回第7个月的第7期
回第8个月的第6期
回第9个月的第5期
回第10个月的第4期
回第11个月的第3期
回第12个月的第2期</t>
  </si>
  <si>
    <t>第三个月放的结束
回第4个月的第11期
回第5个月的第10期
回第6个月的第9期
回第7个月的第8期
回第8个月的第7期
回第9个月的第6期
回第10个月的第5期
回第11个月的第4期
回第12个月的第3期
回第13个月的第2期</t>
  </si>
  <si>
    <t>第4个月放的结束
回第5个月的第11期
回第6个月的第10期
回第7个月的第9期
回第8个月的第8期
回第9个月的第7期
回第10个月的第6期
回第11个月的第5期
回第12个月的第4期
回第13个月的第3期
回第14个月的第2期</t>
  </si>
  <si>
    <t>第5个月的结束
回第6个月的第11期
回第7个月的第10期
回第8个月的第9期
回第9个月的第8期
回第10个月的第7期
回第11个月的第6期
回第12个月的第5期
回第13个月的第4期
回第14个月的第3期
回第15个月的第2期</t>
  </si>
  <si>
    <t>第6个月结束
回第7个月的第11期
回第8个月的第10期
回第9个月的第9期
回第10个月的第8期
回第11个月的第7期
回第12个月的第6期
回第13个月的第5期
回第14个月的第4期
回第15个月的第3期</t>
  </si>
  <si>
    <t>第7个月的结束
回第8个月的第11期
回第9个月的第10期
回第10个月的第9期
回第11个月的第8期
回第12个月的第7期
回第13个月的第6期
回第14个月的第5期
回第15个月的第4期</t>
  </si>
  <si>
    <t>第8个月的结束
回第9个月的第11期
回第10个月的第10期
回第11个月的第9期
回第12个月的第8期
回第13个月的第7期
回第14个月的第6期
回第15个月的第5期</t>
  </si>
  <si>
    <t>第9个月的结束
回第10个月的第11期
回第11个月的第10期
回第12个月的第9期
回第13个月的第8期
回第14个月的第7期
回第15个月的第6期</t>
  </si>
  <si>
    <t>第10个月的结束
回第11个月的第11期
回第12个月的第10期
回第13个月的第9期
回第14个月的第8期
回第15个月的第7期</t>
  </si>
  <si>
    <t>第11个月的结束
回第12个月的第11期
回第13个月的第10期
回第14个月的第9期
回第15个月的第8期</t>
  </si>
  <si>
    <t>第12个月的结束
回第13个月的第11期
回第14个月的第10期
回第15个月的第9期</t>
  </si>
  <si>
    <t>第13个月的结束
回第14个月的第11期
回第15个月的第10期</t>
  </si>
  <si>
    <t>第14个月的结束
回第15个月的第11期</t>
  </si>
  <si>
    <t>第15个月的结束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</si>
</sst>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vertical="center"/>
    </xf>
    <xf numFmtId="177" fontId="0" fillId="3" borderId="1" xfId="0" applyNumberFormat="1" applyFill="1" applyBorder="1" applyAlignment="1">
      <alignment vertical="center"/>
    </xf>
    <xf numFmtId="177" fontId="0" fillId="2" borderId="2" xfId="0" applyNumberFormat="1" applyFill="1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 wrapText="1"/>
    </xf>
    <xf numFmtId="176" fontId="2" fillId="2" borderId="3" xfId="0" applyNumberFormat="1" applyFont="1" applyFill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left" vertical="center" wrapText="1"/>
    </xf>
    <xf numFmtId="176" fontId="2" fillId="2" borderId="3" xfId="0" applyNumberFormat="1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 wrapText="1"/>
    </xf>
    <xf numFmtId="176" fontId="2" fillId="0" borderId="3" xfId="0" applyNumberFormat="1" applyFont="1" applyFill="1" applyBorder="1" applyAlignment="1">
      <alignment horizontal="left" vertical="center"/>
    </xf>
    <xf numFmtId="176" fontId="2" fillId="4" borderId="2" xfId="0" applyNumberFormat="1" applyFont="1" applyFill="1" applyBorder="1" applyAlignment="1">
      <alignment horizontal="left" vertical="center" wrapText="1"/>
    </xf>
    <xf numFmtId="176" fontId="2" fillId="4" borderId="3" xfId="0" applyNumberFormat="1" applyFont="1" applyFill="1" applyBorder="1" applyAlignment="1">
      <alignment horizontal="left" vertical="center"/>
    </xf>
    <xf numFmtId="176" fontId="2" fillId="2" borderId="2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0" fontId="0" fillId="0" borderId="1" xfId="0" applyNumberFormat="1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D41" sqref="D41"/>
    </sheetView>
  </sheetViews>
  <sheetFormatPr defaultColWidth="9.23076923076923" defaultRowHeight="16.8"/>
  <cols>
    <col min="1" max="1" width="16.3365384615385" customWidth="1"/>
    <col min="2" max="2" width="14.5769230769231" customWidth="1"/>
    <col min="4" max="4" width="20.9807692307692" customWidth="1"/>
    <col min="6" max="6" width="15.375" customWidth="1"/>
    <col min="7" max="7" width="16.3461538461538" customWidth="1"/>
    <col min="8" max="8" width="15.2211538461538" customWidth="1"/>
  </cols>
  <sheetData>
    <row r="1" spans="1:9">
      <c r="A1" s="29"/>
      <c r="B1" s="29" t="s">
        <v>0</v>
      </c>
      <c r="C1" s="29"/>
      <c r="D1" s="29"/>
      <c r="E1" s="29"/>
      <c r="F1" s="29"/>
      <c r="G1" s="29"/>
      <c r="H1" s="29"/>
      <c r="I1" s="29"/>
    </row>
    <row r="2" spans="1:9">
      <c r="A2" s="30" t="s">
        <v>1</v>
      </c>
      <c r="B2" s="31" t="s">
        <v>2</v>
      </c>
      <c r="C2" s="31">
        <v>9999</v>
      </c>
      <c r="D2" s="31" t="s">
        <v>3</v>
      </c>
      <c r="E2" s="31">
        <f>9999*1.29</f>
        <v>12898.71</v>
      </c>
      <c r="F2" s="29"/>
      <c r="G2" s="29"/>
      <c r="H2" s="29"/>
      <c r="I2" s="29"/>
    </row>
    <row r="3" spans="1:9">
      <c r="A3" s="30" t="s">
        <v>4</v>
      </c>
      <c r="B3" s="29" t="s">
        <v>5</v>
      </c>
      <c r="C3" s="29">
        <v>8600</v>
      </c>
      <c r="D3" s="29"/>
      <c r="E3" s="29"/>
      <c r="F3" s="29"/>
      <c r="G3" s="29"/>
      <c r="H3" s="29"/>
      <c r="I3" s="29"/>
    </row>
    <row r="4" spans="1:9">
      <c r="A4" s="29"/>
      <c r="B4" s="29" t="s">
        <v>6</v>
      </c>
      <c r="C4" s="29">
        <f>C3*1%</f>
        <v>86</v>
      </c>
      <c r="D4" s="29" t="s">
        <v>7</v>
      </c>
      <c r="E4" s="29"/>
      <c r="F4" s="29"/>
      <c r="G4" s="29"/>
      <c r="H4" s="29"/>
      <c r="I4" s="29"/>
    </row>
    <row r="5" spans="1:9">
      <c r="A5" s="29"/>
      <c r="B5" s="29" t="s">
        <v>8</v>
      </c>
      <c r="C5" s="29">
        <f>E2*10%</f>
        <v>1289.871</v>
      </c>
      <c r="D5" s="29" t="s">
        <v>9</v>
      </c>
      <c r="E5" s="29"/>
      <c r="F5" s="29"/>
      <c r="G5" s="29"/>
      <c r="H5" s="29"/>
      <c r="I5" s="29"/>
    </row>
    <row r="6" spans="1:9">
      <c r="A6" s="29"/>
      <c r="B6" s="29" t="s">
        <v>10</v>
      </c>
      <c r="C6" s="29">
        <v>100</v>
      </c>
      <c r="D6" s="29"/>
      <c r="E6" s="29"/>
      <c r="F6" s="29"/>
      <c r="G6" s="29"/>
      <c r="H6" s="29"/>
      <c r="I6" s="29"/>
    </row>
    <row r="7" spans="1:9">
      <c r="A7" s="29"/>
      <c r="B7" s="29" t="s">
        <v>11</v>
      </c>
      <c r="C7" s="29">
        <v>0</v>
      </c>
      <c r="D7" s="29"/>
      <c r="E7" s="29"/>
      <c r="F7" s="29"/>
      <c r="G7" s="29"/>
      <c r="H7" s="29"/>
      <c r="I7" s="29"/>
    </row>
    <row r="8" spans="1:9">
      <c r="A8" s="29"/>
      <c r="B8" s="29" t="s">
        <v>12</v>
      </c>
      <c r="C8" s="29">
        <f>SUM(C3:C7)</f>
        <v>10075.871</v>
      </c>
      <c r="D8" s="29"/>
      <c r="E8" s="29"/>
      <c r="F8" s="29"/>
      <c r="G8" s="29"/>
      <c r="H8" s="29"/>
      <c r="I8" s="29"/>
    </row>
    <row r="9" spans="1:9">
      <c r="A9" s="29"/>
      <c r="B9" s="29"/>
      <c r="C9" s="29"/>
      <c r="D9" s="29"/>
      <c r="E9" s="29"/>
      <c r="F9" s="29"/>
      <c r="G9" s="29"/>
      <c r="H9" s="29"/>
      <c r="I9" s="29"/>
    </row>
    <row r="10" spans="1:9">
      <c r="A10" s="29" t="s">
        <v>13</v>
      </c>
      <c r="B10" s="32" t="s">
        <v>14</v>
      </c>
      <c r="C10" s="32"/>
      <c r="D10" s="32"/>
      <c r="E10" s="29"/>
      <c r="F10" s="41" t="s">
        <v>15</v>
      </c>
      <c r="G10" s="41"/>
      <c r="H10" s="41"/>
      <c r="I10" s="29"/>
    </row>
    <row r="11" spans="1:9">
      <c r="A11" s="30" t="s">
        <v>16</v>
      </c>
      <c r="B11" s="33" t="s">
        <v>17</v>
      </c>
      <c r="C11" s="33"/>
      <c r="D11" s="34" t="s">
        <v>18</v>
      </c>
      <c r="E11" s="29"/>
      <c r="F11" s="33" t="s">
        <v>17</v>
      </c>
      <c r="G11" s="33"/>
      <c r="H11" s="34" t="s">
        <v>18</v>
      </c>
      <c r="I11" s="29"/>
    </row>
    <row r="12" spans="1:9">
      <c r="A12" s="29"/>
      <c r="B12" s="34" t="s">
        <v>4</v>
      </c>
      <c r="C12" s="34">
        <f>C8</f>
        <v>10075.871</v>
      </c>
      <c r="D12" s="34">
        <f>C8</f>
        <v>10075.871</v>
      </c>
      <c r="E12" s="29"/>
      <c r="F12" s="34" t="s">
        <v>4</v>
      </c>
      <c r="G12" s="34">
        <f>C8</f>
        <v>10075.871</v>
      </c>
      <c r="H12" s="34">
        <f>C8</f>
        <v>10075.871</v>
      </c>
      <c r="I12" s="29"/>
    </row>
    <row r="13" spans="1:9">
      <c r="A13" s="29"/>
      <c r="B13" s="34" t="s">
        <v>19</v>
      </c>
      <c r="C13" s="34">
        <v>0</v>
      </c>
      <c r="D13" s="34">
        <v>-1500</v>
      </c>
      <c r="E13" s="29" t="s">
        <v>20</v>
      </c>
      <c r="F13" s="34" t="s">
        <v>19</v>
      </c>
      <c r="G13" s="34">
        <v>0</v>
      </c>
      <c r="H13" s="34">
        <v>-1999.8</v>
      </c>
      <c r="I13" s="29"/>
    </row>
    <row r="14" spans="1:9">
      <c r="A14" s="29"/>
      <c r="B14" s="34" t="s">
        <v>21</v>
      </c>
      <c r="C14" s="34">
        <f>-1074.89*2</f>
        <v>-2149.78</v>
      </c>
      <c r="D14" s="34">
        <v>-1074.89</v>
      </c>
      <c r="E14" s="29"/>
      <c r="F14" s="34" t="s">
        <v>21</v>
      </c>
      <c r="G14" s="34">
        <f>-658.27*2</f>
        <v>-1316.54</v>
      </c>
      <c r="H14" s="34">
        <v>-658.27</v>
      </c>
      <c r="I14" s="29"/>
    </row>
    <row r="15" spans="1:9">
      <c r="A15" s="29"/>
      <c r="B15" s="34" t="s">
        <v>22</v>
      </c>
      <c r="C15" s="34">
        <f t="shared" ref="C15:H15" si="0">SUM(C12:C14)</f>
        <v>7926.091</v>
      </c>
      <c r="D15" s="34">
        <f t="shared" si="0"/>
        <v>7500.981</v>
      </c>
      <c r="E15" s="29"/>
      <c r="F15" s="34" t="s">
        <v>22</v>
      </c>
      <c r="G15" s="34">
        <f t="shared" si="0"/>
        <v>8759.331</v>
      </c>
      <c r="H15" s="34">
        <f t="shared" si="0"/>
        <v>7417.801</v>
      </c>
      <c r="I15" s="29"/>
    </row>
    <row r="16" spans="1:9">
      <c r="A16" s="29"/>
      <c r="B16" s="29"/>
      <c r="C16" s="29"/>
      <c r="D16" s="29"/>
      <c r="E16" s="29"/>
      <c r="F16" s="29"/>
      <c r="G16" s="29"/>
      <c r="H16" s="29"/>
      <c r="I16" s="29"/>
    </row>
    <row r="17" spans="1:9">
      <c r="A17" s="35"/>
      <c r="B17" s="35"/>
      <c r="C17" s="35"/>
      <c r="D17" s="35"/>
      <c r="E17" s="42"/>
      <c r="F17" s="29"/>
      <c r="G17" s="29"/>
      <c r="H17" s="29"/>
      <c r="I17" s="29"/>
    </row>
    <row r="18" spans="1:9">
      <c r="A18" s="36" t="s">
        <v>23</v>
      </c>
      <c r="B18" s="36"/>
      <c r="C18" s="36"/>
      <c r="D18" s="36"/>
      <c r="E18" s="34"/>
      <c r="F18" s="43" t="s">
        <v>15</v>
      </c>
      <c r="G18" s="43"/>
      <c r="H18" s="43"/>
      <c r="I18" s="43"/>
    </row>
    <row r="19" spans="1:9">
      <c r="A19" s="36" t="s">
        <v>17</v>
      </c>
      <c r="B19" s="36"/>
      <c r="C19" s="36" t="s">
        <v>18</v>
      </c>
      <c r="D19" s="36"/>
      <c r="E19" s="34"/>
      <c r="F19" s="43" t="s">
        <v>17</v>
      </c>
      <c r="G19" s="43"/>
      <c r="H19" s="43" t="s">
        <v>18</v>
      </c>
      <c r="I19" s="43"/>
    </row>
    <row r="20" spans="1:9">
      <c r="A20" s="34" t="s">
        <v>24</v>
      </c>
      <c r="B20" s="34"/>
      <c r="C20" s="34" t="s">
        <v>25</v>
      </c>
      <c r="D20" s="34">
        <v>1074.89</v>
      </c>
      <c r="E20" s="34"/>
      <c r="F20" s="34" t="s">
        <v>24</v>
      </c>
      <c r="G20" s="34"/>
      <c r="H20" s="34" t="s">
        <v>25</v>
      </c>
      <c r="I20" s="34">
        <v>658.27</v>
      </c>
    </row>
    <row r="21" spans="1:9">
      <c r="A21" s="34"/>
      <c r="B21" s="34"/>
      <c r="C21" s="34"/>
      <c r="D21" s="34"/>
      <c r="E21" s="34"/>
      <c r="F21" s="34"/>
      <c r="G21" s="34"/>
      <c r="H21" s="34"/>
      <c r="I21" s="34"/>
    </row>
    <row r="22" spans="1:9">
      <c r="A22" s="34" t="s">
        <v>26</v>
      </c>
      <c r="B22" s="37">
        <v>1074.89</v>
      </c>
      <c r="C22" s="34" t="s">
        <v>26</v>
      </c>
      <c r="D22" s="34">
        <f>D20</f>
        <v>1074.89</v>
      </c>
      <c r="E22" s="37"/>
      <c r="F22" s="34" t="s">
        <v>26</v>
      </c>
      <c r="G22" s="37">
        <f>I20</f>
        <v>658.27</v>
      </c>
      <c r="H22" s="34" t="s">
        <v>26</v>
      </c>
      <c r="I22" s="34">
        <f>I20</f>
        <v>658.27</v>
      </c>
    </row>
    <row r="23" spans="1:9">
      <c r="A23" s="34" t="s">
        <v>27</v>
      </c>
      <c r="B23" s="37">
        <v>1074.89</v>
      </c>
      <c r="C23" s="34" t="s">
        <v>28</v>
      </c>
      <c r="D23" s="38">
        <f>-D15</f>
        <v>-7500.981</v>
      </c>
      <c r="E23" s="37"/>
      <c r="F23" s="34" t="s">
        <v>27</v>
      </c>
      <c r="G23" s="37">
        <f>I20</f>
        <v>658.27</v>
      </c>
      <c r="H23" s="34" t="s">
        <v>28</v>
      </c>
      <c r="I23" s="38">
        <f>-H15</f>
        <v>-7417.801</v>
      </c>
    </row>
    <row r="24" spans="1:9">
      <c r="A24" s="34" t="s">
        <v>28</v>
      </c>
      <c r="B24" s="38">
        <f>-C15</f>
        <v>-7926.091</v>
      </c>
      <c r="C24" s="34" t="s">
        <v>29</v>
      </c>
      <c r="D24" s="34">
        <f>D20</f>
        <v>1074.89</v>
      </c>
      <c r="E24" s="37"/>
      <c r="F24" s="34" t="s">
        <v>28</v>
      </c>
      <c r="G24" s="38">
        <f>-G15</f>
        <v>-8759.331</v>
      </c>
      <c r="H24" s="34" t="s">
        <v>29</v>
      </c>
      <c r="I24" s="34">
        <f>I20</f>
        <v>658.27</v>
      </c>
    </row>
    <row r="25" spans="1:9">
      <c r="A25" s="34" t="s">
        <v>29</v>
      </c>
      <c r="B25" s="34">
        <f>D20</f>
        <v>1074.89</v>
      </c>
      <c r="C25" s="34" t="s">
        <v>30</v>
      </c>
      <c r="D25" s="34">
        <f>D20</f>
        <v>1074.89</v>
      </c>
      <c r="E25" s="34"/>
      <c r="F25" s="34" t="s">
        <v>29</v>
      </c>
      <c r="G25" s="34">
        <f>I20</f>
        <v>658.27</v>
      </c>
      <c r="H25" s="34" t="s">
        <v>30</v>
      </c>
      <c r="I25" s="34">
        <f>I20</f>
        <v>658.27</v>
      </c>
    </row>
    <row r="26" spans="1:9">
      <c r="A26" s="34" t="s">
        <v>30</v>
      </c>
      <c r="B26" s="34">
        <f>D20</f>
        <v>1074.89</v>
      </c>
      <c r="C26" s="34" t="s">
        <v>31</v>
      </c>
      <c r="D26" s="34">
        <f>D20</f>
        <v>1074.89</v>
      </c>
      <c r="E26" s="34"/>
      <c r="F26" s="34" t="s">
        <v>30</v>
      </c>
      <c r="G26" s="34">
        <f>I20</f>
        <v>658.27</v>
      </c>
      <c r="H26" s="34" t="s">
        <v>31</v>
      </c>
      <c r="I26" s="34">
        <f>I20</f>
        <v>658.27</v>
      </c>
    </row>
    <row r="27" spans="1:9">
      <c r="A27" s="34" t="s">
        <v>31</v>
      </c>
      <c r="B27" s="34">
        <f>D20</f>
        <v>1074.89</v>
      </c>
      <c r="C27" s="34" t="s">
        <v>32</v>
      </c>
      <c r="D27" s="34">
        <f>D20</f>
        <v>1074.89</v>
      </c>
      <c r="E27" s="34"/>
      <c r="F27" s="34" t="s">
        <v>31</v>
      </c>
      <c r="G27" s="34">
        <f>I20</f>
        <v>658.27</v>
      </c>
      <c r="H27" s="34" t="s">
        <v>32</v>
      </c>
      <c r="I27" s="34">
        <f>I20</f>
        <v>658.27</v>
      </c>
    </row>
    <row r="28" spans="1:9">
      <c r="A28" s="34" t="s">
        <v>32</v>
      </c>
      <c r="B28" s="34">
        <f>D20</f>
        <v>1074.89</v>
      </c>
      <c r="C28" s="34" t="s">
        <v>33</v>
      </c>
      <c r="D28" s="34">
        <f>D20</f>
        <v>1074.89</v>
      </c>
      <c r="E28" s="34"/>
      <c r="F28" s="34" t="s">
        <v>32</v>
      </c>
      <c r="G28" s="34">
        <f>I20</f>
        <v>658.27</v>
      </c>
      <c r="H28" s="34" t="s">
        <v>33</v>
      </c>
      <c r="I28" s="34">
        <f>I20</f>
        <v>658.27</v>
      </c>
    </row>
    <row r="29" spans="1:9">
      <c r="A29" s="34" t="s">
        <v>33</v>
      </c>
      <c r="B29" s="34">
        <f>D20</f>
        <v>1074.89</v>
      </c>
      <c r="C29" s="34" t="s">
        <v>34</v>
      </c>
      <c r="D29" s="34">
        <f>D20</f>
        <v>1074.89</v>
      </c>
      <c r="E29" s="34"/>
      <c r="F29" s="34" t="s">
        <v>33</v>
      </c>
      <c r="G29" s="34">
        <f>I20</f>
        <v>658.27</v>
      </c>
      <c r="H29" s="34" t="s">
        <v>34</v>
      </c>
      <c r="I29" s="34">
        <f>I20</f>
        <v>658.27</v>
      </c>
    </row>
    <row r="30" spans="1:9">
      <c r="A30" s="34" t="s">
        <v>34</v>
      </c>
      <c r="B30" s="34">
        <f>D20</f>
        <v>1074.89</v>
      </c>
      <c r="C30" s="34" t="s">
        <v>35</v>
      </c>
      <c r="D30" s="34">
        <f>D20</f>
        <v>1074.89</v>
      </c>
      <c r="E30" s="34"/>
      <c r="F30" s="34" t="s">
        <v>34</v>
      </c>
      <c r="G30" s="34">
        <f>I20</f>
        <v>658.27</v>
      </c>
      <c r="H30" s="34" t="s">
        <v>35</v>
      </c>
      <c r="I30" s="34">
        <f>I20</f>
        <v>658.27</v>
      </c>
    </row>
    <row r="31" spans="1:9">
      <c r="A31" s="34" t="s">
        <v>35</v>
      </c>
      <c r="B31" s="34">
        <f>D20</f>
        <v>1074.89</v>
      </c>
      <c r="C31" s="34" t="s">
        <v>36</v>
      </c>
      <c r="D31" s="34">
        <f>D20</f>
        <v>1074.89</v>
      </c>
      <c r="E31" s="34"/>
      <c r="F31" s="34" t="s">
        <v>35</v>
      </c>
      <c r="G31" s="34">
        <f>I20</f>
        <v>658.27</v>
      </c>
      <c r="H31" s="34" t="s">
        <v>36</v>
      </c>
      <c r="I31" s="34">
        <f>I20</f>
        <v>658.27</v>
      </c>
    </row>
    <row r="32" spans="1:9">
      <c r="A32" s="34" t="s">
        <v>36</v>
      </c>
      <c r="B32" s="34">
        <f>D20</f>
        <v>1074.89</v>
      </c>
      <c r="C32" s="34" t="s">
        <v>37</v>
      </c>
      <c r="D32" s="34">
        <f>D20</f>
        <v>1074.89</v>
      </c>
      <c r="E32" s="34"/>
      <c r="F32" s="34" t="s">
        <v>36</v>
      </c>
      <c r="G32" s="34">
        <f>I20</f>
        <v>658.27</v>
      </c>
      <c r="H32" s="34" t="s">
        <v>37</v>
      </c>
      <c r="I32" s="34">
        <f>I20</f>
        <v>658.27</v>
      </c>
    </row>
    <row r="33" spans="1:9">
      <c r="A33" s="34" t="s">
        <v>37</v>
      </c>
      <c r="B33" s="34">
        <f>D20</f>
        <v>1074.89</v>
      </c>
      <c r="C33" s="34" t="s">
        <v>38</v>
      </c>
      <c r="D33" s="34">
        <f>D20*2-1500</f>
        <v>649.78</v>
      </c>
      <c r="E33" s="34"/>
      <c r="F33" s="34" t="s">
        <v>37</v>
      </c>
      <c r="G33" s="34">
        <f>I20</f>
        <v>658.27</v>
      </c>
      <c r="H33" s="34" t="s">
        <v>38</v>
      </c>
      <c r="I33" s="34">
        <f>I20</f>
        <v>658.27</v>
      </c>
    </row>
    <row r="34" spans="1:9">
      <c r="A34" s="34" t="s">
        <v>38</v>
      </c>
      <c r="B34" s="34">
        <f>D20</f>
        <v>1074.89</v>
      </c>
      <c r="C34" s="34"/>
      <c r="D34" s="34" t="s">
        <v>39</v>
      </c>
      <c r="E34" s="34"/>
      <c r="F34" s="34" t="s">
        <v>38</v>
      </c>
      <c r="G34" s="34">
        <f>I20</f>
        <v>658.27</v>
      </c>
      <c r="H34" s="34" t="s">
        <v>27</v>
      </c>
      <c r="I34" s="34">
        <f>I20+4999.47-1999.8</f>
        <v>3657.94</v>
      </c>
    </row>
    <row r="35" spans="1:9">
      <c r="A35" s="34"/>
      <c r="B35" s="34"/>
      <c r="C35" s="34"/>
      <c r="D35" s="34"/>
      <c r="E35" s="34"/>
      <c r="F35" s="34" t="s">
        <v>40</v>
      </c>
      <c r="G35" s="34">
        <v>4999.47</v>
      </c>
      <c r="H35" s="34" t="s">
        <v>41</v>
      </c>
      <c r="I35" s="34"/>
    </row>
    <row r="36" spans="1:9">
      <c r="A36" s="34" t="s">
        <v>42</v>
      </c>
      <c r="B36" s="34">
        <f>SUM(B24:B34)</f>
        <v>2822.809</v>
      </c>
      <c r="C36" s="34" t="s">
        <v>42</v>
      </c>
      <c r="D36" s="34">
        <f>SUM(D23:D33)</f>
        <v>2822.809</v>
      </c>
      <c r="E36" s="34"/>
      <c r="F36" s="34" t="s">
        <v>42</v>
      </c>
      <c r="G36" s="34">
        <f>SUM(G24:G35)</f>
        <v>2822.839</v>
      </c>
      <c r="H36" s="34" t="s">
        <v>42</v>
      </c>
      <c r="I36" s="34">
        <f>SUM(I23:I34)</f>
        <v>2822.839</v>
      </c>
    </row>
    <row r="37" spans="1:9">
      <c r="A37" s="34" t="s">
        <v>43</v>
      </c>
      <c r="B37" s="39">
        <f>B36/C15</f>
        <v>0.356141381672252</v>
      </c>
      <c r="C37" s="34" t="s">
        <v>43</v>
      </c>
      <c r="D37" s="39">
        <f>D36/D15</f>
        <v>0.376325309982788</v>
      </c>
      <c r="E37" s="34"/>
      <c r="F37" s="34" t="s">
        <v>43</v>
      </c>
      <c r="G37" s="39">
        <f>G36/G15</f>
        <v>0.322266506426119</v>
      </c>
      <c r="H37" s="34" t="s">
        <v>43</v>
      </c>
      <c r="I37" s="39">
        <f>I36/H15</f>
        <v>0.3805493029538</v>
      </c>
    </row>
    <row r="38" spans="1:9">
      <c r="A38" s="34" t="s">
        <v>44</v>
      </c>
      <c r="B38" s="40">
        <f>B37/10*12</f>
        <v>0.427369658006703</v>
      </c>
      <c r="C38" s="34" t="s">
        <v>44</v>
      </c>
      <c r="D38" s="39">
        <f>D37/9*12</f>
        <v>0.501767079977051</v>
      </c>
      <c r="E38" s="34"/>
      <c r="F38" s="34" t="s">
        <v>44</v>
      </c>
      <c r="G38" s="40">
        <f>G37/10*12</f>
        <v>0.386719807711343</v>
      </c>
      <c r="H38" s="34" t="s">
        <v>44</v>
      </c>
      <c r="I38" s="39">
        <f>I37/9*12</f>
        <v>0.507399070605067</v>
      </c>
    </row>
  </sheetData>
  <mergeCells count="10">
    <mergeCell ref="B10:D10"/>
    <mergeCell ref="F10:H10"/>
    <mergeCell ref="B11:C11"/>
    <mergeCell ref="F11:G11"/>
    <mergeCell ref="A18:D18"/>
    <mergeCell ref="F18:I18"/>
    <mergeCell ref="A19:B19"/>
    <mergeCell ref="C19:D19"/>
    <mergeCell ref="F19:G19"/>
    <mergeCell ref="H19:I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tabSelected="1" workbookViewId="0">
      <selection activeCell="S13" sqref="S13"/>
    </sheetView>
  </sheetViews>
  <sheetFormatPr defaultColWidth="9.23076923076923" defaultRowHeight="16.8"/>
  <cols>
    <col min="2" max="2" width="16.0192307692308" customWidth="1"/>
    <col min="7" max="7" width="14.4134615384615" customWidth="1"/>
    <col min="8" max="8" width="14.5769230769231" customWidth="1"/>
    <col min="9" max="9" width="13.1346153846154" customWidth="1"/>
    <col min="10" max="10" width="17.4615384615385" customWidth="1"/>
    <col min="11" max="11" width="11.8461538461538"/>
    <col min="12" max="12" width="16.3461538461538" customWidth="1"/>
    <col min="13" max="13" width="16.5" customWidth="1"/>
    <col min="15" max="15" width="11.8461538461538"/>
  </cols>
  <sheetData>
    <row r="1" ht="35" customHeight="1" spans="1:1">
      <c r="A1" s="1" t="s">
        <v>45</v>
      </c>
    </row>
    <row r="2" ht="35" customHeight="1" spans="1:1">
      <c r="A2" s="1" t="s">
        <v>46</v>
      </c>
    </row>
    <row r="4" ht="68" spans="1:16">
      <c r="A4" s="2" t="s">
        <v>47</v>
      </c>
      <c r="B4" s="3" t="s">
        <v>48</v>
      </c>
      <c r="C4" s="2" t="s">
        <v>49</v>
      </c>
      <c r="D4" s="2" t="s">
        <v>50</v>
      </c>
      <c r="E4" s="2" t="s">
        <v>51</v>
      </c>
      <c r="F4" s="11" t="s">
        <v>52</v>
      </c>
      <c r="G4" s="11" t="s">
        <v>53</v>
      </c>
      <c r="H4" s="11" t="s">
        <v>54</v>
      </c>
      <c r="I4" s="11" t="s">
        <v>55</v>
      </c>
      <c r="J4" s="11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17" t="s">
        <v>62</v>
      </c>
    </row>
    <row r="5" spans="1:16">
      <c r="A5" s="4">
        <v>1</v>
      </c>
      <c r="B5" s="5">
        <v>10000000</v>
      </c>
      <c r="C5" s="6">
        <v>8600</v>
      </c>
      <c r="D5" s="6">
        <v>1074.89</v>
      </c>
      <c r="E5" s="6">
        <v>2149</v>
      </c>
      <c r="F5" s="12">
        <f>B5/C5</f>
        <v>1162.79069767442</v>
      </c>
      <c r="G5" s="12">
        <v>0</v>
      </c>
      <c r="H5" s="12">
        <f>E5*F5</f>
        <v>2498837.20930233</v>
      </c>
      <c r="I5" s="14">
        <v>0</v>
      </c>
      <c r="J5" s="12">
        <f>D5*F5*12-H5+G5</f>
        <v>12499627.9069767</v>
      </c>
      <c r="K5" s="5">
        <f>D5*12*F5*10%</f>
        <v>1499846.51162791</v>
      </c>
      <c r="L5" s="5">
        <f>C5*F5*1%</f>
        <v>100000</v>
      </c>
      <c r="M5" s="5">
        <f>F5*100</f>
        <v>116279.069767442</v>
      </c>
      <c r="N5" s="5">
        <v>0</v>
      </c>
      <c r="O5" s="5">
        <f>SUM(K5:N5)</f>
        <v>1716125.58139535</v>
      </c>
      <c r="P5" s="18" t="s">
        <v>63</v>
      </c>
    </row>
    <row r="6" spans="1:16">
      <c r="A6" s="7"/>
      <c r="B6" s="5">
        <f>H5-O5</f>
        <v>782711.627906977</v>
      </c>
      <c r="C6" s="6">
        <v>8600</v>
      </c>
      <c r="D6" s="6">
        <v>1074.89</v>
      </c>
      <c r="E6" s="6">
        <v>2149</v>
      </c>
      <c r="F6" s="12">
        <f>B6/C6</f>
        <v>91.0129799891833</v>
      </c>
      <c r="G6" s="12">
        <v>0</v>
      </c>
      <c r="H6" s="12">
        <f>E6*F6</f>
        <v>195586.893996755</v>
      </c>
      <c r="I6" s="15"/>
      <c r="J6" s="13">
        <f>J5+D6*F6*12+G6-H6</f>
        <v>13477988.3177069</v>
      </c>
      <c r="K6" s="5">
        <f>D6*12*F6*10%</f>
        <v>117394.730472688</v>
      </c>
      <c r="L6" s="5">
        <f>C6*F6*1%</f>
        <v>7827.11627906977</v>
      </c>
      <c r="M6" s="5">
        <f>F6*100</f>
        <v>9101.29799891833</v>
      </c>
      <c r="N6" s="5">
        <v>0</v>
      </c>
      <c r="O6" s="5">
        <f>SUM(K6:N6)</f>
        <v>134323.144750676</v>
      </c>
      <c r="P6" s="18"/>
    </row>
    <row r="7" spans="1:16">
      <c r="A7" s="7"/>
      <c r="B7" s="5">
        <f>H6-O6</f>
        <v>61263.749246079</v>
      </c>
      <c r="C7" s="6">
        <v>8600</v>
      </c>
      <c r="D7" s="6">
        <v>1074.89</v>
      </c>
      <c r="E7" s="6">
        <v>2149</v>
      </c>
      <c r="F7" s="12">
        <f>B7/C7</f>
        <v>7.12369177279988</v>
      </c>
      <c r="G7" s="12">
        <v>0</v>
      </c>
      <c r="H7" s="12">
        <f>E7*F7</f>
        <v>15308.8136197469</v>
      </c>
      <c r="I7" s="15"/>
      <c r="J7" s="12">
        <f>J6+D7*F7*12+G7-H7</f>
        <v>13554565.7246831</v>
      </c>
      <c r="K7" s="5">
        <f>D7*12*F7*10%</f>
        <v>9188.62205959783</v>
      </c>
      <c r="L7" s="5">
        <f>C7*F7*1%</f>
        <v>612.63749246079</v>
      </c>
      <c r="M7" s="5">
        <f>F7*100</f>
        <v>712.369177279988</v>
      </c>
      <c r="N7" s="5">
        <v>0</v>
      </c>
      <c r="O7" s="5">
        <f>SUM(K7:N7)</f>
        <v>10513.6287293386</v>
      </c>
      <c r="P7" s="18"/>
    </row>
    <row r="8" spans="1:16">
      <c r="A8" s="4">
        <v>2</v>
      </c>
      <c r="B8" s="5">
        <f>H7-O7</f>
        <v>4795.18489040833</v>
      </c>
      <c r="C8" s="6">
        <v>8600</v>
      </c>
      <c r="D8" s="6">
        <v>1074.89</v>
      </c>
      <c r="E8" s="6">
        <v>2149</v>
      </c>
      <c r="F8" s="12">
        <v>0</v>
      </c>
      <c r="G8" s="12">
        <v>0</v>
      </c>
      <c r="H8" s="12">
        <f>E8*F8</f>
        <v>0</v>
      </c>
      <c r="I8" s="12">
        <f>D5*F5+D6*F6+D7*F7</f>
        <v>1355358.22013349</v>
      </c>
      <c r="J8" s="12">
        <f>J7+D8*F8*12+G8-H8-I8</f>
        <v>12199207.5045496</v>
      </c>
      <c r="K8" s="5">
        <f>D8*12*F8*10%</f>
        <v>0</v>
      </c>
      <c r="L8" s="5">
        <f>C8*F8*1%</f>
        <v>0</v>
      </c>
      <c r="M8" s="5">
        <f>F8*100</f>
        <v>0</v>
      </c>
      <c r="N8" s="5">
        <v>0</v>
      </c>
      <c r="O8" s="5">
        <f>SUM(K8:N8)</f>
        <v>0</v>
      </c>
      <c r="P8" s="19" t="s">
        <v>64</v>
      </c>
    </row>
    <row r="9" spans="1:16">
      <c r="A9" s="7"/>
      <c r="B9" s="5">
        <f>B8+I8-O8</f>
        <v>1360153.4050239</v>
      </c>
      <c r="C9" s="6">
        <v>8600</v>
      </c>
      <c r="D9" s="6">
        <v>1074.89</v>
      </c>
      <c r="E9" s="6">
        <v>2149</v>
      </c>
      <c r="F9" s="12">
        <f>B9/C9</f>
        <v>158.157372677198</v>
      </c>
      <c r="G9" s="12">
        <v>0</v>
      </c>
      <c r="H9" s="12">
        <f>E9*F9</f>
        <v>339880.193883298</v>
      </c>
      <c r="I9" s="14"/>
      <c r="J9" s="12">
        <f>J8+D9*F9*12+G9-H9</f>
        <v>13899348.6504702</v>
      </c>
      <c r="K9" s="5">
        <f>D9*12*F9*10%</f>
        <v>204002.133980392</v>
      </c>
      <c r="L9" s="5">
        <f>C9*F9*1%</f>
        <v>13601.534050239</v>
      </c>
      <c r="M9" s="5">
        <f>F9*100</f>
        <v>15815.7372677198</v>
      </c>
      <c r="N9" s="5">
        <v>0</v>
      </c>
      <c r="O9" s="5">
        <f>SUM(K9:N9)</f>
        <v>233419.405298351</v>
      </c>
      <c r="P9" s="20"/>
    </row>
    <row r="10" spans="1:16">
      <c r="A10" s="7"/>
      <c r="B10" s="5">
        <f t="shared" ref="B10:B12" si="0">H9-O9</f>
        <v>106460.788584948</v>
      </c>
      <c r="C10" s="6">
        <v>8600</v>
      </c>
      <c r="D10" s="6">
        <v>1074.89</v>
      </c>
      <c r="E10" s="6">
        <v>2149</v>
      </c>
      <c r="F10" s="12">
        <f>B10/C10</f>
        <v>12.379161463366</v>
      </c>
      <c r="G10" s="12">
        <v>0</v>
      </c>
      <c r="H10" s="12">
        <f>E10*F10</f>
        <v>26602.8179847735</v>
      </c>
      <c r="I10" s="15"/>
      <c r="J10" s="12">
        <f t="shared" ref="J9:J11" si="1">J9+D10*F10*12+G10-H10</f>
        <v>14032420.6748697</v>
      </c>
      <c r="K10" s="5">
        <f>D10*12*F10*10%</f>
        <v>15967.484238429</v>
      </c>
      <c r="L10" s="5">
        <f>C10*F10*1%</f>
        <v>1064.60788584948</v>
      </c>
      <c r="M10" s="5">
        <f>F10*100</f>
        <v>1237.9161463366</v>
      </c>
      <c r="N10" s="5">
        <v>0</v>
      </c>
      <c r="O10" s="5">
        <f>SUM(K10:N10)</f>
        <v>18270.0082706151</v>
      </c>
      <c r="P10" s="20"/>
    </row>
    <row r="11" spans="1:16">
      <c r="A11" s="8"/>
      <c r="B11" s="5">
        <f t="shared" si="0"/>
        <v>8332.80971415848</v>
      </c>
      <c r="C11" s="6">
        <v>8600</v>
      </c>
      <c r="D11" s="6">
        <v>1074.89</v>
      </c>
      <c r="E11" s="6">
        <v>2149</v>
      </c>
      <c r="F11" s="12">
        <f>B11/C11</f>
        <v>0.968931362111452</v>
      </c>
      <c r="G11" s="12">
        <v>0</v>
      </c>
      <c r="H11" s="12">
        <f>E11*F11</f>
        <v>2082.23349717751</v>
      </c>
      <c r="I11" s="16"/>
      <c r="J11" s="12">
        <f t="shared" si="1"/>
        <v>14042836.3769544</v>
      </c>
      <c r="K11" s="5">
        <f>D11*12*F11*10%</f>
        <v>1249.79355818397</v>
      </c>
      <c r="L11" s="5">
        <f>C11*F11*1%</f>
        <v>83.3280971415848</v>
      </c>
      <c r="M11" s="5">
        <f>F11*100</f>
        <v>96.8931362111452</v>
      </c>
      <c r="N11" s="5">
        <v>0</v>
      </c>
      <c r="O11" s="5">
        <f>SUM(K11:N11)</f>
        <v>1430.0147915367</v>
      </c>
      <c r="P11" s="21"/>
    </row>
    <row r="12" spans="1:16">
      <c r="A12" s="4">
        <v>3</v>
      </c>
      <c r="B12" s="5">
        <f>H11-O11</f>
        <v>652.218705640806</v>
      </c>
      <c r="C12" s="6">
        <v>8600</v>
      </c>
      <c r="D12" s="6">
        <v>1074.89</v>
      </c>
      <c r="E12" s="6">
        <v>2149</v>
      </c>
      <c r="F12" s="12">
        <v>0</v>
      </c>
      <c r="G12" s="12">
        <v>0</v>
      </c>
      <c r="H12" s="12">
        <f>E12*F12</f>
        <v>0</v>
      </c>
      <c r="I12" s="12">
        <f>D5*F5+D6*F6+D7*F7+D8*F8+D9*F9+D10*F10+D11*F11</f>
        <v>1539707.72994766</v>
      </c>
      <c r="J12" s="12">
        <f>J11+D12*F12*12+G12-H12-I12</f>
        <v>12503128.6470067</v>
      </c>
      <c r="K12" s="5">
        <f>D12*12*F12*10%</f>
        <v>0</v>
      </c>
      <c r="L12" s="5">
        <f>C12*F12*1%</f>
        <v>0</v>
      </c>
      <c r="M12" s="5">
        <f>F12*100</f>
        <v>0</v>
      </c>
      <c r="N12" s="5">
        <v>0</v>
      </c>
      <c r="O12" s="5">
        <f>SUM(K12:N12)</f>
        <v>0</v>
      </c>
      <c r="P12" s="19" t="s">
        <v>65</v>
      </c>
    </row>
    <row r="13" spans="1:16">
      <c r="A13" s="7"/>
      <c r="B13" s="5">
        <f>B12+I12-O12</f>
        <v>1540359.94865331</v>
      </c>
      <c r="C13" s="6">
        <v>8600</v>
      </c>
      <c r="D13" s="6">
        <v>1074.89</v>
      </c>
      <c r="E13" s="6">
        <v>2149</v>
      </c>
      <c r="F13" s="12">
        <f>B13/C13</f>
        <v>179.111621936431</v>
      </c>
      <c r="G13" s="12">
        <v>0</v>
      </c>
      <c r="H13" s="12">
        <f>E13*F13</f>
        <v>384910.87554139</v>
      </c>
      <c r="I13" s="14"/>
      <c r="J13" s="12">
        <f>J12+D13*F13*12+G13-H13</f>
        <v>14428521.2671044</v>
      </c>
      <c r="K13" s="5">
        <f>D13*12*F13*10%</f>
        <v>231030.3495639</v>
      </c>
      <c r="L13" s="5">
        <f>C13*F13*1%</f>
        <v>15403.5994865331</v>
      </c>
      <c r="M13" s="5">
        <f>F13*100</f>
        <v>17911.1621936431</v>
      </c>
      <c r="N13" s="5">
        <v>0</v>
      </c>
      <c r="O13" s="5">
        <f>SUM(K13:N13)</f>
        <v>264345.111244076</v>
      </c>
      <c r="P13" s="20"/>
    </row>
    <row r="14" spans="1:16">
      <c r="A14" s="7"/>
      <c r="B14" s="5">
        <f>H13-O13</f>
        <v>120565.764297314</v>
      </c>
      <c r="C14" s="6">
        <v>8600</v>
      </c>
      <c r="D14" s="6">
        <v>1074.89</v>
      </c>
      <c r="E14" s="6">
        <v>2149</v>
      </c>
      <c r="F14" s="12">
        <f>B14/C14</f>
        <v>14.0192749182923</v>
      </c>
      <c r="G14" s="12">
        <v>0</v>
      </c>
      <c r="H14" s="12">
        <f>E14*F14</f>
        <v>30127.4217994101</v>
      </c>
      <c r="I14" s="15"/>
      <c r="J14" s="12">
        <f>J13+D14*F14*12+G14-H14</f>
        <v>14579223.986308</v>
      </c>
      <c r="K14" s="5">
        <f>D14*12*F14*10%</f>
        <v>18083.0141003078</v>
      </c>
      <c r="L14" s="5">
        <f>C14*F14*1%</f>
        <v>1205.65764297314</v>
      </c>
      <c r="M14" s="5">
        <f>F14*100</f>
        <v>1401.92749182923</v>
      </c>
      <c r="N14" s="5">
        <v>0</v>
      </c>
      <c r="O14" s="5">
        <f>SUM(K14:N14)</f>
        <v>20690.5992351102</v>
      </c>
      <c r="P14" s="20"/>
    </row>
    <row r="15" spans="1:16">
      <c r="A15" s="7"/>
      <c r="B15" s="5">
        <f>H14-O14</f>
        <v>9436.82256429991</v>
      </c>
      <c r="C15" s="6">
        <v>8600</v>
      </c>
      <c r="D15" s="6">
        <v>1074.89</v>
      </c>
      <c r="E15" s="6">
        <v>2149</v>
      </c>
      <c r="F15" s="12">
        <f>B15/C15</f>
        <v>1.0973049493372</v>
      </c>
      <c r="G15" s="12">
        <v>0</v>
      </c>
      <c r="H15" s="12">
        <f>E15*F15</f>
        <v>2358.10833612564</v>
      </c>
      <c r="I15" s="15"/>
      <c r="J15" s="12">
        <f>J14+D15*F15*12+G15-H15</f>
        <v>14591019.6633758</v>
      </c>
      <c r="K15" s="5">
        <f>D15*12*F15*10%</f>
        <v>1415.37854039167</v>
      </c>
      <c r="L15" s="5">
        <f>C15*F15*1%</f>
        <v>94.3682256429991</v>
      </c>
      <c r="M15" s="5">
        <f>F15*100</f>
        <v>109.73049493372</v>
      </c>
      <c r="N15" s="5">
        <v>0</v>
      </c>
      <c r="O15" s="5">
        <f>SUM(K15:N15)</f>
        <v>1619.47726096839</v>
      </c>
      <c r="P15" s="20"/>
    </row>
    <row r="16" spans="1:16">
      <c r="A16" s="4">
        <v>4</v>
      </c>
      <c r="B16" s="5">
        <f>H15-O15</f>
        <v>738.631075157248</v>
      </c>
      <c r="C16" s="6">
        <v>8600</v>
      </c>
      <c r="D16" s="6">
        <v>1074.89</v>
      </c>
      <c r="E16" s="6">
        <v>2149</v>
      </c>
      <c r="F16" s="12">
        <v>0</v>
      </c>
      <c r="G16" s="12">
        <v>0</v>
      </c>
      <c r="H16" s="12">
        <f>E16*F16</f>
        <v>0</v>
      </c>
      <c r="I16" s="12">
        <f>D5*F5+D6*F6+D7*F7+D8*F8+D9*F9+D10*F10+D11*F11+D12*F12+D13*F13+D14*F14+D15*F15</f>
        <v>1748481.68178483</v>
      </c>
      <c r="J16" s="12">
        <f>J15+D16*F16*12+G16-H16-I16</f>
        <v>12842537.981591</v>
      </c>
      <c r="K16" s="5">
        <f>D16*12*F16*10%</f>
        <v>0</v>
      </c>
      <c r="L16" s="5">
        <f>C16*F16*1%</f>
        <v>0</v>
      </c>
      <c r="M16" s="5">
        <f>F16*100</f>
        <v>0</v>
      </c>
      <c r="N16" s="5">
        <v>0</v>
      </c>
      <c r="O16" s="5">
        <f>SUM(K16:N16)</f>
        <v>0</v>
      </c>
      <c r="P16" s="19" t="s">
        <v>66</v>
      </c>
    </row>
    <row r="17" spans="1:16">
      <c r="A17" s="7"/>
      <c r="B17" s="5">
        <f>B16+I16-O16</f>
        <v>1749220.31285999</v>
      </c>
      <c r="C17" s="6">
        <v>8600</v>
      </c>
      <c r="D17" s="6">
        <v>1074.89</v>
      </c>
      <c r="E17" s="6">
        <v>2149</v>
      </c>
      <c r="F17" s="12">
        <f>B17/C17</f>
        <v>203.397710797673</v>
      </c>
      <c r="G17" s="12">
        <v>0</v>
      </c>
      <c r="H17" s="12">
        <f>E17*F17</f>
        <v>437101.680504199</v>
      </c>
      <c r="I17" s="14"/>
      <c r="J17" s="12">
        <f>J16+D17*F17*12+G17-H17</f>
        <v>15028998.2853985</v>
      </c>
      <c r="K17" s="5">
        <f>D17*12*F17*10%</f>
        <v>262356.198431173</v>
      </c>
      <c r="L17" s="5">
        <f>C17*F17*1%</f>
        <v>17492.2031285999</v>
      </c>
      <c r="M17" s="5">
        <f>F17*100</f>
        <v>20339.7710797673</v>
      </c>
      <c r="N17" s="5">
        <v>0</v>
      </c>
      <c r="O17" s="5">
        <f>SUM(K17:N17)</f>
        <v>300188.17263954</v>
      </c>
      <c r="P17" s="22"/>
    </row>
    <row r="18" spans="1:16">
      <c r="A18" s="7"/>
      <c r="B18" s="5">
        <f>H17-O17</f>
        <v>136913.507864659</v>
      </c>
      <c r="C18" s="6">
        <v>8600</v>
      </c>
      <c r="D18" s="6">
        <v>1074.89</v>
      </c>
      <c r="E18" s="6">
        <v>2149</v>
      </c>
      <c r="F18" s="12">
        <f>B18/C18</f>
        <v>15.9201753330999</v>
      </c>
      <c r="G18" s="12">
        <v>0</v>
      </c>
      <c r="H18" s="12">
        <f>E18*F18</f>
        <v>34212.4567908317</v>
      </c>
      <c r="I18" s="15"/>
      <c r="J18" s="12">
        <f>J17+D18*F18*12+G18-H18</f>
        <v>15200135.0757732</v>
      </c>
      <c r="K18" s="5">
        <f>D18*12*F18*10%</f>
        <v>20534.9247165549</v>
      </c>
      <c r="L18" s="5">
        <f>C18*F18*1%</f>
        <v>1369.13507864659</v>
      </c>
      <c r="M18" s="5">
        <f>F18*100</f>
        <v>1592.01753330999</v>
      </c>
      <c r="N18" s="5">
        <v>0</v>
      </c>
      <c r="O18" s="5">
        <f>SUM(K18:N18)</f>
        <v>23496.0773285115</v>
      </c>
      <c r="P18" s="22"/>
    </row>
    <row r="19" spans="1:16">
      <c r="A19" s="7"/>
      <c r="B19" s="5">
        <f>H18-O18</f>
        <v>10716.3794623202</v>
      </c>
      <c r="C19" s="6">
        <v>8600</v>
      </c>
      <c r="D19" s="6">
        <v>1074.89</v>
      </c>
      <c r="E19" s="6">
        <v>2149</v>
      </c>
      <c r="F19" s="12">
        <f>B19/C19</f>
        <v>1.24609063515351</v>
      </c>
      <c r="G19" s="12">
        <v>0</v>
      </c>
      <c r="H19" s="12">
        <f>E19*F19</f>
        <v>2677.8487749449</v>
      </c>
      <c r="I19" s="15"/>
      <c r="J19" s="12">
        <f>J18+D19*F19*12+G19-H19</f>
        <v>15213530.1513521</v>
      </c>
      <c r="K19" s="5">
        <f>D19*12*F19*10%</f>
        <v>1607.29243538419</v>
      </c>
      <c r="L19" s="5">
        <f>C19*F19*1%</f>
        <v>107.163794623202</v>
      </c>
      <c r="M19" s="5">
        <f>F19*100</f>
        <v>124.609063515351</v>
      </c>
      <c r="N19" s="5">
        <v>0</v>
      </c>
      <c r="O19" s="5">
        <f>SUM(K19:N19)</f>
        <v>1839.06529352274</v>
      </c>
      <c r="P19" s="22"/>
    </row>
    <row r="20" spans="1:16">
      <c r="A20" s="4">
        <v>5</v>
      </c>
      <c r="B20" s="5">
        <f>H19-O19</f>
        <v>838.783481422154</v>
      </c>
      <c r="C20" s="6">
        <v>8600</v>
      </c>
      <c r="D20" s="6">
        <v>1074.89</v>
      </c>
      <c r="E20" s="6">
        <v>2149</v>
      </c>
      <c r="F20" s="12">
        <v>0</v>
      </c>
      <c r="G20" s="12">
        <v>0</v>
      </c>
      <c r="H20" s="12">
        <f>E20*F20</f>
        <v>0</v>
      </c>
      <c r="I20" s="12">
        <f>D5*F5+D6*F6+D7*F7+D8*F8+D9*F9+D10*F10+D11*F11+D12*F12+D13*F13+D14*F14+D15*F15+D16*F16+D17*F17+D18*F18+D19*F19</f>
        <v>1985563.69477076</v>
      </c>
      <c r="J20" s="12">
        <f>J19+D20*F20*12+G20-H10-I20</f>
        <v>13201363.6385966</v>
      </c>
      <c r="K20" s="5">
        <f>D20*12*F20*10%</f>
        <v>0</v>
      </c>
      <c r="L20" s="5">
        <f>C20*F20*1%</f>
        <v>0</v>
      </c>
      <c r="M20" s="5">
        <f>F20*100</f>
        <v>0</v>
      </c>
      <c r="N20" s="5">
        <v>0</v>
      </c>
      <c r="O20" s="5">
        <f>SUM(K20:N20)</f>
        <v>0</v>
      </c>
      <c r="P20" s="19" t="s">
        <v>67</v>
      </c>
    </row>
    <row r="21" spans="1:16">
      <c r="A21" s="7"/>
      <c r="B21" s="5">
        <f>B20+I20-O20</f>
        <v>1986402.47825218</v>
      </c>
      <c r="C21" s="6">
        <v>8600</v>
      </c>
      <c r="D21" s="6">
        <v>1074.89</v>
      </c>
      <c r="E21" s="6">
        <v>2149</v>
      </c>
      <c r="F21" s="12">
        <f>B21/C21</f>
        <v>230.977032354905</v>
      </c>
      <c r="G21" s="12">
        <v>0</v>
      </c>
      <c r="H21" s="12">
        <f>E21*F21</f>
        <v>496369.64253069</v>
      </c>
      <c r="I21" s="14"/>
      <c r="J21" s="12">
        <f>J20+D21*F21*12+G21-H21</f>
        <v>15684292.8237615</v>
      </c>
      <c r="K21" s="5">
        <f>D21*12*F21*10%</f>
        <v>297929.882769556</v>
      </c>
      <c r="L21" s="5">
        <f>C21*F21*1%</f>
        <v>19864.0247825218</v>
      </c>
      <c r="M21" s="5">
        <f>F21*100</f>
        <v>23097.7032354905</v>
      </c>
      <c r="N21" s="5">
        <v>0</v>
      </c>
      <c r="O21" s="5">
        <f>SUM(K21:N21)</f>
        <v>340891.610787568</v>
      </c>
      <c r="P21" s="22"/>
    </row>
    <row r="22" spans="1:16">
      <c r="A22" s="7"/>
      <c r="B22" s="5">
        <f>H21-O21</f>
        <v>155478.031743122</v>
      </c>
      <c r="C22" s="6">
        <v>8600</v>
      </c>
      <c r="D22" s="6">
        <v>1074.89</v>
      </c>
      <c r="E22" s="6">
        <v>2149</v>
      </c>
      <c r="F22" s="12">
        <f>B22/C22</f>
        <v>18.078840900363</v>
      </c>
      <c r="G22" s="12">
        <v>0</v>
      </c>
      <c r="H22" s="12">
        <f>E22*F22</f>
        <v>38851.4290948801</v>
      </c>
      <c r="I22" s="15"/>
      <c r="J22" s="12">
        <f>J21+D22*F22*12+G22-H22</f>
        <v>15878634.5782113</v>
      </c>
      <c r="K22" s="5">
        <f>D22*12*F22*10%</f>
        <v>23319.3183544694</v>
      </c>
      <c r="L22" s="5">
        <f>C22*F22*1%</f>
        <v>1554.78031743122</v>
      </c>
      <c r="M22" s="5">
        <f>F22*100</f>
        <v>1807.8840900363</v>
      </c>
      <c r="N22" s="5">
        <v>0</v>
      </c>
      <c r="O22" s="5">
        <f>SUM(K22:N22)</f>
        <v>26681.9827619369</v>
      </c>
      <c r="P22" s="22"/>
    </row>
    <row r="23" spans="1:16">
      <c r="A23" s="7"/>
      <c r="B23" s="5">
        <f>H22-O22</f>
        <v>12169.4463329431</v>
      </c>
      <c r="C23" s="6">
        <v>8600</v>
      </c>
      <c r="D23" s="6">
        <v>1074.89</v>
      </c>
      <c r="E23" s="6">
        <v>2149</v>
      </c>
      <c r="F23" s="12">
        <f>B23/C23</f>
        <v>1.41505189917943</v>
      </c>
      <c r="G23" s="12">
        <v>0</v>
      </c>
      <c r="H23" s="12">
        <f>E23*F23</f>
        <v>3040.94653133661</v>
      </c>
      <c r="I23" s="15"/>
      <c r="J23" s="12">
        <f>J22+D23*F23*12+G23-H23</f>
        <v>15893845.9333109</v>
      </c>
      <c r="K23" s="5">
        <f>D23*12*F23*10%</f>
        <v>1825.23016309078</v>
      </c>
      <c r="L23" s="5">
        <f>C23*F23*1%</f>
        <v>121.694463329431</v>
      </c>
      <c r="M23" s="5">
        <f>F23*100</f>
        <v>141.505189917943</v>
      </c>
      <c r="N23" s="5">
        <v>0</v>
      </c>
      <c r="O23" s="5">
        <f>SUM(K23:N23)</f>
        <v>2088.42981633815</v>
      </c>
      <c r="P23" s="22"/>
    </row>
    <row r="24" spans="1:16">
      <c r="A24" s="4">
        <v>6</v>
      </c>
      <c r="B24" s="5">
        <f>H23-O23</f>
        <v>952.516714998451</v>
      </c>
      <c r="C24" s="6">
        <v>8600</v>
      </c>
      <c r="D24" s="6">
        <v>1074.89</v>
      </c>
      <c r="E24" s="6">
        <v>2149</v>
      </c>
      <c r="F24" s="12">
        <v>0</v>
      </c>
      <c r="G24" s="12">
        <v>0</v>
      </c>
      <c r="H24" s="12">
        <f>E24*F24</f>
        <v>0</v>
      </c>
      <c r="I24" s="12">
        <f>D5*F5+D6*F6+D7*F7+D8*F8+D9*F9+D10*F10+D11*F11+D12*F12+D13*F13+D14*F14+D15*F15+D16*F16+D17*F17+D18*F18+D19*F19+D20*F20+D21*F21+D22*F22+D23*F23</f>
        <v>2254792.38751002</v>
      </c>
      <c r="J24" s="12">
        <f>J23+D24*F24*12+G24-H24-I24</f>
        <v>13639053.5458008</v>
      </c>
      <c r="K24" s="5">
        <f t="shared" ref="K24:K40" si="2">D24*12*F24*10%</f>
        <v>0</v>
      </c>
      <c r="L24" s="5">
        <f t="shared" ref="L24:L35" si="3">C24*F24*1%</f>
        <v>0</v>
      </c>
      <c r="M24" s="5">
        <f t="shared" ref="M24:M32" si="4">F24*100</f>
        <v>0</v>
      </c>
      <c r="N24" s="5">
        <v>0</v>
      </c>
      <c r="O24" s="5">
        <f>SUM(K24:N24)</f>
        <v>0</v>
      </c>
      <c r="P24" s="19" t="s">
        <v>68</v>
      </c>
    </row>
    <row r="25" spans="1:16">
      <c r="A25" s="7"/>
      <c r="B25" s="5">
        <f>B24+I24-O24</f>
        <v>2255744.90422502</v>
      </c>
      <c r="C25" s="6">
        <v>8600</v>
      </c>
      <c r="D25" s="6">
        <v>1074.89</v>
      </c>
      <c r="E25" s="6">
        <v>2149</v>
      </c>
      <c r="F25" s="12">
        <f>B25/C25</f>
        <v>262.295919095933</v>
      </c>
      <c r="G25" s="12">
        <v>0</v>
      </c>
      <c r="H25" s="12">
        <f>E25*F25</f>
        <v>563673.930137159</v>
      </c>
      <c r="I25" s="14"/>
      <c r="J25" s="12">
        <f t="shared" ref="J24:J36" si="5">J24+D25*F25*12+G25-H25</f>
        <v>16458650.741388</v>
      </c>
      <c r="K25" s="5">
        <f t="shared" si="2"/>
        <v>338327.112572432</v>
      </c>
      <c r="L25" s="5">
        <f t="shared" si="3"/>
        <v>22557.4490422502</v>
      </c>
      <c r="M25" s="5">
        <f t="shared" si="4"/>
        <v>26229.5919095933</v>
      </c>
      <c r="N25" s="5">
        <v>0</v>
      </c>
      <c r="O25" s="5">
        <f>SUM(K25:N25)</f>
        <v>387114.153524276</v>
      </c>
      <c r="P25" s="22"/>
    </row>
    <row r="26" spans="1:16">
      <c r="A26" s="7"/>
      <c r="B26" s="5">
        <f t="shared" ref="B26:B28" si="6">H25-O25</f>
        <v>176559.776612883</v>
      </c>
      <c r="C26" s="6">
        <v>8600</v>
      </c>
      <c r="D26" s="6">
        <v>1074.89</v>
      </c>
      <c r="E26" s="6">
        <v>2149</v>
      </c>
      <c r="F26" s="12">
        <f>B26/C26</f>
        <v>20.5302065828934</v>
      </c>
      <c r="G26" s="12">
        <v>0</v>
      </c>
      <c r="H26" s="12">
        <f>E26*F26</f>
        <v>44119.4139466379</v>
      </c>
      <c r="I26" s="15"/>
      <c r="J26" s="12">
        <f t="shared" si="5"/>
        <v>16679343.892488</v>
      </c>
      <c r="K26" s="5">
        <f t="shared" si="2"/>
        <v>26481.2565046635</v>
      </c>
      <c r="L26" s="5">
        <f t="shared" si="3"/>
        <v>1765.59776612883</v>
      </c>
      <c r="M26" s="5">
        <f t="shared" si="4"/>
        <v>2053.02065828934</v>
      </c>
      <c r="N26" s="5">
        <v>0</v>
      </c>
      <c r="O26" s="5">
        <f>SUM(K26:N26)</f>
        <v>30299.8749290817</v>
      </c>
      <c r="P26" s="22"/>
    </row>
    <row r="27" spans="1:16">
      <c r="A27" s="8"/>
      <c r="B27" s="5">
        <f t="shared" si="6"/>
        <v>13819.5390175562</v>
      </c>
      <c r="C27" s="6">
        <v>8600</v>
      </c>
      <c r="D27" s="6">
        <v>1074.89</v>
      </c>
      <c r="E27" s="6">
        <v>2149</v>
      </c>
      <c r="F27" s="12">
        <f>B27/C27</f>
        <v>1.6069231415763</v>
      </c>
      <c r="G27" s="12">
        <v>0</v>
      </c>
      <c r="H27" s="12">
        <f>E27*F27</f>
        <v>3453.27783124747</v>
      </c>
      <c r="I27" s="16"/>
      <c r="J27" s="12">
        <f t="shared" si="5"/>
        <v>16696617.8020445</v>
      </c>
      <c r="K27" s="5">
        <f t="shared" si="2"/>
        <v>2072.71873877874</v>
      </c>
      <c r="L27" s="5">
        <f t="shared" si="3"/>
        <v>138.195390175562</v>
      </c>
      <c r="M27" s="5">
        <f t="shared" si="4"/>
        <v>160.69231415763</v>
      </c>
      <c r="N27" s="5">
        <v>0</v>
      </c>
      <c r="O27" s="5">
        <f>SUM(K27:N27)</f>
        <v>2371.60644311193</v>
      </c>
      <c r="P27" s="23"/>
    </row>
    <row r="28" spans="1:16">
      <c r="A28" s="4">
        <v>7</v>
      </c>
      <c r="B28" s="5">
        <f>H27-O27</f>
        <v>1081.67138813554</v>
      </c>
      <c r="C28" s="6">
        <v>8600</v>
      </c>
      <c r="D28" s="6">
        <v>1074.89</v>
      </c>
      <c r="E28" s="6">
        <v>2149</v>
      </c>
      <c r="F28" s="12">
        <v>0</v>
      </c>
      <c r="G28" s="12">
        <v>0</v>
      </c>
      <c r="H28" s="12">
        <f>E28*F28</f>
        <v>0</v>
      </c>
      <c r="I28" s="12">
        <f>D5*F5+D6*F6+D7*F7+D8*F8+D9*F9+D10*F10+D11*F11+D12*F12+D13*F13+D14*F14+D15*F15+D16*F16+D17*F17+D18*F18+D19*F19+D20*F20+D21*F21+D22*F22+D23*F23+D24*F24+D25*F25+D26*F26+D27*F27</f>
        <v>2560526.62735658</v>
      </c>
      <c r="J28" s="12">
        <f>J27+D28*F28*12+G28-H28-I28</f>
        <v>14136091.1746879</v>
      </c>
      <c r="K28" s="5">
        <f t="shared" si="2"/>
        <v>0</v>
      </c>
      <c r="L28" s="5">
        <f t="shared" si="3"/>
        <v>0</v>
      </c>
      <c r="M28" s="5">
        <f t="shared" si="4"/>
        <v>0</v>
      </c>
      <c r="N28" s="5">
        <v>0</v>
      </c>
      <c r="O28" s="5">
        <f>SUM(K28:N28)</f>
        <v>0</v>
      </c>
      <c r="P28" s="19" t="s">
        <v>69</v>
      </c>
    </row>
    <row r="29" spans="1:16">
      <c r="A29" s="7"/>
      <c r="B29" s="5">
        <f>B28+I28-O28</f>
        <v>2561608.29874472</v>
      </c>
      <c r="C29" s="6">
        <v>8600</v>
      </c>
      <c r="D29" s="6">
        <v>1074.89</v>
      </c>
      <c r="E29" s="6">
        <v>2149</v>
      </c>
      <c r="F29" s="12">
        <f>B29/C29</f>
        <v>297.861430086595</v>
      </c>
      <c r="G29" s="12">
        <v>0</v>
      </c>
      <c r="H29" s="12">
        <f>E29*F29</f>
        <v>640104.213256093</v>
      </c>
      <c r="I29" s="14"/>
      <c r="J29" s="12">
        <f t="shared" si="5"/>
        <v>17338006.2324612</v>
      </c>
      <c r="K29" s="5">
        <f t="shared" si="2"/>
        <v>384201.927102937</v>
      </c>
      <c r="L29" s="5">
        <f t="shared" si="3"/>
        <v>25616.0829874472</v>
      </c>
      <c r="M29" s="5">
        <f t="shared" si="4"/>
        <v>29786.1430086595</v>
      </c>
      <c r="N29" s="5">
        <v>0</v>
      </c>
      <c r="O29" s="5">
        <f>SUM(K29:N29)</f>
        <v>439604.153099043</v>
      </c>
      <c r="P29" s="22"/>
    </row>
    <row r="30" spans="1:16">
      <c r="A30" s="7"/>
      <c r="B30" s="5">
        <f t="shared" ref="B30:B32" si="7">H29-O29</f>
        <v>200500.06015705</v>
      </c>
      <c r="C30" s="6">
        <v>8600</v>
      </c>
      <c r="D30" s="6">
        <v>1074.89</v>
      </c>
      <c r="E30" s="6">
        <v>2149</v>
      </c>
      <c r="F30" s="12">
        <f>B30/C30</f>
        <v>23.3139604833779</v>
      </c>
      <c r="G30" s="12">
        <v>0</v>
      </c>
      <c r="H30" s="12">
        <f>E30*F30</f>
        <v>50101.7010787791</v>
      </c>
      <c r="I30" s="15"/>
      <c r="J30" s="12">
        <f t="shared" si="5"/>
        <v>17588623.8471902</v>
      </c>
      <c r="K30" s="5">
        <f t="shared" si="2"/>
        <v>30071.9315807737</v>
      </c>
      <c r="L30" s="5">
        <f t="shared" si="3"/>
        <v>2005.0006015705</v>
      </c>
      <c r="M30" s="5">
        <f t="shared" si="4"/>
        <v>2331.39604833779</v>
      </c>
      <c r="N30" s="5">
        <v>0</v>
      </c>
      <c r="O30" s="5">
        <f>SUM(K30:N30)</f>
        <v>34408.328230682</v>
      </c>
      <c r="P30" s="22"/>
    </row>
    <row r="31" spans="1:16">
      <c r="A31" s="8"/>
      <c r="B31" s="5">
        <f t="shared" si="7"/>
        <v>15693.3728480971</v>
      </c>
      <c r="C31" s="6">
        <v>8600</v>
      </c>
      <c r="D31" s="6">
        <v>1074.89</v>
      </c>
      <c r="E31" s="6">
        <v>2149</v>
      </c>
      <c r="F31" s="12">
        <f>B31/C31</f>
        <v>1.82481079629037</v>
      </c>
      <c r="G31" s="12">
        <v>0</v>
      </c>
      <c r="H31" s="12">
        <f>E31*F31</f>
        <v>3921.518401228</v>
      </c>
      <c r="I31" s="16"/>
      <c r="J31" s="12">
        <f t="shared" si="5"/>
        <v>17608239.9793108</v>
      </c>
      <c r="K31" s="5">
        <f t="shared" si="2"/>
        <v>2353.76505218946</v>
      </c>
      <c r="L31" s="5">
        <f t="shared" si="3"/>
        <v>156.933728480971</v>
      </c>
      <c r="M31" s="5">
        <f t="shared" si="4"/>
        <v>182.481079629037</v>
      </c>
      <c r="N31" s="5">
        <v>0</v>
      </c>
      <c r="O31" s="5">
        <f>SUM(K31:N31)</f>
        <v>2693.17986029947</v>
      </c>
      <c r="P31" s="23"/>
    </row>
    <row r="32" spans="1:16">
      <c r="A32" s="4">
        <v>8</v>
      </c>
      <c r="B32" s="5">
        <f t="shared" si="7"/>
        <v>1228.33854092853</v>
      </c>
      <c r="C32" s="6">
        <v>8600</v>
      </c>
      <c r="D32" s="6">
        <v>1074.89</v>
      </c>
      <c r="E32" s="6">
        <v>2149</v>
      </c>
      <c r="F32" s="12">
        <v>0</v>
      </c>
      <c r="G32" s="12">
        <v>0</v>
      </c>
      <c r="H32" s="12">
        <f>E32*F32</f>
        <v>0</v>
      </c>
      <c r="I32" s="12">
        <f>D5*F5+D6*F6+D7*F7+D8*F8+D9*F9+D10*F10+D11*F11+D12*F12+D13*F13+D14*F14+D15*F15+D16*F16+D17*F17+D18*F18+D19*F19+D20*F20+D21*F21+D22*F22+D23*F23+D24*F24+D25*F25+D26*F26+D27*F27+D28*F28+D29*F29+D30*F30+D31*F31</f>
        <v>2907716.31380317</v>
      </c>
      <c r="J32" s="12">
        <f>J31+D32*F32*12+G32-H32-I32</f>
        <v>14700523.6655077</v>
      </c>
      <c r="K32" s="5">
        <f t="shared" si="2"/>
        <v>0</v>
      </c>
      <c r="L32" s="5">
        <f t="shared" si="3"/>
        <v>0</v>
      </c>
      <c r="M32" s="5">
        <f t="shared" ref="M32:M45" si="8">F32*100</f>
        <v>0</v>
      </c>
      <c r="N32" s="5">
        <v>0</v>
      </c>
      <c r="O32" s="5">
        <f>SUM(K32:N32)</f>
        <v>0</v>
      </c>
      <c r="P32" s="19" t="s">
        <v>70</v>
      </c>
    </row>
    <row r="33" spans="1:16">
      <c r="A33" s="7"/>
      <c r="B33" s="5">
        <f>B32-O32+I32</f>
        <v>2908944.6523441</v>
      </c>
      <c r="C33" s="6">
        <v>8600</v>
      </c>
      <c r="D33" s="6">
        <v>1074.89</v>
      </c>
      <c r="E33" s="6">
        <v>2149</v>
      </c>
      <c r="F33" s="12">
        <f>B33/C33</f>
        <v>338.249378179546</v>
      </c>
      <c r="G33" s="12">
        <v>0</v>
      </c>
      <c r="H33" s="12">
        <f>E33*F33</f>
        <v>726897.913707844</v>
      </c>
      <c r="I33" s="14"/>
      <c r="J33" s="12">
        <f t="shared" si="5"/>
        <v>18336596.2411368</v>
      </c>
      <c r="K33" s="5">
        <f t="shared" si="2"/>
        <v>436297.048933695</v>
      </c>
      <c r="L33" s="5">
        <f t="shared" si="3"/>
        <v>29089.446523441</v>
      </c>
      <c r="M33" s="5">
        <f t="shared" si="8"/>
        <v>33824.9378179546</v>
      </c>
      <c r="N33" s="5">
        <v>0</v>
      </c>
      <c r="O33" s="5">
        <f>SUM(K33:N33)</f>
        <v>499211.43327509</v>
      </c>
      <c r="P33" s="22"/>
    </row>
    <row r="34" spans="1:16">
      <c r="A34" s="7"/>
      <c r="B34" s="5">
        <f>H33-O33</f>
        <v>227686.480432754</v>
      </c>
      <c r="C34" s="6">
        <v>8600</v>
      </c>
      <c r="D34" s="6">
        <v>1074.89</v>
      </c>
      <c r="E34" s="6">
        <v>2149</v>
      </c>
      <c r="F34" s="12">
        <f>B34/C34</f>
        <v>26.4751721433435</v>
      </c>
      <c r="G34" s="12">
        <v>0</v>
      </c>
      <c r="H34" s="12">
        <f>E34*F34</f>
        <v>56895.1449360452</v>
      </c>
      <c r="I34" s="15"/>
      <c r="J34" s="12">
        <f t="shared" si="5"/>
        <v>18621195.8696226</v>
      </c>
      <c r="K34" s="5">
        <f t="shared" si="2"/>
        <v>34149.4773421902</v>
      </c>
      <c r="L34" s="5">
        <f t="shared" si="3"/>
        <v>2276.86480432754</v>
      </c>
      <c r="M34" s="5">
        <f t="shared" si="8"/>
        <v>2647.51721433435</v>
      </c>
      <c r="N34" s="5">
        <v>0</v>
      </c>
      <c r="O34" s="5">
        <f>SUM(K34:N34)</f>
        <v>39073.8593608521</v>
      </c>
      <c r="P34" s="22"/>
    </row>
    <row r="35" spans="1:16">
      <c r="A35" s="7"/>
      <c r="B35" s="5">
        <f>H34-O34</f>
        <v>17821.2855751931</v>
      </c>
      <c r="C35" s="6">
        <v>8600</v>
      </c>
      <c r="D35" s="6">
        <v>1074.89</v>
      </c>
      <c r="E35" s="6">
        <v>2149</v>
      </c>
      <c r="F35" s="12">
        <f>B35/C35</f>
        <v>2.07224250874338</v>
      </c>
      <c r="G35" s="12">
        <v>0</v>
      </c>
      <c r="H35" s="12">
        <f>E35*F35</f>
        <v>4453.24915128953</v>
      </c>
      <c r="I35" s="15"/>
      <c r="J35" s="12">
        <f t="shared" si="5"/>
        <v>18643471.813474</v>
      </c>
      <c r="K35" s="5">
        <f t="shared" si="2"/>
        <v>2672.91930026781</v>
      </c>
      <c r="L35" s="5">
        <f t="shared" ref="L35:L65" si="9">C35*F35*1%</f>
        <v>178.212855751931</v>
      </c>
      <c r="M35" s="5">
        <f t="shared" si="8"/>
        <v>207.224250874338</v>
      </c>
      <c r="N35" s="5">
        <v>0</v>
      </c>
      <c r="O35" s="5">
        <f>SUM(K35:N35)</f>
        <v>3058.35640689408</v>
      </c>
      <c r="P35" s="22"/>
    </row>
    <row r="36" spans="1:16">
      <c r="A36" s="4">
        <v>9</v>
      </c>
      <c r="B36" s="5">
        <f>H35-O35</f>
        <v>1394.89274439545</v>
      </c>
      <c r="C36" s="6">
        <v>8600</v>
      </c>
      <c r="D36" s="6">
        <v>1074.89</v>
      </c>
      <c r="E36" s="6">
        <v>2149</v>
      </c>
      <c r="F36" s="12">
        <v>0</v>
      </c>
      <c r="G36" s="12">
        <v>0</v>
      </c>
      <c r="H36" s="12">
        <f>E36*F36</f>
        <v>0</v>
      </c>
      <c r="I36" s="12">
        <f>D5*F5+D6*F6+D7*F7+D8*F8+D9*F9+D10*F10+D11*F11+D12*F12+D13*F13+D14*F14+D15*F15+D16*F16+D17*F17+D18*F18+D19*F19+D20*F20+D21*F21+D22*F22+D23*F23+D24*F24+D25*F25+D26*F26+D27*F27+D28*F28+D29*F29+D30*F30+D31*F31+D32*F32+D33*F33+D34*F34+D35*F35</f>
        <v>3301982.51844996</v>
      </c>
      <c r="J36" s="12">
        <f>J35+D36*F36*12+G36-H36-I36</f>
        <v>15341489.2950241</v>
      </c>
      <c r="K36" s="5">
        <f>D36*12*F36*10%</f>
        <v>0</v>
      </c>
      <c r="L36" s="5">
        <f t="shared" si="9"/>
        <v>0</v>
      </c>
      <c r="M36" s="5">
        <f t="shared" si="8"/>
        <v>0</v>
      </c>
      <c r="N36" s="5">
        <v>0</v>
      </c>
      <c r="O36" s="5">
        <f>SUM(K36:N36)</f>
        <v>0</v>
      </c>
      <c r="P36" s="19" t="s">
        <v>71</v>
      </c>
    </row>
    <row r="37" spans="1:16">
      <c r="A37" s="7"/>
      <c r="B37" s="5">
        <f>B36-O36+I36</f>
        <v>3303377.41119436</v>
      </c>
      <c r="C37" s="6">
        <v>8600</v>
      </c>
      <c r="D37" s="6">
        <v>1074.89</v>
      </c>
      <c r="E37" s="6">
        <v>2149</v>
      </c>
      <c r="F37" s="12">
        <f>B37/C37</f>
        <v>384.11365246446</v>
      </c>
      <c r="G37" s="12">
        <v>0</v>
      </c>
      <c r="H37" s="12">
        <f>E37*F37</f>
        <v>825460.239146124</v>
      </c>
      <c r="I37" s="14"/>
      <c r="J37" s="12">
        <f>J36+D37*F37*12+G37-H37</f>
        <v>19470588.1426482</v>
      </c>
      <c r="K37" s="5">
        <f>D37*12*F37*10%</f>
        <v>495455.908677028</v>
      </c>
      <c r="L37" s="5">
        <f t="shared" si="9"/>
        <v>33033.7741119436</v>
      </c>
      <c r="M37" s="5">
        <f t="shared" si="8"/>
        <v>38411.365246446</v>
      </c>
      <c r="N37" s="5">
        <v>0</v>
      </c>
      <c r="O37" s="5">
        <f>SUM(K37:N37)</f>
        <v>566901.048035418</v>
      </c>
      <c r="P37" s="22"/>
    </row>
    <row r="38" spans="1:16">
      <c r="A38" s="7"/>
      <c r="B38" s="5">
        <f>H37-O37</f>
        <v>258559.191110707</v>
      </c>
      <c r="C38" s="6">
        <v>8600</v>
      </c>
      <c r="D38" s="6">
        <v>1074.89</v>
      </c>
      <c r="E38" s="6">
        <v>2149</v>
      </c>
      <c r="F38" s="12">
        <f>B38/C38</f>
        <v>30.0650222221752</v>
      </c>
      <c r="G38" s="12">
        <v>0</v>
      </c>
      <c r="H38" s="12">
        <f>E38*F38</f>
        <v>64609.7327554545</v>
      </c>
      <c r="I38" s="15"/>
      <c r="J38" s="12">
        <f>J37+D38*F38*12+G38-H38</f>
        <v>19793777.5107295</v>
      </c>
      <c r="K38" s="5">
        <f>D38*12*F38*10%</f>
        <v>38779.9100836727</v>
      </c>
      <c r="L38" s="5">
        <f t="shared" si="9"/>
        <v>2585.59191110707</v>
      </c>
      <c r="M38" s="5">
        <f t="shared" si="8"/>
        <v>3006.50222221752</v>
      </c>
      <c r="N38" s="5">
        <v>0</v>
      </c>
      <c r="O38" s="5">
        <f>SUM(K38:N38)</f>
        <v>44372.0042169973</v>
      </c>
      <c r="P38" s="22"/>
    </row>
    <row r="39" spans="1:16">
      <c r="A39" s="7"/>
      <c r="B39" s="5">
        <f>H38-O38</f>
        <v>20237.7285384572</v>
      </c>
      <c r="C39" s="6">
        <v>8600</v>
      </c>
      <c r="D39" s="6">
        <v>1074.89</v>
      </c>
      <c r="E39" s="6">
        <v>2149</v>
      </c>
      <c r="F39" s="12">
        <f>B39/C39</f>
        <v>2.35322424865782</v>
      </c>
      <c r="G39" s="12">
        <v>0</v>
      </c>
      <c r="H39" s="12">
        <f>E39*F39</f>
        <v>5057.07891036565</v>
      </c>
      <c r="I39" s="15"/>
      <c r="J39" s="12">
        <f>J38+D39*F39*12+G39-H39</f>
        <v>19819073.9183708</v>
      </c>
      <c r="K39" s="5">
        <f>D39*12*F39*10%</f>
        <v>3035.34865516776</v>
      </c>
      <c r="L39" s="5">
        <f t="shared" si="9"/>
        <v>202.377285384572</v>
      </c>
      <c r="M39" s="5">
        <f t="shared" si="8"/>
        <v>235.322424865782</v>
      </c>
      <c r="N39" s="5">
        <v>0</v>
      </c>
      <c r="O39" s="5">
        <f>SUM(K39:N39)</f>
        <v>3473.04836541812</v>
      </c>
      <c r="P39" s="22"/>
    </row>
    <row r="40" spans="1:16">
      <c r="A40" s="4">
        <v>10</v>
      </c>
      <c r="B40" s="5">
        <f>H39-O39</f>
        <v>1584.03054494753</v>
      </c>
      <c r="C40" s="6">
        <v>8600</v>
      </c>
      <c r="D40" s="6">
        <v>1074.89</v>
      </c>
      <c r="E40" s="6">
        <v>2149</v>
      </c>
      <c r="F40" s="12">
        <v>0</v>
      </c>
      <c r="G40" s="12">
        <v>0</v>
      </c>
      <c r="H40" s="12">
        <f>E40*F40</f>
        <v>0</v>
      </c>
      <c r="I40" s="12">
        <f>D5*F5+D6*F6+D7*F7+D8*F8+D9*F9+D10*F10+D11*F11+D12*F12+D13*F13+D14*F14+D15*F15+D16*F16+D17*F17+D18*F18+D19*F19+D20*F20+D21*F21+D22*F22+D23*F23+D24*F24+D25*F25+D26*F26+D27*F27+D28*F28+D29*F29+D30*F30+D31*F31+D32*F32+D33*F33+D34*F34+D35*F35+D36*F36+D37*F37+D38*F38+D39*F39</f>
        <v>3749708.49129652</v>
      </c>
      <c r="J40" s="12">
        <f>J39+D40*F40*12+G40-H40-I40</f>
        <v>16069365.4270743</v>
      </c>
      <c r="K40" s="5">
        <f>D40*12*F40*10%</f>
        <v>0</v>
      </c>
      <c r="L40" s="5">
        <f t="shared" si="9"/>
        <v>0</v>
      </c>
      <c r="M40" s="5">
        <f>F40*100</f>
        <v>0</v>
      </c>
      <c r="N40" s="5">
        <v>0</v>
      </c>
      <c r="O40" s="5">
        <f>SUM(K40:N40)</f>
        <v>0</v>
      </c>
      <c r="P40" s="19" t="s">
        <v>72</v>
      </c>
    </row>
    <row r="41" spans="1:16">
      <c r="A41" s="7"/>
      <c r="B41" s="5">
        <f>B40-O40+I40</f>
        <v>3751292.52184147</v>
      </c>
      <c r="C41" s="6">
        <v>8600</v>
      </c>
      <c r="D41" s="6">
        <v>1074.89</v>
      </c>
      <c r="E41" s="6">
        <v>2149</v>
      </c>
      <c r="F41" s="12">
        <f>B41/C41</f>
        <v>436.196804865287</v>
      </c>
      <c r="G41" s="12">
        <v>0</v>
      </c>
      <c r="H41" s="12">
        <f>E41*F41</f>
        <v>937386.933655501</v>
      </c>
      <c r="I41" s="14"/>
      <c r="J41" s="12">
        <f>J40+D41*F41*12+G41-H41</f>
        <v>20758341.4963986</v>
      </c>
      <c r="K41" s="5">
        <f>D41*12*F41*10%</f>
        <v>562636.300297978</v>
      </c>
      <c r="L41" s="5">
        <f t="shared" si="9"/>
        <v>37512.9252184147</v>
      </c>
      <c r="M41" s="5">
        <f>F41*100</f>
        <v>43619.6804865287</v>
      </c>
      <c r="N41" s="5">
        <v>0</v>
      </c>
      <c r="O41" s="5">
        <f>SUM(K41:N41)</f>
        <v>643768.906002921</v>
      </c>
      <c r="P41" s="22"/>
    </row>
    <row r="42" spans="1:16">
      <c r="A42" s="7"/>
      <c r="B42" s="5">
        <f>H41-O41</f>
        <v>293618.02765258</v>
      </c>
      <c r="C42" s="6">
        <v>8600</v>
      </c>
      <c r="D42" s="6">
        <v>1074.89</v>
      </c>
      <c r="E42" s="6">
        <v>2149</v>
      </c>
      <c r="F42" s="12">
        <f>B42/C42</f>
        <v>34.141631122393</v>
      </c>
      <c r="G42" s="12">
        <v>0</v>
      </c>
      <c r="H42" s="12">
        <f>E42*F42</f>
        <v>73370.3652820226</v>
      </c>
      <c r="I42" s="15"/>
      <c r="J42" s="12">
        <f>J41+D42*F42*12+G42-H42</f>
        <v>21125353.1056423</v>
      </c>
      <c r="K42" s="5">
        <f>D42*12*F42*10%</f>
        <v>44038.1974525789</v>
      </c>
      <c r="L42" s="5">
        <f t="shared" si="9"/>
        <v>2936.1802765258</v>
      </c>
      <c r="M42" s="5">
        <f>F42*100</f>
        <v>3414.1631122393</v>
      </c>
      <c r="N42" s="5">
        <v>0</v>
      </c>
      <c r="O42" s="5">
        <f>SUM(K42:N42)</f>
        <v>50388.540841344</v>
      </c>
      <c r="P42" s="22"/>
    </row>
    <row r="43" spans="1:16">
      <c r="A43" s="7"/>
      <c r="B43" s="5">
        <f>H42-O42</f>
        <v>22981.8244406787</v>
      </c>
      <c r="C43" s="6">
        <v>8600</v>
      </c>
      <c r="D43" s="6">
        <v>1074.89</v>
      </c>
      <c r="E43" s="6">
        <v>2149</v>
      </c>
      <c r="F43" s="12">
        <f>B43/C43</f>
        <v>2.67230516752078</v>
      </c>
      <c r="G43" s="12">
        <v>0</v>
      </c>
      <c r="H43" s="12">
        <f>E43*F43</f>
        <v>5742.78380500215</v>
      </c>
      <c r="I43" s="15"/>
      <c r="J43" s="12">
        <f>J42+D43*F43*12+G43-H43</f>
        <v>21154079.5310555</v>
      </c>
      <c r="K43" s="5">
        <f>D43*12*F43*10%</f>
        <v>3446.92092181969</v>
      </c>
      <c r="L43" s="5">
        <f t="shared" si="9"/>
        <v>229.818244406787</v>
      </c>
      <c r="M43" s="5">
        <f>F43*100</f>
        <v>267.230516752078</v>
      </c>
      <c r="N43" s="5">
        <v>0</v>
      </c>
      <c r="O43" s="5">
        <f>SUM(K43:N43)</f>
        <v>3943.96968297855</v>
      </c>
      <c r="P43" s="22"/>
    </row>
    <row r="44" spans="1:16">
      <c r="A44" s="4">
        <v>11</v>
      </c>
      <c r="B44" s="5">
        <f>H43-O43</f>
        <v>1798.81412202359</v>
      </c>
      <c r="C44" s="6">
        <v>8600</v>
      </c>
      <c r="D44" s="6">
        <v>1074.89</v>
      </c>
      <c r="E44" s="6">
        <v>2149</v>
      </c>
      <c r="F44" s="12">
        <v>0</v>
      </c>
      <c r="G44" s="12">
        <v>0</v>
      </c>
      <c r="H44" s="12">
        <f>E44*F44</f>
        <v>0</v>
      </c>
      <c r="I44" s="12">
        <f>D5*F5+D6*F6+D7*F7+D8*F8+D9*F9+D10*F10+D11*F11+D12*F12+D13*F13+D14*F14+D15*F15+D16*F16+D17*F17+D18*F18+D19*F19+D20*F20+D21*F21+D22*F22+D23*F23+D24*F24+D25*F25+D26*F26+D27*F27+D28*F28+D29*F29+D30*F30+D31*F31+D32*F32+D33*F33+D34*F34+D35*F35+D36*F36+D37*F37+D38*F38+D39*F39+D40*F40+D41*F41+D42*F42+D43*F43</f>
        <v>4258143.00685683</v>
      </c>
      <c r="J44" s="12">
        <f>J43+D44*F44*12+G44-H44-I44</f>
        <v>16895936.5241987</v>
      </c>
      <c r="K44" s="5">
        <f>D44*12*F44*10%</f>
        <v>0</v>
      </c>
      <c r="L44" s="5">
        <f t="shared" si="9"/>
        <v>0</v>
      </c>
      <c r="M44" s="5">
        <f>F44*100</f>
        <v>0</v>
      </c>
      <c r="N44" s="5">
        <v>0</v>
      </c>
      <c r="O44" s="5">
        <f>SUM(K44:N44)</f>
        <v>0</v>
      </c>
      <c r="P44" s="24" t="s">
        <v>73</v>
      </c>
    </row>
    <row r="45" spans="1:16">
      <c r="A45" s="7"/>
      <c r="B45" s="5">
        <f>B44-O44+I44</f>
        <v>4259941.82097885</v>
      </c>
      <c r="C45" s="6">
        <v>8600</v>
      </c>
      <c r="D45" s="6">
        <v>1074.89</v>
      </c>
      <c r="E45" s="6">
        <v>2149</v>
      </c>
      <c r="F45" s="12">
        <f>B45/C45</f>
        <v>495.342072206844</v>
      </c>
      <c r="G45" s="12">
        <v>0</v>
      </c>
      <c r="H45" s="12">
        <f>E45*F45</f>
        <v>1064490.11317251</v>
      </c>
      <c r="I45" s="14"/>
      <c r="J45" s="12">
        <f>J44+D45*F45*12+G45-H45</f>
        <v>22220705.2909591</v>
      </c>
      <c r="K45" s="5">
        <f>D45*12*F45*10%</f>
        <v>638925.887993297</v>
      </c>
      <c r="L45" s="5">
        <f t="shared" si="9"/>
        <v>42599.4182097885</v>
      </c>
      <c r="M45" s="5">
        <f>F45*100</f>
        <v>49534.2072206844</v>
      </c>
      <c r="N45" s="5">
        <v>0</v>
      </c>
      <c r="O45" s="5">
        <f>SUM(K45:N45)</f>
        <v>731059.51342377</v>
      </c>
      <c r="P45" s="25"/>
    </row>
    <row r="46" spans="1:16">
      <c r="A46" s="7"/>
      <c r="B46" s="5">
        <f>H45-O45</f>
        <v>333430.599748737</v>
      </c>
      <c r="C46" s="6">
        <v>8600</v>
      </c>
      <c r="D46" s="6">
        <v>1074.89</v>
      </c>
      <c r="E46" s="6">
        <v>2149</v>
      </c>
      <c r="F46" s="12">
        <f>B46/C46</f>
        <v>38.7709999707834</v>
      </c>
      <c r="G46" s="12">
        <v>0</v>
      </c>
      <c r="H46" s="12">
        <f>E46*F46</f>
        <v>83318.8789372135</v>
      </c>
      <c r="I46" s="15"/>
      <c r="J46" s="12">
        <f>J45+D46*F46*12+G46-H46</f>
        <v>22637481.1339251</v>
      </c>
      <c r="K46" s="5">
        <f>D46*12*F46*10%</f>
        <v>50009.4721903144</v>
      </c>
      <c r="L46" s="5">
        <f t="shared" si="9"/>
        <v>3334.30599748737</v>
      </c>
      <c r="M46" s="5">
        <f>F46*100</f>
        <v>3877.09999707834</v>
      </c>
      <c r="N46" s="5">
        <v>0</v>
      </c>
      <c r="O46" s="5">
        <f>SUM(K46:N46)</f>
        <v>57220.8781848801</v>
      </c>
      <c r="P46" s="25"/>
    </row>
    <row r="47" spans="1:16">
      <c r="A47" s="7"/>
      <c r="B47" s="5">
        <f>H46-O46</f>
        <v>26098.0007523334</v>
      </c>
      <c r="C47" s="6">
        <v>8600</v>
      </c>
      <c r="D47" s="6">
        <v>1074.89</v>
      </c>
      <c r="E47" s="6">
        <v>2149</v>
      </c>
      <c r="F47" s="12">
        <f>B47/C47</f>
        <v>3.03465125027132</v>
      </c>
      <c r="G47" s="12">
        <v>0</v>
      </c>
      <c r="H47" s="12">
        <f>E47*F47</f>
        <v>6521.46553683307</v>
      </c>
      <c r="I47" s="15"/>
      <c r="J47" s="12">
        <f>J46+D47*F47*12+G47-H47</f>
        <v>22670102.6637771</v>
      </c>
      <c r="K47" s="5">
        <f>D47*12*F47*10%</f>
        <v>3914.29953888497</v>
      </c>
      <c r="L47" s="5">
        <f t="shared" si="9"/>
        <v>260.980007523334</v>
      </c>
      <c r="M47" s="5">
        <f>F47*100</f>
        <v>303.465125027132</v>
      </c>
      <c r="N47" s="5">
        <v>0</v>
      </c>
      <c r="O47" s="5">
        <f>SUM(K47:N47)</f>
        <v>4478.74467143543</v>
      </c>
      <c r="P47" s="25"/>
    </row>
    <row r="48" spans="1:16">
      <c r="A48" s="4">
        <v>12</v>
      </c>
      <c r="B48" s="5">
        <f>H47-O47</f>
        <v>2042.72086539763</v>
      </c>
      <c r="C48" s="6">
        <v>8600</v>
      </c>
      <c r="D48" s="6">
        <v>1074.89</v>
      </c>
      <c r="E48" s="6">
        <v>2149</v>
      </c>
      <c r="F48" s="12">
        <v>0</v>
      </c>
      <c r="G48" s="12">
        <v>0</v>
      </c>
      <c r="H48" s="12">
        <f>E48*F48</f>
        <v>0</v>
      </c>
      <c r="I48" s="12">
        <f>D8*F8+D9*F9+D10*F10+D11*F11+D12*F12+D13*F13+D14*F14+D15*F15+D16*F16+D17*F17+D18*F18+D19*F19+D20*F20+D21*F21+D22*F22+D23*F23+D24*F24+D25*F25+D26*F26+D27*F27+D28*F28+D29*F29+D30*F30+D31*F31+D32*F32+D33*F33+D34*F34+D35*F35+D36*F36+D37*F37+D38*F38+D39*F39+D40*F40+D41*F41+D42*F42+D43*F43+D44*F44+D45*F45+D46*F46+D47*F47</f>
        <v>3480159.50315875</v>
      </c>
      <c r="J48" s="12">
        <f>J47+D48*F48*12+G48-H48-I48</f>
        <v>19189943.1606183</v>
      </c>
      <c r="K48" s="5">
        <f>D48*12*F48*10%</f>
        <v>0</v>
      </c>
      <c r="L48" s="5">
        <f t="shared" si="9"/>
        <v>0</v>
      </c>
      <c r="M48" s="5">
        <f>F48*100</f>
        <v>0</v>
      </c>
      <c r="N48" s="5">
        <v>0</v>
      </c>
      <c r="O48" s="5">
        <f>SUM(K48:N48)</f>
        <v>0</v>
      </c>
      <c r="P48" s="26" t="s">
        <v>74</v>
      </c>
    </row>
    <row r="49" spans="1:16">
      <c r="A49" s="7"/>
      <c r="B49" s="5">
        <f>B48-O48+I48</f>
        <v>3482202.22402415</v>
      </c>
      <c r="C49" s="6">
        <v>8600</v>
      </c>
      <c r="D49" s="6">
        <v>1074.89</v>
      </c>
      <c r="E49" s="6">
        <v>2149</v>
      </c>
      <c r="F49" s="12">
        <f>B49/C49</f>
        <v>404.907235351645</v>
      </c>
      <c r="G49" s="12">
        <v>0</v>
      </c>
      <c r="H49" s="12">
        <f>E49*F49</f>
        <v>870145.648770686</v>
      </c>
      <c r="I49" s="14"/>
      <c r="J49" s="12">
        <f>J48+D49*F49*12+G49-H49</f>
        <v>23542566.3703332</v>
      </c>
      <c r="K49" s="5">
        <f>D49*12*F49*10%</f>
        <v>522276.885848556</v>
      </c>
      <c r="L49" s="5">
        <f t="shared" si="9"/>
        <v>34822.0222402415</v>
      </c>
      <c r="M49" s="5">
        <f>F49*100</f>
        <v>40490.7235351645</v>
      </c>
      <c r="N49" s="5">
        <v>0</v>
      </c>
      <c r="O49" s="5">
        <f>SUM(K49:N49)</f>
        <v>597589.631623962</v>
      </c>
      <c r="P49" s="27"/>
    </row>
    <row r="50" spans="1:16">
      <c r="A50" s="7"/>
      <c r="B50" s="5">
        <f>H49-O49</f>
        <v>272556.017146724</v>
      </c>
      <c r="C50" s="6">
        <v>8600</v>
      </c>
      <c r="D50" s="6">
        <v>1074.89</v>
      </c>
      <c r="E50" s="6">
        <v>2149</v>
      </c>
      <c r="F50" s="12">
        <f>B50/C50</f>
        <v>31.6925601333399</v>
      </c>
      <c r="G50" s="12">
        <v>0</v>
      </c>
      <c r="H50" s="12">
        <f>E50*F50</f>
        <v>68107.3117265475</v>
      </c>
      <c r="I50" s="15"/>
      <c r="J50" s="12">
        <f>J49+D50*F50*12+G50-H50</f>
        <v>23883251.2501474</v>
      </c>
      <c r="K50" s="5">
        <f>D50*12*F50*10%</f>
        <v>40879.2191540709</v>
      </c>
      <c r="L50" s="5">
        <f t="shared" si="9"/>
        <v>2725.56017146724</v>
      </c>
      <c r="M50" s="5">
        <f>F50*100</f>
        <v>3169.25601333399</v>
      </c>
      <c r="N50" s="5">
        <v>0</v>
      </c>
      <c r="O50" s="5">
        <f>SUM(K50:N50)</f>
        <v>46774.0353388722</v>
      </c>
      <c r="P50" s="27"/>
    </row>
    <row r="51" spans="1:16">
      <c r="A51" s="7"/>
      <c r="B51" s="5">
        <f>H50-O50</f>
        <v>21333.2763876754</v>
      </c>
      <c r="C51" s="6">
        <v>8600</v>
      </c>
      <c r="D51" s="6">
        <v>1074.89</v>
      </c>
      <c r="E51" s="6">
        <v>2149</v>
      </c>
      <c r="F51" s="12">
        <f>B51/C51</f>
        <v>2.48061353345062</v>
      </c>
      <c r="G51" s="12">
        <v>0</v>
      </c>
      <c r="H51" s="12">
        <f>E51*F51</f>
        <v>5330.83848338539</v>
      </c>
      <c r="I51" s="15"/>
      <c r="J51" s="12">
        <f>J50+D51*F51*12+G51-H51</f>
        <v>23909917.0518356</v>
      </c>
      <c r="K51" s="5">
        <f>D51*12*F51*10%</f>
        <v>3199.66401716489</v>
      </c>
      <c r="L51" s="5">
        <f t="shared" si="9"/>
        <v>213.332763876754</v>
      </c>
      <c r="M51" s="5">
        <f>F51*100</f>
        <v>248.061353345062</v>
      </c>
      <c r="N51" s="5">
        <v>0</v>
      </c>
      <c r="O51" s="5">
        <f>SUM(K51:N51)</f>
        <v>3661.05813438671</v>
      </c>
      <c r="P51" s="27"/>
    </row>
    <row r="52" spans="1:16">
      <c r="A52" s="4">
        <v>13</v>
      </c>
      <c r="B52" s="5">
        <f>H51-O51</f>
        <v>1669.78034899869</v>
      </c>
      <c r="C52" s="6">
        <v>8600</v>
      </c>
      <c r="D52" s="6">
        <v>1074.89</v>
      </c>
      <c r="E52" s="6">
        <v>2149</v>
      </c>
      <c r="F52" s="12">
        <v>0</v>
      </c>
      <c r="G52" s="12">
        <v>0</v>
      </c>
      <c r="H52" s="12">
        <f>E52*F52</f>
        <v>0</v>
      </c>
      <c r="I52" s="12">
        <f>D12*F12+D13*F13+D14*F14+D15*F15+D16*F16+D17*F17+D18*F18+D19*F19+D20*F20+D21*F21+D22*F22+D23*F23+D24*F24+D25*F25+D26*F26+D27*F27+D28*F28+D29*F29+D30*F30+D31*F31+D32*F32+D33*F33+D34*F34+D35*F35+D36*F36+D37*F37+D38*F38+D39*F39+D40*F40+D41*F41+D42*F42+D43*F43+D44*F44+D45*F45+D46*F46+D47*F47+D48*F48+D49*F49+D50*F50+D51*F51</f>
        <v>3767773.13419441</v>
      </c>
      <c r="J52" s="12">
        <f>J51+D52*F52*12+G52-H52-I52</f>
        <v>20142143.9176412</v>
      </c>
      <c r="K52" s="5">
        <f>D52*12*F52*10%</f>
        <v>0</v>
      </c>
      <c r="L52" s="5">
        <f t="shared" si="9"/>
        <v>0</v>
      </c>
      <c r="M52" s="5">
        <f>F52*100</f>
        <v>0</v>
      </c>
      <c r="N52" s="5">
        <v>0</v>
      </c>
      <c r="O52" s="5">
        <f>SUM(K52:N52)</f>
        <v>0</v>
      </c>
      <c r="P52" s="19" t="s">
        <v>75</v>
      </c>
    </row>
    <row r="53" spans="1:16">
      <c r="A53" s="7"/>
      <c r="B53" s="5">
        <f>B52-O52+I52</f>
        <v>3769442.91454341</v>
      </c>
      <c r="C53" s="6">
        <v>8600</v>
      </c>
      <c r="D53" s="6">
        <v>1074.89</v>
      </c>
      <c r="E53" s="6">
        <v>2149</v>
      </c>
      <c r="F53" s="12">
        <f>B53/C53</f>
        <v>438.307315644582</v>
      </c>
      <c r="G53" s="12">
        <v>0</v>
      </c>
      <c r="H53" s="12">
        <f>E53*F53</f>
        <v>941922.421320207</v>
      </c>
      <c r="I53" s="14"/>
      <c r="J53" s="12">
        <f>J52+D53*F53*12+G53-H53</f>
        <v>24853807.3024795</v>
      </c>
      <c r="K53" s="5">
        <f>D53*12*F53*10%</f>
        <v>565358.580615846</v>
      </c>
      <c r="L53" s="5">
        <f t="shared" si="9"/>
        <v>37694.4291454341</v>
      </c>
      <c r="M53" s="5">
        <f>F53*100</f>
        <v>43830.7315644582</v>
      </c>
      <c r="N53" s="5">
        <v>0</v>
      </c>
      <c r="O53" s="5">
        <f>SUM(K53:N53)</f>
        <v>646883.741325738</v>
      </c>
      <c r="P53" s="22"/>
    </row>
    <row r="54" spans="1:16">
      <c r="A54" s="7"/>
      <c r="B54" s="5">
        <f>H53-O53</f>
        <v>295038.679994469</v>
      </c>
      <c r="C54" s="6">
        <v>8600</v>
      </c>
      <c r="D54" s="6">
        <v>1074.89</v>
      </c>
      <c r="E54" s="6">
        <v>2149</v>
      </c>
      <c r="F54" s="12">
        <f>B54/C54</f>
        <v>34.3068232551708</v>
      </c>
      <c r="G54" s="12">
        <v>0</v>
      </c>
      <c r="H54" s="12">
        <f>E54*F54</f>
        <v>73725.363175362</v>
      </c>
      <c r="I54" s="15"/>
      <c r="J54" s="12">
        <f>J53+D54*F54*12+G54-H54</f>
        <v>25222594.6742891</v>
      </c>
      <c r="K54" s="5">
        <f>D54*12*F54*10%</f>
        <v>44251.2734985006</v>
      </c>
      <c r="L54" s="5">
        <f t="shared" si="9"/>
        <v>2950.38679994469</v>
      </c>
      <c r="M54" s="5">
        <f>F54*100</f>
        <v>3430.68232551708</v>
      </c>
      <c r="N54" s="5">
        <v>0</v>
      </c>
      <c r="O54" s="5">
        <f>SUM(K54:N54)</f>
        <v>50632.3426239624</v>
      </c>
      <c r="P54" s="22"/>
    </row>
    <row r="55" spans="1:16">
      <c r="A55" s="7"/>
      <c r="B55" s="5">
        <f>H54-O54</f>
        <v>23093.0205513996</v>
      </c>
      <c r="C55" s="6">
        <v>8600</v>
      </c>
      <c r="D55" s="6">
        <v>1074.89</v>
      </c>
      <c r="E55" s="6">
        <v>2149</v>
      </c>
      <c r="F55" s="12">
        <f>B55/C55</f>
        <v>2.68523494783716</v>
      </c>
      <c r="G55" s="12">
        <v>0</v>
      </c>
      <c r="H55" s="12">
        <f>E55*F55</f>
        <v>5770.56990290207</v>
      </c>
      <c r="I55" s="15"/>
      <c r="J55" s="12">
        <f>J54+D55*F55*12+G55-H55</f>
        <v>25251460.0907032</v>
      </c>
      <c r="K55" s="5">
        <f>D55*12*F55*10%</f>
        <v>3463.59863169683</v>
      </c>
      <c r="L55" s="5">
        <f t="shared" si="9"/>
        <v>230.930205513996</v>
      </c>
      <c r="M55" s="5">
        <f>F55*100</f>
        <v>268.523494783716</v>
      </c>
      <c r="N55" s="5">
        <v>0</v>
      </c>
      <c r="O55" s="5">
        <f>SUM(K55:N55)</f>
        <v>3963.05233199454</v>
      </c>
      <c r="P55" s="22"/>
    </row>
    <row r="56" spans="1:16">
      <c r="A56" s="4">
        <v>14</v>
      </c>
      <c r="B56" s="5">
        <f>H55-O55</f>
        <v>1807.51757090753</v>
      </c>
      <c r="C56" s="6">
        <v>8600</v>
      </c>
      <c r="D56" s="6">
        <v>1074.89</v>
      </c>
      <c r="E56" s="6">
        <v>2149</v>
      </c>
      <c r="F56" s="12">
        <v>0</v>
      </c>
      <c r="G56" s="12">
        <v>0</v>
      </c>
      <c r="H56" s="12">
        <f>E56*F56</f>
        <v>0</v>
      </c>
      <c r="I56" s="12">
        <f>D16*F16+D17*F17+D18*F18+D19*F19+D20*F20+D21*F21+D22*F22+D23*F23+D24*F24+D25*F25+D26*F26+D27*F27+D28*F28+D29*F29+D30*F30+D31*F31+D32*F32+D33*F33+D34*F34+D35*F35+D36*F36+D37*F37+D38*F38+D39*F39+D40*F40+D41*F41+D42*F42+D43*F43+D44*F44+D45*F45+D46*F46+D47*F47+D48*F48+D49*F49+D50*F50+D51*F51+D52*F52+D53*F53+D54*F54+D55*F55</f>
        <v>4069893.72631228</v>
      </c>
      <c r="J56" s="12">
        <f>J55+D56*F56*12+G56-H56-I56</f>
        <v>21181566.3643909</v>
      </c>
      <c r="K56" s="5">
        <f>D56*12*F56*10%</f>
        <v>0</v>
      </c>
      <c r="L56" s="5">
        <f t="shared" si="9"/>
        <v>0</v>
      </c>
      <c r="M56" s="5">
        <f>F56*100</f>
        <v>0</v>
      </c>
      <c r="N56" s="5">
        <v>0</v>
      </c>
      <c r="O56" s="5">
        <f>SUM(K56:N56)</f>
        <v>0</v>
      </c>
      <c r="P56" s="19" t="s">
        <v>76</v>
      </c>
    </row>
    <row r="57" spans="1:16">
      <c r="A57" s="7"/>
      <c r="B57" s="5">
        <f>B56-O56+I56</f>
        <v>4071701.24388318</v>
      </c>
      <c r="C57" s="6">
        <v>8600</v>
      </c>
      <c r="D57" s="6">
        <v>1074.89</v>
      </c>
      <c r="E57" s="6">
        <v>2149</v>
      </c>
      <c r="F57" s="12">
        <f>B57/C57</f>
        <v>473.453633009673</v>
      </c>
      <c r="G57" s="12">
        <v>0</v>
      </c>
      <c r="H57" s="12">
        <f>E57*F57</f>
        <v>1017451.85733779</v>
      </c>
      <c r="I57" s="14"/>
      <c r="J57" s="12">
        <f>J56+D57*F57*12+G57-H57</f>
        <v>26271041.4140823</v>
      </c>
      <c r="K57" s="5">
        <f>D57*12*F57*10%</f>
        <v>610692.69070292</v>
      </c>
      <c r="L57" s="5">
        <f t="shared" si="9"/>
        <v>40717.0124388318</v>
      </c>
      <c r="M57" s="5">
        <f>F57*100</f>
        <v>47345.3633009673</v>
      </c>
      <c r="N57" s="5">
        <v>0</v>
      </c>
      <c r="O57" s="5">
        <f>SUM(K57:N57)</f>
        <v>698755.06644272</v>
      </c>
      <c r="P57" s="22"/>
    </row>
    <row r="58" spans="1:16">
      <c r="A58" s="7"/>
      <c r="B58" s="5">
        <f>H57-O57</f>
        <v>318696.790895067</v>
      </c>
      <c r="C58" s="6">
        <v>8600</v>
      </c>
      <c r="D58" s="6">
        <v>1074.89</v>
      </c>
      <c r="E58" s="6">
        <v>2149</v>
      </c>
      <c r="F58" s="12">
        <f>B58/C58</f>
        <v>37.0577663831473</v>
      </c>
      <c r="G58" s="12">
        <v>0</v>
      </c>
      <c r="H58" s="12">
        <f>E58*F58</f>
        <v>79637.1399573836</v>
      </c>
      <c r="I58" s="15"/>
      <c r="J58" s="12">
        <f>J57+D58*F58*12+G58-H58</f>
        <v>26669400.5442159</v>
      </c>
      <c r="K58" s="5">
        <f>D58*12*F58*10%</f>
        <v>47799.6270090975</v>
      </c>
      <c r="L58" s="5">
        <f t="shared" si="9"/>
        <v>3186.96790895067</v>
      </c>
      <c r="M58" s="5">
        <f>F58*100</f>
        <v>3705.77663831473</v>
      </c>
      <c r="N58" s="5">
        <v>0</v>
      </c>
      <c r="O58" s="5">
        <f>SUM(K58:N58)</f>
        <v>54692.3715563629</v>
      </c>
      <c r="P58" s="22"/>
    </row>
    <row r="59" spans="1:16">
      <c r="A59" s="7"/>
      <c r="B59" s="5">
        <f>H58-O58</f>
        <v>24944.7684010207</v>
      </c>
      <c r="C59" s="6">
        <v>8600</v>
      </c>
      <c r="D59" s="6">
        <v>1074.89</v>
      </c>
      <c r="E59" s="6">
        <v>2149</v>
      </c>
      <c r="F59" s="12">
        <f>B59/C59</f>
        <v>2.90055446523497</v>
      </c>
      <c r="G59" s="12">
        <v>0</v>
      </c>
      <c r="H59" s="12">
        <f>E59*F59</f>
        <v>6233.29154578994</v>
      </c>
      <c r="I59" s="15"/>
      <c r="J59" s="12">
        <f>J58+D59*F59*12+G59-H59</f>
        <v>26700580.5765398</v>
      </c>
      <c r="K59" s="5">
        <f>D59*12*F59*10%</f>
        <v>3741.3323869637</v>
      </c>
      <c r="L59" s="5">
        <f t="shared" si="9"/>
        <v>249.447684010207</v>
      </c>
      <c r="M59" s="5">
        <f>F59*100</f>
        <v>290.055446523497</v>
      </c>
      <c r="N59" s="5">
        <v>0</v>
      </c>
      <c r="O59" s="5">
        <f>SUM(K59:N59)</f>
        <v>4280.8355174974</v>
      </c>
      <c r="P59" s="22"/>
    </row>
    <row r="60" spans="1:16">
      <c r="A60" s="4">
        <v>15</v>
      </c>
      <c r="B60" s="5">
        <f>H59-O59</f>
        <v>1952.45602829254</v>
      </c>
      <c r="C60" s="6">
        <v>8600</v>
      </c>
      <c r="D60" s="6">
        <v>1074.89</v>
      </c>
      <c r="E60" s="6">
        <v>2149</v>
      </c>
      <c r="F60" s="12">
        <v>0</v>
      </c>
      <c r="G60" s="12">
        <v>0</v>
      </c>
      <c r="H60" s="12">
        <f>E60*F60</f>
        <v>0</v>
      </c>
      <c r="I60" s="12">
        <f>D20*F20+D21*F21+D22*F22+D23*F23+D24*F24+D25*F25+D26*F26+D27*F27+D28*F28+D29*F29+D30*F30+D31*F31+D32*F32+D33*F33+D34*F34+D35*F35+D36*F36+D37*F37+D38*F38+D39*F39+D40*F40+D41*F41+D42*F42+D43*F43+D44*F44+D45*F45+D46*F46+D47*F47+D48*F48+D49*F49+D50*F50+D51*F51+D52*F52+D53*F53+D54*F54+D55*F55+D56*F56+D57*F57+D58*F58+D59*F59</f>
        <v>4384673.08840883</v>
      </c>
      <c r="J60" s="12">
        <f>J59+D60*F60*12+G60-H60-I60</f>
        <v>22315907.4881309</v>
      </c>
      <c r="K60" s="5">
        <f>D60*12*F60*10%</f>
        <v>0</v>
      </c>
      <c r="L60" s="5">
        <f>C60*F60*1%</f>
        <v>0</v>
      </c>
      <c r="M60" s="5">
        <f>F60*100</f>
        <v>0</v>
      </c>
      <c r="N60" s="5">
        <v>0</v>
      </c>
      <c r="O60" s="5">
        <f>SUM(K60:N60)</f>
        <v>0</v>
      </c>
      <c r="P60" s="19" t="s">
        <v>77</v>
      </c>
    </row>
    <row r="61" spans="1:16">
      <c r="A61" s="7"/>
      <c r="B61" s="5">
        <f>B60-O60+I60</f>
        <v>4386625.54443713</v>
      </c>
      <c r="C61" s="6">
        <v>8600</v>
      </c>
      <c r="D61" s="6">
        <v>1074.89</v>
      </c>
      <c r="E61" s="6">
        <v>2149</v>
      </c>
      <c r="F61" s="12">
        <f>B61/C61</f>
        <v>510.072737725247</v>
      </c>
      <c r="G61" s="12">
        <v>0</v>
      </c>
      <c r="H61" s="12">
        <f>E61*F61</f>
        <v>1096146.31337156</v>
      </c>
      <c r="I61" s="14"/>
      <c r="J61" s="12">
        <f>J60+D61*F61*12+G61-H61</f>
        <v>27799026.1954013</v>
      </c>
      <c r="K61" s="5">
        <f>D61*12*F61*10%</f>
        <v>657926.502064189</v>
      </c>
      <c r="L61" s="5">
        <f>C61*F61*1%</f>
        <v>43866.2554443713</v>
      </c>
      <c r="M61" s="5">
        <f>F61*100</f>
        <v>51007.2737725247</v>
      </c>
      <c r="N61" s="5">
        <v>0</v>
      </c>
      <c r="O61" s="5">
        <f>SUM(K61:N61)</f>
        <v>752800.031281085</v>
      </c>
      <c r="P61" s="22"/>
    </row>
    <row r="62" spans="1:16">
      <c r="A62" s="7"/>
      <c r="B62" s="5">
        <f>H61-O61</f>
        <v>343346.282090471</v>
      </c>
      <c r="C62" s="6">
        <v>8600</v>
      </c>
      <c r="D62" s="6">
        <v>1074.89</v>
      </c>
      <c r="E62" s="6">
        <v>2149</v>
      </c>
      <c r="F62" s="12">
        <f>B62/C62</f>
        <v>39.9239862895897</v>
      </c>
      <c r="G62" s="12">
        <v>0</v>
      </c>
      <c r="H62" s="12">
        <f>E62*F62</f>
        <v>85796.6465363282</v>
      </c>
      <c r="I62" s="15"/>
      <c r="J62" s="12">
        <f>J61+D62*F62*12+G62-H62</f>
        <v>28228196.2723388</v>
      </c>
      <c r="K62" s="5">
        <f>D62*12*F62*10%</f>
        <v>51496.6723473804</v>
      </c>
      <c r="L62" s="5">
        <f>C62*F62*1%</f>
        <v>3433.46282090471</v>
      </c>
      <c r="M62" s="5">
        <f>F62*100</f>
        <v>3992.39862895897</v>
      </c>
      <c r="N62" s="5">
        <v>0</v>
      </c>
      <c r="O62" s="5">
        <f>SUM(K62:N62)</f>
        <v>58922.5337972441</v>
      </c>
      <c r="P62" s="22"/>
    </row>
    <row r="63" spans="1:16">
      <c r="A63" s="7"/>
      <c r="B63" s="5">
        <f>H62-O62</f>
        <v>26874.1127390841</v>
      </c>
      <c r="C63" s="6">
        <v>8600</v>
      </c>
      <c r="D63" s="6">
        <v>1074.89</v>
      </c>
      <c r="E63" s="6">
        <v>2149</v>
      </c>
      <c r="F63" s="12">
        <f>B63/C63</f>
        <v>3.12489683012605</v>
      </c>
      <c r="G63" s="12">
        <v>0</v>
      </c>
      <c r="H63" s="12">
        <f>E63*F63</f>
        <v>6715.40328794089</v>
      </c>
      <c r="I63" s="15"/>
      <c r="J63" s="12">
        <f>J62+D63*F63*12+G63-H63+21548.8</f>
        <v>28283336.7132956</v>
      </c>
      <c r="K63" s="5">
        <f>D63*12*F63*10%</f>
        <v>4030.70442448103</v>
      </c>
      <c r="L63" s="5">
        <f>C63*F63*1%</f>
        <v>268.741127390841</v>
      </c>
      <c r="M63" s="5">
        <f>F63*100</f>
        <v>312.489683012605</v>
      </c>
      <c r="N63" s="5">
        <v>0</v>
      </c>
      <c r="O63" s="5">
        <f>SUM(K63:N63)</f>
        <v>4611.93523488448</v>
      </c>
      <c r="P63" s="22"/>
    </row>
    <row r="64" spans="1:16">
      <c r="A64" s="4">
        <v>16</v>
      </c>
      <c r="B64" s="9">
        <f>H63-O63</f>
        <v>2103.46805305641</v>
      </c>
      <c r="C64" s="10">
        <v>0</v>
      </c>
      <c r="D64" s="10">
        <v>0</v>
      </c>
      <c r="E64" s="10">
        <v>0</v>
      </c>
      <c r="F64" s="13">
        <v>0</v>
      </c>
      <c r="G64" s="13">
        <f>F64*4850.56</f>
        <v>0</v>
      </c>
      <c r="H64" s="13">
        <f t="shared" ref="H64:H85" si="10">E64*F64</f>
        <v>0</v>
      </c>
      <c r="I64" s="12">
        <f>D24*F24+D25*F25+D26*F26+D27*F27+D28*F28+D29*F29+D30*F30+D31*F31+D32*F32+D33*F33+D34*F34+D35*F35+D36*F36+D37*F37+D38*F38+D39*F39+D40*F40+D41*F41+D42*F42+D43*F43++D44*F44+D45*F45+D46*F46+D47*F47+D48*F48+D49*F49+D50*F50+D51*F51+D52*F52+D53*F53+D54*F54+D55*F55+D56*F56+D57*F57+D58*F58+D59*F59+D60*F60+D61*F61+D62*F62+D63*F63</f>
        <v>4709989.29469961</v>
      </c>
      <c r="J64" s="12">
        <f>J63+D64*F64*12+G64-H64-I64</f>
        <v>23573347.418596</v>
      </c>
      <c r="K64" s="5">
        <f t="shared" ref="K64:K85" si="11">D64*12*F64*10%</f>
        <v>0</v>
      </c>
      <c r="L64" s="5">
        <f t="shared" ref="L64:L85" si="12">C64*F64*1%</f>
        <v>0</v>
      </c>
      <c r="M64" s="5">
        <f t="shared" ref="M64:M85" si="13">F64*100</f>
        <v>0</v>
      </c>
      <c r="N64" s="5">
        <v>0</v>
      </c>
      <c r="O64" s="5">
        <f t="shared" ref="O64:O85" si="14">SUM(K64:N64)</f>
        <v>0</v>
      </c>
      <c r="P64" s="19" t="s">
        <v>78</v>
      </c>
    </row>
    <row r="65" spans="1:16">
      <c r="A65" s="8"/>
      <c r="B65" s="9">
        <f>B64-O64+I64</f>
        <v>4712092.76275267</v>
      </c>
      <c r="C65" s="10">
        <v>0</v>
      </c>
      <c r="D65" s="10">
        <v>0</v>
      </c>
      <c r="E65" s="10">
        <v>0</v>
      </c>
      <c r="F65" s="13">
        <v>0</v>
      </c>
      <c r="G65" s="13">
        <f>F65*4850.56</f>
        <v>0</v>
      </c>
      <c r="H65" s="13">
        <f t="shared" si="10"/>
        <v>0</v>
      </c>
      <c r="I65" s="12"/>
      <c r="J65" s="12">
        <f>J64+D65*F65*12+G65-H65-I65</f>
        <v>23573347.418596</v>
      </c>
      <c r="K65" s="5">
        <f t="shared" si="11"/>
        <v>0</v>
      </c>
      <c r="L65" s="5">
        <f t="shared" si="12"/>
        <v>0</v>
      </c>
      <c r="M65" s="5">
        <f t="shared" si="13"/>
        <v>0</v>
      </c>
      <c r="N65" s="5">
        <v>0</v>
      </c>
      <c r="O65" s="5">
        <f t="shared" si="14"/>
        <v>0</v>
      </c>
      <c r="P65" s="21"/>
    </row>
    <row r="66" spans="1:16">
      <c r="A66" s="4">
        <v>17</v>
      </c>
      <c r="B66" s="9">
        <f>H65-O65+I65</f>
        <v>0</v>
      </c>
      <c r="C66" s="10">
        <v>0</v>
      </c>
      <c r="D66" s="10">
        <v>0</v>
      </c>
      <c r="E66" s="10">
        <v>0</v>
      </c>
      <c r="F66" s="13">
        <v>0</v>
      </c>
      <c r="G66" s="13">
        <v>0</v>
      </c>
      <c r="H66" s="13">
        <f t="shared" si="10"/>
        <v>0</v>
      </c>
      <c r="I66" s="12">
        <f>D28*F28+D29*F29+D30*F30+D31*F31+D32*F32+D33*F33+D34*F34+D35*F35+D36*F36+D37*F37+D38*F38+D39*F39+D40*F40+D41*F41+D42*F42+D43*F43+D44*F44+D45*F45+D46*F46+D47*F47+D48*F48+D49*F49+D50*F50+D51*F51+D52*F52+D53*F53+D54*F54+D55*F55+D56*F56+D57*F57+D58*F58+D59*F59+D60*F60+D61*F61+D62*F62+D63*F63</f>
        <v>4404255.05485305</v>
      </c>
      <c r="J66" s="12">
        <f>J65+D66*F66*12+G66-H66-I66</f>
        <v>19169092.363743</v>
      </c>
      <c r="K66" s="5">
        <f t="shared" si="11"/>
        <v>0</v>
      </c>
      <c r="L66" s="5">
        <f t="shared" si="12"/>
        <v>0</v>
      </c>
      <c r="M66" s="5">
        <f t="shared" si="13"/>
        <v>0</v>
      </c>
      <c r="N66" s="5">
        <v>0</v>
      </c>
      <c r="O66" s="5">
        <f t="shared" si="14"/>
        <v>0</v>
      </c>
      <c r="P66" s="19" t="s">
        <v>79</v>
      </c>
    </row>
    <row r="67" spans="1:16">
      <c r="A67" s="8"/>
      <c r="B67" s="9">
        <f t="shared" ref="B65:B67" si="15">H66-O66+I66</f>
        <v>4404255.05485305</v>
      </c>
      <c r="C67" s="10">
        <v>0</v>
      </c>
      <c r="D67" s="10">
        <v>0</v>
      </c>
      <c r="E67" s="10">
        <v>0</v>
      </c>
      <c r="F67" s="13">
        <v>0</v>
      </c>
      <c r="G67" s="13">
        <f t="shared" ref="G67:G78" si="16">F67*4850.56</f>
        <v>0</v>
      </c>
      <c r="H67" s="13">
        <f t="shared" si="10"/>
        <v>0</v>
      </c>
      <c r="I67" s="12"/>
      <c r="J67" s="12">
        <f t="shared" ref="J67:J71" si="17">J66+D67*F67*12+G67-H67</f>
        <v>19169092.363743</v>
      </c>
      <c r="K67" s="5">
        <f t="shared" si="11"/>
        <v>0</v>
      </c>
      <c r="L67" s="5">
        <f t="shared" si="12"/>
        <v>0</v>
      </c>
      <c r="M67" s="5">
        <f t="shared" si="13"/>
        <v>0</v>
      </c>
      <c r="N67" s="5">
        <v>0</v>
      </c>
      <c r="O67" s="5">
        <f t="shared" si="14"/>
        <v>0</v>
      </c>
      <c r="P67" s="23"/>
    </row>
    <row r="68" spans="1:16">
      <c r="A68" s="4">
        <v>18</v>
      </c>
      <c r="B68" s="9">
        <f t="shared" ref="B68:B72" si="18">H67-O67</f>
        <v>0</v>
      </c>
      <c r="C68" s="10">
        <v>0</v>
      </c>
      <c r="D68" s="10">
        <v>0</v>
      </c>
      <c r="E68" s="10">
        <v>0</v>
      </c>
      <c r="F68" s="13">
        <v>0</v>
      </c>
      <c r="G68" s="13">
        <f t="shared" si="16"/>
        <v>0</v>
      </c>
      <c r="H68" s="13">
        <f t="shared" si="10"/>
        <v>0</v>
      </c>
      <c r="I68" s="12">
        <f>D32*F32+D33*F33+D34*F34+D35*F35+D36*F36+D37*F37+D38*F38+D39*F39+D40*F40+D41*F41+D42*F42+D43*F43+D44*F44+D45*F45+D46*F46+D47*F47+D48*F48+D49*F49+D50*F50+D51*F51+D52*F52+D53*F53+D54*F54+D55*F55+D56*F56+D57*F57+D58*F58+D59*F59+D60*F60+D61*F61+D62*F62+D63*F63</f>
        <v>4057065.36840647</v>
      </c>
      <c r="J68" s="12">
        <f t="shared" ref="J68:J85" si="19">J67+D68*F68*12+G68-H68-I68</f>
        <v>15112026.9953365</v>
      </c>
      <c r="K68" s="5">
        <f t="shared" si="11"/>
        <v>0</v>
      </c>
      <c r="L68" s="5">
        <f t="shared" si="12"/>
        <v>0</v>
      </c>
      <c r="M68" s="5">
        <f t="shared" si="13"/>
        <v>0</v>
      </c>
      <c r="N68" s="5">
        <v>0</v>
      </c>
      <c r="O68" s="5">
        <f t="shared" si="14"/>
        <v>0</v>
      </c>
      <c r="P68" s="19" t="s">
        <v>80</v>
      </c>
    </row>
    <row r="69" spans="1:16">
      <c r="A69" s="8"/>
      <c r="B69" s="9">
        <f t="shared" ref="B69:B73" si="20">H68-O68+I68</f>
        <v>4057065.36840647</v>
      </c>
      <c r="C69" s="10">
        <v>0</v>
      </c>
      <c r="D69" s="10">
        <v>0</v>
      </c>
      <c r="E69" s="10">
        <v>0</v>
      </c>
      <c r="F69" s="13">
        <v>0</v>
      </c>
      <c r="G69" s="13">
        <f t="shared" si="16"/>
        <v>0</v>
      </c>
      <c r="H69" s="13">
        <f t="shared" si="10"/>
        <v>0</v>
      </c>
      <c r="I69" s="12"/>
      <c r="J69" s="12">
        <f t="shared" si="17"/>
        <v>15112026.9953365</v>
      </c>
      <c r="K69" s="5">
        <f t="shared" si="11"/>
        <v>0</v>
      </c>
      <c r="L69" s="5">
        <f t="shared" si="12"/>
        <v>0</v>
      </c>
      <c r="M69" s="5">
        <f t="shared" si="13"/>
        <v>0</v>
      </c>
      <c r="N69" s="5">
        <v>0</v>
      </c>
      <c r="O69" s="5">
        <f t="shared" si="14"/>
        <v>0</v>
      </c>
      <c r="P69" s="23"/>
    </row>
    <row r="70" spans="1:16">
      <c r="A70" s="4">
        <v>19</v>
      </c>
      <c r="B70" s="9">
        <f t="shared" si="18"/>
        <v>0</v>
      </c>
      <c r="C70" s="10">
        <v>0</v>
      </c>
      <c r="D70" s="10">
        <v>0</v>
      </c>
      <c r="E70" s="10">
        <v>0</v>
      </c>
      <c r="F70" s="13">
        <v>0</v>
      </c>
      <c r="G70" s="13">
        <f t="shared" si="16"/>
        <v>0</v>
      </c>
      <c r="H70" s="13">
        <f t="shared" si="10"/>
        <v>0</v>
      </c>
      <c r="I70" s="12">
        <f>D36*F36+D37*F37+D38*F38+D39*F39+D40*F40+D41*F41+D42*F42+D43*F43+D44*F44+D45*F45+D46*F46+D47*F47+D48*F48+D49*F49+D50*F50+D51*F51+D52*F52+D53*F53+D54*F54+D55*F55+D56*F56+D57*F57+D58*F58+D59*F59+D60*F60+D61*F61+D62*F62+D63*F63</f>
        <v>3662799.16375967</v>
      </c>
      <c r="J70" s="12">
        <f t="shared" si="19"/>
        <v>11449227.8315768</v>
      </c>
      <c r="K70" s="5">
        <f t="shared" si="11"/>
        <v>0</v>
      </c>
      <c r="L70" s="5">
        <f t="shared" si="12"/>
        <v>0</v>
      </c>
      <c r="M70" s="5">
        <f t="shared" si="13"/>
        <v>0</v>
      </c>
      <c r="N70" s="5">
        <v>0</v>
      </c>
      <c r="O70" s="5">
        <f t="shared" si="14"/>
        <v>0</v>
      </c>
      <c r="P70" s="19" t="s">
        <v>81</v>
      </c>
    </row>
    <row r="71" spans="1:16">
      <c r="A71" s="8"/>
      <c r="B71" s="9">
        <f t="shared" si="20"/>
        <v>3662799.16375967</v>
      </c>
      <c r="C71" s="10">
        <v>0</v>
      </c>
      <c r="D71" s="10">
        <v>0</v>
      </c>
      <c r="E71" s="10">
        <v>0</v>
      </c>
      <c r="F71" s="13">
        <v>0</v>
      </c>
      <c r="G71" s="13">
        <f t="shared" si="16"/>
        <v>0</v>
      </c>
      <c r="H71" s="13">
        <f t="shared" si="10"/>
        <v>0</v>
      </c>
      <c r="I71" s="12"/>
      <c r="J71" s="12">
        <f t="shared" si="17"/>
        <v>11449227.8315768</v>
      </c>
      <c r="K71" s="5">
        <f t="shared" si="11"/>
        <v>0</v>
      </c>
      <c r="L71" s="5">
        <f t="shared" si="12"/>
        <v>0</v>
      </c>
      <c r="M71" s="5">
        <f t="shared" si="13"/>
        <v>0</v>
      </c>
      <c r="N71" s="5">
        <v>0</v>
      </c>
      <c r="O71" s="5">
        <f t="shared" si="14"/>
        <v>0</v>
      </c>
      <c r="P71" s="23"/>
    </row>
    <row r="72" spans="1:16">
      <c r="A72" s="4">
        <v>20</v>
      </c>
      <c r="B72" s="9">
        <f t="shared" si="18"/>
        <v>0</v>
      </c>
      <c r="C72" s="10">
        <v>0</v>
      </c>
      <c r="D72" s="10">
        <v>0</v>
      </c>
      <c r="E72" s="10">
        <v>0</v>
      </c>
      <c r="F72" s="13">
        <v>0</v>
      </c>
      <c r="G72" s="13">
        <f t="shared" si="16"/>
        <v>0</v>
      </c>
      <c r="H72" s="13">
        <f t="shared" si="10"/>
        <v>0</v>
      </c>
      <c r="I72" s="12">
        <f>D40*F40+D41*F41+D42*F42+D43*F43+D44*F44+D45*F45+D46*F46+D47*F47+D48*F48+D49*F49+D50*F50+D51*F51+D52*F52+D53*F53+D54*F54+D55*F55+D56*F56+D57*F57+D58*F58+D59*F59+D60*F60+D61*F61+D62*F62+D63*F63</f>
        <v>3215073.19091312</v>
      </c>
      <c r="J72" s="12">
        <f t="shared" si="19"/>
        <v>8234154.6406637</v>
      </c>
      <c r="K72" s="5">
        <f t="shared" si="11"/>
        <v>0</v>
      </c>
      <c r="L72" s="5">
        <f t="shared" si="12"/>
        <v>0</v>
      </c>
      <c r="M72" s="5">
        <f t="shared" si="13"/>
        <v>0</v>
      </c>
      <c r="N72" s="5">
        <v>0</v>
      </c>
      <c r="O72" s="5">
        <f t="shared" si="14"/>
        <v>0</v>
      </c>
      <c r="P72" s="19" t="s">
        <v>82</v>
      </c>
    </row>
    <row r="73" spans="1:16">
      <c r="A73" s="8"/>
      <c r="B73" s="9">
        <f t="shared" si="20"/>
        <v>3215073.19091312</v>
      </c>
      <c r="C73" s="10">
        <v>0</v>
      </c>
      <c r="D73" s="10">
        <v>0</v>
      </c>
      <c r="E73" s="10">
        <v>0</v>
      </c>
      <c r="F73" s="13">
        <v>0</v>
      </c>
      <c r="G73" s="13">
        <f t="shared" si="16"/>
        <v>0</v>
      </c>
      <c r="H73" s="13">
        <f t="shared" si="10"/>
        <v>0</v>
      </c>
      <c r="I73" s="12"/>
      <c r="J73" s="12">
        <f t="shared" si="19"/>
        <v>8234154.6406637</v>
      </c>
      <c r="K73" s="5">
        <f t="shared" si="11"/>
        <v>0</v>
      </c>
      <c r="L73" s="5">
        <f t="shared" si="12"/>
        <v>0</v>
      </c>
      <c r="M73" s="5">
        <f t="shared" si="13"/>
        <v>0</v>
      </c>
      <c r="N73" s="5">
        <v>0</v>
      </c>
      <c r="O73" s="5">
        <f t="shared" si="14"/>
        <v>0</v>
      </c>
      <c r="P73" s="23"/>
    </row>
    <row r="74" spans="1:16">
      <c r="A74" s="4">
        <v>21</v>
      </c>
      <c r="B74" s="9">
        <f t="shared" ref="B74:B78" si="21">H73-O73</f>
        <v>0</v>
      </c>
      <c r="C74" s="10">
        <v>0</v>
      </c>
      <c r="D74" s="10">
        <v>0</v>
      </c>
      <c r="E74" s="10">
        <v>0</v>
      </c>
      <c r="F74" s="13">
        <v>0</v>
      </c>
      <c r="G74" s="13">
        <f t="shared" si="16"/>
        <v>0</v>
      </c>
      <c r="H74" s="13">
        <f t="shared" si="10"/>
        <v>0</v>
      </c>
      <c r="I74" s="12">
        <f>D44*F44+D45*F45+D46*F46+D47*F47+D48*F48+D49*F49+D50*F50+D51*F51+D52*F52+D53*F53+D54*F54+D55*F55+D56*F56+D57*F57+D58*F58+D59*F59+D60*F60+D61*F61+D62*F62+D63*F63</f>
        <v>2706638.6753528</v>
      </c>
      <c r="J74" s="12">
        <f t="shared" si="19"/>
        <v>5527515.9653109</v>
      </c>
      <c r="K74" s="5">
        <f t="shared" si="11"/>
        <v>0</v>
      </c>
      <c r="L74" s="5">
        <f t="shared" si="12"/>
        <v>0</v>
      </c>
      <c r="M74" s="5">
        <f t="shared" si="13"/>
        <v>0</v>
      </c>
      <c r="N74" s="5">
        <v>0</v>
      </c>
      <c r="O74" s="5">
        <f t="shared" si="14"/>
        <v>0</v>
      </c>
      <c r="P74" s="19" t="s">
        <v>83</v>
      </c>
    </row>
    <row r="75" spans="1:16">
      <c r="A75" s="8"/>
      <c r="B75" s="9">
        <f t="shared" ref="B75:B79" si="22">H74-O74+I74</f>
        <v>2706638.6753528</v>
      </c>
      <c r="C75" s="10">
        <v>0</v>
      </c>
      <c r="D75" s="10">
        <v>0</v>
      </c>
      <c r="E75" s="10">
        <v>0</v>
      </c>
      <c r="F75" s="13">
        <v>0</v>
      </c>
      <c r="G75" s="13">
        <f t="shared" si="16"/>
        <v>0</v>
      </c>
      <c r="H75" s="13">
        <f t="shared" si="10"/>
        <v>0</v>
      </c>
      <c r="I75" s="12"/>
      <c r="J75" s="12">
        <f t="shared" si="19"/>
        <v>5527515.9653109</v>
      </c>
      <c r="K75" s="5">
        <f t="shared" si="11"/>
        <v>0</v>
      </c>
      <c r="L75" s="5">
        <f t="shared" si="12"/>
        <v>0</v>
      </c>
      <c r="M75" s="5">
        <f t="shared" si="13"/>
        <v>0</v>
      </c>
      <c r="N75" s="5">
        <v>0</v>
      </c>
      <c r="O75" s="5">
        <f t="shared" si="14"/>
        <v>0</v>
      </c>
      <c r="P75" s="23"/>
    </row>
    <row r="76" spans="1:16">
      <c r="A76" s="4">
        <v>22</v>
      </c>
      <c r="B76" s="9">
        <f t="shared" si="21"/>
        <v>0</v>
      </c>
      <c r="C76" s="10">
        <v>0</v>
      </c>
      <c r="D76" s="10">
        <v>0</v>
      </c>
      <c r="E76" s="10">
        <v>0</v>
      </c>
      <c r="F76" s="13">
        <v>0</v>
      </c>
      <c r="G76" s="13">
        <f t="shared" si="16"/>
        <v>0</v>
      </c>
      <c r="H76" s="13">
        <f t="shared" si="10"/>
        <v>0</v>
      </c>
      <c r="I76" s="12">
        <f>D48*F48+D49*F49+D50*F50+D51*F51+D52*F52+D53*F53+D54*F54+D55*F55+D56*F56+D57*F57+D58*F58+D59*F59+D60*F60+D61*F61+D62*F62+D63*F63</f>
        <v>2129263.95891739</v>
      </c>
      <c r="J76" s="12">
        <f t="shared" si="19"/>
        <v>3398252.00639351</v>
      </c>
      <c r="K76" s="5">
        <f t="shared" si="11"/>
        <v>0</v>
      </c>
      <c r="L76" s="5">
        <f t="shared" si="12"/>
        <v>0</v>
      </c>
      <c r="M76" s="5">
        <f t="shared" si="13"/>
        <v>0</v>
      </c>
      <c r="N76" s="5">
        <v>0</v>
      </c>
      <c r="O76" s="5">
        <f t="shared" si="14"/>
        <v>0</v>
      </c>
      <c r="P76" s="19" t="s">
        <v>84</v>
      </c>
    </row>
    <row r="77" spans="1:16">
      <c r="A77" s="8"/>
      <c r="B77" s="9">
        <f t="shared" si="22"/>
        <v>2129263.95891739</v>
      </c>
      <c r="C77" s="10">
        <v>0</v>
      </c>
      <c r="D77" s="10">
        <v>0</v>
      </c>
      <c r="E77" s="10">
        <v>0</v>
      </c>
      <c r="F77" s="13">
        <v>0</v>
      </c>
      <c r="G77" s="13">
        <f t="shared" si="16"/>
        <v>0</v>
      </c>
      <c r="H77" s="13">
        <f t="shared" si="10"/>
        <v>0</v>
      </c>
      <c r="I77" s="12"/>
      <c r="J77" s="12">
        <f t="shared" si="19"/>
        <v>3398252.00639351</v>
      </c>
      <c r="K77" s="5">
        <f t="shared" si="11"/>
        <v>0</v>
      </c>
      <c r="L77" s="5">
        <f t="shared" si="12"/>
        <v>0</v>
      </c>
      <c r="M77" s="5">
        <f t="shared" si="13"/>
        <v>0</v>
      </c>
      <c r="N77" s="5">
        <v>0</v>
      </c>
      <c r="O77" s="5">
        <f t="shared" si="14"/>
        <v>0</v>
      </c>
      <c r="P77" s="23"/>
    </row>
    <row r="78" spans="1:16">
      <c r="A78" s="4">
        <v>23</v>
      </c>
      <c r="B78" s="9">
        <f t="shared" si="21"/>
        <v>0</v>
      </c>
      <c r="C78" s="10">
        <v>0</v>
      </c>
      <c r="D78" s="10">
        <v>0</v>
      </c>
      <c r="E78" s="10">
        <v>0</v>
      </c>
      <c r="F78" s="13">
        <v>0</v>
      </c>
      <c r="G78" s="13">
        <f t="shared" si="16"/>
        <v>0</v>
      </c>
      <c r="H78" s="13">
        <f t="shared" si="10"/>
        <v>0</v>
      </c>
      <c r="I78" s="12">
        <f>D52*F52+D53*F53+D54*F54+D55*F55+D56*F56+D57*F57+D58*F58+D59*F59+D60*F60+D61*F61+D62*F62+D63*F63</f>
        <v>1657300.81806756</v>
      </c>
      <c r="J78" s="12">
        <f t="shared" si="19"/>
        <v>1740951.18832594</v>
      </c>
      <c r="K78" s="5">
        <f t="shared" si="11"/>
        <v>0</v>
      </c>
      <c r="L78" s="5">
        <f t="shared" si="12"/>
        <v>0</v>
      </c>
      <c r="M78" s="5">
        <f t="shared" si="13"/>
        <v>0</v>
      </c>
      <c r="N78" s="5">
        <v>0</v>
      </c>
      <c r="O78" s="5">
        <f t="shared" si="14"/>
        <v>0</v>
      </c>
      <c r="P78" s="19" t="s">
        <v>85</v>
      </c>
    </row>
    <row r="79" spans="1:16">
      <c r="A79" s="8"/>
      <c r="B79" s="9">
        <f t="shared" si="22"/>
        <v>1657300.81806756</v>
      </c>
      <c r="C79" s="10">
        <v>0</v>
      </c>
      <c r="D79" s="10">
        <v>0</v>
      </c>
      <c r="E79" s="10">
        <v>0</v>
      </c>
      <c r="F79" s="13">
        <v>0</v>
      </c>
      <c r="G79" s="13">
        <v>0</v>
      </c>
      <c r="H79" s="13">
        <f t="shared" si="10"/>
        <v>0</v>
      </c>
      <c r="I79" s="12"/>
      <c r="J79" s="12">
        <f t="shared" si="19"/>
        <v>1740951.18832594</v>
      </c>
      <c r="K79" s="5">
        <f t="shared" si="11"/>
        <v>0</v>
      </c>
      <c r="L79" s="5">
        <f t="shared" si="12"/>
        <v>0</v>
      </c>
      <c r="M79" s="5">
        <f t="shared" si="13"/>
        <v>0</v>
      </c>
      <c r="N79" s="5">
        <v>0</v>
      </c>
      <c r="O79" s="5">
        <f t="shared" si="14"/>
        <v>0</v>
      </c>
      <c r="P79" s="23"/>
    </row>
    <row r="80" spans="1:16">
      <c r="A80" s="4">
        <v>24</v>
      </c>
      <c r="B80" s="9">
        <f>H79-O79</f>
        <v>0</v>
      </c>
      <c r="C80" s="10">
        <v>0</v>
      </c>
      <c r="D80" s="10">
        <v>0</v>
      </c>
      <c r="E80" s="10">
        <v>0</v>
      </c>
      <c r="F80" s="13">
        <v>0</v>
      </c>
      <c r="G80" s="13">
        <v>0</v>
      </c>
      <c r="H80" s="13">
        <f t="shared" si="10"/>
        <v>0</v>
      </c>
      <c r="I80" s="12">
        <f>D56*F56+D57*F57+D58*F58+D59*F59+D60*F60+D61*F61+D62*F62+D63*F63</f>
        <v>1146406.27411253</v>
      </c>
      <c r="J80" s="12">
        <f t="shared" si="19"/>
        <v>594544.914213416</v>
      </c>
      <c r="K80" s="5">
        <f t="shared" si="11"/>
        <v>0</v>
      </c>
      <c r="L80" s="5">
        <f t="shared" si="12"/>
        <v>0</v>
      </c>
      <c r="M80" s="5">
        <f t="shared" si="13"/>
        <v>0</v>
      </c>
      <c r="N80" s="5">
        <v>0</v>
      </c>
      <c r="O80" s="5">
        <f t="shared" si="14"/>
        <v>0</v>
      </c>
      <c r="P80" s="19" t="s">
        <v>86</v>
      </c>
    </row>
    <row r="81" spans="1:16">
      <c r="A81" s="8"/>
      <c r="B81" s="9">
        <f t="shared" ref="B81:B85" si="23">H80-O80+I80</f>
        <v>1146406.27411253</v>
      </c>
      <c r="C81" s="10">
        <v>0</v>
      </c>
      <c r="D81" s="10">
        <v>0</v>
      </c>
      <c r="E81" s="10">
        <v>0</v>
      </c>
      <c r="F81" s="13">
        <v>0</v>
      </c>
      <c r="G81" s="13">
        <v>0</v>
      </c>
      <c r="H81" s="13">
        <f t="shared" si="10"/>
        <v>0</v>
      </c>
      <c r="I81" s="12"/>
      <c r="J81" s="12">
        <f t="shared" si="19"/>
        <v>594544.914213416</v>
      </c>
      <c r="K81" s="5">
        <f t="shared" si="11"/>
        <v>0</v>
      </c>
      <c r="L81" s="5">
        <f t="shared" si="12"/>
        <v>0</v>
      </c>
      <c r="M81" s="5">
        <f t="shared" si="13"/>
        <v>0</v>
      </c>
      <c r="N81" s="5">
        <v>0</v>
      </c>
      <c r="O81" s="5">
        <f t="shared" si="14"/>
        <v>0</v>
      </c>
      <c r="P81" s="23"/>
    </row>
    <row r="82" spans="1:16">
      <c r="A82" s="4">
        <v>25</v>
      </c>
      <c r="B82" s="9">
        <f t="shared" si="23"/>
        <v>0</v>
      </c>
      <c r="C82" s="10">
        <v>0</v>
      </c>
      <c r="D82" s="10">
        <v>0</v>
      </c>
      <c r="E82" s="10">
        <v>0</v>
      </c>
      <c r="F82" s="13">
        <v>0</v>
      </c>
      <c r="G82" s="13">
        <v>0</v>
      </c>
      <c r="H82" s="13">
        <f t="shared" si="10"/>
        <v>0</v>
      </c>
      <c r="I82" s="12">
        <f>D60*F60+D61*F61+D62*F62+D63*F63</f>
        <v>594544.899030042</v>
      </c>
      <c r="J82" s="12">
        <f t="shared" si="19"/>
        <v>0.0151833738200366</v>
      </c>
      <c r="K82" s="5">
        <f t="shared" si="11"/>
        <v>0</v>
      </c>
      <c r="L82" s="5">
        <f t="shared" si="12"/>
        <v>0</v>
      </c>
      <c r="M82" s="5">
        <f t="shared" si="13"/>
        <v>0</v>
      </c>
      <c r="N82" s="5">
        <v>0</v>
      </c>
      <c r="O82" s="5">
        <f t="shared" si="14"/>
        <v>0</v>
      </c>
      <c r="P82" s="19" t="s">
        <v>87</v>
      </c>
    </row>
    <row r="83" spans="1:16">
      <c r="A83" s="8"/>
      <c r="B83" s="9">
        <f t="shared" si="23"/>
        <v>594544.899030042</v>
      </c>
      <c r="C83" s="10">
        <v>0</v>
      </c>
      <c r="D83" s="10">
        <v>0</v>
      </c>
      <c r="E83" s="10">
        <v>0</v>
      </c>
      <c r="F83" s="13">
        <v>0</v>
      </c>
      <c r="G83" s="13">
        <v>0</v>
      </c>
      <c r="H83" s="13">
        <f t="shared" si="10"/>
        <v>0</v>
      </c>
      <c r="I83" s="12"/>
      <c r="J83" s="12">
        <f t="shared" si="19"/>
        <v>0.0151833738200366</v>
      </c>
      <c r="K83" s="5">
        <f t="shared" si="11"/>
        <v>0</v>
      </c>
      <c r="L83" s="5">
        <f t="shared" si="12"/>
        <v>0</v>
      </c>
      <c r="M83" s="5">
        <f t="shared" si="13"/>
        <v>0</v>
      </c>
      <c r="N83" s="5">
        <v>0</v>
      </c>
      <c r="O83" s="5">
        <f t="shared" si="14"/>
        <v>0</v>
      </c>
      <c r="P83" s="23"/>
    </row>
    <row r="84" spans="1:16">
      <c r="A84" s="4">
        <v>26</v>
      </c>
      <c r="B84" s="9">
        <f t="shared" si="23"/>
        <v>0</v>
      </c>
      <c r="C84" s="10">
        <v>0</v>
      </c>
      <c r="D84" s="10">
        <v>0</v>
      </c>
      <c r="E84" s="10">
        <v>0</v>
      </c>
      <c r="F84" s="13">
        <v>0</v>
      </c>
      <c r="G84" s="13">
        <v>0</v>
      </c>
      <c r="H84" s="13">
        <f t="shared" si="10"/>
        <v>0</v>
      </c>
      <c r="I84" s="12"/>
      <c r="J84" s="12">
        <f t="shared" si="19"/>
        <v>0.0151833738200366</v>
      </c>
      <c r="K84" s="5">
        <f t="shared" si="11"/>
        <v>0</v>
      </c>
      <c r="L84" s="5">
        <f t="shared" si="12"/>
        <v>0</v>
      </c>
      <c r="M84" s="5">
        <f t="shared" si="13"/>
        <v>0</v>
      </c>
      <c r="N84" s="5">
        <v>0</v>
      </c>
      <c r="O84" s="5">
        <f t="shared" si="14"/>
        <v>0</v>
      </c>
      <c r="P84" s="28" t="s">
        <v>88</v>
      </c>
    </row>
    <row r="85" spans="1:16">
      <c r="A85" s="8"/>
      <c r="B85" s="9">
        <f t="shared" si="23"/>
        <v>0</v>
      </c>
      <c r="C85" s="10">
        <v>0</v>
      </c>
      <c r="D85" s="10">
        <v>0</v>
      </c>
      <c r="E85" s="10">
        <v>0</v>
      </c>
      <c r="F85" s="13">
        <v>0</v>
      </c>
      <c r="G85" s="13">
        <v>0</v>
      </c>
      <c r="H85" s="13">
        <f t="shared" si="10"/>
        <v>0</v>
      </c>
      <c r="I85" s="12"/>
      <c r="J85" s="12">
        <f t="shared" si="19"/>
        <v>0.0151833738200366</v>
      </c>
      <c r="K85" s="5">
        <f t="shared" si="11"/>
        <v>0</v>
      </c>
      <c r="L85" s="5">
        <f t="shared" si="12"/>
        <v>0</v>
      </c>
      <c r="M85" s="5">
        <f t="shared" si="13"/>
        <v>0</v>
      </c>
      <c r="N85" s="5">
        <v>0</v>
      </c>
      <c r="O85" s="5">
        <f t="shared" si="14"/>
        <v>0</v>
      </c>
      <c r="P85" s="23"/>
    </row>
    <row r="86" spans="1:16">
      <c r="A86" s="6"/>
      <c r="B86" s="5"/>
      <c r="C86" s="6"/>
      <c r="D86" s="6"/>
      <c r="E86" s="6"/>
      <c r="F86" s="12"/>
      <c r="G86" s="12"/>
      <c r="H86" s="12"/>
      <c r="I86" s="12"/>
      <c r="J86" s="12"/>
      <c r="K86" s="5"/>
      <c r="L86" s="5"/>
      <c r="M86" s="5"/>
      <c r="N86" s="5"/>
      <c r="O86" s="5"/>
      <c r="P86" s="18"/>
    </row>
  </sheetData>
  <mergeCells count="67">
    <mergeCell ref="A5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I5:I7"/>
    <mergeCell ref="I9:I11"/>
    <mergeCell ref="I13:I15"/>
    <mergeCell ref="I17:I19"/>
    <mergeCell ref="I21:I23"/>
    <mergeCell ref="I25:I27"/>
    <mergeCell ref="I29:I31"/>
    <mergeCell ref="I33:I35"/>
    <mergeCell ref="I37:I39"/>
    <mergeCell ref="I41:I43"/>
    <mergeCell ref="I45:I47"/>
    <mergeCell ref="I49:I51"/>
    <mergeCell ref="I53:I55"/>
    <mergeCell ref="I57:I59"/>
    <mergeCell ref="I61:I63"/>
    <mergeCell ref="P5:P7"/>
    <mergeCell ref="P8:P11"/>
    <mergeCell ref="P12:P15"/>
    <mergeCell ref="P16:P19"/>
    <mergeCell ref="P20:P23"/>
    <mergeCell ref="P24:P27"/>
    <mergeCell ref="P28:P31"/>
    <mergeCell ref="P32:P35"/>
    <mergeCell ref="P36:P39"/>
    <mergeCell ref="P40:P43"/>
    <mergeCell ref="P44:P47"/>
    <mergeCell ref="P48:P51"/>
    <mergeCell ref="P52:P55"/>
    <mergeCell ref="P56:P59"/>
    <mergeCell ref="P60:P63"/>
    <mergeCell ref="P64:P65"/>
    <mergeCell ref="P66:P67"/>
    <mergeCell ref="P68:P69"/>
    <mergeCell ref="P70:P71"/>
    <mergeCell ref="P72:P73"/>
    <mergeCell ref="P74:P75"/>
    <mergeCell ref="P76:P77"/>
    <mergeCell ref="P78:P79"/>
    <mergeCell ref="P80:P81"/>
    <mergeCell ref="P82:P83"/>
    <mergeCell ref="P84:P8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单机收益</vt:lpstr>
      <vt:lpstr>复利模式下收益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鲁运波</dc:creator>
  <cp:lastModifiedBy>鲁运波</cp:lastModifiedBy>
  <dcterms:created xsi:type="dcterms:W3CDTF">2024-01-12T00:06:37Z</dcterms:created>
  <dcterms:modified xsi:type="dcterms:W3CDTF">2024-01-12T02:14:03Z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F2F44977C864224D0D12A0654BA7EAB9_41</vt:lpwstr>
  </property>
  <property fmtid="{D5CDD505-2E9C-101B-9397-08002B2CF9AE}" pid="3" name="KSOProductBuildVer">
    <vt:lpwstr>2052-6.4.0.8550</vt:lpwstr>
  </property>
</Properties>
</file>