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homerokzam/Downloads/"/>
    </mc:Choice>
  </mc:AlternateContent>
  <xr:revisionPtr revIDLastSave="0" documentId="13_ncr:1_{0A955E12-C168-C147-B6FE-008A9A612DF4}" xr6:coauthVersionLast="41" xr6:coauthVersionMax="41" xr10:uidLastSave="{00000000-0000-0000-0000-000000000000}"/>
  <bookViews>
    <workbookView xWindow="0" yWindow="460" windowWidth="33600" windowHeight="19400" xr2:uid="{00000000-000D-0000-FFFF-FFFF00000000}"/>
  </bookViews>
  <sheets>
    <sheet name="Salario" sheetId="1" r:id="rId1"/>
    <sheet name="Ferias" sheetId="2" r:id="rId2"/>
    <sheet name="Ocorrencias Folha Pagamento" sheetId="3" r:id="rId3"/>
    <sheet name="INSS" sheetId="4" r:id="rId4"/>
    <sheet name="Salario Familia" sheetId="5" r:id="rId5"/>
    <sheet name="Rescisao" sheetId="6" r:id="rId6"/>
    <sheet name="IRPF" sheetId="7" r:id="rId7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3" l="1"/>
  <c r="M6" i="7" l="1"/>
  <c r="M5" i="7"/>
  <c r="M4" i="7"/>
  <c r="M3" i="7"/>
  <c r="D10" i="1" l="1"/>
  <c r="D35" i="6"/>
  <c r="D28" i="1"/>
  <c r="M3" i="5"/>
  <c r="M2" i="5"/>
  <c r="D4" i="3"/>
  <c r="L3" i="5"/>
  <c r="L2" i="5"/>
  <c r="K3" i="1"/>
  <c r="K26" i="1" s="1"/>
  <c r="D25" i="1" s="1"/>
  <c r="K31" i="6"/>
  <c r="K27" i="6"/>
  <c r="K28" i="6"/>
  <c r="K30" i="6" s="1"/>
  <c r="K25" i="6"/>
  <c r="K4" i="2"/>
  <c r="K5" i="2"/>
  <c r="K6" i="2"/>
  <c r="D19" i="1"/>
  <c r="K14" i="1"/>
  <c r="K16" i="1"/>
  <c r="K2" i="1" s="1"/>
  <c r="D4" i="1"/>
  <c r="D5" i="1"/>
  <c r="D9" i="1" s="1"/>
  <c r="D6" i="1"/>
  <c r="K8" i="1"/>
  <c r="D7" i="1" s="1"/>
  <c r="D15" i="1"/>
  <c r="D17" i="1"/>
  <c r="K25" i="1"/>
  <c r="D23" i="1" s="1"/>
  <c r="D26" i="1"/>
  <c r="K4" i="1"/>
  <c r="D27" i="1" s="1"/>
  <c r="D22" i="1"/>
  <c r="D5" i="6"/>
  <c r="K16" i="6"/>
  <c r="K14" i="6"/>
  <c r="D4" i="6"/>
  <c r="D6" i="6"/>
  <c r="D15" i="6"/>
  <c r="D17" i="6"/>
  <c r="D22" i="6"/>
  <c r="K26" i="6"/>
  <c r="M3" i="4"/>
  <c r="D24" i="1"/>
  <c r="K3" i="2"/>
  <c r="K23" i="1"/>
  <c r="K11" i="6"/>
  <c r="D16" i="6" s="1"/>
  <c r="K23" i="6"/>
  <c r="K11" i="1"/>
  <c r="D16" i="1" s="1"/>
  <c r="M4" i="4"/>
  <c r="K15" i="6"/>
  <c r="D12" i="6"/>
  <c r="K15" i="1"/>
  <c r="D18" i="6"/>
  <c r="D20" i="1"/>
  <c r="D12" i="1"/>
  <c r="D13" i="6"/>
  <c r="D10" i="6"/>
  <c r="K10" i="6"/>
  <c r="D5" i="3"/>
  <c r="D9" i="6"/>
  <c r="D6" i="3"/>
  <c r="D8" i="1"/>
  <c r="D18" i="1"/>
  <c r="D13" i="1"/>
  <c r="D5" i="2"/>
  <c r="D6" i="2" s="1"/>
  <c r="K10" i="1"/>
  <c r="D28" i="6" l="1"/>
  <c r="K3" i="6"/>
  <c r="K8" i="6"/>
  <c r="D7" i="6" s="1"/>
  <c r="K2" i="6"/>
  <c r="D2" i="2"/>
  <c r="K2" i="2" s="1"/>
  <c r="A3" i="7" s="1"/>
  <c r="D3" i="7" s="1"/>
  <c r="D3" i="2"/>
  <c r="D2" i="1"/>
  <c r="K12" i="1" s="1"/>
  <c r="K29" i="6"/>
  <c r="D24" i="6" s="1"/>
  <c r="D25" i="6" s="1"/>
  <c r="D23" i="6"/>
  <c r="D27" i="6"/>
  <c r="K4" i="6" l="1"/>
  <c r="D34" i="6" s="1"/>
  <c r="K33" i="6"/>
  <c r="D32" i="6" s="1"/>
  <c r="D33" i="6"/>
  <c r="K32" i="6"/>
  <c r="D31" i="6" s="1"/>
  <c r="D19" i="6"/>
  <c r="D8" i="6"/>
  <c r="D2" i="6"/>
  <c r="D20" i="6"/>
  <c r="A3" i="4"/>
  <c r="D3" i="4" s="1"/>
  <c r="D4" i="2" s="1"/>
  <c r="D29" i="6"/>
  <c r="D30" i="6" s="1"/>
  <c r="D3" i="1"/>
  <c r="K22" i="1" s="1"/>
  <c r="D3" i="6" l="1"/>
  <c r="K12" i="6"/>
  <c r="K22" i="6"/>
  <c r="K13" i="6" s="1"/>
  <c r="K13" i="1"/>
  <c r="A2" i="7" s="1"/>
  <c r="D2" i="7" s="1"/>
  <c r="A4" i="7" l="1"/>
  <c r="D4" i="7" s="1"/>
  <c r="B11" i="5"/>
  <c r="D11" i="5" s="1"/>
  <c r="K21" i="6" s="1"/>
  <c r="B8" i="5"/>
  <c r="D8" i="5" s="1"/>
  <c r="K18" i="6" s="1"/>
  <c r="A4" i="4"/>
  <c r="D4" i="4" s="1"/>
  <c r="D14" i="6" s="1"/>
  <c r="D26" i="6" s="1"/>
  <c r="B10" i="5"/>
  <c r="D10" i="5" s="1"/>
  <c r="K20" i="6" s="1"/>
  <c r="B7" i="5"/>
  <c r="D7" i="5" s="1"/>
  <c r="K17" i="6" s="1"/>
  <c r="D21" i="6" s="1"/>
  <c r="K5" i="6" s="1"/>
  <c r="D11" i="6" s="1"/>
  <c r="K6" i="6" s="1"/>
  <c r="K7" i="6" s="1"/>
  <c r="B9" i="5"/>
  <c r="D9" i="5" s="1"/>
  <c r="K19" i="6" s="1"/>
  <c r="B3" i="5"/>
  <c r="D3" i="5" s="1"/>
  <c r="K18" i="1" s="1"/>
  <c r="A2" i="4"/>
  <c r="D2" i="4" s="1"/>
  <c r="B5" i="5"/>
  <c r="D5" i="5" s="1"/>
  <c r="K20" i="1" s="1"/>
  <c r="B2" i="5"/>
  <c r="D2" i="5" s="1"/>
  <c r="K17" i="1" s="1"/>
  <c r="D14" i="1"/>
  <c r="B4" i="5"/>
  <c r="D4" i="5" s="1"/>
  <c r="K19" i="1" s="1"/>
  <c r="B6" i="5"/>
  <c r="D6" i="5" s="1"/>
  <c r="K21" i="1" s="1"/>
  <c r="D21" i="1" l="1"/>
  <c r="K5" i="1" s="1"/>
  <c r="D11" i="1"/>
  <c r="K6" i="1" s="1"/>
  <c r="K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Homero Batista Kzam</author>
  </authors>
  <commentList>
    <comment ref="A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Quantidade de dias trabalhados no mês a pagar.</t>
        </r>
      </text>
    </comment>
    <comment ref="A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Quantidade de dias efetivamente trabalhados</t>
        </r>
      </text>
    </comment>
    <comment ref="A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Quantidade de dias a serem comparecidos no mês seguinte ao mês a pagar.</t>
        </r>
      </text>
    </comment>
    <comment ref="A10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Valor percentual das pensões alimentícias.</t>
        </r>
      </text>
    </comment>
    <comment ref="L10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Quantidade de dias efetivamente trabalhados em dias uteis. Apenas Domingos e Feriados são considerados dias não uteis.</t>
        </r>
      </text>
    </comment>
    <comment ref="L1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Calcula o mês que o funcionário está trabalhando. Se é o 1o mês, 2o mês, 3o mês, etc.</t>
        </r>
      </text>
    </comment>
    <comment ref="A15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Quantidade de dias efetivamente trabalhados em dias não uteis. Apenas Domingos e Feriados são considerados dias não uteis.</t>
        </r>
      </text>
    </comment>
    <comment ref="A23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Valor líquido das férias.</t>
        </r>
      </text>
    </comment>
    <comment ref="A24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 somatória de todos os crédito das férias.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Homero Batista Kzam</author>
  </authors>
  <commentList>
    <comment ref="A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Quantidade de dias a serem comparecidos no mês seguinte ao mês a pagar.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Homero Batista Kzam</author>
  </authors>
  <commentList>
    <comment ref="A5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Quantidade de dias trabalhados no mês a pagar.</t>
        </r>
      </text>
    </comment>
    <comment ref="A7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Quantidade de dias efetivamente trabalhados</t>
        </r>
      </text>
    </comment>
    <comment ref="A9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Quantidade de dias a serem comparecidos no mês seguinte ao mês a pagar.</t>
        </r>
      </text>
    </comment>
    <comment ref="A10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Valor percentual das pensões alimentícias.</t>
        </r>
      </text>
    </comment>
    <comment ref="L10" authorId="0" shapeId="0" xr:uid="{00000000-0006-0000-0500-000005000000}">
      <text>
        <r>
          <rPr>
            <b/>
            <sz val="9"/>
            <color rgb="FF000000"/>
            <rFont val="Tahoma"/>
            <family val="2"/>
          </rPr>
          <t>Quantidade de dias efetivamente trabalhados em dias uteis. Apenas Domingos e Feriados são considerados dias não uteis.</t>
        </r>
      </text>
    </comment>
    <comment ref="L11" authorId="0" shapeId="0" xr:uid="{00000000-0006-0000-0500-000006000000}">
      <text>
        <r>
          <rPr>
            <b/>
            <sz val="9"/>
            <color indexed="81"/>
            <rFont val="Tahoma"/>
            <family val="2"/>
          </rPr>
          <t>Calcula o mês que o funcionário está trabalhando. Se é o 1o mês, 2o mês, 3o mês, etc.</t>
        </r>
      </text>
    </comment>
    <comment ref="A15" authorId="0" shapeId="0" xr:uid="{00000000-0006-0000-0500-000007000000}">
      <text>
        <r>
          <rPr>
            <b/>
            <sz val="9"/>
            <color indexed="81"/>
            <rFont val="Tahoma"/>
            <family val="2"/>
          </rPr>
          <t>Quantidade de dias efetivamente trabalhados em dias não uteis. Apenas Domingos e Feriados são considerados dias não uteis.</t>
        </r>
      </text>
    </comment>
    <comment ref="A23" authorId="0" shapeId="0" xr:uid="{00000000-0006-0000-0500-000008000000}">
      <text>
        <r>
          <rPr>
            <b/>
            <sz val="9"/>
            <color indexed="81"/>
            <rFont val="Tahoma"/>
            <family val="2"/>
          </rPr>
          <t>Valor líquido das férias.</t>
        </r>
      </text>
    </comment>
    <comment ref="A24" authorId="0" shapeId="0" xr:uid="{00000000-0006-0000-0500-000009000000}">
      <text>
        <r>
          <rPr>
            <b/>
            <sz val="9"/>
            <color indexed="81"/>
            <rFont val="Tahoma"/>
            <family val="2"/>
          </rPr>
          <t>A somatória de todos os crédito das férias.</t>
        </r>
      </text>
    </comment>
  </commentList>
</comments>
</file>

<file path=xl/sharedStrings.xml><?xml version="1.0" encoding="utf-8"?>
<sst xmlns="http://schemas.openxmlformats.org/spreadsheetml/2006/main" count="355" uniqueCount="182">
  <si>
    <t>ENTRADA</t>
  </si>
  <si>
    <t>SAÍDA</t>
  </si>
  <si>
    <t>SALARIO BASE</t>
  </si>
  <si>
    <t>DIAS TRABALHADOS</t>
  </si>
  <si>
    <t>DIAS A TRABALHAR</t>
  </si>
  <si>
    <t>FALTAS</t>
  </si>
  <si>
    <t>MES</t>
  </si>
  <si>
    <t>ANO</t>
  </si>
  <si>
    <t>COMPARECIMENTOS</t>
  </si>
  <si>
    <t>HORAS NOTURNAS</t>
  </si>
  <si>
    <t>001</t>
  </si>
  <si>
    <t>SALARIO</t>
  </si>
  <si>
    <t>PRODUTIVIDADE</t>
  </si>
  <si>
    <t>ADICIONAL NOTURNO</t>
  </si>
  <si>
    <t>233</t>
  </si>
  <si>
    <t>ESTIMATIVA SERVICO ENTRADA</t>
  </si>
  <si>
    <t>218</t>
  </si>
  <si>
    <t>AUXILIO REFEICAO</t>
  </si>
  <si>
    <t>201</t>
  </si>
  <si>
    <t>DSR</t>
  </si>
  <si>
    <t>VALE TRANSPORTE</t>
  </si>
  <si>
    <t>766</t>
  </si>
  <si>
    <t>ESTIMATIVA SERVICO SAIDA</t>
  </si>
  <si>
    <t>TAXA ACORDO SERVICO</t>
  </si>
  <si>
    <t>759</t>
  </si>
  <si>
    <t>PENSAO ALIMENTICIA</t>
  </si>
  <si>
    <t>INSS</t>
  </si>
  <si>
    <t>SALARIO POR HORA</t>
  </si>
  <si>
    <t>TOTAL VENCIMENTOS</t>
  </si>
  <si>
    <t>TOTAL DESCONTOS</t>
  </si>
  <si>
    <t>TOTAL DESCONTOS SEM INSS</t>
  </si>
  <si>
    <t>SALARIO BASE SUBSTITUICAO</t>
  </si>
  <si>
    <t>DIAS SUBSTITUICAO</t>
  </si>
  <si>
    <t>020</t>
  </si>
  <si>
    <t>GRATIFICACAO</t>
  </si>
  <si>
    <t>SALARIO DIARIO SUBSTITUICAO</t>
  </si>
  <si>
    <t>VR NAO UTILIZADO</t>
  </si>
  <si>
    <t>VT NAO UTILIZADO</t>
  </si>
  <si>
    <t>COMPARECIMENTOS DIAS NAO UTEIS</t>
  </si>
  <si>
    <t>COMPARECIMENTOS DIAS UTEIS</t>
  </si>
  <si>
    <t>FALTAS NAO JUSTIFICADAS</t>
  </si>
  <si>
    <t>FERIAS</t>
  </si>
  <si>
    <t>ABONO 1/3 FERIAS</t>
  </si>
  <si>
    <t>BASE DE CALCULO INSS</t>
  </si>
  <si>
    <t>QTDE DIAS FERIAS</t>
  </si>
  <si>
    <t>120</t>
  </si>
  <si>
    <t>ABONO PECUNIO FERIAS</t>
  </si>
  <si>
    <t>ABONO 1/3 FERIAS-PECUNIO</t>
  </si>
  <si>
    <t>QTDE DIAS VENDIDOS</t>
  </si>
  <si>
    <t>AUXILIO TRANSPORTE</t>
  </si>
  <si>
    <t>VALOR AUXÍLIO REFEIÇÃO</t>
  </si>
  <si>
    <t>CONTRIBUICAO SINDICAL</t>
  </si>
  <si>
    <t>703</t>
  </si>
  <si>
    <t>DIAS UTEIS</t>
  </si>
  <si>
    <t>DIAS NAO UTEIS</t>
  </si>
  <si>
    <t>MES DE TRABALHO</t>
  </si>
  <si>
    <t>MES ADMISSAO</t>
  </si>
  <si>
    <t>ANO ADMISSAO</t>
  </si>
  <si>
    <t>ATESTADO MEDICO</t>
  </si>
  <si>
    <t>DISPENSA MEDICA</t>
  </si>
  <si>
    <t>ADIANTAMENTO FERIAS</t>
  </si>
  <si>
    <t>705</t>
  </si>
  <si>
    <t>CREDITO FERIAS</t>
  </si>
  <si>
    <t>SALARIO BASE DIARIO</t>
  </si>
  <si>
    <t>SALARIO DIARIO TRABALHADO</t>
  </si>
  <si>
    <t>FALTAS RSR</t>
  </si>
  <si>
    <t>BASE DE CÁLCULO INSS</t>
  </si>
  <si>
    <t>007</t>
  </si>
  <si>
    <t>112</t>
  </si>
  <si>
    <t>156</t>
  </si>
  <si>
    <t>SF</t>
  </si>
  <si>
    <t>142</t>
  </si>
  <si>
    <t>083</t>
  </si>
  <si>
    <t>966</t>
  </si>
  <si>
    <t>192</t>
  </si>
  <si>
    <t>089</t>
  </si>
  <si>
    <t>209</t>
  </si>
  <si>
    <t>210</t>
  </si>
  <si>
    <t>262</t>
  </si>
  <si>
    <t>PREVISAO AUXILIO REFEICAO</t>
  </si>
  <si>
    <t>SALARIO MES MENOS 1</t>
  </si>
  <si>
    <t>SALARIO MES MENOS 2</t>
  </si>
  <si>
    <t>SALARIO MES MENOS 3</t>
  </si>
  <si>
    <t>PRODUTIVIDADE MES MENOS 1</t>
  </si>
  <si>
    <t>PRODUTIVIDADE MES MENOS 2</t>
  </si>
  <si>
    <t>PRODUTIVIDADE MES MENOS 3</t>
  </si>
  <si>
    <t>ADICIONAL NOTURNO MES MENOS 1</t>
  </si>
  <si>
    <t>ADICIONAL NOTURNO MES MENOS 2</t>
  </si>
  <si>
    <t>ADICIONAL NOTURNO MES MENOS 3</t>
  </si>
  <si>
    <t>SALARIO MES MENOS 4</t>
  </si>
  <si>
    <t>PRODUTIVIDADE MES MENOS 4</t>
  </si>
  <si>
    <t>ADICIONAL NOTURNO MES MENOS 4</t>
  </si>
  <si>
    <t>IDADE FILHO 1</t>
  </si>
  <si>
    <t>IDADE FILHO 2</t>
  </si>
  <si>
    <t>IDADE FILHO 3</t>
  </si>
  <si>
    <t>IDADE FILHO 4</t>
  </si>
  <si>
    <t>IDADE FILHO 5</t>
  </si>
  <si>
    <t>SALARIO FAMILIA</t>
  </si>
  <si>
    <t>SALARIO FAMILIA FILHO 1</t>
  </si>
  <si>
    <t>SALARIO FAMILIA FILHO 2</t>
  </si>
  <si>
    <t>SALARIO FAMILIA FILHO 3</t>
  </si>
  <si>
    <t>SALARIO FAMILIA FILHO 4</t>
  </si>
  <si>
    <t>SALARIO FAMILIA FILHO 5</t>
  </si>
  <si>
    <t>FILHO 1</t>
  </si>
  <si>
    <t>FILHO 2</t>
  </si>
  <si>
    <t>FILHO 3</t>
  </si>
  <si>
    <t>FILHO 4</t>
  </si>
  <si>
    <t>FILHO 5</t>
  </si>
  <si>
    <t>TOTAL VENCIMENTOS SEM SALARIO FAMILIA</t>
  </si>
  <si>
    <t>MEDIA PRODUTIVIDADE</t>
  </si>
  <si>
    <t>MEDIA ADICIONAL NOTURNO</t>
  </si>
  <si>
    <t>DEMISSAO</t>
  </si>
  <si>
    <t>ULTIMO DIA TRABALHO</t>
  </si>
  <si>
    <t>AFASTAMENTO</t>
  </si>
  <si>
    <t>MOTIVO AFASTAMENTO</t>
  </si>
  <si>
    <t>FILHO 1 - RESCISAO</t>
  </si>
  <si>
    <t>FILHO 2 - RESCISAO</t>
  </si>
  <si>
    <t>FILHO 3 - RESCISAO</t>
  </si>
  <si>
    <t>FILHO 4 - RESCISAO</t>
  </si>
  <si>
    <t>FILHO 5 - RESCISAO</t>
  </si>
  <si>
    <t>043</t>
  </si>
  <si>
    <t>430</t>
  </si>
  <si>
    <t>086</t>
  </si>
  <si>
    <t>998</t>
  </si>
  <si>
    <t>060</t>
  </si>
  <si>
    <t>137</t>
  </si>
  <si>
    <t>383</t>
  </si>
  <si>
    <t>320</t>
  </si>
  <si>
    <t>DESCONTO DE PRODUTIVIDADE</t>
  </si>
  <si>
    <t>ULTIMO DIA DO MES</t>
  </si>
  <si>
    <t>DIAS COMERCIAIS</t>
  </si>
  <si>
    <t>SALARIO BASE REFERENCIA</t>
  </si>
  <si>
    <t>ADIANTAMENTO SALARIAL</t>
  </si>
  <si>
    <t>FERIADO TRABALHADO</t>
  </si>
  <si>
    <t>211</t>
  </si>
  <si>
    <t>DOMINGO TRABALHADO</t>
  </si>
  <si>
    <t>ESTIMATIVA SERVICO</t>
  </si>
  <si>
    <t>LICENÇA MATERNIDADE</t>
  </si>
  <si>
    <t>009</t>
  </si>
  <si>
    <t>SALARIO MATERNIDADE</t>
  </si>
  <si>
    <t>FALTA HORAS</t>
  </si>
  <si>
    <t>050</t>
  </si>
  <si>
    <t>055</t>
  </si>
  <si>
    <t>095</t>
  </si>
  <si>
    <t>057</t>
  </si>
  <si>
    <t>063</t>
  </si>
  <si>
    <t>QUANTIDADE MESES TRABALHADOS ANO</t>
  </si>
  <si>
    <t>068</t>
  </si>
  <si>
    <t>112.1</t>
  </si>
  <si>
    <t>112.2</t>
  </si>
  <si>
    <t>065</t>
  </si>
  <si>
    <t>AVISO PRÉVIO INDENIZADO</t>
  </si>
  <si>
    <t>PREVIDÊNCIA SOCIAL - 13o SALÁRIO</t>
  </si>
  <si>
    <t>TERÇO CONSTITUCIONAL DE FÉRIAS</t>
  </si>
  <si>
    <t>FÉRIAS PROPORCIONAIS</t>
  </si>
  <si>
    <t xml:space="preserve">13o SALÁRIO PROPORCIONAL </t>
  </si>
  <si>
    <t>MÉDIA VENCIMENTOS 4 ÚLTIMOS MESES</t>
  </si>
  <si>
    <t>QUANTIDADE ANOS COMPLETOS TRABALHADOS</t>
  </si>
  <si>
    <t>DATA ADMISSAO</t>
  </si>
  <si>
    <t>FERIADO TRABALHADO MES MENOS 1</t>
  </si>
  <si>
    <t>FERIADO TRABALHADO MES MENOS 2</t>
  </si>
  <si>
    <t>FERIADO TRABALHADO MES MENOS 3</t>
  </si>
  <si>
    <t>FERIADO TRABALHADO MES MENOS 4</t>
  </si>
  <si>
    <t>MEDIA FERIADO TRABALHADO</t>
  </si>
  <si>
    <t>QTDE FERIAS</t>
  </si>
  <si>
    <t>066</t>
  </si>
  <si>
    <t>FERIAS VENCIDAS</t>
  </si>
  <si>
    <t>070</t>
  </si>
  <si>
    <t xml:space="preserve">13o SALÁRIO INDENIZADO </t>
  </si>
  <si>
    <t>071</t>
  </si>
  <si>
    <t>FERIAS INDENIZADO</t>
  </si>
  <si>
    <t>FERIAS PROPORCIONAIS</t>
  </si>
  <si>
    <t>CALCULO FERIAS</t>
  </si>
  <si>
    <t>068.1</t>
  </si>
  <si>
    <t>062</t>
  </si>
  <si>
    <t>095.2</t>
  </si>
  <si>
    <t>358</t>
  </si>
  <si>
    <t>PERCENTUAL RETENCAO GORJETA</t>
  </si>
  <si>
    <t>VALOR GORJETA FUNCIONARIO</t>
  </si>
  <si>
    <t>563</t>
  </si>
  <si>
    <t>IRPF</t>
  </si>
  <si>
    <t>1074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</si>
</sst>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R$&quot;* #,##0.00_);_(&quot;R$&quot;* \(#,##0.00\);_(&quot;R$&quot;* &quot;-&quot;??_);_(@_)"/>
    <numFmt numFmtId="164" formatCode="_-&quot;R$&quot;* #,##0.00_-;\-&quot;R$&quot;* #,##0.00_-;_-&quot;R$&quot;* &quot;-&quot;??_-;_-@_-"/>
    <numFmt numFmtId="165" formatCode="&quot;R$&quot;\ #,##0.00;[Red]\-&quot;R$&quot;\ #,##0.00"/>
    <numFmt numFmtId="166" formatCode="_-&quot;R$&quot;\ * #,##0.00_-;\-&quot;R$&quot;\ * #,##0.00_-;_-&quot;R$&quot;\ * &quot;-&quot;??_-;_-@_-"/>
    <numFmt numFmtId="167" formatCode="0.00_ ;[Red]\-0.00\ "/>
    <numFmt numFmtId="168" formatCode="0_ ;[Red]\-0\ "/>
    <numFmt numFmtId="169" formatCode="&quot;R$&quot;\ #,##0.00"/>
    <numFmt numFmtId="170" formatCode="&quot;R$&quot;#,##0.00;[Red]&quot;R$&quot;#,##0.00"/>
    <numFmt numFmtId="171" formatCode="&quot;R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6" tint="-0.249977111117893"/>
      <name val="Calibri"/>
      <scheme val="minor"/>
    </font>
    <font>
      <b/>
      <sz val="9"/>
      <color rgb="FF000000"/>
      <name val="Tahoma"/>
      <family val="2"/>
    </font>
  </fonts>
  <fills count="7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00B0F0"/>
        <bgColor indexed="64"/>
      </patternFill>
    </fill>
    <fill>
      <patternFill patternType="solid">
        <fgColor theme="4" tint="0.79995117038483843"/>
        <bgColor indexed="65"/>
      </patternFill>
    </fill>
    <fill>
      <patternFill patternType="solid">
        <fgColor theme="5" tint="0.79995117038483843"/>
        <bgColor indexed="65"/>
      </patternFill>
    </fill>
    <fill>
      <patternFill patternType="solid">
        <fgColor theme="6" tint="0.79995117038483843"/>
        <bgColor indexed="65"/>
      </patternFill>
    </fill>
    <fill>
      <patternFill patternType="solid">
        <fgColor theme="7" tint="0.79995117038483843"/>
        <bgColor indexed="65"/>
      </patternFill>
    </fill>
    <fill>
      <patternFill patternType="solid">
        <fgColor theme="8" tint="0.79995117038483843"/>
        <bgColor indexed="65"/>
      </patternFill>
    </fill>
    <fill>
      <patternFill patternType="solid">
        <fgColor theme="9" tint="0.79995117038483843"/>
        <bgColor indexed="65"/>
      </patternFill>
    </fill>
    <fill>
      <patternFill patternType="solid">
        <fgColor theme="4" tint="0.39994506668294322"/>
        <bgColor indexed="65"/>
      </patternFill>
    </fill>
    <fill>
      <patternFill patternType="solid">
        <fgColor theme="5" tint="0.39994506668294322"/>
        <bgColor indexed="65"/>
      </patternFill>
    </fill>
    <fill>
      <patternFill patternType="solid">
        <fgColor theme="6" tint="0.39994506668294322"/>
        <bgColor indexed="65"/>
      </patternFill>
    </fill>
    <fill>
      <patternFill patternType="solid">
        <fgColor theme="7" tint="0.39994506668294322"/>
        <bgColor indexed="65"/>
      </patternFill>
    </fill>
    <fill>
      <patternFill patternType="solid">
        <fgColor theme="8" tint="0.39994506668294322"/>
        <bgColor indexed="65"/>
      </patternFill>
    </fill>
    <fill>
      <patternFill patternType="solid">
        <fgColor theme="9" tint="0.39994506668294322"/>
        <bgColor indexed="65"/>
      </patternFill>
    </fill>
    <fill>
      <patternFill patternType="solid">
        <fgColor theme="4" tint="0.79992065187536243"/>
        <bgColor indexed="65"/>
      </patternFill>
    </fill>
    <fill>
      <patternFill patternType="solid">
        <fgColor theme="5" tint="0.79992065187536243"/>
        <bgColor indexed="65"/>
      </patternFill>
    </fill>
    <fill>
      <patternFill patternType="solid">
        <fgColor theme="6" tint="0.79992065187536243"/>
        <bgColor indexed="65"/>
      </patternFill>
    </fill>
    <fill>
      <patternFill patternType="solid">
        <fgColor theme="7" tint="0.79992065187536243"/>
        <bgColor indexed="65"/>
      </patternFill>
    </fill>
    <fill>
      <patternFill patternType="solid">
        <fgColor theme="8" tint="0.79992065187536243"/>
        <bgColor indexed="65"/>
      </patternFill>
    </fill>
    <fill>
      <patternFill patternType="solid">
        <fgColor theme="9" tint="0.79992065187536243"/>
        <bgColor indexed="65"/>
      </patternFill>
    </fill>
    <fill>
      <patternFill patternType="solid">
        <fgColor theme="4" tint="0.39991454817346722"/>
        <bgColor indexed="65"/>
      </patternFill>
    </fill>
    <fill>
      <patternFill patternType="solid">
        <fgColor theme="5" tint="0.39991454817346722"/>
        <bgColor indexed="65"/>
      </patternFill>
    </fill>
    <fill>
      <patternFill patternType="solid">
        <fgColor theme="6" tint="0.39991454817346722"/>
        <bgColor indexed="65"/>
      </patternFill>
    </fill>
    <fill>
      <patternFill patternType="solid">
        <fgColor theme="7" tint="0.39991454817346722"/>
        <bgColor indexed="65"/>
      </patternFill>
    </fill>
    <fill>
      <patternFill patternType="solid">
        <fgColor theme="8" tint="0.39991454817346722"/>
        <bgColor indexed="65"/>
      </patternFill>
    </fill>
    <fill>
      <patternFill patternType="solid">
        <fgColor theme="9" tint="0.39991454817346722"/>
        <bgColor indexed="65"/>
      </patternFill>
    </fill>
    <fill>
      <patternFill patternType="solid">
        <fgColor theme="4" tint="0.79989013336588644"/>
        <bgColor indexed="65"/>
      </patternFill>
    </fill>
    <fill>
      <patternFill patternType="solid">
        <fgColor theme="5" tint="0.79989013336588644"/>
        <bgColor indexed="65"/>
      </patternFill>
    </fill>
    <fill>
      <patternFill patternType="solid">
        <fgColor theme="6" tint="0.79989013336588644"/>
        <bgColor indexed="65"/>
      </patternFill>
    </fill>
    <fill>
      <patternFill patternType="solid">
        <fgColor theme="7" tint="0.79989013336588644"/>
        <bgColor indexed="65"/>
      </patternFill>
    </fill>
    <fill>
      <patternFill patternType="solid">
        <fgColor theme="8" tint="0.79989013336588644"/>
        <bgColor indexed="65"/>
      </patternFill>
    </fill>
    <fill>
      <patternFill patternType="solid">
        <fgColor theme="9" tint="0.79989013336588644"/>
        <bgColor indexed="65"/>
      </patternFill>
    </fill>
    <fill>
      <patternFill patternType="solid">
        <fgColor theme="4" tint="0.39988402966399123"/>
        <bgColor indexed="65"/>
      </patternFill>
    </fill>
    <fill>
      <patternFill patternType="solid">
        <fgColor theme="5" tint="0.39988402966399123"/>
        <bgColor indexed="65"/>
      </patternFill>
    </fill>
    <fill>
      <patternFill patternType="solid">
        <fgColor theme="6" tint="0.39988402966399123"/>
        <bgColor indexed="65"/>
      </patternFill>
    </fill>
    <fill>
      <patternFill patternType="solid">
        <fgColor theme="7" tint="0.39988402966399123"/>
        <bgColor indexed="65"/>
      </patternFill>
    </fill>
    <fill>
      <patternFill patternType="solid">
        <fgColor theme="8" tint="0.39988402966399123"/>
        <bgColor indexed="65"/>
      </patternFill>
    </fill>
    <fill>
      <patternFill patternType="solid">
        <fgColor theme="9" tint="0.39988402966399123"/>
        <bgColor indexed="65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4506668294322"/>
      </bottom>
      <diagonal/>
    </border>
    <border>
      <left/>
      <right/>
      <top/>
      <bottom style="medium">
        <color theme="4" tint="0.39991454817346722"/>
      </bottom>
      <diagonal/>
    </border>
    <border>
      <left/>
      <right/>
      <top/>
      <bottom style="medium">
        <color theme="4" tint="0.39988402966399123"/>
      </bottom>
      <diagonal/>
    </border>
  </borders>
  <cellStyleXfs count="429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166" fontId="1" fillId="0" borderId="0" applyFont="0" applyFill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10" fillId="0" borderId="10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0" fillId="0" borderId="5" applyNumberFormat="0" applyFill="0" applyAlignment="0" applyProtection="0"/>
    <xf numFmtId="0" fontId="1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1" borderId="0" applyNumberFormat="0" applyBorder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4" borderId="0" applyNumberFormat="0" applyBorder="0" applyAlignment="0" applyProtection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10" fillId="0" borderId="11" applyNumberFormat="0" applyFill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10" fillId="0" borderId="10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9" fillId="0" borderId="0" applyNumberFormat="0" applyFill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0" fillId="0" borderId="10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2" borderId="0" applyNumberFormat="0" applyBorder="0" applyAlignment="0" applyProtection="0"/>
    <xf numFmtId="0" fontId="1" fillId="63" borderId="0" applyNumberFormat="0" applyBorder="0" applyAlignment="0" applyProtection="0"/>
    <xf numFmtId="0" fontId="2" fillId="64" borderId="0" applyNumberFormat="0" applyBorder="0" applyAlignment="0" applyProtection="0"/>
    <xf numFmtId="0" fontId="2" fillId="65" borderId="0" applyNumberFormat="0" applyBorder="0" applyAlignment="0" applyProtection="0"/>
    <xf numFmtId="0" fontId="2" fillId="66" borderId="0" applyNumberFormat="0" applyBorder="0" applyAlignment="0" applyProtection="0"/>
    <xf numFmtId="0" fontId="2" fillId="67" borderId="0" applyNumberFormat="0" applyBorder="0" applyAlignment="0" applyProtection="0"/>
    <xf numFmtId="0" fontId="2" fillId="68" borderId="0" applyNumberFormat="0" applyBorder="0" applyAlignment="0" applyProtection="0"/>
    <xf numFmtId="0" fontId="2" fillId="69" borderId="0" applyNumberFormat="0" applyBorder="0" applyAlignment="0" applyProtection="0"/>
    <xf numFmtId="0" fontId="10" fillId="0" borderId="12" applyNumberFormat="0" applyFill="0" applyAlignment="0" applyProtection="0"/>
    <xf numFmtId="0" fontId="1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1" borderId="0" applyNumberFormat="0" applyBorder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4" borderId="0" applyNumberFormat="0" applyBorder="0" applyAlignment="0" applyProtection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10" fillId="0" borderId="11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0" fillId="0" borderId="5" applyNumberFormat="0" applyFill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10" fillId="0" borderId="10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0" fillId="0" borderId="5" applyNumberFormat="0" applyFill="0" applyAlignment="0" applyProtection="0"/>
    <xf numFmtId="0" fontId="1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1" borderId="0" applyNumberFormat="0" applyBorder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4" borderId="0" applyNumberFormat="0" applyBorder="0" applyAlignment="0" applyProtection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10" fillId="0" borderId="11" applyNumberFormat="0" applyFill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10" fillId="0" borderId="10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44">
    <xf numFmtId="0" fontId="0" fillId="0" borderId="0" xfId="0"/>
    <xf numFmtId="0" fontId="16" fillId="0" borderId="0" xfId="0" applyFont="1"/>
    <xf numFmtId="49" fontId="0" fillId="0" borderId="0" xfId="0" applyNumberFormat="1"/>
    <xf numFmtId="166" fontId="0" fillId="0" borderId="0" xfId="42" applyFont="1"/>
    <xf numFmtId="167" fontId="0" fillId="0" borderId="0" xfId="42" applyNumberFormat="1" applyFont="1"/>
    <xf numFmtId="168" fontId="0" fillId="0" borderId="0" xfId="42" applyNumberFormat="1" applyFont="1"/>
    <xf numFmtId="166" fontId="0" fillId="0" borderId="0" xfId="0" applyNumberFormat="1"/>
    <xf numFmtId="165" fontId="0" fillId="0" borderId="0" xfId="42" applyNumberFormat="1" applyFont="1"/>
    <xf numFmtId="165" fontId="0" fillId="0" borderId="0" xfId="0" applyNumberFormat="1"/>
    <xf numFmtId="0" fontId="0" fillId="0" borderId="0" xfId="42" applyNumberFormat="1" applyFont="1"/>
    <xf numFmtId="168" fontId="0" fillId="0" borderId="0" xfId="0" applyNumberFormat="1"/>
    <xf numFmtId="2" fontId="0" fillId="0" borderId="0" xfId="42" applyNumberFormat="1" applyFont="1"/>
    <xf numFmtId="9" fontId="0" fillId="0" borderId="0" xfId="0" applyNumberFormat="1"/>
    <xf numFmtId="168" fontId="0" fillId="0" borderId="0" xfId="42" applyNumberFormat="1" applyFont="1"/>
    <xf numFmtId="169" fontId="0" fillId="0" borderId="0" xfId="42" applyNumberFormat="1" applyFont="1"/>
    <xf numFmtId="49" fontId="0" fillId="0" borderId="0" xfId="0" applyNumberFormat="1"/>
    <xf numFmtId="165" fontId="0" fillId="0" borderId="0" xfId="42" applyNumberFormat="1" applyFont="1"/>
    <xf numFmtId="0" fontId="0" fillId="0" borderId="0" xfId="0"/>
    <xf numFmtId="0" fontId="0" fillId="0" borderId="0" xfId="0"/>
    <xf numFmtId="49" fontId="0" fillId="0" borderId="0" xfId="0" applyNumberFormat="1"/>
    <xf numFmtId="0" fontId="0" fillId="0" borderId="0" xfId="0"/>
    <xf numFmtId="165" fontId="0" fillId="0" borderId="0" xfId="0" applyNumberFormat="1"/>
    <xf numFmtId="0" fontId="0" fillId="0" borderId="0" xfId="0"/>
    <xf numFmtId="165" fontId="0" fillId="0" borderId="0" xfId="0" applyNumberFormat="1"/>
    <xf numFmtId="0" fontId="0" fillId="0" borderId="0" xfId="0" applyNumberFormat="1"/>
    <xf numFmtId="0" fontId="21" fillId="0" borderId="0" xfId="0" applyFont="1"/>
    <xf numFmtId="14" fontId="0" fillId="0" borderId="0" xfId="0" applyNumberFormat="1"/>
    <xf numFmtId="170" fontId="0" fillId="0" borderId="0" xfId="0" applyNumberFormat="1"/>
    <xf numFmtId="168" fontId="22" fillId="0" borderId="0" xfId="0" applyNumberFormat="1" applyFont="1"/>
    <xf numFmtId="0" fontId="22" fillId="0" borderId="0" xfId="0" applyFont="1"/>
    <xf numFmtId="165" fontId="22" fillId="0" borderId="0" xfId="0" applyNumberFormat="1" applyFont="1"/>
    <xf numFmtId="2" fontId="0" fillId="0" borderId="0" xfId="0" applyNumberFormat="1" applyAlignment="1">
      <alignment horizontal="right"/>
    </xf>
    <xf numFmtId="1" fontId="0" fillId="0" borderId="0" xfId="0" applyNumberFormat="1"/>
    <xf numFmtId="1" fontId="0" fillId="0" borderId="0" xfId="42" applyNumberFormat="1" applyFont="1"/>
    <xf numFmtId="44" fontId="0" fillId="0" borderId="0" xfId="0" applyNumberFormat="1"/>
    <xf numFmtId="170" fontId="0" fillId="0" borderId="0" xfId="42" applyNumberFormat="1" applyFont="1"/>
    <xf numFmtId="2" fontId="0" fillId="0" borderId="0" xfId="0" applyNumberFormat="1"/>
    <xf numFmtId="164" fontId="0" fillId="0" borderId="0" xfId="0" applyNumberFormat="1"/>
    <xf numFmtId="10" fontId="0" fillId="0" borderId="0" xfId="42" applyNumberFormat="1" applyFont="1"/>
    <xf numFmtId="171" fontId="0" fillId="0" borderId="0" xfId="0" applyNumberFormat="1"/>
    <xf numFmtId="10" fontId="0" fillId="0" borderId="0" xfId="0" applyNumberFormat="1"/>
    <xf numFmtId="0" fontId="16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166" fontId="16" fillId="33" borderId="0" xfId="42" applyFont="1" applyFill="1" applyAlignment="1">
      <alignment horizontal="center"/>
    </xf>
  </cellXfs>
  <cellStyles count="429">
    <cellStyle name="20% - Accent1" xfId="1" builtinId="30" customBuiltin="1"/>
    <cellStyle name="20% - Accent1 2" xfId="43" xr:uid="{00000000-0005-0000-0000-000001000000}"/>
    <cellStyle name="20% - Accent1 2 2" xfId="69" xr:uid="{00000000-0005-0000-0000-000002000000}"/>
    <cellStyle name="20% - Accent1 2 2 2" xfId="237" xr:uid="{00000000-0005-0000-0000-000003000000}"/>
    <cellStyle name="20% - Accent1 2 2 3" xfId="148" xr:uid="{00000000-0005-0000-0000-000004000000}"/>
    <cellStyle name="20% - Accent1 2 3" xfId="211" xr:uid="{00000000-0005-0000-0000-000005000000}"/>
    <cellStyle name="20% - Accent1 3" xfId="56" xr:uid="{00000000-0005-0000-0000-000006000000}"/>
    <cellStyle name="20% - Accent1 3 2" xfId="82" xr:uid="{00000000-0005-0000-0000-000007000000}"/>
    <cellStyle name="20% - Accent1 3 2 2" xfId="250" xr:uid="{00000000-0005-0000-0000-000008000000}"/>
    <cellStyle name="20% - Accent1 3 2 3" xfId="161" xr:uid="{00000000-0005-0000-0000-000009000000}"/>
    <cellStyle name="20% - Accent1 3 3" xfId="224" xr:uid="{00000000-0005-0000-0000-00000A000000}"/>
    <cellStyle name="20% - Accent2" xfId="2" builtinId="34" customBuiltin="1"/>
    <cellStyle name="20% - Accent2 2" xfId="44" xr:uid="{00000000-0005-0000-0000-00000C000000}"/>
    <cellStyle name="20% - Accent2 2 2" xfId="70" xr:uid="{00000000-0005-0000-0000-00000D000000}"/>
    <cellStyle name="20% - Accent2 2 2 2" xfId="238" xr:uid="{00000000-0005-0000-0000-00000E000000}"/>
    <cellStyle name="20% - Accent2 2 2 3" xfId="149" xr:uid="{00000000-0005-0000-0000-00000F000000}"/>
    <cellStyle name="20% - Accent2 2 3" xfId="212" xr:uid="{00000000-0005-0000-0000-000010000000}"/>
    <cellStyle name="20% - Accent2 3" xfId="57" xr:uid="{00000000-0005-0000-0000-000011000000}"/>
    <cellStyle name="20% - Accent2 3 2" xfId="83" xr:uid="{00000000-0005-0000-0000-000012000000}"/>
    <cellStyle name="20% - Accent2 3 2 2" xfId="251" xr:uid="{00000000-0005-0000-0000-000013000000}"/>
    <cellStyle name="20% - Accent2 3 2 3" xfId="162" xr:uid="{00000000-0005-0000-0000-000014000000}"/>
    <cellStyle name="20% - Accent2 3 3" xfId="225" xr:uid="{00000000-0005-0000-0000-000015000000}"/>
    <cellStyle name="20% - Accent3" xfId="3" builtinId="38" customBuiltin="1"/>
    <cellStyle name="20% - Accent3 2" xfId="45" xr:uid="{00000000-0005-0000-0000-000017000000}"/>
    <cellStyle name="20% - Accent3 2 2" xfId="71" xr:uid="{00000000-0005-0000-0000-000018000000}"/>
    <cellStyle name="20% - Accent3 2 2 2" xfId="239" xr:uid="{00000000-0005-0000-0000-000019000000}"/>
    <cellStyle name="20% - Accent3 2 2 3" xfId="150" xr:uid="{00000000-0005-0000-0000-00001A000000}"/>
    <cellStyle name="20% - Accent3 2 3" xfId="213" xr:uid="{00000000-0005-0000-0000-00001B000000}"/>
    <cellStyle name="20% - Accent3 3" xfId="58" xr:uid="{00000000-0005-0000-0000-00001C000000}"/>
    <cellStyle name="20% - Accent3 3 2" xfId="84" xr:uid="{00000000-0005-0000-0000-00001D000000}"/>
    <cellStyle name="20% - Accent3 3 2 2" xfId="252" xr:uid="{00000000-0005-0000-0000-00001E000000}"/>
    <cellStyle name="20% - Accent3 3 2 3" xfId="163" xr:uid="{00000000-0005-0000-0000-00001F000000}"/>
    <cellStyle name="20% - Accent3 3 3" xfId="226" xr:uid="{00000000-0005-0000-0000-000020000000}"/>
    <cellStyle name="20% - Accent4" xfId="4" builtinId="42" customBuiltin="1"/>
    <cellStyle name="20% - Accent4 2" xfId="46" xr:uid="{00000000-0005-0000-0000-000022000000}"/>
    <cellStyle name="20% - Accent4 2 2" xfId="72" xr:uid="{00000000-0005-0000-0000-000023000000}"/>
    <cellStyle name="20% - Accent4 2 2 2" xfId="240" xr:uid="{00000000-0005-0000-0000-000024000000}"/>
    <cellStyle name="20% - Accent4 2 2 3" xfId="151" xr:uid="{00000000-0005-0000-0000-000025000000}"/>
    <cellStyle name="20% - Accent4 2 3" xfId="214" xr:uid="{00000000-0005-0000-0000-000026000000}"/>
    <cellStyle name="20% - Accent4 3" xfId="59" xr:uid="{00000000-0005-0000-0000-000027000000}"/>
    <cellStyle name="20% - Accent4 3 2" xfId="85" xr:uid="{00000000-0005-0000-0000-000028000000}"/>
    <cellStyle name="20% - Accent4 3 2 2" xfId="253" xr:uid="{00000000-0005-0000-0000-000029000000}"/>
    <cellStyle name="20% - Accent4 3 2 3" xfId="164" xr:uid="{00000000-0005-0000-0000-00002A000000}"/>
    <cellStyle name="20% - Accent4 3 3" xfId="227" xr:uid="{00000000-0005-0000-0000-00002B000000}"/>
    <cellStyle name="20% - Accent5" xfId="5" builtinId="46" customBuiltin="1"/>
    <cellStyle name="20% - Accent5 2" xfId="47" xr:uid="{00000000-0005-0000-0000-00002D000000}"/>
    <cellStyle name="20% - Accent5 2 2" xfId="73" xr:uid="{00000000-0005-0000-0000-00002E000000}"/>
    <cellStyle name="20% - Accent5 2 2 2" xfId="241" xr:uid="{00000000-0005-0000-0000-00002F000000}"/>
    <cellStyle name="20% - Accent5 2 2 3" xfId="152" xr:uid="{00000000-0005-0000-0000-000030000000}"/>
    <cellStyle name="20% - Accent5 2 3" xfId="215" xr:uid="{00000000-0005-0000-0000-000031000000}"/>
    <cellStyle name="20% - Accent5 3" xfId="60" xr:uid="{00000000-0005-0000-0000-000032000000}"/>
    <cellStyle name="20% - Accent5 3 2" xfId="86" xr:uid="{00000000-0005-0000-0000-000033000000}"/>
    <cellStyle name="20% - Accent5 3 2 2" xfId="254" xr:uid="{00000000-0005-0000-0000-000034000000}"/>
    <cellStyle name="20% - Accent5 3 2 3" xfId="165" xr:uid="{00000000-0005-0000-0000-000035000000}"/>
    <cellStyle name="20% - Accent5 3 3" xfId="228" xr:uid="{00000000-0005-0000-0000-000036000000}"/>
    <cellStyle name="20% - Accent6" xfId="6" builtinId="50" customBuiltin="1"/>
    <cellStyle name="20% - Accent6 2" xfId="48" xr:uid="{00000000-0005-0000-0000-000038000000}"/>
    <cellStyle name="20% - Accent6 2 2" xfId="74" xr:uid="{00000000-0005-0000-0000-000039000000}"/>
    <cellStyle name="20% - Accent6 2 2 2" xfId="242" xr:uid="{00000000-0005-0000-0000-00003A000000}"/>
    <cellStyle name="20% - Accent6 2 2 3" xfId="153" xr:uid="{00000000-0005-0000-0000-00003B000000}"/>
    <cellStyle name="20% - Accent6 2 3" xfId="216" xr:uid="{00000000-0005-0000-0000-00003C000000}"/>
    <cellStyle name="20% - Accent6 3" xfId="61" xr:uid="{00000000-0005-0000-0000-00003D000000}"/>
    <cellStyle name="20% - Accent6 3 2" xfId="87" xr:uid="{00000000-0005-0000-0000-00003E000000}"/>
    <cellStyle name="20% - Accent6 3 2 2" xfId="255" xr:uid="{00000000-0005-0000-0000-00003F000000}"/>
    <cellStyle name="20% - Accent6 3 2 3" xfId="166" xr:uid="{00000000-0005-0000-0000-000040000000}"/>
    <cellStyle name="20% - Accent6 3 3" xfId="229" xr:uid="{00000000-0005-0000-0000-000041000000}"/>
    <cellStyle name="20% - Ênfase1 2" xfId="198" xr:uid="{00000000-0005-0000-0000-000042000000}"/>
    <cellStyle name="20% - Ênfase1 3" xfId="124" xr:uid="{00000000-0005-0000-0000-000043000000}"/>
    <cellStyle name="20% - Ênfase2 2" xfId="199" xr:uid="{00000000-0005-0000-0000-000044000000}"/>
    <cellStyle name="20% - Ênfase2 3" xfId="125" xr:uid="{00000000-0005-0000-0000-000045000000}"/>
    <cellStyle name="20% - Ênfase3 2" xfId="200" xr:uid="{00000000-0005-0000-0000-000046000000}"/>
    <cellStyle name="20% - Ênfase3 3" xfId="126" xr:uid="{00000000-0005-0000-0000-000047000000}"/>
    <cellStyle name="20% - Ênfase4 2" xfId="201" xr:uid="{00000000-0005-0000-0000-000048000000}"/>
    <cellStyle name="20% - Ênfase4 3" xfId="127" xr:uid="{00000000-0005-0000-0000-000049000000}"/>
    <cellStyle name="20% - Ênfase5 2" xfId="202" xr:uid="{00000000-0005-0000-0000-00004A000000}"/>
    <cellStyle name="20% - Ênfase5 3" xfId="128" xr:uid="{00000000-0005-0000-0000-00004B000000}"/>
    <cellStyle name="20% - Ênfase6 2" xfId="203" xr:uid="{00000000-0005-0000-0000-00004C000000}"/>
    <cellStyle name="20% - Ênfase6 3" xfId="129" xr:uid="{00000000-0005-0000-0000-00004D000000}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1 2" xfId="49" xr:uid="{00000000-0005-0000-0000-000055000000}"/>
    <cellStyle name="60% - Accent1 2 2" xfId="75" xr:uid="{00000000-0005-0000-0000-000056000000}"/>
    <cellStyle name="60% - Accent1 2 2 2" xfId="243" xr:uid="{00000000-0005-0000-0000-000057000000}"/>
    <cellStyle name="60% - Accent1 2 2 3" xfId="154" xr:uid="{00000000-0005-0000-0000-000058000000}"/>
    <cellStyle name="60% - Accent1 2 3" xfId="217" xr:uid="{00000000-0005-0000-0000-000059000000}"/>
    <cellStyle name="60% - Accent1 3" xfId="62" xr:uid="{00000000-0005-0000-0000-00005A000000}"/>
    <cellStyle name="60% - Accent1 3 2" xfId="88" xr:uid="{00000000-0005-0000-0000-00005B000000}"/>
    <cellStyle name="60% - Accent1 3 2 2" xfId="256" xr:uid="{00000000-0005-0000-0000-00005C000000}"/>
    <cellStyle name="60% - Accent1 3 2 3" xfId="167" xr:uid="{00000000-0005-0000-0000-00005D000000}"/>
    <cellStyle name="60% - Accent1 3 3" xfId="230" xr:uid="{00000000-0005-0000-0000-00005E000000}"/>
    <cellStyle name="60% - Accent2" xfId="14" builtinId="36" customBuiltin="1"/>
    <cellStyle name="60% - Accent2 2" xfId="50" xr:uid="{00000000-0005-0000-0000-000060000000}"/>
    <cellStyle name="60% - Accent2 2 2" xfId="76" xr:uid="{00000000-0005-0000-0000-000061000000}"/>
    <cellStyle name="60% - Accent2 2 2 2" xfId="244" xr:uid="{00000000-0005-0000-0000-000062000000}"/>
    <cellStyle name="60% - Accent2 2 2 3" xfId="155" xr:uid="{00000000-0005-0000-0000-000063000000}"/>
    <cellStyle name="60% - Accent2 2 3" xfId="218" xr:uid="{00000000-0005-0000-0000-000064000000}"/>
    <cellStyle name="60% - Accent2 3" xfId="63" xr:uid="{00000000-0005-0000-0000-000065000000}"/>
    <cellStyle name="60% - Accent2 3 2" xfId="89" xr:uid="{00000000-0005-0000-0000-000066000000}"/>
    <cellStyle name="60% - Accent2 3 2 2" xfId="257" xr:uid="{00000000-0005-0000-0000-000067000000}"/>
    <cellStyle name="60% - Accent2 3 2 3" xfId="168" xr:uid="{00000000-0005-0000-0000-000068000000}"/>
    <cellStyle name="60% - Accent2 3 3" xfId="231" xr:uid="{00000000-0005-0000-0000-000069000000}"/>
    <cellStyle name="60% - Accent3" xfId="15" builtinId="40" customBuiltin="1"/>
    <cellStyle name="60% - Accent3 2" xfId="51" xr:uid="{00000000-0005-0000-0000-00006B000000}"/>
    <cellStyle name="60% - Accent3 2 2" xfId="77" xr:uid="{00000000-0005-0000-0000-00006C000000}"/>
    <cellStyle name="60% - Accent3 2 2 2" xfId="245" xr:uid="{00000000-0005-0000-0000-00006D000000}"/>
    <cellStyle name="60% - Accent3 2 2 3" xfId="156" xr:uid="{00000000-0005-0000-0000-00006E000000}"/>
    <cellStyle name="60% - Accent3 2 3" xfId="219" xr:uid="{00000000-0005-0000-0000-00006F000000}"/>
    <cellStyle name="60% - Accent3 3" xfId="64" xr:uid="{00000000-0005-0000-0000-000070000000}"/>
    <cellStyle name="60% - Accent3 3 2" xfId="90" xr:uid="{00000000-0005-0000-0000-000071000000}"/>
    <cellStyle name="60% - Accent3 3 2 2" xfId="258" xr:uid="{00000000-0005-0000-0000-000072000000}"/>
    <cellStyle name="60% - Accent3 3 2 3" xfId="169" xr:uid="{00000000-0005-0000-0000-000073000000}"/>
    <cellStyle name="60% - Accent3 3 3" xfId="232" xr:uid="{00000000-0005-0000-0000-000074000000}"/>
    <cellStyle name="60% - Accent4" xfId="16" builtinId="44" customBuiltin="1"/>
    <cellStyle name="60% - Accent4 2" xfId="52" xr:uid="{00000000-0005-0000-0000-000076000000}"/>
    <cellStyle name="60% - Accent4 2 2" xfId="78" xr:uid="{00000000-0005-0000-0000-000077000000}"/>
    <cellStyle name="60% - Accent4 2 2 2" xfId="246" xr:uid="{00000000-0005-0000-0000-000078000000}"/>
    <cellStyle name="60% - Accent4 2 2 3" xfId="157" xr:uid="{00000000-0005-0000-0000-000079000000}"/>
    <cellStyle name="60% - Accent4 2 3" xfId="220" xr:uid="{00000000-0005-0000-0000-00007A000000}"/>
    <cellStyle name="60% - Accent4 3" xfId="65" xr:uid="{00000000-0005-0000-0000-00007B000000}"/>
    <cellStyle name="60% - Accent4 3 2" xfId="91" xr:uid="{00000000-0005-0000-0000-00007C000000}"/>
    <cellStyle name="60% - Accent4 3 2 2" xfId="259" xr:uid="{00000000-0005-0000-0000-00007D000000}"/>
    <cellStyle name="60% - Accent4 3 2 3" xfId="170" xr:uid="{00000000-0005-0000-0000-00007E000000}"/>
    <cellStyle name="60% - Accent4 3 3" xfId="233" xr:uid="{00000000-0005-0000-0000-00007F000000}"/>
    <cellStyle name="60% - Accent5" xfId="17" builtinId="48" customBuiltin="1"/>
    <cellStyle name="60% - Accent5 2" xfId="53" xr:uid="{00000000-0005-0000-0000-000081000000}"/>
    <cellStyle name="60% - Accent5 2 2" xfId="79" xr:uid="{00000000-0005-0000-0000-000082000000}"/>
    <cellStyle name="60% - Accent5 2 2 2" xfId="247" xr:uid="{00000000-0005-0000-0000-000083000000}"/>
    <cellStyle name="60% - Accent5 2 2 3" xfId="158" xr:uid="{00000000-0005-0000-0000-000084000000}"/>
    <cellStyle name="60% - Accent5 2 3" xfId="221" xr:uid="{00000000-0005-0000-0000-000085000000}"/>
    <cellStyle name="60% - Accent5 3" xfId="66" xr:uid="{00000000-0005-0000-0000-000086000000}"/>
    <cellStyle name="60% - Accent5 3 2" xfId="92" xr:uid="{00000000-0005-0000-0000-000087000000}"/>
    <cellStyle name="60% - Accent5 3 2 2" xfId="260" xr:uid="{00000000-0005-0000-0000-000088000000}"/>
    <cellStyle name="60% - Accent5 3 2 3" xfId="171" xr:uid="{00000000-0005-0000-0000-000089000000}"/>
    <cellStyle name="60% - Accent5 3 3" xfId="234" xr:uid="{00000000-0005-0000-0000-00008A000000}"/>
    <cellStyle name="60% - Accent6" xfId="18" builtinId="52" customBuiltin="1"/>
    <cellStyle name="60% - Accent6 2" xfId="54" xr:uid="{00000000-0005-0000-0000-00008C000000}"/>
    <cellStyle name="60% - Accent6 2 2" xfId="80" xr:uid="{00000000-0005-0000-0000-00008D000000}"/>
    <cellStyle name="60% - Accent6 2 2 2" xfId="248" xr:uid="{00000000-0005-0000-0000-00008E000000}"/>
    <cellStyle name="60% - Accent6 2 2 3" xfId="159" xr:uid="{00000000-0005-0000-0000-00008F000000}"/>
    <cellStyle name="60% - Accent6 2 3" xfId="222" xr:uid="{00000000-0005-0000-0000-000090000000}"/>
    <cellStyle name="60% - Accent6 3" xfId="67" xr:uid="{00000000-0005-0000-0000-000091000000}"/>
    <cellStyle name="60% - Accent6 3 2" xfId="93" xr:uid="{00000000-0005-0000-0000-000092000000}"/>
    <cellStyle name="60% - Accent6 3 2 2" xfId="261" xr:uid="{00000000-0005-0000-0000-000093000000}"/>
    <cellStyle name="60% - Accent6 3 2 3" xfId="172" xr:uid="{00000000-0005-0000-0000-000094000000}"/>
    <cellStyle name="60% - Accent6 3 3" xfId="235" xr:uid="{00000000-0005-0000-0000-000095000000}"/>
    <cellStyle name="60% - Ênfase1 2" xfId="204" xr:uid="{00000000-0005-0000-0000-000096000000}"/>
    <cellStyle name="60% - Ênfase1 3" xfId="131" xr:uid="{00000000-0005-0000-0000-000097000000}"/>
    <cellStyle name="60% - Ênfase2 2" xfId="205" xr:uid="{00000000-0005-0000-0000-000098000000}"/>
    <cellStyle name="60% - Ênfase2 3" xfId="132" xr:uid="{00000000-0005-0000-0000-000099000000}"/>
    <cellStyle name="60% - Ênfase3 2" xfId="206" xr:uid="{00000000-0005-0000-0000-00009A000000}"/>
    <cellStyle name="60% - Ênfase3 3" xfId="133" xr:uid="{00000000-0005-0000-0000-00009B000000}"/>
    <cellStyle name="60% - Ênfase4 2" xfId="207" xr:uid="{00000000-0005-0000-0000-00009C000000}"/>
    <cellStyle name="60% - Ênfase4 3" xfId="134" xr:uid="{00000000-0005-0000-0000-00009D000000}"/>
    <cellStyle name="60% - Ênfase5 2" xfId="208" xr:uid="{00000000-0005-0000-0000-00009E000000}"/>
    <cellStyle name="60% - Ênfase5 3" xfId="135" xr:uid="{00000000-0005-0000-0000-00009F000000}"/>
    <cellStyle name="60% - Ênfase6 2" xfId="209" xr:uid="{00000000-0005-0000-0000-0000A0000000}"/>
    <cellStyle name="60% - Ênfase6 3" xfId="136" xr:uid="{00000000-0005-0000-0000-0000A1000000}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urrency" xfId="42" builtinId="4"/>
    <cellStyle name="Explanatory Text" xfId="28" builtinId="53" customBuilti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91" builtinId="9" hidden="1"/>
    <cellStyle name="Followed Hyperlink" xfId="189" builtinId="9" hidden="1"/>
    <cellStyle name="Followed Hyperlink" xfId="197" builtinId="9" hidden="1"/>
    <cellStyle name="Followed Hyperlink" xfId="195" builtinId="9" hidden="1"/>
    <cellStyle name="Followed Hyperlink" xfId="193" builtinId="9" hidden="1"/>
    <cellStyle name="Followed Hyperlink" xfId="187" builtinId="9" hidden="1"/>
    <cellStyle name="Followed Hyperlink" xfId="179" builtinId="9" hidden="1"/>
    <cellStyle name="Followed Hyperlink" xfId="177" builtinId="9" hidden="1"/>
    <cellStyle name="Followed Hyperlink" xfId="175" builtinId="9" hidden="1"/>
    <cellStyle name="Followed Hyperlink" xfId="185" builtinId="9" hidden="1"/>
    <cellStyle name="Followed Hyperlink" xfId="183" builtinId="9" hidden="1"/>
    <cellStyle name="Followed Hyperlink" xfId="181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311" builtinId="9" hidden="1"/>
    <cellStyle name="Followed Hyperlink" xfId="309" builtinId="9" hidden="1"/>
    <cellStyle name="Followed Hyperlink" xfId="307" builtinId="9" hidden="1"/>
    <cellStyle name="Followed Hyperlink" xfId="317" builtinId="9" hidden="1"/>
    <cellStyle name="Followed Hyperlink" xfId="315" builtinId="9" hidden="1"/>
    <cellStyle name="Followed Hyperlink" xfId="313" builtinId="9" hidden="1"/>
    <cellStyle name="Followed Hyperlink" xfId="305" builtinId="9" hidden="1"/>
    <cellStyle name="Followed Hyperlink" xfId="297" builtinId="9" hidden="1"/>
    <cellStyle name="Followed Hyperlink" xfId="295" builtinId="9" hidden="1"/>
    <cellStyle name="Followed Hyperlink" xfId="293" builtinId="9" hidden="1"/>
    <cellStyle name="Followed Hyperlink" xfId="303" builtinId="9" hidden="1"/>
    <cellStyle name="Followed Hyperlink" xfId="301" builtinId="9" hidden="1"/>
    <cellStyle name="Followed Hyperlink" xfId="299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146" builtinId="9" hidden="1"/>
    <cellStyle name="Followed Hyperlink" xfId="291" builtinId="9" hidden="1"/>
    <cellStyle name="Followed Hyperlink" xfId="325" builtinId="9" hidden="1"/>
    <cellStyle name="Followed Hyperlink" xfId="290" builtinId="9" hidden="1"/>
    <cellStyle name="Followed Hyperlink" xfId="324" builtinId="9" hidden="1"/>
    <cellStyle name="Followed Hyperlink" xfId="289" builtinId="9" hidden="1"/>
    <cellStyle name="Followed Hyperlink" xfId="318" builtinId="9" hidden="1"/>
    <cellStyle name="Followed Hyperlink" xfId="322" builtinId="9" hidden="1"/>
    <cellStyle name="Followed Hyperlink" xfId="323" builtinId="9" hidden="1"/>
    <cellStyle name="Followed Hyperlink" xfId="142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3 2" xfId="55" xr:uid="{00000000-0005-0000-0000-000024010000}"/>
    <cellStyle name="Heading 3 2 2" xfId="81" xr:uid="{00000000-0005-0000-0000-000025010000}"/>
    <cellStyle name="Heading 3 2 2 2" xfId="249" xr:uid="{00000000-0005-0000-0000-000026010000}"/>
    <cellStyle name="Heading 3 2 2 3" xfId="160" xr:uid="{00000000-0005-0000-0000-000027010000}"/>
    <cellStyle name="Heading 3 2 3" xfId="223" xr:uid="{00000000-0005-0000-0000-000028010000}"/>
    <cellStyle name="Heading 3 3" xfId="68" xr:uid="{00000000-0005-0000-0000-000029010000}"/>
    <cellStyle name="Heading 3 3 2" xfId="94" xr:uid="{00000000-0005-0000-0000-00002A010000}"/>
    <cellStyle name="Heading 3 3 2 2" xfId="262" xr:uid="{00000000-0005-0000-0000-00002B010000}"/>
    <cellStyle name="Heading 3 3 2 3" xfId="173" xr:uid="{00000000-0005-0000-0000-00002C010000}"/>
    <cellStyle name="Heading 3 3 3" xfId="236" xr:uid="{00000000-0005-0000-0000-00002D010000}"/>
    <cellStyle name="Heading 4" xfId="33" builtinId="19" customBuilti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90" builtinId="8" hidden="1"/>
    <cellStyle name="Hyperlink" xfId="188" builtinId="8" hidden="1"/>
    <cellStyle name="Hyperlink" xfId="196" builtinId="8" hidden="1"/>
    <cellStyle name="Hyperlink" xfId="194" builtinId="8" hidden="1"/>
    <cellStyle name="Hyperlink" xfId="192" builtinId="8" hidden="1"/>
    <cellStyle name="Hyperlink" xfId="186" builtinId="8" hidden="1"/>
    <cellStyle name="Hyperlink" xfId="178" builtinId="8" hidden="1"/>
    <cellStyle name="Hyperlink" xfId="176" builtinId="8" hidden="1"/>
    <cellStyle name="Hyperlink" xfId="174" builtinId="8" hidden="1"/>
    <cellStyle name="Hyperlink" xfId="184" builtinId="8" hidden="1"/>
    <cellStyle name="Hyperlink" xfId="182" builtinId="8" hidden="1"/>
    <cellStyle name="Hyperlink" xfId="180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310" builtinId="8" hidden="1"/>
    <cellStyle name="Hyperlink" xfId="308" builtinId="8" hidden="1"/>
    <cellStyle name="Hyperlink" xfId="306" builtinId="8" hidden="1"/>
    <cellStyle name="Hyperlink" xfId="316" builtinId="8" hidden="1"/>
    <cellStyle name="Hyperlink" xfId="314" builtinId="8" hidden="1"/>
    <cellStyle name="Hyperlink" xfId="312" builtinId="8" hidden="1"/>
    <cellStyle name="Hyperlink" xfId="304" builtinId="8" hidden="1"/>
    <cellStyle name="Hyperlink" xfId="296" builtinId="8" hidden="1"/>
    <cellStyle name="Hyperlink" xfId="294" builtinId="8" hidden="1"/>
    <cellStyle name="Hyperlink" xfId="292" builtinId="8" hidden="1"/>
    <cellStyle name="Hyperlink" xfId="302" builtinId="8" hidden="1"/>
    <cellStyle name="Hyperlink" xfId="300" builtinId="8" hidden="1"/>
    <cellStyle name="Hyperlink" xfId="298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130" builtinId="8" hidden="1"/>
    <cellStyle name="Hyperlink" xfId="328" builtinId="8" hidden="1"/>
    <cellStyle name="Hyperlink" xfId="141" builtinId="8" hidden="1"/>
    <cellStyle name="Hyperlink" xfId="327" builtinId="8" hidden="1"/>
    <cellStyle name="Hyperlink" xfId="147" builtinId="8" hidden="1"/>
    <cellStyle name="Hyperlink" xfId="326" builtinId="8" hidden="1"/>
    <cellStyle name="Hyperlink" xfId="139" builtinId="8" hidden="1"/>
    <cellStyle name="Hyperlink" xfId="145" builtinId="8" hidden="1"/>
    <cellStyle name="Hyperlink" xfId="143" builtinId="8" hidden="1"/>
    <cellStyle name="Hyperlink" xfId="123" builtinId="8" hidden="1"/>
    <cellStyle name="Hyperlink" xfId="138" builtinId="8" hidden="1"/>
    <cellStyle name="Hyperlink" xfId="144" builtinId="8" hidden="1"/>
    <cellStyle name="Hyperlink" xfId="137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ítulo 3 2" xfId="210" xr:uid="{00000000-0005-0000-0000-0000A9010000}"/>
    <cellStyle name="Título 3 3" xfId="140" xr:uid="{00000000-0005-0000-0000-0000AA010000}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9"/>
  <sheetViews>
    <sheetView tabSelected="1" workbookViewId="0">
      <selection activeCell="D10" sqref="D10"/>
    </sheetView>
  </sheetViews>
  <sheetFormatPr baseColWidth="10" defaultColWidth="8.83203125" defaultRowHeight="15" x14ac:dyDescent="0.2"/>
  <cols>
    <col min="1" max="1" width="34.5" bestFit="1" customWidth="1"/>
    <col min="2" max="2" width="12.1640625" style="4" bestFit="1" customWidth="1"/>
    <col min="4" max="4" width="16.5" style="7" customWidth="1"/>
    <col min="5" max="5" width="5.1640625" style="2" bestFit="1" customWidth="1"/>
    <col min="6" max="6" width="29.1640625" bestFit="1" customWidth="1"/>
    <col min="11" max="11" width="10.6640625" bestFit="1" customWidth="1"/>
    <col min="12" max="12" width="29.1640625" bestFit="1" customWidth="1"/>
  </cols>
  <sheetData>
    <row r="1" spans="1:12" s="1" customFormat="1" x14ac:dyDescent="0.2">
      <c r="A1" s="41" t="s">
        <v>0</v>
      </c>
      <c r="B1" s="42"/>
      <c r="D1" s="43" t="s">
        <v>1</v>
      </c>
      <c r="E1" s="42"/>
      <c r="F1" s="42"/>
    </row>
    <row r="2" spans="1:12" x14ac:dyDescent="0.2">
      <c r="A2" t="s">
        <v>2</v>
      </c>
      <c r="B2" s="3">
        <v>0</v>
      </c>
      <c r="D2" s="7">
        <f>ROUND(K3*K16,2)</f>
        <v>0</v>
      </c>
      <c r="E2" s="15" t="s">
        <v>10</v>
      </c>
      <c r="F2" s="17" t="s">
        <v>11</v>
      </c>
      <c r="K2" s="6">
        <f>K3*(K16+B22)</f>
        <v>0</v>
      </c>
      <c r="L2" s="22" t="s">
        <v>131</v>
      </c>
    </row>
    <row r="3" spans="1:12" x14ac:dyDescent="0.2">
      <c r="A3" t="s">
        <v>6</v>
      </c>
      <c r="B3" s="5">
        <v>0</v>
      </c>
      <c r="D3" s="7">
        <f>ROUNDUP(D2*5%, 2)</f>
        <v>0</v>
      </c>
      <c r="E3" s="15" t="s">
        <v>18</v>
      </c>
      <c r="F3" s="17" t="s">
        <v>12</v>
      </c>
      <c r="K3" s="6">
        <f>B2/30</f>
        <v>0</v>
      </c>
      <c r="L3" t="s">
        <v>63</v>
      </c>
    </row>
    <row r="4" spans="1:12" x14ac:dyDescent="0.2">
      <c r="A4" t="s">
        <v>7</v>
      </c>
      <c r="B4" s="5">
        <v>0</v>
      </c>
      <c r="D4" s="7">
        <f>K14</f>
        <v>0</v>
      </c>
      <c r="E4" s="15" t="s">
        <v>67</v>
      </c>
      <c r="F4" s="17" t="s">
        <v>13</v>
      </c>
      <c r="K4" s="6">
        <f>K3/8</f>
        <v>0</v>
      </c>
      <c r="L4" t="s">
        <v>27</v>
      </c>
    </row>
    <row r="5" spans="1:12" x14ac:dyDescent="0.2">
      <c r="A5" t="s">
        <v>3</v>
      </c>
      <c r="B5" s="5">
        <v>0</v>
      </c>
      <c r="D5" s="7">
        <f>B46</f>
        <v>0</v>
      </c>
      <c r="E5" s="15" t="s">
        <v>71</v>
      </c>
      <c r="F5" s="17" t="s">
        <v>15</v>
      </c>
      <c r="K5" s="8">
        <f>K22+D21</f>
        <v>0</v>
      </c>
      <c r="L5" t="s">
        <v>28</v>
      </c>
    </row>
    <row r="6" spans="1:12" x14ac:dyDescent="0.2">
      <c r="A6" t="s">
        <v>5</v>
      </c>
      <c r="B6" s="5">
        <v>0</v>
      </c>
      <c r="D6" s="14">
        <f>B16</f>
        <v>0</v>
      </c>
      <c r="E6" s="15" t="s">
        <v>68</v>
      </c>
      <c r="F6" s="17" t="s">
        <v>17</v>
      </c>
      <c r="K6" s="8">
        <f>SUM(D8:D13)+D16</f>
        <v>0</v>
      </c>
      <c r="L6" t="s">
        <v>30</v>
      </c>
    </row>
    <row r="7" spans="1:12" x14ac:dyDescent="0.2">
      <c r="A7" t="s">
        <v>8</v>
      </c>
      <c r="B7" s="5">
        <v>0</v>
      </c>
      <c r="D7" s="7">
        <f>ROUNDUP((K8-K3)*B12, 2)</f>
        <v>0</v>
      </c>
      <c r="E7" s="15" t="s">
        <v>124</v>
      </c>
      <c r="F7" s="17" t="s">
        <v>34</v>
      </c>
      <c r="K7" s="8">
        <f>K6+D14</f>
        <v>0</v>
      </c>
      <c r="L7" t="s">
        <v>29</v>
      </c>
    </row>
    <row r="8" spans="1:12" x14ac:dyDescent="0.2">
      <c r="A8" t="s">
        <v>9</v>
      </c>
      <c r="B8" s="4">
        <v>0</v>
      </c>
      <c r="D8" s="7">
        <f>TRUNC(K3*B7*6%*-1, 2)</f>
        <v>0</v>
      </c>
      <c r="E8" s="15" t="s">
        <v>72</v>
      </c>
      <c r="F8" s="17" t="s">
        <v>20</v>
      </c>
      <c r="K8" s="6">
        <f>B11/30</f>
        <v>0</v>
      </c>
      <c r="L8" t="s">
        <v>35</v>
      </c>
    </row>
    <row r="9" spans="1:12" x14ac:dyDescent="0.2">
      <c r="A9" t="s">
        <v>4</v>
      </c>
      <c r="B9" s="9">
        <v>0</v>
      </c>
      <c r="D9" s="7">
        <f>D5*-1</f>
        <v>0</v>
      </c>
      <c r="E9" s="15" t="s">
        <v>69</v>
      </c>
      <c r="F9" s="17" t="s">
        <v>22</v>
      </c>
    </row>
    <row r="10" spans="1:12" x14ac:dyDescent="0.2">
      <c r="A10" t="s">
        <v>25</v>
      </c>
      <c r="B10" s="9">
        <v>0</v>
      </c>
      <c r="D10" s="7">
        <f>IF(B49&gt;0,'Ocorrencias Folha Pagamento'!D7,0)</f>
        <v>0</v>
      </c>
      <c r="E10" s="15" t="s">
        <v>73</v>
      </c>
      <c r="F10" s="17" t="s">
        <v>23</v>
      </c>
      <c r="K10" s="10">
        <f>B7-B15</f>
        <v>0</v>
      </c>
      <c r="L10" t="s">
        <v>39</v>
      </c>
    </row>
    <row r="11" spans="1:12" x14ac:dyDescent="0.2">
      <c r="A11" t="s">
        <v>31</v>
      </c>
      <c r="B11" s="3">
        <v>0</v>
      </c>
      <c r="D11" s="7">
        <f>ROUNDUP(((K5-ABS(D14))*B10/100), 2)*-1</f>
        <v>0</v>
      </c>
      <c r="E11" s="15" t="s">
        <v>24</v>
      </c>
      <c r="F11" s="17" t="s">
        <v>25</v>
      </c>
      <c r="K11">
        <f>(((B4-B21)*12)+(B3-B20))+1</f>
        <v>1</v>
      </c>
      <c r="L11" t="s">
        <v>55</v>
      </c>
    </row>
    <row r="12" spans="1:12" x14ac:dyDescent="0.2">
      <c r="A12" t="s">
        <v>32</v>
      </c>
      <c r="B12" s="4">
        <v>0</v>
      </c>
      <c r="D12" s="16">
        <f>ABS(ROUNDUP(B13, 2))*-1</f>
        <v>0</v>
      </c>
      <c r="E12" s="15" t="s">
        <v>14</v>
      </c>
      <c r="F12" s="17" t="s">
        <v>36</v>
      </c>
      <c r="K12" s="8" t="e">
        <f>D2/K23</f>
        <v>#NUM!</v>
      </c>
      <c r="L12" t="s">
        <v>64</v>
      </c>
    </row>
    <row r="13" spans="1:12" x14ac:dyDescent="0.2">
      <c r="A13" t="s">
        <v>36</v>
      </c>
      <c r="B13" s="3">
        <v>0</v>
      </c>
      <c r="D13" s="16">
        <f>ABS(ROUNDUP(B14, 2))*-1</f>
        <v>0</v>
      </c>
      <c r="E13" s="15" t="s">
        <v>74</v>
      </c>
      <c r="F13" s="17" t="s">
        <v>37</v>
      </c>
      <c r="K13" s="27">
        <f>K22-D6-D15-ABS(D19)-ABS(D27)</f>
        <v>0</v>
      </c>
      <c r="L13" s="17" t="s">
        <v>66</v>
      </c>
    </row>
    <row r="14" spans="1:12" x14ac:dyDescent="0.2">
      <c r="A14" t="s">
        <v>37</v>
      </c>
      <c r="B14" s="3">
        <v>0</v>
      </c>
      <c r="D14" s="16">
        <f>TRUNC(K13*INSS!D2, 2)*-1</f>
        <v>0</v>
      </c>
      <c r="E14" s="15" t="s">
        <v>181</v>
      </c>
      <c r="F14" s="17" t="s">
        <v>26</v>
      </c>
      <c r="K14">
        <f>ROUNDUP(((ROUNDUP(B2/180,2))*20%)*B8,2)</f>
        <v>0</v>
      </c>
      <c r="L14" t="s">
        <v>13</v>
      </c>
    </row>
    <row r="15" spans="1:12" x14ac:dyDescent="0.2">
      <c r="A15" t="s">
        <v>38</v>
      </c>
      <c r="B15" s="5">
        <v>0</v>
      </c>
      <c r="D15" s="14">
        <f>B17</f>
        <v>0</v>
      </c>
      <c r="E15" s="15" t="s">
        <v>125</v>
      </c>
      <c r="F15" s="17" t="s">
        <v>49</v>
      </c>
      <c r="K15" t="e">
        <f>TRUNC(K14/B18*B19,2)</f>
        <v>#DIV/0!</v>
      </c>
      <c r="L15" t="s">
        <v>19</v>
      </c>
    </row>
    <row r="16" spans="1:12" x14ac:dyDescent="0.2">
      <c r="A16" t="s">
        <v>17</v>
      </c>
      <c r="B16" s="3">
        <v>0</v>
      </c>
      <c r="D16" s="7">
        <f>TRUNC(IF(OR(K11=2,B3=3),B2/30+B2/360,0), 2)*-1</f>
        <v>0</v>
      </c>
      <c r="E16" s="15" t="s">
        <v>122</v>
      </c>
      <c r="F16" s="17" t="s">
        <v>51</v>
      </c>
      <c r="K16" s="10">
        <f>B5</f>
        <v>0</v>
      </c>
      <c r="L16" t="s">
        <v>3</v>
      </c>
    </row>
    <row r="17" spans="1:12" x14ac:dyDescent="0.2">
      <c r="A17" t="s">
        <v>49</v>
      </c>
      <c r="B17" s="3">
        <v>0</v>
      </c>
      <c r="D17" s="14">
        <f>IF(B22&gt;0,K2-D2,0)</f>
        <v>0</v>
      </c>
      <c r="E17" s="15" t="s">
        <v>121</v>
      </c>
      <c r="F17" s="17" t="s">
        <v>58</v>
      </c>
      <c r="K17" s="21">
        <f>IF(B38 &lt; 14, 'Salario Familia'!D2*K16/K24,0)</f>
        <v>0</v>
      </c>
      <c r="L17" s="20" t="s">
        <v>98</v>
      </c>
    </row>
    <row r="18" spans="1:12" x14ac:dyDescent="0.2">
      <c r="A18" t="s">
        <v>53</v>
      </c>
      <c r="B18" s="4">
        <v>0</v>
      </c>
      <c r="D18" s="7">
        <f>B23*-1</f>
        <v>0</v>
      </c>
      <c r="E18" s="15" t="s">
        <v>123</v>
      </c>
      <c r="F18" s="17" t="s">
        <v>60</v>
      </c>
      <c r="K18" s="21">
        <f>IF(B39 &lt; 14, 'Salario Familia'!D3*K16/K24,0)</f>
        <v>0</v>
      </c>
      <c r="L18" s="20" t="s">
        <v>99</v>
      </c>
    </row>
    <row r="19" spans="1:12" x14ac:dyDescent="0.2">
      <c r="A19" t="s">
        <v>54</v>
      </c>
      <c r="B19" s="4">
        <v>0</v>
      </c>
      <c r="D19" s="16">
        <f>ROUNDUP((B6*K3)*-1, 2)</f>
        <v>0</v>
      </c>
      <c r="E19" s="15" t="s">
        <v>75</v>
      </c>
      <c r="F19" s="17" t="s">
        <v>5</v>
      </c>
      <c r="K19" s="21">
        <f>IF(B40&lt;14,'Salario Familia'!D4*K16/K24,0)</f>
        <v>0</v>
      </c>
      <c r="L19" s="20" t="s">
        <v>100</v>
      </c>
    </row>
    <row r="20" spans="1:12" x14ac:dyDescent="0.2">
      <c r="A20" t="s">
        <v>56</v>
      </c>
      <c r="B20" s="5">
        <v>0</v>
      </c>
      <c r="D20" s="16">
        <f>TRUNC((B25*K3)*-1,2)</f>
        <v>0</v>
      </c>
      <c r="E20" s="15" t="s">
        <v>126</v>
      </c>
      <c r="F20" s="17" t="s">
        <v>65</v>
      </c>
      <c r="K20" s="21">
        <f>IF(B41&lt;14,'Salario Familia'!D5*K16/K24,0)</f>
        <v>0</v>
      </c>
      <c r="L20" s="20" t="s">
        <v>101</v>
      </c>
    </row>
    <row r="21" spans="1:12" x14ac:dyDescent="0.2">
      <c r="A21" t="s">
        <v>57</v>
      </c>
      <c r="B21" s="5">
        <v>0</v>
      </c>
      <c r="D21" s="7">
        <f>SUM(K17:K21)</f>
        <v>0</v>
      </c>
      <c r="E21" s="19" t="s">
        <v>120</v>
      </c>
      <c r="F21" s="18" t="s">
        <v>97</v>
      </c>
      <c r="K21" s="21">
        <f>IF(B42&lt;14,'Salario Familia'!D6*K16/K24,0)</f>
        <v>0</v>
      </c>
      <c r="L21" s="20" t="s">
        <v>102</v>
      </c>
    </row>
    <row r="22" spans="1:12" x14ac:dyDescent="0.2">
      <c r="A22" t="s">
        <v>59</v>
      </c>
      <c r="B22" s="5">
        <v>0</v>
      </c>
      <c r="D22" s="7">
        <f>IF(B6=0, 0, D3*-1)</f>
        <v>0</v>
      </c>
      <c r="E22" s="2" t="s">
        <v>127</v>
      </c>
      <c r="F22" t="s">
        <v>128</v>
      </c>
      <c r="K22" s="23">
        <f>SUM(D2:D7)+D15+B24+D17+K25+K26+D26+D28</f>
        <v>0</v>
      </c>
      <c r="L22" s="22" t="s">
        <v>108</v>
      </c>
    </row>
    <row r="23" spans="1:12" x14ac:dyDescent="0.2">
      <c r="A23" t="s">
        <v>60</v>
      </c>
      <c r="B23" s="3">
        <v>0</v>
      </c>
      <c r="D23" s="16">
        <f>K25</f>
        <v>0</v>
      </c>
      <c r="E23" s="19" t="s">
        <v>16</v>
      </c>
      <c r="F23" s="22" t="s">
        <v>133</v>
      </c>
      <c r="K23" s="31" t="e">
        <f>TEXT(EDATE(DATE(B4,B3,1), 1)-1,"dd")</f>
        <v>#NUM!</v>
      </c>
      <c r="L23" s="22" t="s">
        <v>129</v>
      </c>
    </row>
    <row r="24" spans="1:12" x14ac:dyDescent="0.2">
      <c r="A24" t="s">
        <v>62</v>
      </c>
      <c r="B24" s="3">
        <v>0</v>
      </c>
      <c r="D24" s="16">
        <f>B43</f>
        <v>0</v>
      </c>
      <c r="E24" s="19" t="s">
        <v>134</v>
      </c>
      <c r="F24" s="22" t="s">
        <v>132</v>
      </c>
      <c r="K24" s="32">
        <v>30</v>
      </c>
      <c r="L24" s="22" t="s">
        <v>130</v>
      </c>
    </row>
    <row r="25" spans="1:12" x14ac:dyDescent="0.2">
      <c r="A25" t="s">
        <v>65</v>
      </c>
      <c r="B25" s="13">
        <v>0</v>
      </c>
      <c r="D25" s="16">
        <f>K26</f>
        <v>0</v>
      </c>
      <c r="E25" s="19" t="s">
        <v>16</v>
      </c>
      <c r="F25" s="22" t="s">
        <v>135</v>
      </c>
      <c r="K25" s="34">
        <f>ROUNDUP(2*B44*ROUNDUP(K3,2),2)</f>
        <v>0</v>
      </c>
      <c r="L25" s="22" t="s">
        <v>133</v>
      </c>
    </row>
    <row r="26" spans="1:12" x14ac:dyDescent="0.2">
      <c r="A26" t="s">
        <v>80</v>
      </c>
      <c r="B26" s="3">
        <v>0</v>
      </c>
      <c r="D26" s="7">
        <f>ROUND(K3*B47,2)</f>
        <v>0</v>
      </c>
      <c r="E26" s="2" t="s">
        <v>138</v>
      </c>
      <c r="F26" t="s">
        <v>139</v>
      </c>
      <c r="K26" s="34">
        <f>ROUNDUP(2*B45*K3,2)</f>
        <v>0</v>
      </c>
      <c r="L26" s="22" t="s">
        <v>135</v>
      </c>
    </row>
    <row r="27" spans="1:12" x14ac:dyDescent="0.2">
      <c r="A27" s="17" t="s">
        <v>81</v>
      </c>
      <c r="B27" s="3">
        <v>0</v>
      </c>
      <c r="D27" s="16">
        <f>ROUND(K4*B48,2)</f>
        <v>0</v>
      </c>
      <c r="E27" s="19" t="s">
        <v>176</v>
      </c>
      <c r="F27" s="22" t="s">
        <v>140</v>
      </c>
    </row>
    <row r="28" spans="1:12" x14ac:dyDescent="0.2">
      <c r="A28" s="17" t="s">
        <v>82</v>
      </c>
      <c r="B28" s="3">
        <v>0</v>
      </c>
      <c r="D28" s="7">
        <f>B49</f>
        <v>0</v>
      </c>
      <c r="E28" s="19" t="s">
        <v>179</v>
      </c>
      <c r="F28" s="22" t="s">
        <v>178</v>
      </c>
    </row>
    <row r="29" spans="1:12" x14ac:dyDescent="0.2">
      <c r="A29" s="17" t="s">
        <v>89</v>
      </c>
      <c r="B29" s="3">
        <v>0</v>
      </c>
    </row>
    <row r="30" spans="1:12" x14ac:dyDescent="0.2">
      <c r="A30" t="s">
        <v>83</v>
      </c>
      <c r="B30" s="3">
        <v>0</v>
      </c>
    </row>
    <row r="31" spans="1:12" x14ac:dyDescent="0.2">
      <c r="A31" s="17" t="s">
        <v>84</v>
      </c>
      <c r="B31" s="3">
        <v>0</v>
      </c>
    </row>
    <row r="32" spans="1:12" x14ac:dyDescent="0.2">
      <c r="A32" s="17" t="s">
        <v>85</v>
      </c>
      <c r="B32" s="3">
        <v>0</v>
      </c>
    </row>
    <row r="33" spans="1:2" x14ac:dyDescent="0.2">
      <c r="A33" s="17" t="s">
        <v>90</v>
      </c>
      <c r="B33" s="3">
        <v>0</v>
      </c>
    </row>
    <row r="34" spans="1:2" x14ac:dyDescent="0.2">
      <c r="A34" t="s">
        <v>86</v>
      </c>
      <c r="B34" s="3">
        <v>0</v>
      </c>
    </row>
    <row r="35" spans="1:2" x14ac:dyDescent="0.2">
      <c r="A35" s="17" t="s">
        <v>87</v>
      </c>
      <c r="B35" s="3">
        <v>0</v>
      </c>
    </row>
    <row r="36" spans="1:2" x14ac:dyDescent="0.2">
      <c r="A36" s="17" t="s">
        <v>88</v>
      </c>
      <c r="B36" s="3">
        <v>0</v>
      </c>
    </row>
    <row r="37" spans="1:2" x14ac:dyDescent="0.2">
      <c r="A37" s="17" t="s">
        <v>91</v>
      </c>
      <c r="B37" s="3">
        <v>0</v>
      </c>
    </row>
    <row r="38" spans="1:2" x14ac:dyDescent="0.2">
      <c r="A38" t="s">
        <v>92</v>
      </c>
      <c r="B38" s="4">
        <v>0</v>
      </c>
    </row>
    <row r="39" spans="1:2" x14ac:dyDescent="0.2">
      <c r="A39" t="s">
        <v>93</v>
      </c>
      <c r="B39" s="4">
        <v>0</v>
      </c>
    </row>
    <row r="40" spans="1:2" x14ac:dyDescent="0.2">
      <c r="A40" t="s">
        <v>94</v>
      </c>
      <c r="B40" s="4">
        <v>0</v>
      </c>
    </row>
    <row r="41" spans="1:2" x14ac:dyDescent="0.2">
      <c r="A41" t="s">
        <v>95</v>
      </c>
      <c r="B41" s="4">
        <v>0</v>
      </c>
    </row>
    <row r="42" spans="1:2" x14ac:dyDescent="0.2">
      <c r="A42" t="s">
        <v>96</v>
      </c>
      <c r="B42" s="4">
        <v>0</v>
      </c>
    </row>
    <row r="43" spans="1:2" x14ac:dyDescent="0.2">
      <c r="A43" s="22" t="s">
        <v>132</v>
      </c>
      <c r="B43" s="33">
        <v>0</v>
      </c>
    </row>
    <row r="44" spans="1:2" x14ac:dyDescent="0.2">
      <c r="A44" s="22" t="s">
        <v>133</v>
      </c>
      <c r="B44" s="33">
        <v>0</v>
      </c>
    </row>
    <row r="45" spans="1:2" x14ac:dyDescent="0.2">
      <c r="A45" s="22" t="s">
        <v>135</v>
      </c>
      <c r="B45" s="33">
        <v>0</v>
      </c>
    </row>
    <row r="46" spans="1:2" x14ac:dyDescent="0.2">
      <c r="A46" s="22" t="s">
        <v>136</v>
      </c>
      <c r="B46" s="4">
        <v>0</v>
      </c>
    </row>
    <row r="47" spans="1:2" x14ac:dyDescent="0.2">
      <c r="A47" t="s">
        <v>137</v>
      </c>
      <c r="B47" s="13">
        <v>0</v>
      </c>
    </row>
    <row r="48" spans="1:2" x14ac:dyDescent="0.2">
      <c r="A48" t="s">
        <v>140</v>
      </c>
      <c r="B48" s="4">
        <v>0</v>
      </c>
    </row>
    <row r="49" spans="1:2" x14ac:dyDescent="0.2">
      <c r="A49" t="s">
        <v>178</v>
      </c>
      <c r="B49" s="4">
        <v>0</v>
      </c>
    </row>
  </sheetData>
  <mergeCells count="2">
    <mergeCell ref="A1:B1"/>
    <mergeCell ref="D1:F1"/>
  </mergeCells>
  <pageMargins left="0.7" right="0.7" top="0.75" bottom="0.75" header="0.3" footer="0.3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"/>
  <sheetViews>
    <sheetView workbookViewId="0">
      <selection activeCell="E5" sqref="E5"/>
    </sheetView>
  </sheetViews>
  <sheetFormatPr baseColWidth="10" defaultColWidth="5" defaultRowHeight="15" x14ac:dyDescent="0.2"/>
  <cols>
    <col min="1" max="1" width="34.5" bestFit="1" customWidth="1"/>
    <col min="2" max="2" width="10.5" style="4" bestFit="1" customWidth="1"/>
    <col min="4" max="4" width="16.5" style="7" customWidth="1"/>
    <col min="5" max="5" width="4" style="2" bestFit="1" customWidth="1"/>
    <col min="6" max="6" width="29.1640625" bestFit="1" customWidth="1"/>
    <col min="11" max="11" width="12.1640625" bestFit="1" customWidth="1"/>
    <col min="12" max="12" width="29.1640625" bestFit="1" customWidth="1"/>
  </cols>
  <sheetData>
    <row r="1" spans="1:12" s="1" customFormat="1" x14ac:dyDescent="0.2">
      <c r="A1" s="41" t="s">
        <v>0</v>
      </c>
      <c r="B1" s="41"/>
      <c r="D1" s="43" t="s">
        <v>1</v>
      </c>
      <c r="E1" s="42"/>
      <c r="F1" s="42"/>
    </row>
    <row r="2" spans="1:12" x14ac:dyDescent="0.2">
      <c r="A2" t="s">
        <v>2</v>
      </c>
      <c r="B2" s="14">
        <v>0</v>
      </c>
      <c r="D2" s="14">
        <f>(B2/30*B4)+K4+K5+K6</f>
        <v>0</v>
      </c>
      <c r="E2" s="2" t="s">
        <v>76</v>
      </c>
      <c r="F2" t="s">
        <v>41</v>
      </c>
      <c r="K2" s="6">
        <f>D2+D3</f>
        <v>0</v>
      </c>
      <c r="L2" t="s">
        <v>43</v>
      </c>
    </row>
    <row r="3" spans="1:12" x14ac:dyDescent="0.2">
      <c r="A3" t="s">
        <v>40</v>
      </c>
      <c r="B3" s="5">
        <v>0</v>
      </c>
      <c r="D3" s="7">
        <f>D2/3</f>
        <v>0</v>
      </c>
      <c r="E3" s="2" t="s">
        <v>77</v>
      </c>
      <c r="F3" t="s">
        <v>42</v>
      </c>
      <c r="K3" s="7">
        <f>ROUNDUP(B2*5%*B4/30, 2)</f>
        <v>0</v>
      </c>
      <c r="L3" s="17" t="s">
        <v>12</v>
      </c>
    </row>
    <row r="4" spans="1:12" x14ac:dyDescent="0.2">
      <c r="A4" t="s">
        <v>44</v>
      </c>
      <c r="B4" s="5">
        <v>0</v>
      </c>
      <c r="D4" s="7">
        <f>(K2*INSS!D3)*-1</f>
        <v>0</v>
      </c>
      <c r="E4" s="2" t="s">
        <v>181</v>
      </c>
      <c r="F4" t="s">
        <v>26</v>
      </c>
      <c r="K4" s="8">
        <f>AVERAGE(B10:B13)</f>
        <v>0</v>
      </c>
      <c r="L4" t="s">
        <v>109</v>
      </c>
    </row>
    <row r="5" spans="1:12" x14ac:dyDescent="0.2">
      <c r="A5" t="s">
        <v>48</v>
      </c>
      <c r="B5" s="5">
        <v>0</v>
      </c>
      <c r="D5" s="7">
        <f>B2/30*B5</f>
        <v>0</v>
      </c>
      <c r="E5" s="2" t="s">
        <v>45</v>
      </c>
      <c r="F5" t="s">
        <v>46</v>
      </c>
      <c r="K5" s="8">
        <f>AVERAGE(B14:B17)</f>
        <v>0</v>
      </c>
      <c r="L5" t="s">
        <v>110</v>
      </c>
    </row>
    <row r="6" spans="1:12" x14ac:dyDescent="0.2">
      <c r="A6" s="22" t="s">
        <v>80</v>
      </c>
      <c r="B6" s="3">
        <v>0</v>
      </c>
      <c r="D6" s="7">
        <f>D5/3</f>
        <v>0</v>
      </c>
      <c r="E6" s="2" t="s">
        <v>78</v>
      </c>
      <c r="F6" t="s">
        <v>47</v>
      </c>
      <c r="K6" s="23">
        <f>AVERAGE(B18:B21)</f>
        <v>0</v>
      </c>
      <c r="L6" s="22" t="s">
        <v>163</v>
      </c>
    </row>
    <row r="7" spans="1:12" x14ac:dyDescent="0.2">
      <c r="A7" s="22" t="s">
        <v>81</v>
      </c>
      <c r="B7" s="3">
        <v>0</v>
      </c>
      <c r="K7" s="6"/>
    </row>
    <row r="8" spans="1:12" x14ac:dyDescent="0.2">
      <c r="A8" s="25" t="s">
        <v>82</v>
      </c>
      <c r="B8" s="3">
        <v>0</v>
      </c>
    </row>
    <row r="9" spans="1:12" x14ac:dyDescent="0.2">
      <c r="A9" s="22" t="s">
        <v>89</v>
      </c>
      <c r="B9" s="3">
        <v>0</v>
      </c>
      <c r="K9" s="10"/>
    </row>
    <row r="10" spans="1:12" x14ac:dyDescent="0.2">
      <c r="A10" s="22" t="s">
        <v>83</v>
      </c>
      <c r="B10" s="3">
        <v>0</v>
      </c>
    </row>
    <row r="11" spans="1:12" x14ac:dyDescent="0.2">
      <c r="A11" s="22" t="s">
        <v>84</v>
      </c>
      <c r="B11" s="3">
        <v>0</v>
      </c>
    </row>
    <row r="12" spans="1:12" x14ac:dyDescent="0.2">
      <c r="A12" s="22" t="s">
        <v>85</v>
      </c>
      <c r="B12" s="3">
        <v>0</v>
      </c>
    </row>
    <row r="13" spans="1:12" x14ac:dyDescent="0.2">
      <c r="A13" s="22" t="s">
        <v>90</v>
      </c>
      <c r="B13" s="3">
        <v>0</v>
      </c>
    </row>
    <row r="14" spans="1:12" x14ac:dyDescent="0.2">
      <c r="A14" s="22" t="s">
        <v>86</v>
      </c>
      <c r="B14" s="3">
        <v>0</v>
      </c>
    </row>
    <row r="15" spans="1:12" x14ac:dyDescent="0.2">
      <c r="A15" s="22" t="s">
        <v>87</v>
      </c>
      <c r="B15" s="3">
        <v>0</v>
      </c>
    </row>
    <row r="16" spans="1:12" x14ac:dyDescent="0.2">
      <c r="A16" s="22" t="s">
        <v>88</v>
      </c>
      <c r="B16" s="3">
        <v>0</v>
      </c>
      <c r="K16" s="8"/>
    </row>
    <row r="17" spans="1:2" x14ac:dyDescent="0.2">
      <c r="A17" s="22" t="s">
        <v>91</v>
      </c>
      <c r="B17" s="3">
        <v>0</v>
      </c>
    </row>
    <row r="18" spans="1:2" x14ac:dyDescent="0.2">
      <c r="A18" s="22" t="s">
        <v>159</v>
      </c>
      <c r="B18" s="3">
        <v>0</v>
      </c>
    </row>
    <row r="19" spans="1:2" x14ac:dyDescent="0.2">
      <c r="A19" s="22" t="s">
        <v>160</v>
      </c>
      <c r="B19" s="3">
        <v>0</v>
      </c>
    </row>
    <row r="20" spans="1:2" x14ac:dyDescent="0.2">
      <c r="A20" s="22" t="s">
        <v>161</v>
      </c>
      <c r="B20" s="3">
        <v>0</v>
      </c>
    </row>
    <row r="21" spans="1:2" x14ac:dyDescent="0.2">
      <c r="A21" s="22" t="s">
        <v>162</v>
      </c>
      <c r="B21" s="3">
        <v>0</v>
      </c>
    </row>
  </sheetData>
  <mergeCells count="2">
    <mergeCell ref="A1:B1"/>
    <mergeCell ref="D1:F1"/>
  </mergeCells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6"/>
  <sheetViews>
    <sheetView workbookViewId="0">
      <selection activeCell="D8" sqref="D8"/>
    </sheetView>
  </sheetViews>
  <sheetFormatPr baseColWidth="10" defaultColWidth="5" defaultRowHeight="15" x14ac:dyDescent="0.2"/>
  <cols>
    <col min="1" max="1" width="34.5" bestFit="1" customWidth="1"/>
    <col min="2" max="2" width="10.5" style="4" bestFit="1" customWidth="1"/>
    <col min="4" max="4" width="16.5" style="7" customWidth="1"/>
    <col min="5" max="5" width="4" style="2" bestFit="1" customWidth="1"/>
    <col min="6" max="6" width="29.1640625" bestFit="1" customWidth="1"/>
    <col min="11" max="11" width="10.5" bestFit="1" customWidth="1"/>
    <col min="12" max="12" width="29.1640625" bestFit="1" customWidth="1"/>
  </cols>
  <sheetData>
    <row r="1" spans="1:11" s="1" customFormat="1" x14ac:dyDescent="0.2">
      <c r="A1" s="41" t="s">
        <v>0</v>
      </c>
      <c r="B1" s="41"/>
      <c r="D1" s="43" t="s">
        <v>1</v>
      </c>
      <c r="E1" s="42"/>
      <c r="F1" s="42"/>
    </row>
    <row r="2" spans="1:11" x14ac:dyDescent="0.2">
      <c r="A2" t="s">
        <v>4</v>
      </c>
      <c r="B2" s="11">
        <v>0</v>
      </c>
      <c r="D2" s="7">
        <v>20</v>
      </c>
      <c r="F2" t="s">
        <v>50</v>
      </c>
      <c r="K2" s="6"/>
    </row>
    <row r="3" spans="1:11" x14ac:dyDescent="0.2">
      <c r="B3" s="5"/>
      <c r="D3" s="7">
        <v>0</v>
      </c>
      <c r="E3" s="2" t="s">
        <v>16</v>
      </c>
      <c r="F3" t="s">
        <v>17</v>
      </c>
      <c r="K3" s="6"/>
    </row>
    <row r="4" spans="1:11" x14ac:dyDescent="0.2">
      <c r="B4" s="5"/>
      <c r="D4" s="7">
        <f>281.1</f>
        <v>281.10000000000002</v>
      </c>
      <c r="E4" s="2" t="s">
        <v>14</v>
      </c>
      <c r="F4" t="s">
        <v>15</v>
      </c>
      <c r="K4" s="8"/>
    </row>
    <row r="5" spans="1:11" x14ac:dyDescent="0.2">
      <c r="B5" s="5"/>
      <c r="D5" s="7">
        <f>D4*-1</f>
        <v>-281.10000000000002</v>
      </c>
      <c r="E5" s="2" t="s">
        <v>21</v>
      </c>
      <c r="F5" t="s">
        <v>22</v>
      </c>
      <c r="K5" s="8"/>
    </row>
    <row r="6" spans="1:11" x14ac:dyDescent="0.2">
      <c r="B6" s="5"/>
      <c r="D6" s="7">
        <f>B2*D2</f>
        <v>0</v>
      </c>
      <c r="F6" t="s">
        <v>79</v>
      </c>
      <c r="K6" s="8"/>
    </row>
    <row r="7" spans="1:11" x14ac:dyDescent="0.2">
      <c r="B7" s="5"/>
      <c r="D7" s="16">
        <f>-53.89</f>
        <v>-53.89</v>
      </c>
      <c r="E7" s="15"/>
      <c r="F7" s="17" t="s">
        <v>23</v>
      </c>
      <c r="K7" s="6"/>
    </row>
    <row r="8" spans="1:11" x14ac:dyDescent="0.2">
      <c r="D8" s="38">
        <v>0.2</v>
      </c>
      <c r="F8" t="s">
        <v>177</v>
      </c>
    </row>
    <row r="9" spans="1:11" x14ac:dyDescent="0.2">
      <c r="B9" s="5"/>
      <c r="K9" s="10"/>
    </row>
    <row r="10" spans="1:11" x14ac:dyDescent="0.2">
      <c r="B10" s="9"/>
    </row>
    <row r="11" spans="1:11" x14ac:dyDescent="0.2">
      <c r="B11" s="3"/>
    </row>
    <row r="13" spans="1:11" x14ac:dyDescent="0.2">
      <c r="B13" s="3"/>
    </row>
    <row r="14" spans="1:11" x14ac:dyDescent="0.2">
      <c r="B14" s="3"/>
    </row>
    <row r="15" spans="1:11" x14ac:dyDescent="0.2">
      <c r="B15" s="5"/>
    </row>
    <row r="16" spans="1:11" x14ac:dyDescent="0.2">
      <c r="K16" s="8"/>
    </row>
  </sheetData>
  <mergeCells count="2">
    <mergeCell ref="A1:B1"/>
    <mergeCell ref="D1:F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"/>
  <sheetViews>
    <sheetView workbookViewId="0">
      <selection activeCell="D2" sqref="D2:D4"/>
    </sheetView>
  </sheetViews>
  <sheetFormatPr baseColWidth="10" defaultColWidth="8.83203125" defaultRowHeight="15" x14ac:dyDescent="0.2"/>
  <cols>
    <col min="1" max="3" width="12.1640625" bestFit="1" customWidth="1"/>
    <col min="13" max="14" width="12.1640625" bestFit="1" customWidth="1"/>
  </cols>
  <sheetData>
    <row r="1" spans="1:14" x14ac:dyDescent="0.2">
      <c r="A1" s="41" t="s">
        <v>0</v>
      </c>
      <c r="B1" s="42"/>
      <c r="D1" s="43" t="s">
        <v>1</v>
      </c>
      <c r="E1" s="42"/>
      <c r="F1" s="42"/>
      <c r="L1" s="41" t="s">
        <v>26</v>
      </c>
      <c r="M1" s="41"/>
      <c r="N1" s="41"/>
    </row>
    <row r="2" spans="1:14" x14ac:dyDescent="0.2">
      <c r="A2" s="8">
        <f>Salario!K13</f>
        <v>0</v>
      </c>
      <c r="D2">
        <f>IF(A2&lt;=$M$2, $L$2, IF(A2 &lt;= $N$3,$L$3, $L$4))</f>
        <v>0.08</v>
      </c>
      <c r="L2" s="12">
        <v>0.08</v>
      </c>
      <c r="M2" s="3">
        <v>1693.72</v>
      </c>
      <c r="N2" s="3"/>
    </row>
    <row r="3" spans="1:14" x14ac:dyDescent="0.2">
      <c r="A3" s="6">
        <f>Ferias!K2</f>
        <v>0</v>
      </c>
      <c r="D3" s="22">
        <f>IF(A3&lt;=$M$2, $L$2, IF(A3 &lt;= $N$3,$L$3, $L$4))</f>
        <v>0.08</v>
      </c>
      <c r="L3" s="12">
        <v>0.09</v>
      </c>
      <c r="M3" s="3">
        <f>M2+0.01</f>
        <v>1693.73</v>
      </c>
      <c r="N3" s="3">
        <v>2822.9</v>
      </c>
    </row>
    <row r="4" spans="1:14" x14ac:dyDescent="0.2">
      <c r="A4" t="e">
        <f>Rescisao!K13</f>
        <v>#NUM!</v>
      </c>
      <c r="D4" s="22" t="e">
        <f>IF(A4&lt;=$M$2, $L$2, IF(A4 &lt;= $N$3,$L$3, $L$4))</f>
        <v>#NUM!</v>
      </c>
      <c r="L4" s="12">
        <v>0.11</v>
      </c>
      <c r="M4" s="3">
        <f>N3+0.01</f>
        <v>2822.9100000000003</v>
      </c>
      <c r="N4" s="3">
        <v>5645.8</v>
      </c>
    </row>
  </sheetData>
  <mergeCells count="3">
    <mergeCell ref="A1:B1"/>
    <mergeCell ref="L1:N1"/>
    <mergeCell ref="D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1"/>
  <sheetViews>
    <sheetView workbookViewId="0">
      <selection activeCell="M4" sqref="M4"/>
    </sheetView>
  </sheetViews>
  <sheetFormatPr baseColWidth="10" defaultColWidth="8.83203125" defaultRowHeight="15" x14ac:dyDescent="0.2"/>
  <cols>
    <col min="1" max="3" width="12.1640625" style="17" bestFit="1" customWidth="1"/>
    <col min="4" max="11" width="8.83203125" style="17"/>
    <col min="12" max="12" width="11.5" style="3" customWidth="1"/>
    <col min="13" max="13" width="12.1640625" style="17" bestFit="1" customWidth="1"/>
    <col min="14" max="16384" width="8.83203125" style="17"/>
  </cols>
  <sheetData>
    <row r="1" spans="1:13" x14ac:dyDescent="0.2">
      <c r="A1" s="41" t="s">
        <v>0</v>
      </c>
      <c r="B1" s="42"/>
      <c r="D1" s="43" t="s">
        <v>1</v>
      </c>
      <c r="E1" s="42"/>
      <c r="F1" s="42"/>
      <c r="L1" s="41" t="s">
        <v>70</v>
      </c>
      <c r="M1" s="41"/>
    </row>
    <row r="2" spans="1:13" x14ac:dyDescent="0.2">
      <c r="A2" s="23" t="s">
        <v>103</v>
      </c>
      <c r="B2" s="24">
        <f>Salario!$K$13*IF(Salario!B38 &gt; 0, 1, 0)</f>
        <v>0</v>
      </c>
      <c r="D2" s="17">
        <f t="shared" ref="D2:D11" si="0">IF(B2&lt;=$M$2, IF(B2 &gt;0, $L$2,0), IF(B2 &lt;=$M$3,$L$3,0))</f>
        <v>0</v>
      </c>
      <c r="L2" s="3">
        <f>41.37</f>
        <v>41.37</v>
      </c>
      <c r="M2" s="3">
        <f>859.88</f>
        <v>859.88</v>
      </c>
    </row>
    <row r="3" spans="1:13" x14ac:dyDescent="0.2">
      <c r="A3" s="23" t="s">
        <v>104</v>
      </c>
      <c r="B3" s="24">
        <f>Salario!$K$13*IF(Salario!B39 &gt; 0, 1, 0)</f>
        <v>0</v>
      </c>
      <c r="D3" s="22">
        <f t="shared" si="0"/>
        <v>0</v>
      </c>
      <c r="L3" s="3">
        <f>29.16</f>
        <v>29.16</v>
      </c>
      <c r="M3" s="3">
        <f>1292.43</f>
        <v>1292.43</v>
      </c>
    </row>
    <row r="4" spans="1:13" x14ac:dyDescent="0.2">
      <c r="A4" s="22" t="s">
        <v>105</v>
      </c>
      <c r="B4" s="24">
        <f>Salario!$K$13*IF(Salario!B40 &gt; 0, 1, 0)</f>
        <v>0</v>
      </c>
      <c r="D4" s="22">
        <f t="shared" si="0"/>
        <v>0</v>
      </c>
      <c r="L4" s="17"/>
    </row>
    <row r="5" spans="1:13" x14ac:dyDescent="0.2">
      <c r="A5" s="22" t="s">
        <v>106</v>
      </c>
      <c r="B5" s="24">
        <f>Salario!$K$13*IF(Salario!B41 &gt; 0, 1, 0)</f>
        <v>0</v>
      </c>
      <c r="D5" s="22">
        <f t="shared" si="0"/>
        <v>0</v>
      </c>
    </row>
    <row r="6" spans="1:13" x14ac:dyDescent="0.2">
      <c r="A6" s="22" t="s">
        <v>107</v>
      </c>
      <c r="B6" s="24">
        <f>Salario!$K$13*IF(Salario!B42 &gt; 0, 1, 0)</f>
        <v>0</v>
      </c>
      <c r="D6" s="22">
        <f t="shared" si="0"/>
        <v>0</v>
      </c>
    </row>
    <row r="7" spans="1:13" x14ac:dyDescent="0.2">
      <c r="A7" s="23" t="s">
        <v>115</v>
      </c>
      <c r="B7" s="24" t="e">
        <f>Rescisao!$K$13*IF(Rescisao!B38 &gt; 0, 1, 0)</f>
        <v>#NUM!</v>
      </c>
      <c r="D7" s="17" t="e">
        <f t="shared" si="0"/>
        <v>#NUM!</v>
      </c>
    </row>
    <row r="8" spans="1:13" x14ac:dyDescent="0.2">
      <c r="A8" s="23" t="s">
        <v>116</v>
      </c>
      <c r="B8" s="24" t="e">
        <f>Rescisao!$K$13*IF(Rescisao!B39 &gt; 0, 1, 0)</f>
        <v>#NUM!</v>
      </c>
      <c r="D8" s="22" t="e">
        <f t="shared" si="0"/>
        <v>#NUM!</v>
      </c>
    </row>
    <row r="9" spans="1:13" x14ac:dyDescent="0.2">
      <c r="A9" s="22" t="s">
        <v>117</v>
      </c>
      <c r="B9" s="24" t="e">
        <f>Rescisao!$K$13*IF(Rescisao!B40 &gt; 0, 1, 0)</f>
        <v>#NUM!</v>
      </c>
      <c r="D9" s="22" t="e">
        <f t="shared" si="0"/>
        <v>#NUM!</v>
      </c>
    </row>
    <row r="10" spans="1:13" x14ac:dyDescent="0.2">
      <c r="A10" s="22" t="s">
        <v>118</v>
      </c>
      <c r="B10" s="24" t="e">
        <f>Rescisao!$K$13*IF(Rescisao!B41 &gt; 0, 1, 0)</f>
        <v>#NUM!</v>
      </c>
      <c r="D10" s="22" t="e">
        <f t="shared" si="0"/>
        <v>#NUM!</v>
      </c>
    </row>
    <row r="11" spans="1:13" x14ac:dyDescent="0.2">
      <c r="A11" s="22" t="s">
        <v>119</v>
      </c>
      <c r="B11" s="24" t="e">
        <f>Rescisao!$K$13*IF(Rescisao!B42 &gt; 0, 1, 0)</f>
        <v>#NUM!</v>
      </c>
      <c r="D11" s="22" t="e">
        <f t="shared" si="0"/>
        <v>#NUM!</v>
      </c>
    </row>
  </sheetData>
  <mergeCells count="3">
    <mergeCell ref="A1:B1"/>
    <mergeCell ref="D1:F1"/>
    <mergeCell ref="L1:M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58"/>
  <sheetViews>
    <sheetView workbookViewId="0">
      <selection activeCell="K9" sqref="K9"/>
    </sheetView>
  </sheetViews>
  <sheetFormatPr baseColWidth="10" defaultColWidth="8.83203125" defaultRowHeight="15" x14ac:dyDescent="0.2"/>
  <cols>
    <col min="1" max="1" width="34.5" bestFit="1" customWidth="1"/>
    <col min="2" max="2" width="11.6640625" customWidth="1"/>
    <col min="4" max="4" width="14.1640625" customWidth="1"/>
    <col min="5" max="5" width="6.1640625" customWidth="1"/>
    <col min="6" max="6" width="21.33203125" customWidth="1"/>
    <col min="10" max="10" width="15.5" customWidth="1"/>
    <col min="11" max="11" width="14" customWidth="1"/>
    <col min="12" max="12" width="21.6640625" customWidth="1"/>
  </cols>
  <sheetData>
    <row r="1" spans="1:12" x14ac:dyDescent="0.2">
      <c r="A1" s="41" t="s">
        <v>0</v>
      </c>
      <c r="B1" s="42"/>
      <c r="D1" s="43" t="s">
        <v>1</v>
      </c>
      <c r="E1" s="42"/>
      <c r="F1" s="42"/>
    </row>
    <row r="2" spans="1:12" x14ac:dyDescent="0.2">
      <c r="A2" s="22" t="s">
        <v>2</v>
      </c>
      <c r="B2" s="3">
        <v>0</v>
      </c>
      <c r="D2" s="16" t="e">
        <f>ROUND(K3*K16,2)</f>
        <v>#NUM!</v>
      </c>
      <c r="E2" s="19" t="s">
        <v>141</v>
      </c>
      <c r="F2" s="22" t="s">
        <v>11</v>
      </c>
      <c r="G2" s="22"/>
      <c r="H2" s="22"/>
      <c r="I2" s="22"/>
      <c r="J2" s="22"/>
      <c r="K2" s="6" t="e">
        <f>K3*(K16+B22)</f>
        <v>#NUM!</v>
      </c>
      <c r="L2" s="22" t="s">
        <v>131</v>
      </c>
    </row>
    <row r="3" spans="1:12" x14ac:dyDescent="0.2">
      <c r="A3" s="22" t="s">
        <v>6</v>
      </c>
      <c r="B3" s="13">
        <v>0</v>
      </c>
      <c r="D3" s="16" t="e">
        <f>TRUNC(D2*5%,2)</f>
        <v>#NUM!</v>
      </c>
      <c r="E3" s="19" t="s">
        <v>143</v>
      </c>
      <c r="F3" s="22" t="s">
        <v>12</v>
      </c>
      <c r="G3" s="22"/>
      <c r="H3" s="22"/>
      <c r="I3" s="22"/>
      <c r="J3" s="22"/>
      <c r="K3" s="6" t="e">
        <f>B2/K23</f>
        <v>#NUM!</v>
      </c>
      <c r="L3" s="22" t="s">
        <v>63</v>
      </c>
    </row>
    <row r="4" spans="1:12" x14ac:dyDescent="0.2">
      <c r="A4" s="22" t="s">
        <v>7</v>
      </c>
      <c r="B4" s="13">
        <v>0</v>
      </c>
      <c r="D4" s="16">
        <f>K14</f>
        <v>0</v>
      </c>
      <c r="E4" s="19" t="s">
        <v>142</v>
      </c>
      <c r="F4" s="22" t="s">
        <v>13</v>
      </c>
      <c r="G4" s="22"/>
      <c r="H4" s="22"/>
      <c r="I4" s="22"/>
      <c r="J4" s="22"/>
      <c r="K4" s="6" t="e">
        <f>K3/8</f>
        <v>#NUM!</v>
      </c>
      <c r="L4" s="22" t="s">
        <v>27</v>
      </c>
    </row>
    <row r="5" spans="1:12" x14ac:dyDescent="0.2">
      <c r="A5" s="22" t="s">
        <v>3</v>
      </c>
      <c r="B5" s="13">
        <v>0</v>
      </c>
      <c r="D5" s="16">
        <f>'Ocorrencias Folha Pagamento'!D4</f>
        <v>281.10000000000002</v>
      </c>
      <c r="E5" s="19" t="s">
        <v>144</v>
      </c>
      <c r="F5" s="22" t="s">
        <v>15</v>
      </c>
      <c r="G5" s="22"/>
      <c r="H5" s="22"/>
      <c r="I5" s="22"/>
      <c r="J5" s="22"/>
      <c r="K5" s="23" t="e">
        <f>K22+D21</f>
        <v>#NUM!</v>
      </c>
      <c r="L5" s="22" t="s">
        <v>28</v>
      </c>
    </row>
    <row r="6" spans="1:12" x14ac:dyDescent="0.2">
      <c r="A6" s="22" t="s">
        <v>5</v>
      </c>
      <c r="B6" s="13">
        <v>0</v>
      </c>
      <c r="D6" s="14">
        <f>B16</f>
        <v>0</v>
      </c>
      <c r="E6" s="19" t="s">
        <v>68</v>
      </c>
      <c r="F6" s="22" t="s">
        <v>17</v>
      </c>
      <c r="G6" s="22"/>
      <c r="H6" s="22"/>
      <c r="I6" s="22"/>
      <c r="J6" s="22"/>
      <c r="K6" s="23" t="e">
        <f>SUM(D8:D13)+D16</f>
        <v>#NUM!</v>
      </c>
      <c r="L6" s="22" t="s">
        <v>30</v>
      </c>
    </row>
    <row r="7" spans="1:12" x14ac:dyDescent="0.2">
      <c r="A7" s="22" t="s">
        <v>8</v>
      </c>
      <c r="B7" s="13">
        <v>0</v>
      </c>
      <c r="D7" s="16" t="e">
        <f>ROUNDUP((K8-K3)*B12, 2)</f>
        <v>#NUM!</v>
      </c>
      <c r="E7" s="19" t="s">
        <v>33</v>
      </c>
      <c r="F7" s="22" t="s">
        <v>34</v>
      </c>
      <c r="G7" s="22"/>
      <c r="H7" s="22"/>
      <c r="I7" s="22"/>
      <c r="J7" s="22"/>
      <c r="K7" s="23" t="e">
        <f>K6+D14</f>
        <v>#NUM!</v>
      </c>
      <c r="L7" s="22" t="s">
        <v>29</v>
      </c>
    </row>
    <row r="8" spans="1:12" x14ac:dyDescent="0.2">
      <c r="A8" s="22" t="s">
        <v>9</v>
      </c>
      <c r="B8" s="4">
        <v>0</v>
      </c>
      <c r="D8" s="16" t="e">
        <f>TRUNC(K3*B7*6%*-1, 2)</f>
        <v>#NUM!</v>
      </c>
      <c r="E8" s="19" t="s">
        <v>72</v>
      </c>
      <c r="F8" s="22" t="s">
        <v>20</v>
      </c>
      <c r="G8" s="22"/>
      <c r="H8" s="22"/>
      <c r="I8" s="22"/>
      <c r="J8" s="22"/>
      <c r="K8" s="6" t="e">
        <f>B11/K23</f>
        <v>#NUM!</v>
      </c>
      <c r="L8" s="22" t="s">
        <v>35</v>
      </c>
    </row>
    <row r="9" spans="1:12" x14ac:dyDescent="0.2">
      <c r="A9" s="22" t="s">
        <v>4</v>
      </c>
      <c r="B9" s="9">
        <v>0</v>
      </c>
      <c r="D9" s="16">
        <f>'Ocorrencias Folha Pagamento'!D5</f>
        <v>-281.10000000000002</v>
      </c>
      <c r="E9" s="19" t="s">
        <v>69</v>
      </c>
      <c r="F9" s="22" t="s">
        <v>22</v>
      </c>
      <c r="G9" s="22"/>
      <c r="H9" s="22"/>
      <c r="I9" s="22"/>
      <c r="J9" s="22"/>
      <c r="K9" s="22"/>
      <c r="L9" s="22"/>
    </row>
    <row r="10" spans="1:12" x14ac:dyDescent="0.2">
      <c r="A10" s="22" t="s">
        <v>25</v>
      </c>
      <c r="B10" s="9">
        <v>0</v>
      </c>
      <c r="D10" s="16">
        <f>'Ocorrencias Folha Pagamento'!D7</f>
        <v>-53.89</v>
      </c>
      <c r="E10" s="19" t="s">
        <v>73</v>
      </c>
      <c r="F10" s="22" t="s">
        <v>23</v>
      </c>
      <c r="G10" s="22"/>
      <c r="H10" s="22"/>
      <c r="I10" s="22"/>
      <c r="J10" s="22"/>
      <c r="K10" s="10">
        <f>B7-B15</f>
        <v>0</v>
      </c>
      <c r="L10" s="22" t="s">
        <v>39</v>
      </c>
    </row>
    <row r="11" spans="1:12" x14ac:dyDescent="0.2">
      <c r="A11" s="22" t="s">
        <v>31</v>
      </c>
      <c r="B11" s="3">
        <v>0</v>
      </c>
      <c r="D11" s="16" t="e">
        <f>ROUNDUP(((K5-ABS(D14))*B10/100), 2)*-1</f>
        <v>#NUM!</v>
      </c>
      <c r="E11" s="19" t="s">
        <v>24</v>
      </c>
      <c r="F11" s="22" t="s">
        <v>25</v>
      </c>
      <c r="G11" s="22"/>
      <c r="H11" s="22"/>
      <c r="I11" s="22"/>
      <c r="J11" s="22"/>
      <c r="K11" s="22">
        <f>(((B4-B21)*12)+(B3-B20))+1</f>
        <v>1</v>
      </c>
      <c r="L11" s="22" t="s">
        <v>55</v>
      </c>
    </row>
    <row r="12" spans="1:12" x14ac:dyDescent="0.2">
      <c r="A12" s="22" t="s">
        <v>32</v>
      </c>
      <c r="B12" s="4">
        <v>0</v>
      </c>
      <c r="D12" s="16">
        <f>ABS(ROUNDUP(B13, 2))*-1</f>
        <v>0</v>
      </c>
      <c r="E12" s="19" t="s">
        <v>14</v>
      </c>
      <c r="F12" s="22" t="s">
        <v>36</v>
      </c>
      <c r="G12" s="22"/>
      <c r="H12" s="22"/>
      <c r="I12" s="22"/>
      <c r="J12" s="22"/>
      <c r="K12" s="23" t="e">
        <f>D2/30</f>
        <v>#NUM!</v>
      </c>
      <c r="L12" s="22" t="s">
        <v>64</v>
      </c>
    </row>
    <row r="13" spans="1:12" x14ac:dyDescent="0.2">
      <c r="A13" s="22" t="s">
        <v>36</v>
      </c>
      <c r="B13" s="3">
        <v>0</v>
      </c>
      <c r="D13" s="16">
        <f>ABS(ROUNDUP(B14, 2))*-1</f>
        <v>0</v>
      </c>
      <c r="E13" s="19" t="s">
        <v>74</v>
      </c>
      <c r="F13" s="22" t="s">
        <v>37</v>
      </c>
      <c r="G13" s="22"/>
      <c r="H13" s="22"/>
      <c r="I13" s="22"/>
      <c r="J13" s="22"/>
      <c r="K13" s="24" t="e">
        <f>K22-D6-D15</f>
        <v>#NUM!</v>
      </c>
      <c r="L13" s="22" t="s">
        <v>66</v>
      </c>
    </row>
    <row r="14" spans="1:12" x14ac:dyDescent="0.2">
      <c r="A14" s="22" t="s">
        <v>37</v>
      </c>
      <c r="B14" s="3">
        <v>0</v>
      </c>
      <c r="D14" s="16" t="e">
        <f>ROUNDUP(K13*INSS!D4, 2)*-1</f>
        <v>#NUM!</v>
      </c>
      <c r="E14" s="19" t="s">
        <v>148</v>
      </c>
      <c r="F14" s="22" t="s">
        <v>26</v>
      </c>
      <c r="G14" s="22"/>
      <c r="H14" s="22"/>
      <c r="I14" s="22"/>
      <c r="J14" s="22"/>
      <c r="K14" s="22">
        <f>TRUNC(((B2/180)*20%)*B8,2)</f>
        <v>0</v>
      </c>
      <c r="L14" s="22" t="s">
        <v>13</v>
      </c>
    </row>
    <row r="15" spans="1:12" x14ac:dyDescent="0.2">
      <c r="A15" s="22" t="s">
        <v>38</v>
      </c>
      <c r="B15" s="13">
        <v>0</v>
      </c>
      <c r="D15" s="14">
        <f>B17</f>
        <v>0</v>
      </c>
      <c r="E15" s="19" t="s">
        <v>125</v>
      </c>
      <c r="F15" s="22" t="s">
        <v>49</v>
      </c>
      <c r="G15" s="22"/>
      <c r="H15" s="22"/>
      <c r="I15" s="22"/>
      <c r="J15" s="22"/>
      <c r="K15" s="22" t="e">
        <f>TRUNC(K14/B18*B19,2)</f>
        <v>#DIV/0!</v>
      </c>
      <c r="L15" s="22" t="s">
        <v>19</v>
      </c>
    </row>
    <row r="16" spans="1:12" x14ac:dyDescent="0.2">
      <c r="A16" s="22" t="s">
        <v>17</v>
      </c>
      <c r="B16" s="3">
        <v>0</v>
      </c>
      <c r="D16" s="16">
        <f>TRUNC(IF(OR(K11=2,B3=3),B2/30+B2/360,0), 2)*-1</f>
        <v>0</v>
      </c>
      <c r="E16" s="19" t="s">
        <v>52</v>
      </c>
      <c r="F16" s="22" t="s">
        <v>51</v>
      </c>
      <c r="G16" s="22"/>
      <c r="H16" s="22"/>
      <c r="I16" s="22"/>
      <c r="J16" s="22"/>
      <c r="K16" s="28">
        <f>B5</f>
        <v>0</v>
      </c>
      <c r="L16" s="29" t="s">
        <v>3</v>
      </c>
    </row>
    <row r="17" spans="1:12" x14ac:dyDescent="0.2">
      <c r="A17" s="22" t="s">
        <v>49</v>
      </c>
      <c r="B17" s="3">
        <v>0</v>
      </c>
      <c r="D17" s="14">
        <f>IF(B22&gt;0,K2-D2,0)</f>
        <v>0</v>
      </c>
      <c r="E17" s="19" t="s">
        <v>121</v>
      </c>
      <c r="F17" s="22" t="s">
        <v>58</v>
      </c>
      <c r="G17" s="22"/>
      <c r="H17" s="22"/>
      <c r="I17" s="22"/>
      <c r="J17" s="22"/>
      <c r="K17" s="30" t="e">
        <f>'Salario Familia'!D7*K16/K24</f>
        <v>#NUM!</v>
      </c>
      <c r="L17" s="29" t="s">
        <v>98</v>
      </c>
    </row>
    <row r="18" spans="1:12" x14ac:dyDescent="0.2">
      <c r="A18" s="22" t="s">
        <v>53</v>
      </c>
      <c r="B18" s="4">
        <v>0</v>
      </c>
      <c r="D18" s="16">
        <f>B23*-1</f>
        <v>0</v>
      </c>
      <c r="E18" s="19" t="s">
        <v>61</v>
      </c>
      <c r="F18" s="22" t="s">
        <v>60</v>
      </c>
      <c r="G18" s="22"/>
      <c r="H18" s="22"/>
      <c r="I18" s="22"/>
      <c r="J18" s="22"/>
      <c r="K18" s="30" t="e">
        <f>'Salario Familia'!D8*K16/K24</f>
        <v>#NUM!</v>
      </c>
      <c r="L18" s="29" t="s">
        <v>99</v>
      </c>
    </row>
    <row r="19" spans="1:12" x14ac:dyDescent="0.2">
      <c r="A19" s="22" t="s">
        <v>54</v>
      </c>
      <c r="B19" s="4">
        <v>0</v>
      </c>
      <c r="D19" s="16" t="e">
        <f>TRUNC((B6*K3)*-1, 2)</f>
        <v>#NUM!</v>
      </c>
      <c r="E19" s="19" t="s">
        <v>75</v>
      </c>
      <c r="F19" s="22" t="s">
        <v>5</v>
      </c>
      <c r="G19" s="22"/>
      <c r="H19" s="22"/>
      <c r="I19" s="22"/>
      <c r="J19" s="22"/>
      <c r="K19" s="30" t="e">
        <f>'Salario Familia'!D9*K16/K24</f>
        <v>#NUM!</v>
      </c>
      <c r="L19" s="29" t="s">
        <v>100</v>
      </c>
    </row>
    <row r="20" spans="1:12" x14ac:dyDescent="0.2">
      <c r="A20" s="22" t="s">
        <v>56</v>
      </c>
      <c r="B20" s="13">
        <v>0</v>
      </c>
      <c r="D20" s="16" t="e">
        <f>TRUNC((B25*K3)*-1,2)</f>
        <v>#NUM!</v>
      </c>
      <c r="E20" s="19" t="s">
        <v>126</v>
      </c>
      <c r="F20" s="22" t="s">
        <v>65</v>
      </c>
      <c r="G20" s="22"/>
      <c r="H20" s="22"/>
      <c r="I20" s="22"/>
      <c r="J20" s="22"/>
      <c r="K20" s="30" t="e">
        <f>'Salario Familia'!D10*K16/K24</f>
        <v>#NUM!</v>
      </c>
      <c r="L20" s="29" t="s">
        <v>101</v>
      </c>
    </row>
    <row r="21" spans="1:12" x14ac:dyDescent="0.2">
      <c r="A21" s="22" t="s">
        <v>57</v>
      </c>
      <c r="B21" s="13">
        <v>0</v>
      </c>
      <c r="D21" s="16" t="e">
        <f>SUM(K17:K21)</f>
        <v>#NUM!</v>
      </c>
      <c r="E21" s="19" t="s">
        <v>174</v>
      </c>
      <c r="F21" s="22" t="s">
        <v>97</v>
      </c>
      <c r="G21" s="22"/>
      <c r="H21" s="22"/>
      <c r="I21" s="22"/>
      <c r="J21" s="22"/>
      <c r="K21" s="30" t="e">
        <f>'Salario Familia'!D11*K16/K24</f>
        <v>#NUM!</v>
      </c>
      <c r="L21" s="29" t="s">
        <v>102</v>
      </c>
    </row>
    <row r="22" spans="1:12" x14ac:dyDescent="0.2">
      <c r="A22" s="22" t="s">
        <v>59</v>
      </c>
      <c r="B22" s="13">
        <v>0</v>
      </c>
      <c r="D22" s="16">
        <f>IF(B6=0,0,D3*-1)</f>
        <v>0</v>
      </c>
      <c r="E22" s="19" t="s">
        <v>127</v>
      </c>
      <c r="F22" s="22" t="s">
        <v>128</v>
      </c>
      <c r="K22" s="23" t="e">
        <f>SUM(D2:D7)+D15+B24+D17</f>
        <v>#NUM!</v>
      </c>
      <c r="L22" s="22" t="s">
        <v>108</v>
      </c>
    </row>
    <row r="23" spans="1:12" x14ac:dyDescent="0.2">
      <c r="A23" s="22" t="s">
        <v>60</v>
      </c>
      <c r="B23" s="3">
        <v>0</v>
      </c>
      <c r="D23" s="16">
        <f>K31*(K25/12)</f>
        <v>0</v>
      </c>
      <c r="E23" s="19" t="s">
        <v>145</v>
      </c>
      <c r="F23" t="s">
        <v>155</v>
      </c>
      <c r="K23" s="31" t="e">
        <f>TEXT(EDATE(DATE(B4,B3,1), 1)-1,"dd")</f>
        <v>#NUM!</v>
      </c>
      <c r="L23" s="22" t="s">
        <v>129</v>
      </c>
    </row>
    <row r="24" spans="1:12" x14ac:dyDescent="0.2">
      <c r="A24" s="22" t="s">
        <v>62</v>
      </c>
      <c r="B24" s="3">
        <v>0</v>
      </c>
      <c r="D24" s="16">
        <f>K31*K29/12</f>
        <v>0</v>
      </c>
      <c r="E24" s="19" t="s">
        <v>150</v>
      </c>
      <c r="F24" t="s">
        <v>154</v>
      </c>
      <c r="K24" s="32">
        <v>30</v>
      </c>
      <c r="L24" s="22" t="s">
        <v>130</v>
      </c>
    </row>
    <row r="25" spans="1:12" x14ac:dyDescent="0.2">
      <c r="A25" s="22" t="s">
        <v>65</v>
      </c>
      <c r="B25" s="13">
        <v>0</v>
      </c>
      <c r="D25" s="16">
        <f>D24/3+D28/3</f>
        <v>0</v>
      </c>
      <c r="E25" s="19" t="s">
        <v>173</v>
      </c>
      <c r="F25" t="s">
        <v>153</v>
      </c>
      <c r="K25">
        <f>IF(B21=B4,IF(DAY(B43) &lt; 15,B3-B20-1,B3-B20),IF(DAY(B43) &lt; 15,B3-1,B3))</f>
        <v>-1</v>
      </c>
      <c r="L25" s="22" t="s">
        <v>146</v>
      </c>
    </row>
    <row r="26" spans="1:12" x14ac:dyDescent="0.2">
      <c r="A26" s="22" t="s">
        <v>80</v>
      </c>
      <c r="B26" s="3">
        <v>0</v>
      </c>
      <c r="D26" s="16" t="e">
        <f>(K13/D14)*(D23+D24+D25)</f>
        <v>#NUM!</v>
      </c>
      <c r="E26" s="19" t="s">
        <v>149</v>
      </c>
      <c r="F26" t="s">
        <v>152</v>
      </c>
      <c r="K26" s="6">
        <f>AVERAGE(B26:B29)+AVERAGE(B30:B33)+AVERAGE(B34:B37)</f>
        <v>0</v>
      </c>
      <c r="L26" s="22" t="s">
        <v>156</v>
      </c>
    </row>
    <row r="27" spans="1:12" x14ac:dyDescent="0.2">
      <c r="A27" s="22" t="s">
        <v>81</v>
      </c>
      <c r="B27" s="3">
        <v>0</v>
      </c>
      <c r="D27" s="16">
        <f>(K31/30)*(30+(3*K27))</f>
        <v>0</v>
      </c>
      <c r="E27" s="19" t="s">
        <v>147</v>
      </c>
      <c r="F27" t="s">
        <v>151</v>
      </c>
      <c r="K27">
        <f>INT(YEARFRAC(B47,B43))</f>
        <v>0</v>
      </c>
      <c r="L27" t="s">
        <v>157</v>
      </c>
    </row>
    <row r="28" spans="1:12" x14ac:dyDescent="0.2">
      <c r="A28" s="22" t="s">
        <v>82</v>
      </c>
      <c r="B28" s="3">
        <v>0</v>
      </c>
      <c r="D28" s="35">
        <f>K30*K31</f>
        <v>0</v>
      </c>
      <c r="E28" s="19" t="s">
        <v>165</v>
      </c>
      <c r="F28" s="22" t="s">
        <v>166</v>
      </c>
      <c r="K28" s="36">
        <f>DATEDIF(B47,B43,"M")-(12*B52)</f>
        <v>-36</v>
      </c>
      <c r="L28" s="22" t="s">
        <v>62</v>
      </c>
    </row>
    <row r="29" spans="1:12" x14ac:dyDescent="0.2">
      <c r="A29" s="22" t="s">
        <v>89</v>
      </c>
      <c r="B29" s="3">
        <v>0</v>
      </c>
      <c r="D29" s="35">
        <f>D23/K25*K29</f>
        <v>0</v>
      </c>
      <c r="E29" s="19" t="s">
        <v>167</v>
      </c>
      <c r="F29" s="22" t="s">
        <v>168</v>
      </c>
      <c r="K29" s="36">
        <f>MOD(K28,12)</f>
        <v>0</v>
      </c>
      <c r="L29" s="22" t="s">
        <v>171</v>
      </c>
    </row>
    <row r="30" spans="1:12" x14ac:dyDescent="0.2">
      <c r="A30" s="22" t="s">
        <v>83</v>
      </c>
      <c r="B30" s="3">
        <v>0</v>
      </c>
      <c r="D30" s="35">
        <f>D29</f>
        <v>0</v>
      </c>
      <c r="E30" s="19" t="s">
        <v>169</v>
      </c>
      <c r="F30" s="22" t="s">
        <v>170</v>
      </c>
      <c r="K30" s="36">
        <f>TRUNC(K28/12,0)</f>
        <v>-3</v>
      </c>
      <c r="L30" s="22" t="s">
        <v>166</v>
      </c>
    </row>
    <row r="31" spans="1:12" x14ac:dyDescent="0.2">
      <c r="A31" s="22" t="s">
        <v>84</v>
      </c>
      <c r="B31" s="3">
        <v>0</v>
      </c>
      <c r="D31" s="39" t="e">
        <f>K32</f>
        <v>#NUM!</v>
      </c>
      <c r="E31" s="19" t="s">
        <v>175</v>
      </c>
      <c r="F31" s="22" t="s">
        <v>133</v>
      </c>
      <c r="K31" s="37">
        <f>B2+AVERAGE(B30:B33)+AVERAGE(B34:B37)+AVERAGE(B48:B51)</f>
        <v>0</v>
      </c>
      <c r="L31" s="22" t="s">
        <v>172</v>
      </c>
    </row>
    <row r="32" spans="1:12" x14ac:dyDescent="0.2">
      <c r="A32" s="22" t="s">
        <v>85</v>
      </c>
      <c r="B32" s="3">
        <v>0</v>
      </c>
      <c r="D32" s="39" t="e">
        <f>K33</f>
        <v>#NUM!</v>
      </c>
      <c r="E32" s="19" t="s">
        <v>16</v>
      </c>
      <c r="F32" s="22" t="s">
        <v>135</v>
      </c>
      <c r="K32" s="34" t="e">
        <f>ROUNDUP(2*B53*ROUNDUP(K3,2),2)</f>
        <v>#NUM!</v>
      </c>
      <c r="L32" s="22" t="s">
        <v>133</v>
      </c>
    </row>
    <row r="33" spans="1:12" x14ac:dyDescent="0.2">
      <c r="A33" s="22" t="s">
        <v>90</v>
      </c>
      <c r="B33" s="3">
        <v>0</v>
      </c>
      <c r="D33" s="39" t="e">
        <f>ROUND(K3*B56,2)</f>
        <v>#NUM!</v>
      </c>
      <c r="E33" s="19" t="s">
        <v>138</v>
      </c>
      <c r="F33" s="22" t="s">
        <v>139</v>
      </c>
      <c r="K33" s="34" t="e">
        <f>ROUNDUP(2*B54*K3,2)</f>
        <v>#NUM!</v>
      </c>
      <c r="L33" s="22" t="s">
        <v>135</v>
      </c>
    </row>
    <row r="34" spans="1:12" x14ac:dyDescent="0.2">
      <c r="A34" s="22" t="s">
        <v>86</v>
      </c>
      <c r="B34" s="3">
        <v>0</v>
      </c>
      <c r="D34" s="39" t="e">
        <f>ROUND(K4*B57,2)</f>
        <v>#NUM!</v>
      </c>
      <c r="E34" s="19" t="s">
        <v>176</v>
      </c>
      <c r="F34" s="22" t="s">
        <v>140</v>
      </c>
    </row>
    <row r="35" spans="1:12" x14ac:dyDescent="0.2">
      <c r="A35" s="22" t="s">
        <v>87</v>
      </c>
      <c r="B35" s="3">
        <v>0</v>
      </c>
      <c r="D35" s="39">
        <f>B58</f>
        <v>0</v>
      </c>
      <c r="E35" s="19" t="s">
        <v>179</v>
      </c>
      <c r="F35" s="22" t="s">
        <v>178</v>
      </c>
    </row>
    <row r="36" spans="1:12" x14ac:dyDescent="0.2">
      <c r="A36" s="22" t="s">
        <v>88</v>
      </c>
      <c r="B36" s="3">
        <v>0</v>
      </c>
    </row>
    <row r="37" spans="1:12" x14ac:dyDescent="0.2">
      <c r="A37" s="22" t="s">
        <v>91</v>
      </c>
      <c r="B37" s="3">
        <v>0</v>
      </c>
    </row>
    <row r="38" spans="1:12" x14ac:dyDescent="0.2">
      <c r="A38" s="22" t="s">
        <v>92</v>
      </c>
      <c r="B38" s="4">
        <v>0</v>
      </c>
    </row>
    <row r="39" spans="1:12" x14ac:dyDescent="0.2">
      <c r="A39" s="22" t="s">
        <v>93</v>
      </c>
      <c r="B39" s="4">
        <v>0</v>
      </c>
    </row>
    <row r="40" spans="1:12" x14ac:dyDescent="0.2">
      <c r="A40" s="22" t="s">
        <v>94</v>
      </c>
      <c r="B40" s="4">
        <v>0</v>
      </c>
    </row>
    <row r="41" spans="1:12" x14ac:dyDescent="0.2">
      <c r="A41" s="22" t="s">
        <v>95</v>
      </c>
      <c r="B41" s="4">
        <v>0</v>
      </c>
    </row>
    <row r="42" spans="1:12" x14ac:dyDescent="0.2">
      <c r="A42" s="22" t="s">
        <v>96</v>
      </c>
      <c r="B42" s="4">
        <v>0</v>
      </c>
    </row>
    <row r="43" spans="1:12" x14ac:dyDescent="0.2">
      <c r="A43" t="s">
        <v>111</v>
      </c>
      <c r="B43" s="26"/>
    </row>
    <row r="44" spans="1:12" x14ac:dyDescent="0.2">
      <c r="A44" t="s">
        <v>112</v>
      </c>
      <c r="B44" s="26"/>
    </row>
    <row r="45" spans="1:12" x14ac:dyDescent="0.2">
      <c r="A45" t="s">
        <v>113</v>
      </c>
      <c r="B45" s="26"/>
    </row>
    <row r="46" spans="1:12" x14ac:dyDescent="0.2">
      <c r="A46" t="s">
        <v>114</v>
      </c>
    </row>
    <row r="47" spans="1:12" x14ac:dyDescent="0.2">
      <c r="A47" t="s">
        <v>158</v>
      </c>
    </row>
    <row r="48" spans="1:12" x14ac:dyDescent="0.2">
      <c r="A48" s="22" t="s">
        <v>159</v>
      </c>
      <c r="B48" s="3">
        <v>0</v>
      </c>
    </row>
    <row r="49" spans="1:2" x14ac:dyDescent="0.2">
      <c r="A49" s="22" t="s">
        <v>160</v>
      </c>
      <c r="B49" s="3">
        <v>0</v>
      </c>
    </row>
    <row r="50" spans="1:2" x14ac:dyDescent="0.2">
      <c r="A50" s="22" t="s">
        <v>161</v>
      </c>
      <c r="B50" s="3">
        <v>0</v>
      </c>
    </row>
    <row r="51" spans="1:2" x14ac:dyDescent="0.2">
      <c r="A51" s="22" t="s">
        <v>162</v>
      </c>
      <c r="B51" s="3">
        <v>0</v>
      </c>
    </row>
    <row r="52" spans="1:2" x14ac:dyDescent="0.2">
      <c r="A52" s="22" t="s">
        <v>164</v>
      </c>
      <c r="B52" s="22">
        <v>3</v>
      </c>
    </row>
    <row r="53" spans="1:2" x14ac:dyDescent="0.2">
      <c r="A53" s="22" t="s">
        <v>133</v>
      </c>
      <c r="B53" s="33">
        <v>0</v>
      </c>
    </row>
    <row r="54" spans="1:2" x14ac:dyDescent="0.2">
      <c r="A54" s="22" t="s">
        <v>135</v>
      </c>
      <c r="B54" s="33">
        <v>0</v>
      </c>
    </row>
    <row r="55" spans="1:2" x14ac:dyDescent="0.2">
      <c r="A55" s="22" t="s">
        <v>136</v>
      </c>
      <c r="B55" s="4">
        <v>0</v>
      </c>
    </row>
    <row r="56" spans="1:2" x14ac:dyDescent="0.2">
      <c r="A56" s="22" t="s">
        <v>137</v>
      </c>
      <c r="B56" s="13">
        <v>0</v>
      </c>
    </row>
    <row r="57" spans="1:2" x14ac:dyDescent="0.2">
      <c r="A57" s="22" t="s">
        <v>140</v>
      </c>
      <c r="B57" s="4">
        <v>0</v>
      </c>
    </row>
    <row r="58" spans="1:2" x14ac:dyDescent="0.2">
      <c r="A58" s="22" t="s">
        <v>178</v>
      </c>
      <c r="B58" s="4">
        <v>0</v>
      </c>
    </row>
  </sheetData>
  <mergeCells count="2">
    <mergeCell ref="A1:B1"/>
    <mergeCell ref="D1:F1"/>
  </mergeCells>
  <pageMargins left="0.511811024" right="0.511811024" top="0.78740157499999996" bottom="0.78740157499999996" header="0.31496062000000002" footer="0.31496062000000002"/>
  <pageSetup paperSize="9" orientation="portrait" horizontalDpi="4294967292" verticalDpi="4294967292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ED5A3-29EF-1B46-A21D-6A8F7F105710}">
  <dimension ref="A1:N6"/>
  <sheetViews>
    <sheetView workbookViewId="0">
      <selection activeCell="D4" sqref="D4"/>
    </sheetView>
  </sheetViews>
  <sheetFormatPr baseColWidth="10" defaultColWidth="8.83203125" defaultRowHeight="15" x14ac:dyDescent="0.2"/>
  <cols>
    <col min="1" max="3" width="12.1640625" style="22" bestFit="1" customWidth="1"/>
    <col min="4" max="11" width="8.83203125" style="22"/>
    <col min="12" max="12" width="8.83203125" style="40"/>
    <col min="13" max="14" width="12.1640625" style="22" bestFit="1" customWidth="1"/>
    <col min="15" max="16384" width="8.83203125" style="22"/>
  </cols>
  <sheetData>
    <row r="1" spans="1:14" x14ac:dyDescent="0.2">
      <c r="A1" s="41" t="s">
        <v>0</v>
      </c>
      <c r="B1" s="42"/>
      <c r="D1" s="43" t="s">
        <v>1</v>
      </c>
      <c r="E1" s="42"/>
      <c r="F1" s="42"/>
      <c r="L1" s="41" t="s">
        <v>180</v>
      </c>
      <c r="M1" s="41"/>
      <c r="N1" s="41"/>
    </row>
    <row r="2" spans="1:14" x14ac:dyDescent="0.2">
      <c r="A2" s="23">
        <f>Salario!K13</f>
        <v>0</v>
      </c>
      <c r="D2" s="22">
        <f>IF(A2&lt;=$M$2, $L$2, IF(A2 &lt;= $N$3,$L$3, IF(A2&lt;=$N$4,$L$4,IF(A2&lt;$N$5,$L$5,$L$6))))</f>
        <v>0</v>
      </c>
      <c r="L2" s="40">
        <v>0</v>
      </c>
      <c r="M2" s="3">
        <v>1903.98</v>
      </c>
      <c r="N2" s="3"/>
    </row>
    <row r="3" spans="1:14" x14ac:dyDescent="0.2">
      <c r="A3" s="6">
        <f>Ferias!K2</f>
        <v>0</v>
      </c>
      <c r="D3" s="22">
        <f>IF(A3&lt;=$M$2, $L$2, IF(A3 &lt;= $N$3,$L$3, IF(A3&lt;=$N$4,$L$4,IF(A3&lt;$N$5,$L$5,$L$6))))</f>
        <v>0</v>
      </c>
      <c r="L3" s="40">
        <v>7.4999999999999997E-2</v>
      </c>
      <c r="M3" s="3">
        <f>M2+0.01</f>
        <v>1903.99</v>
      </c>
      <c r="N3" s="3">
        <v>2826.65</v>
      </c>
    </row>
    <row r="4" spans="1:14" x14ac:dyDescent="0.2">
      <c r="A4" s="22" t="e">
        <f>Rescisao!K13</f>
        <v>#NUM!</v>
      </c>
      <c r="D4" s="22" t="e">
        <f>IF(A4&lt;=$M$2, $L$2, IF(A4 &lt;= $N$3,$L$3, IF(A4&lt;=$N$4,$L$4,IF(A4&lt;$N$5,$L$5,$L$6))))</f>
        <v>#NUM!</v>
      </c>
      <c r="L4" s="40">
        <v>0.15</v>
      </c>
      <c r="M4" s="3">
        <f>N3+0.01</f>
        <v>2826.6600000000003</v>
      </c>
      <c r="N4" s="3">
        <v>3751.05</v>
      </c>
    </row>
    <row r="5" spans="1:14" x14ac:dyDescent="0.2">
      <c r="L5" s="40">
        <v>0.22500000000000001</v>
      </c>
      <c r="M5" s="3">
        <f>N4+0.01</f>
        <v>3751.0600000000004</v>
      </c>
      <c r="N5" s="3">
        <v>4664.68</v>
      </c>
    </row>
    <row r="6" spans="1:14" x14ac:dyDescent="0.2">
      <c r="L6" s="40">
        <v>0.27500000000000002</v>
      </c>
      <c r="M6" s="3">
        <f>N5+0.01</f>
        <v>4664.6900000000005</v>
      </c>
      <c r="N6" s="3"/>
    </row>
  </sheetData>
  <mergeCells count="3">
    <mergeCell ref="A1:B1"/>
    <mergeCell ref="D1:F1"/>
    <mergeCell ref="L1:N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Salario</vt:lpstr>
      <vt:lpstr>Ferias</vt:lpstr>
      <vt:lpstr>Ocorrencias Folha Pagamento</vt:lpstr>
      <vt:lpstr>INSS</vt:lpstr>
      <vt:lpstr>Salario Familia</vt:lpstr>
      <vt:lpstr>Rescisao</vt:lpstr>
      <vt:lpstr>IRPF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homero.kzam</dc:creator>
  <cp:lastModifiedBy>Homero Kzam</cp:lastModifiedBy>
  <dcterms:created xsi:type="dcterms:W3CDTF">2010-05-10T22:29:41Z</dcterms:created>
  <dcterms:modified xsi:type="dcterms:W3CDTF">2019-03-03T12:18:26Z</dcterms:modified>
</cp:coreProperties>
</file>