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vytahy-my.sharepoint.com/personal/jan_holec_el-vy_cz/Documents/Dokumenty/__EL-VY/_RIZENI FIRMY/_System firmy/Shareholding_EL-VY/"/>
    </mc:Choice>
  </mc:AlternateContent>
  <xr:revisionPtr revIDLastSave="198" documentId="13_ncr:1_{47E7C517-9DF4-B544-BB9C-6F03FD62D9BC}" xr6:coauthVersionLast="47" xr6:coauthVersionMax="47" xr10:uidLastSave="{B2CFF49F-E4DD-41B3-AEE4-33583E90569F}"/>
  <bookViews>
    <workbookView xWindow="-120" yWindow="-120" windowWidth="2904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Share_prog!$D$21</definedName>
    <definedName name="CelkovyNakladNarustMzdaKlicZamestVerDob">Share_prog!$E$21</definedName>
    <definedName name="CelkovyNakladNarustMzdaObchodZamestVerDob">Share_prog!$G$21</definedName>
    <definedName name="CelkovyNakladNarustMzdaStratZamestVerDob">Share_prog!$F$21</definedName>
    <definedName name="CelkovyNakladNarustMzdaZamestVerDob">Share_prog!$C$21</definedName>
    <definedName name="CelyNakladShareDulZamest">Share_prog!$C$25</definedName>
    <definedName name="CelyNakladShareKlicZamest">Share_prog!$C$23</definedName>
    <definedName name="CelyNakladShareStratZamest">Share_prog!$C$27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Share_prog!$G$64</definedName>
    <definedName name="KoefMotivaceDo1mil">Share_prog!$G$64</definedName>
    <definedName name="KoefMotivaceNad1mil">Share_prog!$H$64</definedName>
    <definedName name="MzdaPrumerCR">Share_prog!$D$11</definedName>
    <definedName name="MzdaZamest">Share_prog!#REF!</definedName>
    <definedName name="NakladNarustMzdaDulZamestVerDob">Share_prog!$E$87</definedName>
    <definedName name="NakladNarustMzdaKlicZamestVerDob">Share_prog!$E$92</definedName>
    <definedName name="NakladNarustMzdaZamestVerDob">Share_prog!$E$82</definedName>
    <definedName name="NakladObchodVerDob">Share_prog!$D$77</definedName>
    <definedName name="NakladShareDulZamest">Share_prog!$C$52</definedName>
    <definedName name="NakladShareKlicZamest">Share_prog!$C$48</definedName>
    <definedName name="NakladShareStratZamest">Share_prog!$C$56</definedName>
    <definedName name="NarustMzdaDulZamest">Share_prog!#REF!</definedName>
    <definedName name="NarustMzdaDulZamestZaklad">Share_prog!$D$86</definedName>
    <definedName name="NarustMzdaKlicZamest">Share_prog!#REF!</definedName>
    <definedName name="NarustMzdaKlicZamestZaklad">Share_prog!$D$91</definedName>
    <definedName name="NarustMzdaZamest">Share_prog!$D$81</definedName>
    <definedName name="ObratFy">Share_prog!$G$57</definedName>
    <definedName name="ObratObchod">Share_prog!$G$59</definedName>
    <definedName name="PlosinaObjem">Share_prog!$I$74</definedName>
    <definedName name="PocetAutovytahu">Share_prog!$H$66</definedName>
    <definedName name="PocetDulZamest">Share_prog!$E$20</definedName>
    <definedName name="PocetKlicZamest">Share_prog!$D$20</definedName>
    <definedName name="PocetObchod">Share_prog!$G$20</definedName>
    <definedName name="PocetObchodniku">Share_prog!$G$60</definedName>
    <definedName name="PocetPlosin">Share_prog!$G$66</definedName>
    <definedName name="PocetStratZamest">Share_prog!$F$20</definedName>
    <definedName name="PocetZamest">Share_prog!$C$20</definedName>
    <definedName name="PodilObchodu">Share_prog!$G$58</definedName>
    <definedName name="PodilObratuObchodnika">Share_prog!$G$61</definedName>
    <definedName name="PozadObratDo1mil">Share_prog!$G$65</definedName>
    <definedName name="PozadObratNad1mil">Share_prog!$H$65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Share_prog!$C$51</definedName>
    <definedName name="ProcShareKlicZamest">Share_prog!$C$47</definedName>
    <definedName name="ProcShareStartZamest">Share_prog!$C$55</definedName>
    <definedName name="RezieFirmy">Share_prog!$I$75</definedName>
    <definedName name="ShareDulZamest">Share_prog!$D$51</definedName>
    <definedName name="ShareKlicZamest">Share_prog!$D$47</definedName>
    <definedName name="ShareStratZamest">Share_prog!$D$55</definedName>
    <definedName name="VernDoba">Share_prog!$C$17</definedName>
    <definedName name="VysledekPlosiny">Share_prog!$I$76</definedName>
    <definedName name="ZiskPlosina">Share_prog!$I$74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G70" i="1"/>
  <c r="I87" i="1"/>
  <c r="I89" i="1" s="1"/>
  <c r="I92" i="1" s="1"/>
  <c r="I76" i="1"/>
  <c r="I78" i="1" s="1"/>
  <c r="I81" i="1" s="1"/>
  <c r="G59" i="1"/>
  <c r="G61" i="1" s="1"/>
  <c r="H65" i="1" s="1"/>
  <c r="G56" i="1"/>
  <c r="C93" i="1"/>
  <c r="C92" i="1"/>
  <c r="C88" i="1"/>
  <c r="C87" i="1"/>
  <c r="D14" i="1"/>
  <c r="D91" i="1" s="1"/>
  <c r="E92" i="1" s="1"/>
  <c r="E21" i="1" s="1"/>
  <c r="D13" i="1"/>
  <c r="D86" i="1" s="1"/>
  <c r="E87" i="1" s="1"/>
  <c r="D21" i="1" s="1"/>
  <c r="D12" i="1"/>
  <c r="D81" i="1" s="1"/>
  <c r="C83" i="1"/>
  <c r="C82" i="1"/>
  <c r="C9" i="1"/>
  <c r="D47" i="1"/>
  <c r="D55" i="1"/>
  <c r="D51" i="1"/>
  <c r="C52" i="1" s="1"/>
  <c r="C25" i="1" s="1"/>
  <c r="C26" i="1" s="1"/>
  <c r="D72" i="1"/>
  <c r="D74" i="1" s="1"/>
  <c r="D76" i="1" s="1"/>
  <c r="D77" i="1" s="1"/>
  <c r="H32" i="1" s="1"/>
  <c r="I93" i="1" l="1"/>
  <c r="I82" i="1"/>
  <c r="G65" i="1"/>
  <c r="D92" i="1"/>
  <c r="E39" i="1"/>
  <c r="C32" i="1"/>
  <c r="C34" i="1" s="1"/>
  <c r="C56" i="1"/>
  <c r="C27" i="1" s="1"/>
  <c r="C28" i="1" s="1"/>
  <c r="D93" i="1"/>
  <c r="D87" i="1"/>
  <c r="D88" i="1"/>
  <c r="E82" i="1"/>
  <c r="D82" i="1"/>
  <c r="D83" i="1"/>
  <c r="C48" i="1"/>
  <c r="C23" i="1" s="1"/>
  <c r="E40" i="1" l="1"/>
  <c r="E41" i="1"/>
  <c r="E42" i="1"/>
  <c r="E38" i="1"/>
  <c r="F21" i="1"/>
  <c r="G21" i="1"/>
  <c r="C21" i="1"/>
  <c r="C24" i="1"/>
  <c r="F32" i="1"/>
  <c r="D32" i="1"/>
  <c r="C35" i="1"/>
  <c r="C33" i="1"/>
  <c r="E32" i="1" l="1"/>
  <c r="G32" i="1"/>
  <c r="I32" i="1" s="1"/>
  <c r="D34" i="1"/>
  <c r="D33" i="1"/>
  <c r="D35" i="1"/>
  <c r="E34" i="1" l="1"/>
  <c r="E44" i="1"/>
  <c r="E35" i="1"/>
  <c r="E33" i="1"/>
</calcChain>
</file>

<file path=xl/sharedStrings.xml><?xml version="1.0" encoding="utf-8"?>
<sst xmlns="http://schemas.openxmlformats.org/spreadsheetml/2006/main" count="146" uniqueCount="117">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</sst>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9" fontId="1" fillId="0" borderId="0" xfId="0" applyNumberFormat="1" applyFont="1"/>
    <xf numFmtId="9" fontId="2" fillId="0" borderId="0" xfId="0" applyNumberFormat="1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topLeftCell="A48" workbookViewId="0">
      <selection activeCell="G57" sqref="G57"/>
    </sheetView>
  </sheetViews>
  <sheetFormatPr defaultColWidth="12.42578125" defaultRowHeight="15.75" customHeight="1"/>
  <cols>
    <col min="2" max="2" width="43.140625" customWidth="1"/>
    <col min="3" max="3" width="15" customWidth="1"/>
    <col min="4" max="4" width="14.140625" customWidth="1"/>
    <col min="5" max="5" width="32.28515625" customWidth="1"/>
    <col min="6" max="6" width="25.5703125" customWidth="1"/>
    <col min="7" max="7" width="29.42578125" customWidth="1"/>
    <col min="8" max="8" width="20.85546875" customWidth="1"/>
    <col min="9" max="9" width="13.85546875" customWidth="1"/>
  </cols>
  <sheetData>
    <row r="1" spans="1:8" ht="12.75">
      <c r="A1" s="1" t="s">
        <v>0</v>
      </c>
    </row>
    <row r="3" spans="1:8" ht="12.75">
      <c r="A3" s="6" t="s">
        <v>7</v>
      </c>
      <c r="F3" s="27" t="s">
        <v>89</v>
      </c>
    </row>
    <row r="4" spans="1:8" ht="15.75" customHeight="1">
      <c r="G4">
        <v>2021</v>
      </c>
      <c r="H4">
        <v>2022</v>
      </c>
    </row>
    <row r="5" spans="1:8" ht="12.75">
      <c r="A5" s="22" t="s">
        <v>88</v>
      </c>
      <c r="C5" s="2">
        <v>10000000</v>
      </c>
      <c r="F5" s="28" t="s">
        <v>90</v>
      </c>
    </row>
    <row r="6" spans="1:8" ht="12.75">
      <c r="A6" s="1" t="s">
        <v>1</v>
      </c>
      <c r="C6" s="3">
        <v>0.2</v>
      </c>
      <c r="F6" s="28" t="s">
        <v>91</v>
      </c>
    </row>
    <row r="7" spans="1:8" ht="12.75">
      <c r="A7" s="1" t="s">
        <v>2</v>
      </c>
      <c r="C7" s="2">
        <v>1000000</v>
      </c>
    </row>
    <row r="8" spans="1:8" ht="12.75">
      <c r="A8" s="1" t="s">
        <v>3</v>
      </c>
      <c r="C8" s="3">
        <v>0.05</v>
      </c>
    </row>
    <row r="9" spans="1:8" ht="12.75">
      <c r="C9" s="2">
        <f xml:space="preserve"> HospVysledek * ProcInvestice</f>
        <v>500000</v>
      </c>
    </row>
    <row r="10" spans="1:8" ht="12.75">
      <c r="C10" s="2"/>
    </row>
    <row r="11" spans="1:8" ht="15.75" customHeight="1">
      <c r="A11" s="1" t="s">
        <v>41</v>
      </c>
      <c r="D11" s="4">
        <v>42000</v>
      </c>
    </row>
    <row r="12" spans="1:8" ht="15.75" customHeight="1">
      <c r="A12" s="1" t="s">
        <v>61</v>
      </c>
      <c r="C12">
        <v>0.4</v>
      </c>
      <c r="D12" s="4">
        <f xml:space="preserve"> C12 * MzdaPrumerCR</f>
        <v>16800</v>
      </c>
    </row>
    <row r="13" spans="1:8" ht="15.75" customHeight="1">
      <c r="A13" s="1" t="s">
        <v>62</v>
      </c>
      <c r="C13">
        <v>0.75</v>
      </c>
      <c r="D13" s="4">
        <f xml:space="preserve"> C13 * MzdaPrumerCR</f>
        <v>31500</v>
      </c>
    </row>
    <row r="14" spans="1:8" ht="15.75" customHeight="1">
      <c r="A14" s="1" t="s">
        <v>63</v>
      </c>
      <c r="C14">
        <v>1</v>
      </c>
      <c r="D14" s="4">
        <f xml:space="preserve"> C14 * MzdaPrumerCR</f>
        <v>42000</v>
      </c>
    </row>
    <row r="15" spans="1:8" ht="15.75" customHeight="1">
      <c r="A15" s="1" t="s">
        <v>60</v>
      </c>
      <c r="D15" s="3">
        <v>1.4999999999999999E-2</v>
      </c>
    </row>
    <row r="16" spans="1:8" ht="15.75" customHeight="1">
      <c r="A16" s="1"/>
      <c r="D16" s="3"/>
    </row>
    <row r="17" spans="1:9" ht="15.75" customHeight="1">
      <c r="A17" s="1" t="s">
        <v>5</v>
      </c>
      <c r="C17" s="1">
        <v>5</v>
      </c>
      <c r="D17" s="1" t="s">
        <v>6</v>
      </c>
    </row>
    <row r="18" spans="1:9" ht="15.75" customHeight="1">
      <c r="A18" s="1"/>
      <c r="D18" s="3"/>
    </row>
    <row r="19" spans="1:9" ht="15.75" customHeight="1">
      <c r="A19" s="22" t="s">
        <v>86</v>
      </c>
      <c r="C19" s="22" t="s">
        <v>71</v>
      </c>
      <c r="D19" s="24" t="s">
        <v>72</v>
      </c>
      <c r="E19" s="22" t="s">
        <v>73</v>
      </c>
      <c r="F19" s="22" t="s">
        <v>74</v>
      </c>
      <c r="G19" s="22" t="s">
        <v>77</v>
      </c>
    </row>
    <row r="20" spans="1:9" ht="15.75" customHeight="1">
      <c r="A20" s="22" t="s">
        <v>70</v>
      </c>
      <c r="C20" s="1">
        <v>30</v>
      </c>
      <c r="D20" s="15">
        <v>4</v>
      </c>
      <c r="E20" s="15">
        <v>4</v>
      </c>
      <c r="F20" s="1">
        <v>2</v>
      </c>
      <c r="G20">
        <v>2</v>
      </c>
    </row>
    <row r="21" spans="1:9" ht="15.75" customHeight="1">
      <c r="A21" s="23" t="s">
        <v>75</v>
      </c>
      <c r="C21" s="4">
        <f xml:space="preserve"> PocetZamest * NakladNarustMzdaZamestVerDob</f>
        <v>3175200</v>
      </c>
      <c r="D21" s="4">
        <f xml:space="preserve"> PocetDulZamest * NakladNarustMzdaDulZamestVerDob</f>
        <v>793800</v>
      </c>
      <c r="E21" s="4">
        <f xml:space="preserve"> PocetKlicZamest * NakladNarustMzdaKlicZamestVerDob</f>
        <v>1058400</v>
      </c>
      <c r="F21" s="4">
        <f xml:space="preserve"> PocetStratZamest * NakladNarustMzdaZamestVerDob</f>
        <v>211680</v>
      </c>
      <c r="G21" s="4">
        <f xml:space="preserve"> PocetObchod * NakladNarustMzdaZamestVerDob</f>
        <v>211680</v>
      </c>
    </row>
    <row r="22" spans="1:9" ht="15.75" customHeight="1">
      <c r="D22" s="4"/>
    </row>
    <row r="23" spans="1:9" ht="15.75" customHeight="1">
      <c r="A23" s="1" t="s">
        <v>12</v>
      </c>
      <c r="C23" s="16">
        <f xml:space="preserve"> PocetKlicZamest * NakladShareKlicZamest</f>
        <v>2000000</v>
      </c>
      <c r="D23" s="22" t="s">
        <v>13</v>
      </c>
    </row>
    <row r="24" spans="1:9" ht="15.75" customHeight="1">
      <c r="A24" s="1"/>
      <c r="C24" s="16">
        <f>C23 / VernDoba</f>
        <v>400000</v>
      </c>
      <c r="D24" s="1" t="s">
        <v>14</v>
      </c>
    </row>
    <row r="25" spans="1:9" ht="15.75" customHeight="1">
      <c r="A25" s="22" t="s">
        <v>15</v>
      </c>
      <c r="C25" s="16">
        <f xml:space="preserve"> PocetDulZamest * NakladShareDulZamest</f>
        <v>1400000</v>
      </c>
      <c r="D25" s="1" t="s">
        <v>13</v>
      </c>
    </row>
    <row r="26" spans="1:9" ht="15.75" customHeight="1">
      <c r="A26" s="1"/>
      <c r="C26" s="16">
        <f>C25 / VernDoba</f>
        <v>280000</v>
      </c>
      <c r="D26" s="22" t="s">
        <v>14</v>
      </c>
    </row>
    <row r="27" spans="1:9" ht="15.75" customHeight="1">
      <c r="A27" s="22" t="s">
        <v>69</v>
      </c>
      <c r="C27" s="16">
        <f xml:space="preserve"> PocetStratZamest * NakladShareStratZamest</f>
        <v>2500000</v>
      </c>
      <c r="D27" s="1" t="s">
        <v>13</v>
      </c>
    </row>
    <row r="28" spans="1:9" ht="15.75" customHeight="1">
      <c r="A28" s="1"/>
      <c r="C28" s="16">
        <f xml:space="preserve"> C27 / VernDoba</f>
        <v>500000</v>
      </c>
      <c r="D28" s="22" t="s">
        <v>14</v>
      </c>
    </row>
    <row r="29" spans="1:9" ht="12.75"/>
    <row r="30" spans="1:9" ht="12.75">
      <c r="A30" s="1"/>
      <c r="C30" s="1"/>
      <c r="D30" s="1"/>
    </row>
    <row r="31" spans="1:9" ht="12.75">
      <c r="A31" s="1" t="s">
        <v>16</v>
      </c>
      <c r="C31" s="1" t="s">
        <v>17</v>
      </c>
      <c r="D31" s="1" t="s">
        <v>18</v>
      </c>
      <c r="E31" s="22" t="s">
        <v>76</v>
      </c>
      <c r="F31" s="23" t="s">
        <v>67</v>
      </c>
      <c r="G31" s="22" t="s">
        <v>68</v>
      </c>
      <c r="H31" s="22" t="s">
        <v>79</v>
      </c>
      <c r="I31" s="22" t="s">
        <v>87</v>
      </c>
    </row>
    <row r="32" spans="1:9" ht="12.75">
      <c r="A32" s="1" t="s">
        <v>19</v>
      </c>
      <c r="C32" s="4">
        <f xml:space="preserve"> VernDoba * (HospVysledek - HospProvoz - HospInvestice)</f>
        <v>42500000</v>
      </c>
      <c r="D32" s="4">
        <f xml:space="preserve"> VernDoba * (HospVysledek - HospProvoz - HospInvestice) - CelyNakladShareKlicZamest - CelyNakladShareDulZamest - CelyNakladShareStratZamest</f>
        <v>36600000</v>
      </c>
      <c r="E32" s="26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30349240</v>
      </c>
      <c r="F32">
        <f xml:space="preserve"> (CelyNakladShareKlicZamest + CelyNakladShareDulZamest + CelyNakladShareStratZamest) / (HospVysledek * VernDoba) * 100</f>
        <v>11.799999999999999</v>
      </c>
      <c r="G32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10.901520000000001</v>
      </c>
      <c r="H32">
        <f xml:space="preserve"> PocetObchod * NakladObchodVerDob / (VernDoba * HospVysledek) * 100</f>
        <v>1.6</v>
      </c>
      <c r="I32">
        <f xml:space="preserve"> F32 + G32 + H32</f>
        <v>24.301520000000004</v>
      </c>
    </row>
    <row r="33" spans="1:5" ht="12.75">
      <c r="A33" s="17" t="s">
        <v>20</v>
      </c>
      <c r="C33" s="4">
        <f t="shared" ref="C33" si="0">0.6*C32</f>
        <v>25500000</v>
      </c>
      <c r="D33" s="4">
        <f>0.6*D32</f>
        <v>21960000</v>
      </c>
      <c r="E33">
        <f>0.6*E32</f>
        <v>18209544</v>
      </c>
    </row>
    <row r="34" spans="1:5" ht="12.75">
      <c r="A34" s="17" t="s">
        <v>21</v>
      </c>
      <c r="C34" s="4">
        <f t="shared" ref="C34" si="1">0.2*C32</f>
        <v>8500000</v>
      </c>
      <c r="D34" s="4">
        <f>0.2*D32</f>
        <v>7320000</v>
      </c>
      <c r="E34">
        <f>0.2*E32</f>
        <v>6069848</v>
      </c>
    </row>
    <row r="35" spans="1:5" ht="12.75">
      <c r="A35" s="17" t="s">
        <v>22</v>
      </c>
      <c r="C35" s="4">
        <f t="shared" ref="C35:D35" si="2">0.2*C32</f>
        <v>8500000</v>
      </c>
      <c r="D35" s="4">
        <f t="shared" si="2"/>
        <v>7320000</v>
      </c>
      <c r="E35">
        <f>0.2*E32</f>
        <v>6069848</v>
      </c>
    </row>
    <row r="36" spans="1:5" ht="12.75">
      <c r="A36" s="1"/>
      <c r="C36" s="1"/>
      <c r="D36" s="1"/>
    </row>
    <row r="37" spans="1:5" ht="12.75">
      <c r="A37" s="1"/>
      <c r="C37" s="1"/>
      <c r="D37" s="1"/>
      <c r="E37" s="23" t="s">
        <v>80</v>
      </c>
    </row>
    <row r="38" spans="1:5" ht="12.75">
      <c r="A38" s="22" t="s">
        <v>81</v>
      </c>
      <c r="C38" s="1"/>
      <c r="D38" s="1"/>
      <c r="E38">
        <f xml:space="preserve"> NakladNarustMzdaZamestVerDob</f>
        <v>105840</v>
      </c>
    </row>
    <row r="39" spans="1:5" ht="12.75">
      <c r="A39" s="22" t="s">
        <v>82</v>
      </c>
      <c r="C39" s="1"/>
      <c r="D39" s="1"/>
      <c r="E39">
        <f xml:space="preserve"> NakladNarustMzdaDulZamestVerDob + NakladShareDulZamest</f>
        <v>548450</v>
      </c>
    </row>
    <row r="40" spans="1:5" ht="12.75">
      <c r="A40" s="22" t="s">
        <v>83</v>
      </c>
      <c r="C40" s="1"/>
      <c r="D40" s="1"/>
      <c r="E40">
        <f xml:space="preserve"> NakladNarustMzdaKlicZamestVerDob + NakladShareKlicZamest</f>
        <v>764600</v>
      </c>
    </row>
    <row r="41" spans="1:5" ht="12.75">
      <c r="A41" s="22" t="s">
        <v>23</v>
      </c>
      <c r="C41" s="1"/>
      <c r="D41" s="1"/>
      <c r="E41">
        <f xml:space="preserve"> NakladNarustMzdaZamestVerDob + NakladObchodVerDob</f>
        <v>505840</v>
      </c>
    </row>
    <row r="42" spans="1:5" ht="12.75">
      <c r="A42" s="22" t="s">
        <v>84</v>
      </c>
      <c r="C42" s="1"/>
      <c r="D42" s="1"/>
      <c r="E42">
        <f xml:space="preserve"> NakladNarustMzdaZamestVerDob + NakladShareStratZamest</f>
        <v>1355840</v>
      </c>
    </row>
    <row r="43" spans="1:5" ht="12.75">
      <c r="A43" s="22"/>
      <c r="C43" s="1"/>
      <c r="D43" s="1"/>
    </row>
    <row r="44" spans="1:5" ht="12.75">
      <c r="A44" s="1"/>
      <c r="C44" s="1"/>
      <c r="D44" s="22" t="s">
        <v>85</v>
      </c>
      <c r="E44">
        <f xml:space="preserve"> E32 + PocetZamest * E38 + PocetDulZamest * E39 + PocetKlicZamest * E40 + PocetObchod * E41 + PocetStratZamest * E42</f>
        <v>42500000</v>
      </c>
    </row>
    <row r="45" spans="1:5" ht="12.75">
      <c r="A45" s="1"/>
      <c r="C45" s="1"/>
      <c r="D45" s="1"/>
    </row>
    <row r="46" spans="1:5" ht="12.75">
      <c r="A46" s="7" t="s">
        <v>8</v>
      </c>
      <c r="C46" s="3"/>
      <c r="D46" s="4"/>
    </row>
    <row r="47" spans="1:5" ht="12.75">
      <c r="A47" s="1" t="s">
        <v>4</v>
      </c>
      <c r="C47" s="5">
        <v>0.01</v>
      </c>
      <c r="D47" s="2">
        <f xml:space="preserve"> HospVysledek * ProcShareKlicZamest</f>
        <v>100000</v>
      </c>
      <c r="E47" s="6" t="s">
        <v>9</v>
      </c>
    </row>
    <row r="48" spans="1:5" ht="12.75">
      <c r="A48" s="1" t="s">
        <v>10</v>
      </c>
      <c r="C48" s="4">
        <f xml:space="preserve"> ShareKlicZamest * VernDoba</f>
        <v>500000</v>
      </c>
    </row>
    <row r="49" spans="1:26" ht="12.75">
      <c r="A49" s="1"/>
      <c r="C49" s="4"/>
      <c r="D49" s="1"/>
    </row>
    <row r="50" spans="1:26" ht="12.75">
      <c r="A50" s="8" t="s">
        <v>11</v>
      </c>
      <c r="C50" s="10"/>
      <c r="D50" s="1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12" t="s">
        <v>4</v>
      </c>
      <c r="B51" s="9"/>
      <c r="C51" s="13">
        <v>7.0000000000000001E-3</v>
      </c>
      <c r="D51" s="11">
        <f xml:space="preserve"> HospVysledek * ProcShareDulZamest</f>
        <v>70000</v>
      </c>
      <c r="E51" s="14" t="s">
        <v>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12" t="s">
        <v>10</v>
      </c>
      <c r="B52" s="9"/>
      <c r="C52" s="11">
        <f xml:space="preserve"> ShareDulZamest * VernDoba</f>
        <v>350000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12"/>
      <c r="B53" s="9"/>
      <c r="C53" s="1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7" t="s">
        <v>38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1" t="s">
        <v>39</v>
      </c>
      <c r="C55" s="3">
        <v>2.5000000000000001E-2</v>
      </c>
      <c r="D55" s="4">
        <f xml:space="preserve"> HospVysledek * ProcShareStartZamest</f>
        <v>250000</v>
      </c>
      <c r="E55" s="6" t="s">
        <v>9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1" t="s">
        <v>10</v>
      </c>
      <c r="C56">
        <f xml:space="preserve"> ShareStratZamest * VernDoba</f>
        <v>1250000</v>
      </c>
      <c r="D56" s="4"/>
      <c r="F56" s="29" t="s">
        <v>103</v>
      </c>
      <c r="G56" s="30">
        <f>HospVysledek</f>
        <v>10000000</v>
      </c>
      <c r="H56" s="31"/>
      <c r="I56" s="3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F57" s="29" t="s">
        <v>96</v>
      </c>
      <c r="G57" s="30">
        <v>80000000</v>
      </c>
      <c r="H57" s="32"/>
      <c r="I57" s="32"/>
    </row>
    <row r="58" spans="1:26" ht="15.75" customHeight="1">
      <c r="F58" s="33" t="s">
        <v>104</v>
      </c>
      <c r="G58" s="34">
        <v>0.8</v>
      </c>
      <c r="H58" s="35" t="s">
        <v>99</v>
      </c>
      <c r="I58" s="32"/>
    </row>
    <row r="59" spans="1:26" ht="12.75">
      <c r="A59" s="7" t="s">
        <v>23</v>
      </c>
      <c r="F59" s="33" t="s">
        <v>97</v>
      </c>
      <c r="G59" s="36">
        <f>ObratFy*G58</f>
        <v>64000000</v>
      </c>
      <c r="H59" s="32"/>
      <c r="I59" s="32"/>
    </row>
    <row r="60" spans="1:26" ht="12.75">
      <c r="A60" s="1" t="s">
        <v>24</v>
      </c>
      <c r="C60" s="1"/>
      <c r="F60" s="33" t="s">
        <v>98</v>
      </c>
      <c r="G60" s="32">
        <v>3</v>
      </c>
      <c r="H60" s="35" t="s">
        <v>100</v>
      </c>
      <c r="I60" s="32"/>
    </row>
    <row r="61" spans="1:26" ht="12.75">
      <c r="A61" s="1" t="s">
        <v>25</v>
      </c>
      <c r="F61" s="33" t="s">
        <v>101</v>
      </c>
      <c r="G61" s="36">
        <f>ObratObchod/PocetObchodniku</f>
        <v>21333333.333333332</v>
      </c>
      <c r="H61" s="32"/>
      <c r="I61" s="32"/>
    </row>
    <row r="62" spans="1:26" ht="12.75">
      <c r="A62" s="1" t="s">
        <v>26</v>
      </c>
      <c r="C62" s="4"/>
      <c r="D62" s="4">
        <v>5000000</v>
      </c>
      <c r="F62" s="32"/>
      <c r="G62" s="33" t="s">
        <v>93</v>
      </c>
      <c r="H62" s="32"/>
      <c r="I62" s="32"/>
    </row>
    <row r="63" spans="1:26" ht="12.75">
      <c r="A63" s="1" t="s">
        <v>27</v>
      </c>
      <c r="C63" s="1"/>
      <c r="D63" s="1">
        <v>10</v>
      </c>
      <c r="E63" s="1" t="s">
        <v>28</v>
      </c>
      <c r="F63" s="32"/>
      <c r="G63" s="29" t="s">
        <v>92</v>
      </c>
      <c r="H63" s="29" t="s">
        <v>94</v>
      </c>
      <c r="I63" s="35" t="s">
        <v>106</v>
      </c>
    </row>
    <row r="64" spans="1:26" ht="15.75" customHeight="1">
      <c r="F64" s="33" t="s">
        <v>102</v>
      </c>
      <c r="G64" s="32">
        <v>0.3</v>
      </c>
      <c r="H64" s="32">
        <v>0.5</v>
      </c>
      <c r="I64" s="35" t="s">
        <v>105</v>
      </c>
    </row>
    <row r="65" spans="1:9" ht="12.75">
      <c r="A65" s="1" t="s">
        <v>29</v>
      </c>
      <c r="F65" s="33" t="s">
        <v>95</v>
      </c>
      <c r="G65" s="36">
        <f>PodilObratuObchodnika*KoefMotivace</f>
        <v>6399999.9999999991</v>
      </c>
      <c r="H65" s="36">
        <f>PodilObratuObchodnika*KoefMotivaceNad1mil</f>
        <v>10666666.666666666</v>
      </c>
      <c r="I65" s="32"/>
    </row>
    <row r="66" spans="1:9" ht="12.75">
      <c r="A66" s="1" t="s">
        <v>30</v>
      </c>
      <c r="C66" s="4"/>
      <c r="D66" s="4">
        <v>200000</v>
      </c>
      <c r="F66" s="33" t="s">
        <v>107</v>
      </c>
      <c r="G66" s="32">
        <v>12</v>
      </c>
      <c r="H66" s="32">
        <v>5</v>
      </c>
      <c r="I66" s="35" t="s">
        <v>108</v>
      </c>
    </row>
    <row r="67" spans="1:9" ht="12.75">
      <c r="A67" s="1"/>
      <c r="C67" s="4"/>
      <c r="D67" s="4"/>
      <c r="F67" s="33"/>
      <c r="G67" s="32"/>
      <c r="H67" s="32"/>
      <c r="I67" s="35"/>
    </row>
    <row r="68" spans="1:9" ht="12.75">
      <c r="A68" s="1"/>
      <c r="C68" s="4"/>
      <c r="D68" s="4"/>
      <c r="F68" s="33" t="s">
        <v>111</v>
      </c>
      <c r="G68" s="29" t="s">
        <v>112</v>
      </c>
      <c r="H68" s="29" t="s">
        <v>113</v>
      </c>
      <c r="I68" s="35" t="s">
        <v>114</v>
      </c>
    </row>
    <row r="69" spans="1:9" ht="12.75">
      <c r="A69" s="1"/>
      <c r="C69" s="4"/>
      <c r="D69" s="4"/>
      <c r="F69" s="33"/>
      <c r="G69" s="36">
        <v>500000</v>
      </c>
      <c r="H69" s="36">
        <v>2500000</v>
      </c>
      <c r="I69" s="35"/>
    </row>
    <row r="70" spans="1:9" ht="12.75">
      <c r="A70" s="1"/>
      <c r="C70" s="4"/>
      <c r="D70" s="4"/>
      <c r="F70" s="33" t="s">
        <v>115</v>
      </c>
      <c r="G70" s="36">
        <f>G69*PocetPlosin</f>
        <v>6000000</v>
      </c>
      <c r="H70" s="36">
        <f>H69*PocetAutovytahu</f>
        <v>12500000</v>
      </c>
      <c r="I70" s="35" t="s">
        <v>116</v>
      </c>
    </row>
    <row r="71" spans="1:9" ht="12.75">
      <c r="B71" s="1" t="s">
        <v>31</v>
      </c>
      <c r="C71" s="18"/>
      <c r="D71" s="18">
        <v>0.2</v>
      </c>
      <c r="F71" s="33"/>
      <c r="G71" s="32"/>
      <c r="H71" s="32"/>
      <c r="I71" s="35"/>
    </row>
    <row r="72" spans="1:9" ht="12.75">
      <c r="B72" s="1" t="s">
        <v>32</v>
      </c>
      <c r="D72" s="4">
        <f>D66*(1-D71)</f>
        <v>160000</v>
      </c>
      <c r="F72" s="33"/>
      <c r="G72" s="36"/>
      <c r="H72" s="32"/>
      <c r="I72" s="32"/>
    </row>
    <row r="73" spans="1:9" ht="12.75">
      <c r="B73" s="1" t="s">
        <v>33</v>
      </c>
      <c r="C73" s="19"/>
      <c r="D73" s="19">
        <v>0.05</v>
      </c>
      <c r="F73" s="37" t="s">
        <v>29</v>
      </c>
      <c r="G73" s="32"/>
      <c r="H73" s="32"/>
      <c r="I73" s="32"/>
    </row>
    <row r="74" spans="1:9" ht="12.75">
      <c r="B74" s="1" t="s">
        <v>34</v>
      </c>
      <c r="C74" s="6"/>
      <c r="D74" s="2">
        <f>D72*D73</f>
        <v>8000</v>
      </c>
      <c r="F74" s="37" t="s">
        <v>30</v>
      </c>
      <c r="G74" s="38" t="s">
        <v>31</v>
      </c>
      <c r="H74" s="36"/>
      <c r="I74" s="36">
        <v>200000</v>
      </c>
    </row>
    <row r="75" spans="1:9" ht="15.75" customHeight="1">
      <c r="B75" s="1" t="s">
        <v>35</v>
      </c>
      <c r="F75" s="32"/>
      <c r="G75" s="37" t="s">
        <v>109</v>
      </c>
      <c r="H75" s="34"/>
      <c r="I75" s="34">
        <v>0.2</v>
      </c>
    </row>
    <row r="76" spans="1:9" ht="12.75">
      <c r="A76" s="1" t="s">
        <v>36</v>
      </c>
      <c r="C76" s="6"/>
      <c r="D76" s="2">
        <f>D74*D63</f>
        <v>80000</v>
      </c>
      <c r="F76" s="32"/>
      <c r="G76" s="38" t="s">
        <v>32</v>
      </c>
      <c r="H76" s="32"/>
      <c r="I76" s="36">
        <f>I74*(1-I75)</f>
        <v>160000</v>
      </c>
    </row>
    <row r="77" spans="1:9" ht="12.75">
      <c r="A77" s="25" t="s">
        <v>78</v>
      </c>
      <c r="D77" s="16">
        <f xml:space="preserve"> D76 * VernDoba</f>
        <v>400000</v>
      </c>
      <c r="E77" s="1" t="s">
        <v>37</v>
      </c>
      <c r="F77" s="32"/>
      <c r="G77" s="38" t="s">
        <v>34</v>
      </c>
      <c r="H77" s="39"/>
      <c r="I77" s="39">
        <v>0.05</v>
      </c>
    </row>
    <row r="78" spans="1:9" ht="15.75" customHeight="1">
      <c r="F78" s="32"/>
      <c r="G78" s="37" t="s">
        <v>35</v>
      </c>
      <c r="H78" s="40"/>
      <c r="I78" s="41">
        <f>I76*I77</f>
        <v>8000</v>
      </c>
    </row>
    <row r="79" spans="1:9" ht="15.75" customHeight="1">
      <c r="F79" s="32"/>
      <c r="G79" s="32"/>
      <c r="H79" s="32"/>
      <c r="I79" s="32"/>
    </row>
    <row r="80" spans="1:9" ht="12.75">
      <c r="A80" s="7" t="s">
        <v>40</v>
      </c>
      <c r="F80" s="32"/>
      <c r="G80" s="32"/>
      <c r="H80" s="40"/>
      <c r="I80" s="32"/>
    </row>
    <row r="81" spans="1:9" ht="12.75">
      <c r="A81" s="22" t="s">
        <v>42</v>
      </c>
      <c r="D81" s="2">
        <f xml:space="preserve"> CilMzdaZamest * ProcMzdaZamest</f>
        <v>252</v>
      </c>
      <c r="E81" s="23" t="s">
        <v>66</v>
      </c>
      <c r="F81" s="38" t="s">
        <v>36</v>
      </c>
      <c r="G81" s="32"/>
      <c r="H81" s="32"/>
      <c r="I81" s="41">
        <f>I78*PocetPlosin</f>
        <v>96000</v>
      </c>
    </row>
    <row r="82" spans="1:9" ht="12.75">
      <c r="A82" s="22" t="s">
        <v>43</v>
      </c>
      <c r="C82" s="1">
        <f xml:space="preserve"> VernDoba</f>
        <v>5</v>
      </c>
      <c r="D82" s="4">
        <f xml:space="preserve"> CilMzdaZamest + VernDoba * (VernDoba + 1) / 2 * NarustMzdaZamest</f>
        <v>20580</v>
      </c>
      <c r="E82">
        <f xml:space="preserve"> VernDoba * (VernDoba + 1)  * (VernDoba + 2) / 6 * NarustMzdaZamest * 12</f>
        <v>105840</v>
      </c>
      <c r="F82" s="42" t="s">
        <v>78</v>
      </c>
      <c r="G82" s="32"/>
      <c r="H82" s="32"/>
      <c r="I82" s="43">
        <f xml:space="preserve"> I81 * VernDoba</f>
        <v>480000</v>
      </c>
    </row>
    <row r="83" spans="1:9" ht="12.75">
      <c r="C83" s="1">
        <f xml:space="preserve"> 2 * VernDoba</f>
        <v>10</v>
      </c>
      <c r="D83" s="4">
        <f xml:space="preserve"> CilMzdaZamest + 2 * VernDoba * (2 * VernDoba + 1) / 2 * NarustMzdaZamest</f>
        <v>30660</v>
      </c>
      <c r="F83" s="32"/>
      <c r="G83" s="32"/>
      <c r="H83" s="32"/>
      <c r="I83" s="32"/>
    </row>
    <row r="84" spans="1:9" ht="12.75">
      <c r="C84" s="1"/>
      <c r="D84" s="4"/>
      <c r="F84" s="32"/>
      <c r="G84" s="32"/>
      <c r="H84" s="32"/>
      <c r="I84" s="32"/>
    </row>
    <row r="85" spans="1:9" ht="12.75">
      <c r="A85" s="21" t="s">
        <v>64</v>
      </c>
      <c r="C85" s="1"/>
      <c r="D85" s="4"/>
      <c r="F85" s="37" t="s">
        <v>110</v>
      </c>
      <c r="G85" s="38" t="s">
        <v>31</v>
      </c>
      <c r="H85" s="36"/>
      <c r="I85" s="36">
        <v>200000</v>
      </c>
    </row>
    <row r="86" spans="1:9" ht="15.75" customHeight="1">
      <c r="A86" t="s">
        <v>42</v>
      </c>
      <c r="D86">
        <f xml:space="preserve"> CilMzdaDulZamest * ProcMzdaZamest</f>
        <v>472.5</v>
      </c>
      <c r="F86" s="32"/>
      <c r="G86" s="37" t="s">
        <v>109</v>
      </c>
      <c r="H86" s="34"/>
      <c r="I86" s="34">
        <v>0.2</v>
      </c>
    </row>
    <row r="87" spans="1:9" ht="12.75">
      <c r="A87" s="22" t="s">
        <v>43</v>
      </c>
      <c r="C87" s="1">
        <f xml:space="preserve"> VernDoba</f>
        <v>5</v>
      </c>
      <c r="D87" s="2">
        <f xml:space="preserve"> CilMzdaDulZamest + VernDoba * (VernDoba + 1) / 2 * NarustMzdaDulZamestZaklad</f>
        <v>38587.5</v>
      </c>
      <c r="E87">
        <f xml:space="preserve"> VernDoba * (VernDoba + 1)  * (VernDoba + 2) / 6 * NarustMzdaDulZamestZaklad * 12</f>
        <v>198450</v>
      </c>
      <c r="F87" s="32"/>
      <c r="G87" s="38" t="s">
        <v>32</v>
      </c>
      <c r="H87" s="32"/>
      <c r="I87" s="36">
        <f>I85*(1-I86)</f>
        <v>160000</v>
      </c>
    </row>
    <row r="88" spans="1:9" ht="12.75">
      <c r="A88" s="1"/>
      <c r="C88" s="1">
        <f xml:space="preserve"> 2 * VernDoba</f>
        <v>10</v>
      </c>
      <c r="D88" s="2">
        <f xml:space="preserve"> CilMzdaDulZamest + 2 * VernDoba * (2 * VernDoba + 1) / 2 * NarustMzdaDulZamestZaklad</f>
        <v>57487.5</v>
      </c>
      <c r="F88" s="32"/>
      <c r="G88" s="38" t="s">
        <v>34</v>
      </c>
      <c r="H88" s="39"/>
      <c r="I88" s="39">
        <v>0.1</v>
      </c>
    </row>
    <row r="89" spans="1:9" ht="12.75">
      <c r="A89" s="1"/>
      <c r="C89" s="1"/>
      <c r="D89" s="2"/>
      <c r="F89" s="32"/>
      <c r="G89" s="37" t="s">
        <v>35</v>
      </c>
      <c r="H89" s="40"/>
      <c r="I89" s="41">
        <f>I87*I88</f>
        <v>16000</v>
      </c>
    </row>
    <row r="90" spans="1:9" ht="12.75">
      <c r="A90" s="21" t="s">
        <v>65</v>
      </c>
      <c r="C90" s="1"/>
      <c r="D90" s="2"/>
      <c r="F90" s="32"/>
      <c r="G90" s="32"/>
      <c r="H90" s="32"/>
      <c r="I90" s="32"/>
    </row>
    <row r="91" spans="1:9" ht="12.75">
      <c r="A91" s="22" t="s">
        <v>42</v>
      </c>
      <c r="C91" s="1"/>
      <c r="D91" s="2">
        <f xml:space="preserve"> CilMzdaKlicZamest * ProcMzdaZamest</f>
        <v>630</v>
      </c>
      <c r="F91" s="32"/>
      <c r="G91" s="32"/>
      <c r="H91" s="40"/>
      <c r="I91" s="32"/>
    </row>
    <row r="92" spans="1:9" ht="12.75">
      <c r="A92" s="22" t="s">
        <v>43</v>
      </c>
      <c r="C92" s="1">
        <f xml:space="preserve"> VernDoba</f>
        <v>5</v>
      </c>
      <c r="D92" s="2">
        <f xml:space="preserve"> CilMzdaKlicZamest + VernDoba * (VernDoba + 1) / 2 * NarustMzdaKlicZamestZaklad</f>
        <v>51450</v>
      </c>
      <c r="E92">
        <f xml:space="preserve"> VernDoba * (VernDoba + 1)  * (VernDoba + 2) / 6 * NarustMzdaKlicZamestZaklad * 12</f>
        <v>264600</v>
      </c>
      <c r="F92" s="38" t="s">
        <v>36</v>
      </c>
      <c r="G92" s="32"/>
      <c r="H92" s="32"/>
      <c r="I92" s="41">
        <f>I89*PocetAutovytahu</f>
        <v>80000</v>
      </c>
    </row>
    <row r="93" spans="1:9" ht="12.75">
      <c r="A93" s="1"/>
      <c r="C93" s="1">
        <f xml:space="preserve"> 2 * VernDoba</f>
        <v>10</v>
      </c>
      <c r="D93" s="2">
        <f xml:space="preserve"> CilMzdaKlicZamest + 2 * VernDoba * (2 * VernDoba + 1) / 2 * NarustMzdaKlicZamestZaklad</f>
        <v>76650</v>
      </c>
      <c r="F93" s="42" t="s">
        <v>78</v>
      </c>
      <c r="G93" s="32"/>
      <c r="H93" s="32"/>
      <c r="I93" s="43">
        <f xml:space="preserve"> I92 * VernDoba</f>
        <v>400000</v>
      </c>
    </row>
    <row r="94" spans="1:9" ht="12.75">
      <c r="A94" s="1"/>
      <c r="C94" s="1"/>
      <c r="D94" s="2"/>
    </row>
    <row r="95" spans="1:9" ht="12.75">
      <c r="A95" s="1"/>
      <c r="C95" s="1"/>
      <c r="D95" s="2"/>
    </row>
    <row r="96" spans="1:9" ht="12.75">
      <c r="A96" s="1"/>
      <c r="C96" s="1"/>
      <c r="D96" s="2"/>
    </row>
    <row r="98" spans="1:4" ht="12.75"/>
    <row r="100" spans="1:4" ht="12.75">
      <c r="A100" s="6"/>
      <c r="D100" s="16"/>
    </row>
    <row r="101" spans="1:4" ht="17.25">
      <c r="A101" s="6"/>
      <c r="D101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defaultColWidth="8.85546875" defaultRowHeight="12.75"/>
  <cols>
    <col min="1" max="1" width="18.28515625" bestFit="1" customWidth="1"/>
    <col min="3" max="3" width="12.42578125" bestFit="1" customWidth="1"/>
    <col min="4" max="4" width="10.7109375" bestFit="1" customWidth="1"/>
  </cols>
  <sheetData>
    <row r="2" spans="1:4">
      <c r="A2" t="s">
        <v>44</v>
      </c>
      <c r="B2" t="s">
        <v>45</v>
      </c>
      <c r="C2" t="s">
        <v>46</v>
      </c>
      <c r="D2" t="s">
        <v>47</v>
      </c>
    </row>
    <row r="3" spans="1:4">
      <c r="A3" t="s">
        <v>48</v>
      </c>
      <c r="B3" t="s">
        <v>51</v>
      </c>
      <c r="C3" t="s">
        <v>55</v>
      </c>
      <c r="D3" t="s">
        <v>57</v>
      </c>
    </row>
    <row r="4" spans="1:4">
      <c r="A4" t="s">
        <v>50</v>
      </c>
      <c r="B4" t="s">
        <v>52</v>
      </c>
      <c r="C4" t="s">
        <v>56</v>
      </c>
      <c r="D4" t="s">
        <v>58</v>
      </c>
    </row>
    <row r="5" spans="1:4">
      <c r="A5" t="s">
        <v>54</v>
      </c>
      <c r="B5" t="s">
        <v>49</v>
      </c>
    </row>
    <row r="6" spans="1:4">
      <c r="A6" t="s">
        <v>53</v>
      </c>
      <c r="B6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56</vt:i4>
      </vt:variant>
    </vt:vector>
  </HeadingPairs>
  <TitlesOfParts>
    <vt:vector size="58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NakladObchodVerDob</vt:lpstr>
      <vt:lpstr>NakladShareDulZamest</vt:lpstr>
      <vt:lpstr>NakladShareKlicZamest</vt:lpstr>
      <vt:lpstr>NakladShareStratZamest</vt:lpstr>
      <vt:lpstr>NarustMzdaDulZamestZaklad</vt:lpstr>
      <vt:lpstr>NarustMzdaKlicZamestZaklad</vt:lpstr>
      <vt:lpstr>NarustMzdaZamest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ZiskPlosina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</cp:lastModifiedBy>
  <dcterms:created xsi:type="dcterms:W3CDTF">2022-09-23T19:46:35Z</dcterms:created>
  <dcterms:modified xsi:type="dcterms:W3CDTF">2022-10-06T16:45:34Z</dcterms:modified>
</cp:coreProperties>
</file>