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13_ncr:1_{47E7C517-9DF4-B544-BB9C-6F03FD62D9BC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Share_prog!$D$21</definedName>
    <definedName name="CelkovyNakladNarustMzdaKlicZamestVerDob">Share_prog!$E$21</definedName>
    <definedName name="CelkovyNakladNarustMzdaObchodZamestVerDob">Share_prog!$G$21</definedName>
    <definedName name="CelkovyNakladNarustMzdaStratZamestVerDob">Share_prog!$F$21</definedName>
    <definedName name="CelkovyNakladNarustMzdaZamestVerDob">Share_prog!$C$21</definedName>
    <definedName name="CelyNakladShareDulZamest">Share_prog!$C$25</definedName>
    <definedName name="CelyNakladShareKlicZamest">Share_prog!$C$23</definedName>
    <definedName name="CelyNakladShareStratZamest">Share_prog!$C$27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MzdaPrumerCR">Share_prog!$D$11</definedName>
    <definedName name="MzdaZamest">Share_prog!#REF!</definedName>
    <definedName name="NakladNarustMzdaDulZamestVerDob">Share_prog!$E$83</definedName>
    <definedName name="NakladNarustMzdaKlicZamestVerDob">Share_prog!$E$88</definedName>
    <definedName name="NakladNarustMzdaZamestVerDob">Share_prog!$E$78</definedName>
    <definedName name="NakladObchodVerDob">Share_prog!$D$73</definedName>
    <definedName name="NakladShareDulZamest">Share_prog!$C$52</definedName>
    <definedName name="NakladShareKlicZamest">Share_prog!$C$48</definedName>
    <definedName name="NakladShareStratZamest">Share_prog!$C$56</definedName>
    <definedName name="NarustMzdaDulZamest">Share_prog!#REF!</definedName>
    <definedName name="NarustMzdaDulZamestZaklad">Share_prog!$D$82</definedName>
    <definedName name="NarustMzdaKlicZamest">Share_prog!#REF!</definedName>
    <definedName name="NarustMzdaKlicZamestZaklad">Share_prog!$D$87</definedName>
    <definedName name="NarustMzdaZamest">Share_prog!$D$77</definedName>
    <definedName name="PocetDulZamest">Share_prog!$E$20</definedName>
    <definedName name="PocetKlicZamest">Share_prog!$D$20</definedName>
    <definedName name="PocetObchod">Share_prog!$G$20</definedName>
    <definedName name="PocetStratZamest">Share_prog!$F$20</definedName>
    <definedName name="PocetZamest">Share_prog!$C$20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Share_prog!$C$51</definedName>
    <definedName name="ProcShareKlicZamest">Share_prog!$C$47</definedName>
    <definedName name="ProcShareStartZamest">Share_prog!$C$55</definedName>
    <definedName name="ShareDulZamest">Share_prog!$D$51</definedName>
    <definedName name="ShareKlicZamest">Share_prog!$D$47</definedName>
    <definedName name="ShareStratZamest">Share_prog!$D$55</definedName>
    <definedName name="VernDoba">Share_prog!$C$17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C88" i="1"/>
  <c r="C84" i="1"/>
  <c r="C83" i="1"/>
  <c r="D14" i="1"/>
  <c r="D87" i="1" s="1"/>
  <c r="E88" i="1" s="1"/>
  <c r="E21" i="1" s="1"/>
  <c r="D13" i="1"/>
  <c r="D82" i="1" s="1"/>
  <c r="E83" i="1" s="1"/>
  <c r="D21" i="1" s="1"/>
  <c r="D12" i="1"/>
  <c r="D77" i="1" s="1"/>
  <c r="C79" i="1"/>
  <c r="C78" i="1"/>
  <c r="C9" i="1"/>
  <c r="D47" i="1"/>
  <c r="D55" i="1"/>
  <c r="D51" i="1"/>
  <c r="C52" i="1" s="1"/>
  <c r="C25" i="1" s="1"/>
  <c r="C26" i="1" s="1"/>
  <c r="D68" i="1"/>
  <c r="D70" i="1" s="1"/>
  <c r="D72" i="1" s="1"/>
  <c r="D73" i="1" s="1"/>
  <c r="H32" i="1" s="1"/>
  <c r="E39" i="1" l="1"/>
  <c r="C32" i="1"/>
  <c r="C34" i="1" s="1"/>
  <c r="C56" i="1"/>
  <c r="C27" i="1" s="1"/>
  <c r="C28" i="1" s="1"/>
  <c r="D88" i="1"/>
  <c r="D89" i="1"/>
  <c r="D83" i="1"/>
  <c r="D84" i="1"/>
  <c r="E78" i="1"/>
  <c r="D78" i="1"/>
  <c r="D79" i="1"/>
  <c r="C48" i="1"/>
  <c r="C23" i="1" s="1"/>
  <c r="E40" i="1" l="1"/>
  <c r="E41" i="1"/>
  <c r="E42" i="1"/>
  <c r="E38" i="1"/>
  <c r="F21" i="1"/>
  <c r="G21" i="1"/>
  <c r="C21" i="1"/>
  <c r="C24" i="1"/>
  <c r="F32" i="1"/>
  <c r="D32" i="1"/>
  <c r="C35" i="1"/>
  <c r="C33" i="1"/>
  <c r="E32" i="1" l="1"/>
  <c r="G32" i="1"/>
  <c r="I32" i="1" s="1"/>
  <c r="D34" i="1"/>
  <c r="D33" i="1"/>
  <c r="D35" i="1"/>
  <c r="E34" i="1" l="1"/>
  <c r="E44" i="1"/>
  <c r="E35" i="1"/>
  <c r="E33" i="1"/>
</calcChain>
</file>

<file path=xl/sharedStrings.xml><?xml version="1.0" encoding="utf-8"?>
<sst xmlns="http://schemas.openxmlformats.org/spreadsheetml/2006/main" count="103" uniqueCount="89">
  <si>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</si>
  <si>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</si>
  <si>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</si>
  <si>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</si>
  <si>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</si>
  <si>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</si>
  <si>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</si>
  <si>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</si>
  <si>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</si>
  <si>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</si>
  <si>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</si>
  <si>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</si>
  <si>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</si>
  <si>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Pověrnostním období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</si>
  <si>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</si>
  <si>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</si>
  <si>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</si>
  <si>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</si>
  <si>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</si>
  <si>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</si>
  <si>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</si>
  <si>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</si>
  <si>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</si>
  <si>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</si>
  <si>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Doba vernostni U OBCHODNÍKŮ DÁVAT ODMĚNY??</t>
  </si>
  <si>
    <t>Pozadovany objem zakazek</t>
  </si>
  <si>
    <t>1. Ve vysi celkovych financi</t>
  </si>
  <si>
    <t xml:space="preserve">2. Pocet realizovanych zarizeni </t>
  </si>
  <si>
    <t>ks</t>
  </si>
  <si>
    <t>Jednotlive zakazky</t>
  </si>
  <si>
    <t>1. Plosina</t>
  </si>
  <si>
    <t>Vyhodnoceni zakazky v ucetnim programu</t>
  </si>
  <si>
    <t>Ponizeni vysledku o rezii</t>
  </si>
  <si>
    <t>Celkovy vysledek zakazky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</si>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</sst>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Kč-405]"/>
    <numFmt numFmtId="165" formatCode="0.0%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5"/>
      <name val="Arial"/>
      <scheme val="minor"/>
    </font>
    <font>
      <b/>
      <sz val="10"/>
      <color theme="5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  <scheme val="minor"/>
    </font>
    <font>
      <sz val="10"/>
      <color theme="5"/>
      <name val="Arial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9" fontId="1" fillId="0" borderId="0" xfId="0" applyNumberFormat="1" applyFont="1"/>
    <xf numFmtId="9" fontId="2" fillId="0" borderId="0" xfId="0" applyNumberFormat="1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"/>
  <sheetViews>
    <sheetView tabSelected="1" workbookViewId="0">
      <selection activeCell="A6" sqref="A6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8" max="8" width="16.6640625" customWidth="1"/>
  </cols>
  <sheetData>
    <row r="1" spans="1:4" ht="13" x14ac:dyDescent="0.15">
      <c r="A1" s="1" t="s">
        <v>0</v>
      </c>
    </row>
    <row r="3" spans="1:4" ht="13" x14ac:dyDescent="0.15">
      <c r="A3" s="6" t="s">
        <v>7</v>
      </c>
    </row>
    <row r="5" spans="1:4" ht="13" x14ac:dyDescent="0.15">
      <c r="A5" s="22" t="s">
        <v>88</v>
      </c>
      <c r="C5" s="2">
        <v>10000000</v>
      </c>
    </row>
    <row r="6" spans="1:4" ht="13" x14ac:dyDescent="0.15">
      <c r="A6" s="1" t="s">
        <v>1</v>
      </c>
      <c r="C6" s="3">
        <v>0.2</v>
      </c>
    </row>
    <row r="7" spans="1:4" ht="13" x14ac:dyDescent="0.15">
      <c r="A7" s="1" t="s">
        <v>2</v>
      </c>
      <c r="C7" s="2">
        <v>1000000</v>
      </c>
    </row>
    <row r="8" spans="1:4" ht="13" x14ac:dyDescent="0.15">
      <c r="A8" s="1" t="s">
        <v>3</v>
      </c>
      <c r="C8" s="3">
        <v>0.05</v>
      </c>
    </row>
    <row r="9" spans="1:4" ht="13" x14ac:dyDescent="0.15">
      <c r="C9" s="2">
        <f xml:space="preserve"> HospVysledek * ProcInvestice</f>
        <v>500000</v>
      </c>
    </row>
    <row r="10" spans="1:4" ht="13" x14ac:dyDescent="0.15">
      <c r="C10" s="2"/>
    </row>
    <row r="11" spans="1:4" ht="15.75" customHeight="1" x14ac:dyDescent="0.15">
      <c r="A11" s="1" t="s">
        <v>41</v>
      </c>
      <c r="D11" s="4">
        <v>42000</v>
      </c>
    </row>
    <row r="12" spans="1:4" ht="15.75" customHeight="1" x14ac:dyDescent="0.15">
      <c r="A12" s="1" t="s">
        <v>61</v>
      </c>
      <c r="C12">
        <v>0.4</v>
      </c>
      <c r="D12" s="4">
        <f xml:space="preserve"> C12 * MzdaPrumerCR</f>
        <v>16800</v>
      </c>
    </row>
    <row r="13" spans="1:4" ht="15.75" customHeight="1" x14ac:dyDescent="0.15">
      <c r="A13" s="1" t="s">
        <v>62</v>
      </c>
      <c r="C13">
        <v>0.75</v>
      </c>
      <c r="D13" s="4">
        <f xml:space="preserve"> C13 * MzdaPrumerCR</f>
        <v>31500</v>
      </c>
    </row>
    <row r="14" spans="1:4" ht="15.75" customHeight="1" x14ac:dyDescent="0.15">
      <c r="A14" s="1" t="s">
        <v>63</v>
      </c>
      <c r="C14">
        <v>1</v>
      </c>
      <c r="D14" s="4">
        <f xml:space="preserve"> C14 * MzdaPrumerCR</f>
        <v>42000</v>
      </c>
    </row>
    <row r="15" spans="1:4" ht="15.75" customHeight="1" x14ac:dyDescent="0.15">
      <c r="A15" s="1" t="s">
        <v>60</v>
      </c>
      <c r="D15" s="3">
        <v>1.4999999999999999E-2</v>
      </c>
    </row>
    <row r="16" spans="1:4" ht="15.75" customHeight="1" x14ac:dyDescent="0.15">
      <c r="A16" s="1"/>
      <c r="D16" s="3"/>
    </row>
    <row r="17" spans="1:9" ht="15.75" customHeight="1" x14ac:dyDescent="0.15">
      <c r="A17" s="1" t="s">
        <v>5</v>
      </c>
      <c r="C17" s="1">
        <v>5</v>
      </c>
      <c r="D17" s="1" t="s">
        <v>6</v>
      </c>
    </row>
    <row r="18" spans="1:9" ht="15.75" customHeight="1" x14ac:dyDescent="0.15">
      <c r="A18" s="1"/>
      <c r="D18" s="3"/>
    </row>
    <row r="19" spans="1:9" ht="15.75" customHeight="1" x14ac:dyDescent="0.15">
      <c r="A19" s="22" t="s">
        <v>86</v>
      </c>
      <c r="C19" s="22" t="s">
        <v>71</v>
      </c>
      <c r="D19" s="24" t="s">
        <v>72</v>
      </c>
      <c r="E19" s="22" t="s">
        <v>73</v>
      </c>
      <c r="F19" s="22" t="s">
        <v>74</v>
      </c>
      <c r="G19" s="22" t="s">
        <v>77</v>
      </c>
    </row>
    <row r="20" spans="1:9" ht="15.75" customHeight="1" x14ac:dyDescent="0.15">
      <c r="A20" s="22" t="s">
        <v>70</v>
      </c>
      <c r="C20" s="1">
        <v>30</v>
      </c>
      <c r="D20" s="15">
        <v>4</v>
      </c>
      <c r="E20" s="15">
        <v>4</v>
      </c>
      <c r="F20" s="1">
        <v>2</v>
      </c>
      <c r="G20">
        <v>2</v>
      </c>
    </row>
    <row r="21" spans="1:9" ht="15.75" customHeight="1" x14ac:dyDescent="0.15">
      <c r="A21" s="23" t="s">
        <v>75</v>
      </c>
      <c r="C21">
        <f xml:space="preserve"> PocetZamest * NakladNarustMzdaZamestVerDob</f>
        <v>3175200</v>
      </c>
      <c r="D21" s="4">
        <f xml:space="preserve"> PocetDulZamest * NakladNarustMzdaDulZamestVerDob</f>
        <v>793800</v>
      </c>
      <c r="E21">
        <f xml:space="preserve"> PocetKlicZamest * NakladNarustMzdaKlicZamestVerDob</f>
        <v>1058400</v>
      </c>
      <c r="F21">
        <f xml:space="preserve"> PocetStratZamest * NakladNarustMzdaZamestVerDob</f>
        <v>211680</v>
      </c>
      <c r="G21">
        <f xml:space="preserve"> PocetObchod * NakladNarustMzdaZamestVerDob</f>
        <v>211680</v>
      </c>
    </row>
    <row r="22" spans="1:9" ht="15.75" customHeight="1" x14ac:dyDescent="0.15">
      <c r="D22" s="4"/>
    </row>
    <row r="23" spans="1:9" ht="15.75" customHeight="1" x14ac:dyDescent="0.15">
      <c r="A23" s="1" t="s">
        <v>12</v>
      </c>
      <c r="C23" s="16">
        <f xml:space="preserve"> PocetKlicZamest * NakladShareKlicZamest</f>
        <v>2000000</v>
      </c>
      <c r="D23" s="22" t="s">
        <v>13</v>
      </c>
    </row>
    <row r="24" spans="1:9" ht="15.75" customHeight="1" x14ac:dyDescent="0.15">
      <c r="A24" s="1"/>
      <c r="C24" s="16">
        <f>C23 / VernDoba</f>
        <v>400000</v>
      </c>
      <c r="D24" s="1" t="s">
        <v>14</v>
      </c>
    </row>
    <row r="25" spans="1:9" ht="15.75" customHeight="1" x14ac:dyDescent="0.15">
      <c r="A25" s="22" t="s">
        <v>15</v>
      </c>
      <c r="C25" s="16">
        <f xml:space="preserve"> PocetDulZamest * NakladShareDulZamest</f>
        <v>1400000</v>
      </c>
      <c r="D25" s="1" t="s">
        <v>13</v>
      </c>
    </row>
    <row r="26" spans="1:9" ht="15.75" customHeight="1" x14ac:dyDescent="0.15">
      <c r="A26" s="1"/>
      <c r="C26" s="16">
        <f>C25 / VernDoba</f>
        <v>280000</v>
      </c>
      <c r="D26" s="22" t="s">
        <v>14</v>
      </c>
    </row>
    <row r="27" spans="1:9" ht="15.75" customHeight="1" x14ac:dyDescent="0.15">
      <c r="A27" s="22" t="s">
        <v>69</v>
      </c>
      <c r="C27" s="16">
        <f xml:space="preserve"> PocetStratZamest * NakladShareStratZamest</f>
        <v>2500000</v>
      </c>
      <c r="D27" s="1" t="s">
        <v>13</v>
      </c>
    </row>
    <row r="28" spans="1:9" ht="15.75" customHeight="1" x14ac:dyDescent="0.15">
      <c r="A28" s="1"/>
      <c r="C28" s="16">
        <f xml:space="preserve"> C27 / VernDoba</f>
        <v>500000</v>
      </c>
      <c r="D28" s="22" t="s">
        <v>14</v>
      </c>
    </row>
    <row r="29" spans="1:9" ht="13" x14ac:dyDescent="0.15"/>
    <row r="30" spans="1:9" ht="13" x14ac:dyDescent="0.15">
      <c r="A30" s="1"/>
      <c r="C30" s="1"/>
      <c r="D30" s="1"/>
    </row>
    <row r="31" spans="1:9" ht="13" x14ac:dyDescent="0.15">
      <c r="A31" s="1" t="s">
        <v>16</v>
      </c>
      <c r="C31" s="1" t="s">
        <v>17</v>
      </c>
      <c r="D31" s="1" t="s">
        <v>18</v>
      </c>
      <c r="E31" s="22" t="s">
        <v>76</v>
      </c>
      <c r="F31" s="23" t="s">
        <v>67</v>
      </c>
      <c r="G31" s="22" t="s">
        <v>68</v>
      </c>
      <c r="H31" s="22" t="s">
        <v>79</v>
      </c>
      <c r="I31" s="22" t="s">
        <v>87</v>
      </c>
    </row>
    <row r="32" spans="1:9" ht="13" x14ac:dyDescent="0.15">
      <c r="A32" s="1" t="s">
        <v>19</v>
      </c>
      <c r="C32" s="4">
        <f xml:space="preserve"> VernDoba * (HospVysledek - HospProvoz - HospInvestice)</f>
        <v>42500000</v>
      </c>
      <c r="D32" s="4">
        <f xml:space="preserve"> VernDoba * (HospVysledek - HospProvoz - HospInvestice) - CelyNakladShareKlicZamest - CelyNakladShareDulZamest - CelyNakladShareStratZamest</f>
        <v>36600000</v>
      </c>
      <c r="E32" s="17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30349240</v>
      </c>
      <c r="F32">
        <f xml:space="preserve"> (CelyNakladShareKlicZamest + CelyNakladShareDulZamest + CelyNakladShareStratZamest) / (HospVysledek * VernDoba) * 100</f>
        <v>11.799999999999999</v>
      </c>
      <c r="G32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10.901520000000001</v>
      </c>
      <c r="H32">
        <f xml:space="preserve"> PocetObchod * NakladObchodVerDob / (VernDoba * HospVysledek) * 100</f>
        <v>1.6</v>
      </c>
      <c r="I32">
        <f xml:space="preserve"> F32 + G32 + H32</f>
        <v>24.301520000000004</v>
      </c>
    </row>
    <row r="33" spans="1:5" ht="13" x14ac:dyDescent="0.15">
      <c r="A33" s="17" t="s">
        <v>20</v>
      </c>
      <c r="C33" s="4">
        <f t="shared" ref="C33" si="0">0.6*C32</f>
        <v>25500000</v>
      </c>
      <c r="D33" s="4">
        <f>0.6*D32</f>
        <v>21960000</v>
      </c>
      <c r="E33">
        <f>0.6*E32</f>
        <v>18209544</v>
      </c>
    </row>
    <row r="34" spans="1:5" ht="13" x14ac:dyDescent="0.15">
      <c r="A34" s="17" t="s">
        <v>21</v>
      </c>
      <c r="C34" s="4">
        <f t="shared" ref="C34" si="1">0.2*C32</f>
        <v>8500000</v>
      </c>
      <c r="D34" s="4">
        <f>0.2*D32</f>
        <v>7320000</v>
      </c>
      <c r="E34">
        <f>0.2*E32</f>
        <v>6069848</v>
      </c>
    </row>
    <row r="35" spans="1:5" ht="13" x14ac:dyDescent="0.15">
      <c r="A35" s="17" t="s">
        <v>22</v>
      </c>
      <c r="C35" s="4">
        <f t="shared" ref="C35:D35" si="2">0.2*C32</f>
        <v>8500000</v>
      </c>
      <c r="D35" s="4">
        <f t="shared" si="2"/>
        <v>7320000</v>
      </c>
      <c r="E35">
        <f>0.2*E32</f>
        <v>6069848</v>
      </c>
    </row>
    <row r="36" spans="1:5" ht="13" x14ac:dyDescent="0.15">
      <c r="A36" s="1"/>
      <c r="C36" s="1"/>
      <c r="D36" s="1"/>
    </row>
    <row r="37" spans="1:5" ht="13" x14ac:dyDescent="0.15">
      <c r="A37" s="1"/>
      <c r="C37" s="1"/>
      <c r="D37" s="1"/>
      <c r="E37" s="23" t="s">
        <v>80</v>
      </c>
    </row>
    <row r="38" spans="1:5" ht="13" x14ac:dyDescent="0.15">
      <c r="A38" s="22" t="s">
        <v>81</v>
      </c>
      <c r="C38" s="1"/>
      <c r="D38" s="1"/>
      <c r="E38">
        <f xml:space="preserve"> NakladNarustMzdaZamestVerDob</f>
        <v>105840</v>
      </c>
    </row>
    <row r="39" spans="1:5" ht="13" x14ac:dyDescent="0.15">
      <c r="A39" s="22" t="s">
        <v>82</v>
      </c>
      <c r="C39" s="1"/>
      <c r="D39" s="1"/>
      <c r="E39">
        <f xml:space="preserve"> NakladNarustMzdaDulZamestVerDob + NakladShareDulZamest</f>
        <v>548450</v>
      </c>
    </row>
    <row r="40" spans="1:5" ht="13" x14ac:dyDescent="0.15">
      <c r="A40" s="22" t="s">
        <v>83</v>
      </c>
      <c r="C40" s="1"/>
      <c r="D40" s="1"/>
      <c r="E40">
        <f xml:space="preserve"> NakladNarustMzdaKlicZamestVerDob + NakladShareKlicZamest</f>
        <v>764600</v>
      </c>
    </row>
    <row r="41" spans="1:5" ht="13" x14ac:dyDescent="0.15">
      <c r="A41" s="22" t="s">
        <v>23</v>
      </c>
      <c r="C41" s="1"/>
      <c r="D41" s="1"/>
      <c r="E41">
        <f xml:space="preserve"> NakladNarustMzdaZamestVerDob + NakladObchodVerDob</f>
        <v>505840</v>
      </c>
    </row>
    <row r="42" spans="1:5" ht="13" x14ac:dyDescent="0.15">
      <c r="A42" s="22" t="s">
        <v>84</v>
      </c>
      <c r="C42" s="1"/>
      <c r="D42" s="1"/>
      <c r="E42">
        <f xml:space="preserve"> NakladNarustMzdaZamestVerDob + NakladShareStratZamest</f>
        <v>1355840</v>
      </c>
    </row>
    <row r="43" spans="1:5" ht="13" x14ac:dyDescent="0.15">
      <c r="A43" s="22"/>
      <c r="C43" s="1"/>
      <c r="D43" s="1"/>
    </row>
    <row r="44" spans="1:5" ht="13" x14ac:dyDescent="0.15">
      <c r="A44" s="1"/>
      <c r="C44" s="1"/>
      <c r="D44" s="22" t="s">
        <v>85</v>
      </c>
      <c r="E44">
        <f xml:space="preserve"> E32 + PocetZamest * E38 + PocetDulZamest * E39 + PocetKlicZamest * E40 + PocetObchod * E41 + PocetStratZamest * E42</f>
        <v>42500000</v>
      </c>
    </row>
    <row r="45" spans="1:5" ht="13" x14ac:dyDescent="0.15">
      <c r="A45" s="1"/>
      <c r="C45" s="1"/>
      <c r="D45" s="1"/>
    </row>
    <row r="46" spans="1:5" ht="13" x14ac:dyDescent="0.15">
      <c r="A46" s="7" t="s">
        <v>8</v>
      </c>
      <c r="C46" s="3"/>
      <c r="D46" s="4"/>
    </row>
    <row r="47" spans="1:5" ht="13" x14ac:dyDescent="0.15">
      <c r="A47" s="1" t="s">
        <v>4</v>
      </c>
      <c r="C47" s="5">
        <v>0.01</v>
      </c>
      <c r="D47" s="2">
        <f xml:space="preserve"> HospVysledek * ProcShareKlicZamest</f>
        <v>100000</v>
      </c>
      <c r="E47" s="6" t="s">
        <v>9</v>
      </c>
    </row>
    <row r="48" spans="1:5" ht="13" x14ac:dyDescent="0.15">
      <c r="A48" s="1" t="s">
        <v>10</v>
      </c>
      <c r="C48" s="4">
        <f xml:space="preserve"> ShareKlicZamest * VernDoba</f>
        <v>500000</v>
      </c>
    </row>
    <row r="49" spans="1:26" ht="13" x14ac:dyDescent="0.15">
      <c r="A49" s="1"/>
      <c r="C49" s="4"/>
      <c r="D49" s="1"/>
    </row>
    <row r="50" spans="1:26" ht="13" x14ac:dyDescent="0.15">
      <c r="A50" s="8" t="s">
        <v>11</v>
      </c>
      <c r="C50" s="10"/>
      <c r="D50" s="1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" x14ac:dyDescent="0.15">
      <c r="A51" s="12" t="s">
        <v>4</v>
      </c>
      <c r="B51" s="9"/>
      <c r="C51" s="13">
        <v>7.0000000000000001E-3</v>
      </c>
      <c r="D51" s="11">
        <f xml:space="preserve"> HospVysledek * ProcShareDulZamest</f>
        <v>70000</v>
      </c>
      <c r="E51" s="14" t="s">
        <v>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" x14ac:dyDescent="0.15">
      <c r="A52" s="12" t="s">
        <v>10</v>
      </c>
      <c r="B52" s="9"/>
      <c r="C52" s="11">
        <f xml:space="preserve"> ShareDulZamest * VernDoba</f>
        <v>350000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" x14ac:dyDescent="0.15">
      <c r="A53" s="12"/>
      <c r="B53" s="9"/>
      <c r="C53" s="1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" x14ac:dyDescent="0.15">
      <c r="A54" s="7" t="s">
        <v>38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" x14ac:dyDescent="0.15">
      <c r="A55" s="1" t="s">
        <v>39</v>
      </c>
      <c r="C55" s="3">
        <v>2.5000000000000001E-2</v>
      </c>
      <c r="D55" s="4">
        <f xml:space="preserve"> HospVysledek * ProcShareStartZamest</f>
        <v>250000</v>
      </c>
      <c r="E55" s="6" t="s">
        <v>9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" x14ac:dyDescent="0.15">
      <c r="A56" s="1" t="s">
        <v>10</v>
      </c>
      <c r="C56">
        <f xml:space="preserve"> ShareStratZamest * VernDoba</f>
        <v>1250000</v>
      </c>
      <c r="D56" s="4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9" spans="1:26" ht="13" x14ac:dyDescent="0.15">
      <c r="A59" s="7" t="s">
        <v>23</v>
      </c>
    </row>
    <row r="60" spans="1:26" ht="13" x14ac:dyDescent="0.15">
      <c r="A60" s="1" t="s">
        <v>24</v>
      </c>
      <c r="C60" s="1"/>
    </row>
    <row r="61" spans="1:26" ht="13" x14ac:dyDescent="0.15">
      <c r="A61" s="1" t="s">
        <v>25</v>
      </c>
    </row>
    <row r="62" spans="1:26" ht="13" x14ac:dyDescent="0.15">
      <c r="A62" s="1" t="s">
        <v>26</v>
      </c>
      <c r="C62" s="4"/>
      <c r="D62" s="4">
        <v>5000000</v>
      </c>
    </row>
    <row r="63" spans="1:26" ht="13" x14ac:dyDescent="0.15">
      <c r="A63" s="1" t="s">
        <v>27</v>
      </c>
      <c r="C63" s="1"/>
      <c r="D63" s="1">
        <v>10</v>
      </c>
      <c r="E63" s="1" t="s">
        <v>28</v>
      </c>
    </row>
    <row r="65" spans="1:5" ht="13" x14ac:dyDescent="0.15">
      <c r="A65" s="1" t="s">
        <v>29</v>
      </c>
    </row>
    <row r="66" spans="1:5" ht="13" x14ac:dyDescent="0.15">
      <c r="A66" s="1" t="s">
        <v>30</v>
      </c>
      <c r="C66" s="4"/>
      <c r="D66" s="4">
        <v>200000</v>
      </c>
    </row>
    <row r="67" spans="1:5" ht="13" x14ac:dyDescent="0.15">
      <c r="B67" s="1" t="s">
        <v>31</v>
      </c>
      <c r="C67" s="18"/>
      <c r="D67" s="18">
        <v>0.2</v>
      </c>
    </row>
    <row r="68" spans="1:5" ht="13" x14ac:dyDescent="0.15">
      <c r="B68" s="1" t="s">
        <v>32</v>
      </c>
      <c r="D68" s="4">
        <f>D66*(1-D67)</f>
        <v>160000</v>
      </c>
    </row>
    <row r="69" spans="1:5" ht="13" x14ac:dyDescent="0.15">
      <c r="B69" s="1" t="s">
        <v>33</v>
      </c>
      <c r="C69" s="19"/>
      <c r="D69" s="19">
        <v>0.05</v>
      </c>
    </row>
    <row r="70" spans="1:5" ht="13" x14ac:dyDescent="0.15">
      <c r="B70" s="1" t="s">
        <v>34</v>
      </c>
      <c r="C70" s="6"/>
      <c r="D70" s="2">
        <f>D68*D69</f>
        <v>8000</v>
      </c>
    </row>
    <row r="71" spans="1:5" ht="15.75" customHeight="1" x14ac:dyDescent="0.15">
      <c r="B71" s="1" t="s">
        <v>35</v>
      </c>
    </row>
    <row r="72" spans="1:5" ht="13" x14ac:dyDescent="0.15">
      <c r="A72" s="1" t="s">
        <v>36</v>
      </c>
      <c r="C72" s="6"/>
      <c r="D72" s="2">
        <f>D70*D63</f>
        <v>80000</v>
      </c>
    </row>
    <row r="73" spans="1:5" ht="13" x14ac:dyDescent="0.15">
      <c r="A73" s="25" t="s">
        <v>78</v>
      </c>
      <c r="D73" s="16">
        <f xml:space="preserve"> D72 * VernDoba</f>
        <v>400000</v>
      </c>
      <c r="E73" s="1" t="s">
        <v>37</v>
      </c>
    </row>
    <row r="76" spans="1:5" ht="13" x14ac:dyDescent="0.15">
      <c r="A76" s="7" t="s">
        <v>40</v>
      </c>
    </row>
    <row r="77" spans="1:5" ht="13" x14ac:dyDescent="0.15">
      <c r="A77" s="22" t="s">
        <v>42</v>
      </c>
      <c r="D77" s="2">
        <f xml:space="preserve"> CilMzdaZamest * ProcMzdaZamest</f>
        <v>252</v>
      </c>
      <c r="E77" s="23" t="s">
        <v>66</v>
      </c>
    </row>
    <row r="78" spans="1:5" ht="13" x14ac:dyDescent="0.15">
      <c r="A78" s="22" t="s">
        <v>43</v>
      </c>
      <c r="C78" s="1">
        <f xml:space="preserve"> VernDoba</f>
        <v>5</v>
      </c>
      <c r="D78" s="4">
        <f xml:space="preserve"> CilMzdaZamest + VernDoba * (VernDoba + 1) / 2 * NarustMzdaZamest</f>
        <v>20580</v>
      </c>
      <c r="E78">
        <f xml:space="preserve"> VernDoba * (VernDoba + 1)  * (VernDoba + 2) / 6 * NarustMzdaZamest * 12</f>
        <v>105840</v>
      </c>
    </row>
    <row r="79" spans="1:5" ht="13" x14ac:dyDescent="0.15">
      <c r="C79" s="1">
        <f xml:space="preserve"> 2 * VernDoba</f>
        <v>10</v>
      </c>
      <c r="D79" s="4">
        <f xml:space="preserve"> CilMzdaZamest + 2 * VernDoba * (2 * VernDoba + 1) / 2 * NarustMzdaZamest</f>
        <v>30660</v>
      </c>
    </row>
    <row r="80" spans="1:5" ht="13" x14ac:dyDescent="0.15">
      <c r="C80" s="1"/>
      <c r="D80" s="4"/>
    </row>
    <row r="81" spans="1:5" ht="13" x14ac:dyDescent="0.15">
      <c r="A81" s="21" t="s">
        <v>64</v>
      </c>
      <c r="C81" s="1"/>
      <c r="D81" s="4"/>
    </row>
    <row r="82" spans="1:5" ht="15.75" customHeight="1" x14ac:dyDescent="0.15">
      <c r="A82" t="s">
        <v>42</v>
      </c>
      <c r="D82">
        <f xml:space="preserve"> CilMzdaDulZamest * ProcMzdaZamest</f>
        <v>472.5</v>
      </c>
    </row>
    <row r="83" spans="1:5" ht="13" x14ac:dyDescent="0.15">
      <c r="A83" s="22" t="s">
        <v>43</v>
      </c>
      <c r="C83" s="1">
        <f xml:space="preserve"> VernDoba</f>
        <v>5</v>
      </c>
      <c r="D83" s="2">
        <f xml:space="preserve"> CilMzdaDulZamest + VernDoba * (VernDoba + 1) / 2 * NarustMzdaDulZamestZaklad</f>
        <v>38587.5</v>
      </c>
      <c r="E83">
        <f xml:space="preserve"> VernDoba * (VernDoba + 1)  * (VernDoba + 2) / 6 * NarustMzdaDulZamestZaklad * 12</f>
        <v>198450</v>
      </c>
    </row>
    <row r="84" spans="1:5" ht="13" x14ac:dyDescent="0.15">
      <c r="A84" s="1"/>
      <c r="C84" s="1">
        <f xml:space="preserve"> 2 * VernDoba</f>
        <v>10</v>
      </c>
      <c r="D84" s="2">
        <f xml:space="preserve"> CilMzdaDulZamest + 2 * VernDoba * (2 * VernDoba + 1) / 2 * NarustMzdaDulZamestZaklad</f>
        <v>57487.5</v>
      </c>
    </row>
    <row r="85" spans="1:5" ht="13" x14ac:dyDescent="0.15">
      <c r="A85" s="1"/>
      <c r="C85" s="1"/>
      <c r="D85" s="2"/>
    </row>
    <row r="86" spans="1:5" ht="13" x14ac:dyDescent="0.15">
      <c r="A86" s="21" t="s">
        <v>65</v>
      </c>
      <c r="C86" s="1"/>
      <c r="D86" s="2"/>
    </row>
    <row r="87" spans="1:5" ht="13" x14ac:dyDescent="0.15">
      <c r="A87" s="22" t="s">
        <v>42</v>
      </c>
      <c r="C87" s="1"/>
      <c r="D87" s="2">
        <f xml:space="preserve"> CilMzdaKlicZamest * ProcMzdaZamest</f>
        <v>630</v>
      </c>
    </row>
    <row r="88" spans="1:5" ht="13" x14ac:dyDescent="0.15">
      <c r="A88" s="22" t="s">
        <v>43</v>
      </c>
      <c r="C88" s="1">
        <f xml:space="preserve"> VernDoba</f>
        <v>5</v>
      </c>
      <c r="D88" s="2">
        <f xml:space="preserve"> CilMzdaKlicZamest + VernDoba * (VernDoba + 1) / 2 * NarustMzdaKlicZamestZaklad</f>
        <v>51450</v>
      </c>
      <c r="E88">
        <f xml:space="preserve"> VernDoba * (VernDoba + 1)  * (VernDoba + 2) / 6 * NarustMzdaKlicZamestZaklad * 12</f>
        <v>264600</v>
      </c>
    </row>
    <row r="89" spans="1:5" ht="13" x14ac:dyDescent="0.15">
      <c r="A89" s="1"/>
      <c r="C89" s="1">
        <f xml:space="preserve"> 2 * VernDoba</f>
        <v>10</v>
      </c>
      <c r="D89" s="2">
        <f xml:space="preserve"> CilMzdaKlicZamest + 2 * VernDoba * (2 * VernDoba + 1) / 2 * NarustMzdaKlicZamestZaklad</f>
        <v>76650</v>
      </c>
    </row>
    <row r="90" spans="1:5" ht="13" x14ac:dyDescent="0.15">
      <c r="A90" s="1"/>
      <c r="C90" s="1"/>
      <c r="D90" s="2"/>
    </row>
    <row r="91" spans="1:5" ht="13" x14ac:dyDescent="0.15">
      <c r="A91" s="1"/>
      <c r="C91" s="1"/>
      <c r="D91" s="2"/>
    </row>
    <row r="92" spans="1:5" ht="13" x14ac:dyDescent="0.15">
      <c r="A92" s="1"/>
      <c r="C92" s="1"/>
      <c r="D92" s="2"/>
    </row>
    <row r="94" spans="1:5" ht="13" x14ac:dyDescent="0.15"/>
    <row r="96" spans="1:5" ht="13" x14ac:dyDescent="0.15">
      <c r="A96" s="6"/>
      <c r="D96" s="16"/>
    </row>
    <row r="97" spans="1:4" ht="14" x14ac:dyDescent="0.2">
      <c r="A97" s="6"/>
      <c r="D97" s="2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44</v>
      </c>
      <c r="B2" t="s">
        <v>45</v>
      </c>
      <c r="C2" t="s">
        <v>46</v>
      </c>
      <c r="D2" t="s">
        <v>47</v>
      </c>
    </row>
    <row r="3" spans="1:4" x14ac:dyDescent="0.15">
      <c r="A3" t="s">
        <v>48</v>
      </c>
      <c r="B3" t="s">
        <v>51</v>
      </c>
      <c r="C3" t="s">
        <v>55</v>
      </c>
      <c r="D3" t="s">
        <v>57</v>
      </c>
    </row>
    <row r="4" spans="1:4" x14ac:dyDescent="0.15">
      <c r="A4" t="s">
        <v>50</v>
      </c>
      <c r="B4" t="s">
        <v>52</v>
      </c>
      <c r="C4" t="s">
        <v>56</v>
      </c>
      <c r="D4" t="s">
        <v>58</v>
      </c>
    </row>
    <row r="5" spans="1:4" x14ac:dyDescent="0.15">
      <c r="A5" t="s">
        <v>54</v>
      </c>
      <c r="B5" t="s">
        <v>49</v>
      </c>
    </row>
    <row r="6" spans="1:4" x14ac:dyDescent="0.15">
      <c r="A6" t="s">
        <v>53</v>
      </c>
      <c r="B6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MzdaPrumerCR</vt:lpstr>
      <vt:lpstr>NakladNarustMzdaDulZamestVerDob</vt:lpstr>
      <vt:lpstr>NakladNarustMzdaKlicZamestVerDob</vt:lpstr>
      <vt:lpstr>NakladNarustMzdaZamestVerDob</vt:lpstr>
      <vt:lpstr>NakladObchodVerDob</vt:lpstr>
      <vt:lpstr>NakladShareDulZamest</vt:lpstr>
      <vt:lpstr>NakladShareKlicZamest</vt:lpstr>
      <vt:lpstr>NakladShareStratZamest</vt:lpstr>
      <vt:lpstr>NarustMzdaDulZamestZaklad</vt:lpstr>
      <vt:lpstr>NarustMzdaKlicZamestZaklad</vt:lpstr>
      <vt:lpstr>NarustMzdaZamest</vt:lpstr>
      <vt:lpstr>PocetDulZamest</vt:lpstr>
      <vt:lpstr>PocetKlicZamest</vt:lpstr>
      <vt:lpstr>PocetObchod</vt:lpstr>
      <vt:lpstr>PocetStratZamest</vt:lpstr>
      <vt:lpstr>PocetZamest</vt:lpstr>
      <vt:lpstr>ProcInvestice</vt:lpstr>
      <vt:lpstr>ProcMzdaZamest</vt:lpstr>
      <vt:lpstr>ProcShareDulZamest</vt:lpstr>
      <vt:lpstr>ProcShareKlicZamest</vt:lpstr>
      <vt:lpstr>ProcShareStartZamest</vt:lpstr>
      <vt:lpstr>ShareDulZamest</vt:lpstr>
      <vt:lpstr>ShareKlicZamest</vt:lpstr>
      <vt:lpstr>ShareStratZamest</vt:lpstr>
      <vt:lpstr>VernDoba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2022-09-24T06:25:11Z</dcterms:modified>
</cp:coreProperties>
</file>