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holec1/Downloads/"/>
    </mc:Choice>
  </mc:AlternateContent>
  <xr:revisionPtr revIDLastSave="0" documentId="8_{891A78EB-300F-C240-B9F3-FD0EAF0FD3E7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Share_prog" sheetId="1" r:id="rId1"/>
    <sheet name="Seznam jmen" sheetId="2" r:id="rId2"/>
  </sheets>
  <definedNames>
    <definedName name="CelkovyNakladNarustMzdaDulZamestVerDob">Share_prog!$D$33</definedName>
    <definedName name="CelkovyNakladNarustMzdaKlicZamestVerDob">Share_prog!$E$33</definedName>
    <definedName name="CelkovyNakladNarustMzdaObchodZamestVerDob">Share_prog!$G$33</definedName>
    <definedName name="CelkovyNakladNarustMzdaStratZamestVerDob">Share_prog!$F$33</definedName>
    <definedName name="CelkovyNakladNarustMzdaZamestVerDob">Share_prog!$C$33</definedName>
    <definedName name="CelyNakladShareDulZamest">Share_prog!$C$37</definedName>
    <definedName name="CelyNakladShareKlicZamest">Share_prog!$C$35</definedName>
    <definedName name="CelyNakladShareStratZamest">Share_prog!$C$39</definedName>
    <definedName name="CilMzdaDulZamest">Share_prog!$D$13</definedName>
    <definedName name="CilMzdaKlicZamest">Share_prog!$D$14</definedName>
    <definedName name="CilMzdaZamest">Share_prog!$D$12</definedName>
    <definedName name="HospInvestice">Share_prog!$C$9</definedName>
    <definedName name="HospProvoz">Share_prog!$C$7</definedName>
    <definedName name="HospVysledek">Share_prog!$C$5</definedName>
    <definedName name="HospVysledekProvoz">Share_prog!$C$7</definedName>
    <definedName name="KoefMotivace">Share_prog!$I$81</definedName>
    <definedName name="KoefMotivaceDo1mil">Share_prog!$I$81</definedName>
    <definedName name="KoefMotivaceNad1mil">Share_prog!$J$81</definedName>
    <definedName name="MzdaPrumerCR">Share_prog!$D$11</definedName>
    <definedName name="MzdaZamest">Share_prog!#REF!</definedName>
    <definedName name="NakladNarustMzdaDulZamestVerDob">Share_prog!$E$83</definedName>
    <definedName name="NakladNarustMzdaKlicZamestVerDob">Share_prog!$E$88</definedName>
    <definedName name="NakladNarustMzdaZamestVerDob">Share_prog!$E$78</definedName>
    <definedName name="NakladNord">Share_prog!$E$21</definedName>
    <definedName name="NakladObchodVerDob">Share_prog!$D$73</definedName>
    <definedName name="NakladPlosina">Share_prog!$B$21</definedName>
    <definedName name="NakladRozvadec">Share_prog!$D$21</definedName>
    <definedName name="NakladShareDulZamest">Share_prog!$C$64</definedName>
    <definedName name="NakladShareKlicZamest">Share_prog!$C$60</definedName>
    <definedName name="NakladShareStratZamest">Share_prog!$C$68</definedName>
    <definedName name="NakladVytah">Share_prog!$C$21</definedName>
    <definedName name="NarustMzdaDulZamest">Share_prog!#REF!</definedName>
    <definedName name="NarustMzdaDulZamestZaklad">Share_prog!$D$82</definedName>
    <definedName name="NarustMzdaKlicZamest">Share_prog!#REF!</definedName>
    <definedName name="NarustMzdaKlicZamestZaklad">Share_prog!$D$87</definedName>
    <definedName name="NarustMzdaZamest">Share_prog!$D$77</definedName>
    <definedName name="ObchBenefitNord">Share_prog!$E$23</definedName>
    <definedName name="ObchBenefitPlosina">Share_prog!$B$23</definedName>
    <definedName name="ObchBenefitPrumer">Share_prog!$C$26</definedName>
    <definedName name="ObchBenefitRozvadec">Share_prog!$D$23</definedName>
    <definedName name="ObchBenefitVytah">Share_prog!$C$23</definedName>
    <definedName name="ObratFy">Share_prog!$I$74</definedName>
    <definedName name="ObratObchod">Share_prog!$I$76</definedName>
    <definedName name="PlosinaObjem">Share_prog!$K$91</definedName>
    <definedName name="PocetAutovytahu">Share_prog!$J$83</definedName>
    <definedName name="PocetDulZamest">Share_prog!$E$32</definedName>
    <definedName name="PocetKlicZamest">Share_prog!$D$32</definedName>
    <definedName name="PocetObchod">Share_prog!$G$32</definedName>
    <definedName name="PocetObchodniku">Share_prog!$I$77</definedName>
    <definedName name="PocetPlosin">Share_prog!$I$83</definedName>
    <definedName name="PocetStratZamest">Share_prog!$F$32</definedName>
    <definedName name="PocetZamest">Share_prog!$C$32</definedName>
    <definedName name="PodilObchodu">Share_prog!$I$75</definedName>
    <definedName name="PodilObratuObchodnika">Share_prog!$I$78</definedName>
    <definedName name="PomerNord">Share_prog!$E$20</definedName>
    <definedName name="PomerPlosina">Share_prog!$B$20</definedName>
    <definedName name="PomerRozvadec">Share_prog!$D$20</definedName>
    <definedName name="PomerVytah">Share_prog!$C$20</definedName>
    <definedName name="PozadObratDo1mil">Share_prog!$I$82</definedName>
    <definedName name="PozadObratNad1mil">Share_prog!$J$82</definedName>
    <definedName name="ProcInvestice">Share_prog!$C$8</definedName>
    <definedName name="ProcMzdaDulZamest">Share_prog!#REF!</definedName>
    <definedName name="ProcMzdaKlicZamest">Share_prog!#REF!</definedName>
    <definedName name="ProcMzdaZamest">Share_prog!$D$15</definedName>
    <definedName name="ProcShareDulZamest">Share_prog!$C$63</definedName>
    <definedName name="ProcShareKlicZamest">Share_prog!$C$59</definedName>
    <definedName name="ProcShareStartZamest">Share_prog!$C$67</definedName>
    <definedName name="RezieFirmy">Share_prog!$C$17</definedName>
    <definedName name="ShareDulZamest">Share_prog!$D$63</definedName>
    <definedName name="ShareKlicZamest">Share_prog!$D$59</definedName>
    <definedName name="ShareStratZamest">Share_prog!$D$67</definedName>
    <definedName name="VernDoba">Share_prog!$C$29</definedName>
    <definedName name="VysledekPlosiny">Share_prog!$K$93</definedName>
    <definedName name="ZiskaPlosina">Share_prog!$B$22</definedName>
    <definedName name="ZiskNord">Share_prog!$E$22</definedName>
    <definedName name="ZiskPlosina">Share_prog!$K$91</definedName>
    <definedName name="ZiskRozvadec">Share_prog!$D$22</definedName>
    <definedName name="ZiskVytah">Share_prog!$C$22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72" i="1" s="1"/>
  <c r="K92" i="1"/>
  <c r="B24" i="1"/>
  <c r="C24" i="1"/>
  <c r="D24" i="1"/>
  <c r="E24" i="1"/>
  <c r="J87" i="1"/>
  <c r="I87" i="1"/>
  <c r="K104" i="1"/>
  <c r="K106" i="1" s="1"/>
  <c r="K109" i="1" s="1"/>
  <c r="K93" i="1"/>
  <c r="K95" i="1" s="1"/>
  <c r="K98" i="1" s="1"/>
  <c r="I76" i="1"/>
  <c r="I78" i="1" s="1"/>
  <c r="J82" i="1" s="1"/>
  <c r="I73" i="1"/>
  <c r="C89" i="1"/>
  <c r="C88" i="1"/>
  <c r="C84" i="1"/>
  <c r="C83" i="1"/>
  <c r="D14" i="1"/>
  <c r="D87" i="1" s="1"/>
  <c r="E88" i="1" s="1"/>
  <c r="E33" i="1" s="1"/>
  <c r="D13" i="1"/>
  <c r="D82" i="1" s="1"/>
  <c r="E83" i="1" s="1"/>
  <c r="D33" i="1" s="1"/>
  <c r="D12" i="1"/>
  <c r="D77" i="1" s="1"/>
  <c r="C79" i="1"/>
  <c r="C78" i="1"/>
  <c r="C9" i="1"/>
  <c r="D59" i="1"/>
  <c r="D67" i="1"/>
  <c r="D63" i="1"/>
  <c r="C64" i="1" s="1"/>
  <c r="C37" i="1" s="1"/>
  <c r="C38" i="1" s="1"/>
  <c r="D73" i="1" l="1"/>
  <c r="H44" i="1" s="1"/>
  <c r="K110" i="1"/>
  <c r="K99" i="1"/>
  <c r="I82" i="1"/>
  <c r="D88" i="1"/>
  <c r="E51" i="1"/>
  <c r="C44" i="1"/>
  <c r="C46" i="1" s="1"/>
  <c r="C68" i="1"/>
  <c r="C39" i="1" s="1"/>
  <c r="C40" i="1" s="1"/>
  <c r="D89" i="1"/>
  <c r="D83" i="1"/>
  <c r="D84" i="1"/>
  <c r="E78" i="1"/>
  <c r="D78" i="1"/>
  <c r="D79" i="1"/>
  <c r="C60" i="1"/>
  <c r="C35" i="1" s="1"/>
  <c r="E52" i="1" l="1"/>
  <c r="E53" i="1"/>
  <c r="E54" i="1"/>
  <c r="E50" i="1"/>
  <c r="F33" i="1"/>
  <c r="G33" i="1"/>
  <c r="C33" i="1"/>
  <c r="C36" i="1"/>
  <c r="F44" i="1"/>
  <c r="D44" i="1"/>
  <c r="C47" i="1"/>
  <c r="C45" i="1"/>
  <c r="E44" i="1" l="1"/>
  <c r="E56" i="1" s="1"/>
  <c r="G44" i="1"/>
  <c r="I44" i="1" s="1"/>
  <c r="D46" i="1"/>
  <c r="D45" i="1"/>
  <c r="D47" i="1"/>
  <c r="E46" i="1" l="1"/>
  <c r="E47" i="1"/>
  <c r="E45" i="1"/>
</calcChain>
</file>

<file path=xl/sharedStrings.xml><?xml version="1.0" encoding="utf-8"?>
<sst xmlns="http://schemas.openxmlformats.org/spreadsheetml/2006/main" count="146" uniqueCount="124">
  <si>
    <t>Priklad realizace Shareholdingu se zamestnanci EL-VY</t>
  </si>
  <si>
    <t>Maximalni hodnota sharovani</t>
  </si>
  <si>
    <t>Částka na provoz firmy</t>
  </si>
  <si>
    <t>Část na investice</t>
  </si>
  <si>
    <t>a) vyplata za rok predchazejici</t>
  </si>
  <si>
    <t>Doba vernostni</t>
  </si>
  <si>
    <t>let</t>
  </si>
  <si>
    <t>Aktualizace napad na zaklade konzultace s otcem ze dne 7.9.2022</t>
  </si>
  <si>
    <t>předpokládaný share KLICOVYM zaměstnancům</t>
  </si>
  <si>
    <t>Jednorázová odměna</t>
  </si>
  <si>
    <t>Výpalata po věrnostní době (dle hospodářského výkonu)</t>
  </si>
  <si>
    <t>předpokládaný share DULEZITYM zaměstnancům</t>
  </si>
  <si>
    <t>Celkový sharing náklad dle počtu KLICOVYCH zaměstnanců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</si>
  <si>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</si>
  <si>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</si>
  <si>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</si>
  <si>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</si>
  <si>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</si>
  <si>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Majitelé celkově</t>
  </si>
  <si>
    <t>Jan Holec</t>
  </si>
  <si>
    <t>Jan Kolář</t>
  </si>
  <si>
    <t>Milan Holec</t>
  </si>
  <si>
    <t>Obchodnik</t>
  </si>
  <si>
    <t>Jednotlive zakazky</t>
  </si>
  <si>
    <t>1. Plosina</t>
  </si>
  <si>
    <t>Vyhodnoceni zakazky v ucetnim programu</t>
  </si>
  <si>
    <t>Ponizeni vysledku o rezii</t>
  </si>
  <si>
    <t>Procentuelni narok obchodnika</t>
  </si>
  <si>
    <t>Odmena za obchod</t>
  </si>
  <si>
    <t>Celkova odmena za rok vynosobena počtem zařízení (10 ks)</t>
  </si>
  <si>
    <t>Není započten věrnostní bonus</t>
  </si>
  <si>
    <t>Strategicka osoba</t>
  </si>
  <si>
    <t>předpokládaný share STRATEGICKÝM zaměstnancům</t>
  </si>
  <si>
    <t>Řadový zaměstnanec a růst platu</t>
  </si>
  <si>
    <t>Vyhlášená průměrná mzda v ČR 31.12.</t>
  </si>
  <si>
    <t>Nárust měsíční mzdy k 1 lednu v roce</t>
  </si>
  <si>
    <t xml:space="preserve">Mzda po věrnostním období [roky] </t>
  </si>
  <si>
    <t>Klicovy zamestnanci</t>
  </si>
  <si>
    <t>Duleziti z.</t>
  </si>
  <si>
    <t>Strategicky z.</t>
  </si>
  <si>
    <t>Obchdonici</t>
  </si>
  <si>
    <t>Mareckova</t>
  </si>
  <si>
    <t>Kalny</t>
  </si>
  <si>
    <t>Rakusan</t>
  </si>
  <si>
    <t>Neruda</t>
  </si>
  <si>
    <t>Malek Vl.</t>
  </si>
  <si>
    <t xml:space="preserve">Soudek </t>
  </si>
  <si>
    <t>Lhotsky</t>
  </si>
  <si>
    <t>Denk</t>
  </si>
  <si>
    <t>Hochman</t>
  </si>
  <si>
    <t>Meduna T.</t>
  </si>
  <si>
    <t>Moucka ml.</t>
  </si>
  <si>
    <t>Drnec</t>
  </si>
  <si>
    <t>Roční nárust mzdy zaměstnance v procentech z průměrné mzdy</t>
  </si>
  <si>
    <t>Definice mzdy beznych zamestnancu vs prumerna CR</t>
  </si>
  <si>
    <t>Definice mzdy dulezitych zamestnancu vs prumerna CR</t>
  </si>
  <si>
    <t>Definice mzdy klicovych zamestnancu vs prumerna CR</t>
  </si>
  <si>
    <t>Dulezity zaměstnanec a růst platu</t>
  </si>
  <si>
    <t>Klicovy zaměstnanec a růst platu</t>
  </si>
  <si>
    <t>Naklad na narust pres vernostni obdobi</t>
  </si>
  <si>
    <t>Procenta share</t>
  </si>
  <si>
    <t>Procenta mzdy</t>
  </si>
  <si>
    <t>Celkový sharing náklad dle počtu STRATEGICKYCH zaměstnanců</t>
  </si>
  <si>
    <t>Počet</t>
  </si>
  <si>
    <t>Bezni</t>
  </si>
  <si>
    <t>Duleziti</t>
  </si>
  <si>
    <t>Klicovi</t>
  </si>
  <si>
    <t>Strategicti</t>
  </si>
  <si>
    <t>Naklad rust mezd vernostni obdobi</t>
  </si>
  <si>
    <t>S sharingme, rustem mezd a obchodem</t>
  </si>
  <si>
    <t>Obchodnici</t>
  </si>
  <si>
    <t>Celkový náklad na obchodnika po věrnostní době</t>
  </si>
  <si>
    <t>Procenta obchodnici</t>
  </si>
  <si>
    <t>Predpokladany zisk za vernostni  obdobi zamestnanci</t>
  </si>
  <si>
    <t>Bezny zamestnanec</t>
  </si>
  <si>
    <t>Dulezity zamestnanec</t>
  </si>
  <si>
    <t>Klicovy zamestnanec</t>
  </si>
  <si>
    <t>Strategicky zamestnanec</t>
  </si>
  <si>
    <t>Kontrola celku</t>
  </si>
  <si>
    <t>Zamestnatnci</t>
  </si>
  <si>
    <t>Procenta celkova investice do lidi</t>
  </si>
  <si>
    <t>Hopodarsky vysledek za rok</t>
  </si>
  <si>
    <t>Koeficient navýšení režie z hlediska energií</t>
  </si>
  <si>
    <t>Zálohy za el.</t>
  </si>
  <si>
    <t>Zálohy za plyn</t>
  </si>
  <si>
    <t>Zakazky do 1 mil. Kč</t>
  </si>
  <si>
    <t xml:space="preserve">Rozdělení formy zakázek dle jejich výše fakturace. </t>
  </si>
  <si>
    <t>Zakazky nad 1 mil. Kč</t>
  </si>
  <si>
    <t>požadovaná výše obratu</t>
  </si>
  <si>
    <t>BĚŽNÝ OBRAT FIRMY</t>
  </si>
  <si>
    <t>Podíl bochodní části</t>
  </si>
  <si>
    <t>Počet obchodníků</t>
  </si>
  <si>
    <t>toto číslo jsem vyloženě odhadl</t>
  </si>
  <si>
    <t>já, Meduna, Moučka</t>
  </si>
  <si>
    <t>Podíl obratu na obchodníka</t>
  </si>
  <si>
    <t>Koeficient motivace</t>
  </si>
  <si>
    <t>Předpokládaný zisk firmy</t>
  </si>
  <si>
    <t>Podíl obchodu na obratu</t>
  </si>
  <si>
    <t>Myšlenka aby to byla dosažitelná meta</t>
  </si>
  <si>
    <t>typiické rozdělení na plošiny (do 1) vs. Autovýtahy apod. (nad 1)</t>
  </si>
  <si>
    <t>Odhadovaný počet zařízení</t>
  </si>
  <si>
    <t>Autovýtahy jsou pracnější</t>
  </si>
  <si>
    <t>Režie firmy</t>
  </si>
  <si>
    <t>2. Autovytah</t>
  </si>
  <si>
    <t>Předpokládaná výše zakázky</t>
  </si>
  <si>
    <t>Plošina</t>
  </si>
  <si>
    <t>Autovýtah</t>
  </si>
  <si>
    <t>Výpočet pro ověření kusů za rok</t>
  </si>
  <si>
    <t>Výsledný obrat obchodníka</t>
  </si>
  <si>
    <t>Zkorigovat aby to bylo reálné, počet kusů</t>
  </si>
  <si>
    <t>Plosina</t>
  </si>
  <si>
    <t>Rozvadece</t>
  </si>
  <si>
    <t>Nord</t>
  </si>
  <si>
    <t>Pomer na obratu</t>
  </si>
  <si>
    <t>Vytah</t>
  </si>
  <si>
    <t>Zisk</t>
  </si>
  <si>
    <t>Pocet zakazek</t>
  </si>
  <si>
    <t>Naklad</t>
  </si>
  <si>
    <t>Benefit obchodnika</t>
  </si>
  <si>
    <t>Rezie v ramci zakazky</t>
  </si>
  <si>
    <t>Prumerny benefit obchodnika</t>
  </si>
  <si>
    <t>Celkova odmena za rok pro prumerneho obchodnika</t>
  </si>
  <si>
    <t>TMP</t>
  </si>
  <si>
    <t>Po věrnostním období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</si>
</sst>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Kč-405]"/>
    <numFmt numFmtId="165" formatCode="0.0%"/>
    <numFmt numFmtId="166" formatCode="#,##0\ &quot;Kč&quot;"/>
  </numFmts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theme="5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sz val="10"/>
      <color theme="5"/>
      <name val="Arial"/>
      <family val="2"/>
      <scheme val="minor"/>
    </font>
    <font>
      <sz val="11"/>
      <color theme="5"/>
      <name val="Inconsolata"/>
    </font>
    <font>
      <sz val="10"/>
      <color rgb="FFFF0000"/>
      <name val="Arial (Body)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0"/>
      <color rgb="FFFF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0" fontId="6" fillId="0" borderId="1" xfId="0" applyFont="1" applyBorder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/>
    <xf numFmtId="166" fontId="8" fillId="0" borderId="0" xfId="0" applyNumberFormat="1" applyFont="1"/>
    <xf numFmtId="0" fontId="15" fillId="0" borderId="0" xfId="0" applyFont="1"/>
    <xf numFmtId="0" fontId="16" fillId="0" borderId="0" xfId="0" applyFont="1"/>
    <xf numFmtId="0" fontId="15" fillId="3" borderId="0" xfId="0" applyFont="1" applyFill="1"/>
    <xf numFmtId="164" fontId="17" fillId="3" borderId="0" xfId="0" applyNumberFormat="1" applyFont="1" applyFill="1"/>
    <xf numFmtId="0" fontId="5" fillId="3" borderId="0" xfId="0" applyFont="1" applyFill="1"/>
    <xf numFmtId="0" fontId="0" fillId="3" borderId="0" xfId="0" applyFill="1"/>
    <xf numFmtId="0" fontId="16" fillId="3" borderId="0" xfId="0" applyFont="1" applyFill="1"/>
    <xf numFmtId="9" fontId="1" fillId="3" borderId="0" xfId="0" applyNumberFormat="1" applyFont="1" applyFill="1"/>
    <xf numFmtId="0" fontId="18" fillId="3" borderId="0" xfId="0" applyFont="1" applyFill="1"/>
    <xf numFmtId="164" fontId="1" fillId="3" borderId="0" xfId="0" applyNumberFormat="1" applyFont="1" applyFill="1"/>
    <xf numFmtId="0" fontId="19" fillId="3" borderId="0" xfId="0" applyFont="1" applyFill="1"/>
    <xf numFmtId="0" fontId="1" fillId="3" borderId="0" xfId="0" applyFont="1" applyFill="1"/>
    <xf numFmtId="9" fontId="2" fillId="3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14" fillId="3" borderId="0" xfId="0" applyFont="1" applyFill="1"/>
    <xf numFmtId="164" fontId="8" fillId="3" borderId="0" xfId="0" applyNumberFormat="1" applyFont="1" applyFill="1"/>
    <xf numFmtId="9" fontId="0" fillId="0" borderId="0" xfId="0" applyNumberFormat="1"/>
    <xf numFmtId="9" fontId="1" fillId="3" borderId="0" xfId="0" applyNumberFormat="1" applyFont="1" applyFill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0"/>
  <sheetViews>
    <sheetView tabSelected="1" topLeftCell="A26" workbookViewId="0">
      <selection activeCell="C30" sqref="C30"/>
    </sheetView>
  </sheetViews>
  <sheetFormatPr baseColWidth="10" defaultColWidth="12.5" defaultRowHeight="15.75" customHeight="1" x14ac:dyDescent="0.15"/>
  <cols>
    <col min="2" max="2" width="43.1640625" customWidth="1"/>
    <col min="3" max="3" width="15" customWidth="1"/>
    <col min="4" max="4" width="14.1640625" customWidth="1"/>
    <col min="5" max="5" width="32.33203125" customWidth="1"/>
    <col min="6" max="6" width="25.5" customWidth="1"/>
    <col min="7" max="7" width="29.5" customWidth="1"/>
    <col min="8" max="8" width="20.83203125" customWidth="1"/>
    <col min="9" max="9" width="13.83203125" customWidth="1"/>
  </cols>
  <sheetData>
    <row r="1" spans="1:8" ht="13" x14ac:dyDescent="0.15">
      <c r="A1" s="1" t="s">
        <v>0</v>
      </c>
    </row>
    <row r="3" spans="1:8" ht="13" x14ac:dyDescent="0.15">
      <c r="A3" s="6" t="s">
        <v>7</v>
      </c>
      <c r="F3" s="25" t="s">
        <v>82</v>
      </c>
    </row>
    <row r="4" spans="1:8" ht="15.75" customHeight="1" x14ac:dyDescent="0.15">
      <c r="G4">
        <v>2021</v>
      </c>
      <c r="H4">
        <v>2022</v>
      </c>
    </row>
    <row r="5" spans="1:8" ht="13" x14ac:dyDescent="0.15">
      <c r="A5" s="20" t="s">
        <v>81</v>
      </c>
      <c r="C5" s="2">
        <v>10000000</v>
      </c>
      <c r="F5" s="26" t="s">
        <v>83</v>
      </c>
    </row>
    <row r="6" spans="1:8" ht="13" x14ac:dyDescent="0.15">
      <c r="A6" s="1" t="s">
        <v>1</v>
      </c>
      <c r="C6" s="3">
        <v>0.2</v>
      </c>
      <c r="F6" s="26" t="s">
        <v>84</v>
      </c>
    </row>
    <row r="7" spans="1:8" ht="13" x14ac:dyDescent="0.15">
      <c r="A7" s="1" t="s">
        <v>2</v>
      </c>
      <c r="C7" s="2">
        <v>1000000</v>
      </c>
    </row>
    <row r="8" spans="1:8" ht="13" x14ac:dyDescent="0.15">
      <c r="A8" s="1" t="s">
        <v>3</v>
      </c>
      <c r="C8" s="3">
        <v>0.05</v>
      </c>
    </row>
    <row r="9" spans="1:8" ht="13" x14ac:dyDescent="0.15">
      <c r="C9" s="2">
        <f xml:space="preserve"> HospVysledek * ProcInvestice</f>
        <v>500000</v>
      </c>
    </row>
    <row r="10" spans="1:8" ht="13" x14ac:dyDescent="0.15">
      <c r="C10" s="2"/>
    </row>
    <row r="11" spans="1:8" ht="15.75" customHeight="1" x14ac:dyDescent="0.15">
      <c r="A11" s="1" t="s">
        <v>34</v>
      </c>
      <c r="D11" s="4">
        <v>42000</v>
      </c>
    </row>
    <row r="12" spans="1:8" ht="15.75" customHeight="1" x14ac:dyDescent="0.15">
      <c r="A12" s="1" t="s">
        <v>54</v>
      </c>
      <c r="C12">
        <v>0.4</v>
      </c>
      <c r="D12" s="4">
        <f xml:space="preserve"> C12 * MzdaPrumerCR</f>
        <v>16800</v>
      </c>
    </row>
    <row r="13" spans="1:8" ht="15.75" customHeight="1" x14ac:dyDescent="0.15">
      <c r="A13" s="1" t="s">
        <v>55</v>
      </c>
      <c r="C13">
        <v>0.75</v>
      </c>
      <c r="D13" s="4">
        <f xml:space="preserve"> C13 * MzdaPrumerCR</f>
        <v>31500</v>
      </c>
    </row>
    <row r="14" spans="1:8" ht="15.75" customHeight="1" x14ac:dyDescent="0.15">
      <c r="A14" s="1" t="s">
        <v>56</v>
      </c>
      <c r="C14">
        <v>1</v>
      </c>
      <c r="D14" s="4">
        <f xml:space="preserve"> C14 * MzdaPrumerCR</f>
        <v>42000</v>
      </c>
    </row>
    <row r="15" spans="1:8" ht="15.75" customHeight="1" x14ac:dyDescent="0.15">
      <c r="A15" s="1" t="s">
        <v>53</v>
      </c>
      <c r="D15" s="3">
        <v>1.4999999999999999E-2</v>
      </c>
    </row>
    <row r="16" spans="1:8" ht="15.75" customHeight="1" x14ac:dyDescent="0.15">
      <c r="A16" s="1"/>
      <c r="D16" s="3"/>
    </row>
    <row r="17" spans="1:7" ht="15.75" customHeight="1" x14ac:dyDescent="0.15">
      <c r="A17" s="1" t="s">
        <v>119</v>
      </c>
      <c r="C17" s="32">
        <v>0.2</v>
      </c>
      <c r="D17" s="3"/>
    </row>
    <row r="18" spans="1:7" ht="15.75" customHeight="1" x14ac:dyDescent="0.15">
      <c r="A18" s="1"/>
      <c r="C18" s="43"/>
      <c r="D18" s="3"/>
    </row>
    <row r="19" spans="1:7" ht="15.75" customHeight="1" x14ac:dyDescent="0.15">
      <c r="B19" t="s">
        <v>110</v>
      </c>
      <c r="C19" t="s">
        <v>114</v>
      </c>
      <c r="D19" t="s">
        <v>111</v>
      </c>
      <c r="E19" t="s">
        <v>112</v>
      </c>
    </row>
    <row r="20" spans="1:7" ht="15.75" customHeight="1" x14ac:dyDescent="0.15">
      <c r="A20" t="s">
        <v>113</v>
      </c>
      <c r="B20" s="42">
        <v>0.25</v>
      </c>
      <c r="C20" s="42">
        <v>0.25</v>
      </c>
      <c r="D20" s="42">
        <v>0.25</v>
      </c>
      <c r="E20" s="42">
        <v>0.25</v>
      </c>
    </row>
    <row r="21" spans="1:7" ht="15.75" customHeight="1" x14ac:dyDescent="0.15">
      <c r="A21" t="s">
        <v>117</v>
      </c>
      <c r="B21" s="44">
        <v>500000</v>
      </c>
      <c r="C21" s="44">
        <v>2500000</v>
      </c>
      <c r="D21" s="44">
        <v>200000</v>
      </c>
      <c r="E21" s="44">
        <v>200000</v>
      </c>
    </row>
    <row r="22" spans="1:7" ht="15.75" customHeight="1" x14ac:dyDescent="0.15">
      <c r="A22" t="s">
        <v>115</v>
      </c>
      <c r="B22" s="44">
        <v>200000</v>
      </c>
      <c r="C22" s="44">
        <v>750000</v>
      </c>
      <c r="D22" s="44">
        <v>100000</v>
      </c>
      <c r="E22" s="44">
        <v>100000</v>
      </c>
    </row>
    <row r="23" spans="1:7" ht="15.75" customHeight="1" x14ac:dyDescent="0.15">
      <c r="A23" t="s">
        <v>118</v>
      </c>
      <c r="B23" s="42">
        <v>0.05</v>
      </c>
      <c r="C23" s="42">
        <v>0.05</v>
      </c>
      <c r="D23" s="42">
        <v>0.05</v>
      </c>
      <c r="E23" s="42">
        <v>0.05</v>
      </c>
    </row>
    <row r="24" spans="1:7" ht="15.75" customHeight="1" x14ac:dyDescent="0.15">
      <c r="A24" t="s">
        <v>116</v>
      </c>
      <c r="B24">
        <f xml:space="preserve"> HospVysledek * PomerPlosina / ZiskaPlosina</f>
        <v>12.5</v>
      </c>
      <c r="C24">
        <f xml:space="preserve"> HospVysledek * PomerVytah / ZiskVytah</f>
        <v>3.3333333333333335</v>
      </c>
      <c r="D24">
        <f xml:space="preserve"> HospVysledek * PomerRozvadec / ZiskRozvadec</f>
        <v>25</v>
      </c>
      <c r="E24">
        <f xml:space="preserve"> HospVysledek * PomerNord / ZiskNord</f>
        <v>25</v>
      </c>
    </row>
    <row r="26" spans="1:7" ht="15.75" customHeight="1" x14ac:dyDescent="0.15">
      <c r="A26" t="s">
        <v>120</v>
      </c>
      <c r="C26">
        <f xml:space="preserve"> ObchBenefitPlosina * PomerPlosina + ObchBenefitVytah * PomerVytah + ObchBenefitRozvadec * PomerRozvadec + ObchBenefitNord * PomerNord</f>
        <v>0.05</v>
      </c>
    </row>
    <row r="29" spans="1:7" ht="15.75" customHeight="1" x14ac:dyDescent="0.15">
      <c r="A29" s="1" t="s">
        <v>5</v>
      </c>
      <c r="C29" s="1">
        <v>3</v>
      </c>
      <c r="D29" s="1" t="s">
        <v>6</v>
      </c>
    </row>
    <row r="30" spans="1:7" ht="15.75" customHeight="1" x14ac:dyDescent="0.15">
      <c r="A30" s="1"/>
      <c r="D30" s="3"/>
    </row>
    <row r="31" spans="1:7" ht="15.75" customHeight="1" x14ac:dyDescent="0.15">
      <c r="A31" s="20" t="s">
        <v>79</v>
      </c>
      <c r="C31" s="20" t="s">
        <v>64</v>
      </c>
      <c r="D31" s="22" t="s">
        <v>65</v>
      </c>
      <c r="E31" s="20" t="s">
        <v>66</v>
      </c>
      <c r="F31" s="20" t="s">
        <v>67</v>
      </c>
      <c r="G31" s="20" t="s">
        <v>70</v>
      </c>
    </row>
    <row r="32" spans="1:7" ht="15.75" customHeight="1" x14ac:dyDescent="0.15">
      <c r="A32" s="20" t="s">
        <v>63</v>
      </c>
      <c r="C32" s="1">
        <v>30</v>
      </c>
      <c r="D32" s="15">
        <v>4</v>
      </c>
      <c r="E32" s="15">
        <v>4</v>
      </c>
      <c r="F32" s="1">
        <v>2</v>
      </c>
      <c r="G32">
        <v>2</v>
      </c>
    </row>
    <row r="33" spans="1:9" ht="15.75" customHeight="1" x14ac:dyDescent="0.15">
      <c r="A33" s="21" t="s">
        <v>68</v>
      </c>
      <c r="C33" s="4">
        <f xml:space="preserve"> PocetZamest * NakladNarustMzdaZamestVerDob</f>
        <v>907200</v>
      </c>
      <c r="D33" s="4">
        <f xml:space="preserve"> PocetDulZamest * NakladNarustMzdaDulZamestVerDob</f>
        <v>226800</v>
      </c>
      <c r="E33" s="4">
        <f xml:space="preserve"> PocetKlicZamest * NakladNarustMzdaKlicZamestVerDob</f>
        <v>302400</v>
      </c>
      <c r="F33" s="4">
        <f xml:space="preserve"> PocetStratZamest * NakladNarustMzdaZamestVerDob</f>
        <v>60480</v>
      </c>
      <c r="G33" s="4">
        <f xml:space="preserve"> PocetObchod * NakladNarustMzdaZamestVerDob</f>
        <v>60480</v>
      </c>
    </row>
    <row r="34" spans="1:9" ht="15.75" customHeight="1" x14ac:dyDescent="0.15">
      <c r="D34" s="4"/>
    </row>
    <row r="35" spans="1:9" ht="15.75" customHeight="1" x14ac:dyDescent="0.15">
      <c r="A35" s="1" t="s">
        <v>12</v>
      </c>
      <c r="C35" s="16">
        <f xml:space="preserve"> PocetKlicZamest * NakladShareKlicZamest</f>
        <v>1200000</v>
      </c>
      <c r="D35" s="20" t="s">
        <v>123</v>
      </c>
    </row>
    <row r="36" spans="1:9" ht="15.75" customHeight="1" x14ac:dyDescent="0.15">
      <c r="A36" s="1"/>
      <c r="C36" s="16">
        <f>C35 / VernDoba</f>
        <v>400000</v>
      </c>
      <c r="D36" s="1" t="s">
        <v>13</v>
      </c>
    </row>
    <row r="37" spans="1:9" ht="15.75" customHeight="1" x14ac:dyDescent="0.15">
      <c r="A37" s="20" t="s">
        <v>14</v>
      </c>
      <c r="C37" s="16">
        <f xml:space="preserve"> PocetDulZamest * NakladShareDulZamest</f>
        <v>840000</v>
      </c>
      <c r="D37" s="20" t="s">
        <v>123</v>
      </c>
    </row>
    <row r="38" spans="1:9" ht="15.75" customHeight="1" x14ac:dyDescent="0.15">
      <c r="A38" s="1"/>
      <c r="C38" s="16">
        <f>C37 / VernDoba</f>
        <v>280000</v>
      </c>
      <c r="D38" s="20" t="s">
        <v>13</v>
      </c>
    </row>
    <row r="39" spans="1:9" ht="15.75" customHeight="1" x14ac:dyDescent="0.15">
      <c r="A39" s="20" t="s">
        <v>62</v>
      </c>
      <c r="C39" s="16">
        <f xml:space="preserve"> PocetStratZamest * NakladShareStratZamest</f>
        <v>1500000</v>
      </c>
      <c r="D39" s="20" t="s">
        <v>123</v>
      </c>
    </row>
    <row r="40" spans="1:9" ht="15.75" customHeight="1" x14ac:dyDescent="0.15">
      <c r="A40" s="1"/>
      <c r="C40" s="16">
        <f xml:space="preserve"> C39 / VernDoba</f>
        <v>500000</v>
      </c>
      <c r="D40" s="20" t="s">
        <v>13</v>
      </c>
    </row>
    <row r="41" spans="1:9" ht="13" x14ac:dyDescent="0.15"/>
    <row r="42" spans="1:9" ht="13" x14ac:dyDescent="0.15">
      <c r="A42" s="1"/>
      <c r="C42" s="1"/>
      <c r="D42" s="1"/>
    </row>
    <row r="43" spans="1:9" ht="13" x14ac:dyDescent="0.15">
      <c r="A43" s="1" t="s">
        <v>15</v>
      </c>
      <c r="C43" s="1" t="s">
        <v>16</v>
      </c>
      <c r="D43" s="1" t="s">
        <v>17</v>
      </c>
      <c r="E43" s="20" t="s">
        <v>69</v>
      </c>
      <c r="F43" s="21" t="s">
        <v>60</v>
      </c>
      <c r="G43" s="20" t="s">
        <v>61</v>
      </c>
      <c r="H43" s="20" t="s">
        <v>72</v>
      </c>
      <c r="I43" s="20" t="s">
        <v>80</v>
      </c>
    </row>
    <row r="44" spans="1:9" ht="13" x14ac:dyDescent="0.15">
      <c r="A44" s="1" t="s">
        <v>18</v>
      </c>
      <c r="C44" s="4">
        <f xml:space="preserve"> VernDoba * (HospVysledek - HospProvoz - HospInvestice)</f>
        <v>25500000</v>
      </c>
      <c r="D44" s="4">
        <f xml:space="preserve"> VernDoba * (HospVysledek - HospProvoz - HospInvestice) - CelyNakladShareKlicZamest - CelyNakladShareDulZamest - CelyNakladShareStratZamest</f>
        <v>21960000</v>
      </c>
      <c r="E44" s="24">
        <f xml:space="preserve"> VernDoba * (HospVysledek - HospProvoz - HospInvestice) - (CelyNakladShareKlicZamest + CelyNakladShareDulZamest + CelyNakladShareStratZamest) - (CelkovyNakladNarustMzdaZamestVerDob + CelkovyNakladNarustMzdaDulZamestVerDob + CelkovyNakladNarustMzdaKlicZamestVerDob + CelkovyNakladNarustMzdaStratZamestVerDob + CelkovyNakladNarustMzdaObchodZamestVerDob) - PocetObchod * NakladObchodVerDob</f>
        <v>19202640</v>
      </c>
      <c r="F44">
        <f xml:space="preserve"> (CelyNakladShareKlicZamest + CelyNakladShareDulZamest + CelyNakladShareStratZamest) / (HospVysledek * VernDoba) * 100</f>
        <v>11.799999999999999</v>
      </c>
      <c r="G44">
        <f xml:space="preserve"> (CelkovyNakladNarustMzdaZamestVerDob + CelkovyNakladNarustMzdaDulZamestVerDob + CelkovyNakladNarustMzdaKlicZamestVerDob + CelkovyNakladNarustMzdaStratZamestVerDob + CelkovyNakladNarustMzdaObchodZamestVerDob) / (HospVysledek * VernDoba) * 100</f>
        <v>5.1912000000000003</v>
      </c>
      <c r="H44">
        <f xml:space="preserve"> PocetObchod * NakladObchodVerDob / (VernDoba * HospVysledek) * 100</f>
        <v>4.0000000000000009</v>
      </c>
      <c r="I44">
        <f xml:space="preserve"> F44 + G44 + H44</f>
        <v>20.991199999999999</v>
      </c>
    </row>
    <row r="45" spans="1:9" ht="13" x14ac:dyDescent="0.15">
      <c r="A45" s="17" t="s">
        <v>19</v>
      </c>
      <c r="C45" s="4">
        <f t="shared" ref="C45" si="0">0.6*C44</f>
        <v>15300000</v>
      </c>
      <c r="D45" s="4">
        <f>0.6*D44</f>
        <v>13176000</v>
      </c>
      <c r="E45" s="44">
        <f>0.6*E44</f>
        <v>11521584</v>
      </c>
    </row>
    <row r="46" spans="1:9" ht="13" x14ac:dyDescent="0.15">
      <c r="A46" s="17" t="s">
        <v>20</v>
      </c>
      <c r="C46" s="4">
        <f t="shared" ref="C46" si="1">0.2*C44</f>
        <v>5100000</v>
      </c>
      <c r="D46" s="4">
        <f>0.2*D44</f>
        <v>4392000</v>
      </c>
      <c r="E46" s="44">
        <f>0.2*E44</f>
        <v>3840528</v>
      </c>
    </row>
    <row r="47" spans="1:9" ht="13" x14ac:dyDescent="0.15">
      <c r="A47" s="17" t="s">
        <v>21</v>
      </c>
      <c r="C47" s="4">
        <f t="shared" ref="C47:D47" si="2">0.2*C44</f>
        <v>5100000</v>
      </c>
      <c r="D47" s="4">
        <f t="shared" si="2"/>
        <v>4392000</v>
      </c>
      <c r="E47" s="44">
        <f>0.2*E44</f>
        <v>3840528</v>
      </c>
    </row>
    <row r="48" spans="1:9" ht="13" x14ac:dyDescent="0.15">
      <c r="A48" s="1"/>
      <c r="C48" s="1"/>
      <c r="D48" s="1"/>
    </row>
    <row r="49" spans="1:26" ht="13" x14ac:dyDescent="0.15">
      <c r="A49" s="1"/>
      <c r="C49" s="1"/>
      <c r="D49" s="1"/>
      <c r="E49" s="21" t="s">
        <v>73</v>
      </c>
    </row>
    <row r="50" spans="1:26" ht="13" x14ac:dyDescent="0.15">
      <c r="A50" s="20" t="s">
        <v>74</v>
      </c>
      <c r="C50" s="1"/>
      <c r="D50" s="1"/>
      <c r="E50" s="44">
        <f xml:space="preserve"> NakladNarustMzdaZamestVerDob</f>
        <v>30240</v>
      </c>
    </row>
    <row r="51" spans="1:26" ht="13" x14ac:dyDescent="0.15">
      <c r="A51" s="20" t="s">
        <v>75</v>
      </c>
      <c r="C51" s="1"/>
      <c r="D51" s="1"/>
      <c r="E51" s="44">
        <f xml:space="preserve"> NakladNarustMzdaDulZamestVerDob + NakladShareDulZamest</f>
        <v>266700</v>
      </c>
    </row>
    <row r="52" spans="1:26" ht="13" x14ac:dyDescent="0.15">
      <c r="A52" s="20" t="s">
        <v>76</v>
      </c>
      <c r="C52" s="1"/>
      <c r="D52" s="1"/>
      <c r="E52" s="44">
        <f xml:space="preserve"> NakladNarustMzdaKlicZamestVerDob + NakladShareKlicZamest</f>
        <v>375600</v>
      </c>
    </row>
    <row r="53" spans="1:26" ht="13" x14ac:dyDescent="0.15">
      <c r="A53" s="20" t="s">
        <v>22</v>
      </c>
      <c r="C53" s="1"/>
      <c r="D53" s="1"/>
      <c r="E53" s="44">
        <f xml:space="preserve"> NakladNarustMzdaZamestVerDob + NakladObchodVerDob</f>
        <v>630240.00000000012</v>
      </c>
    </row>
    <row r="54" spans="1:26" ht="13" x14ac:dyDescent="0.15">
      <c r="A54" s="20" t="s">
        <v>77</v>
      </c>
      <c r="C54" s="1"/>
      <c r="D54" s="1"/>
      <c r="E54" s="44">
        <f xml:space="preserve"> NakladNarustMzdaZamestVerDob + NakladShareStratZamest</f>
        <v>780240</v>
      </c>
    </row>
    <row r="55" spans="1:26" ht="13" x14ac:dyDescent="0.15">
      <c r="A55" s="20"/>
      <c r="C55" s="1"/>
      <c r="D55" s="1"/>
    </row>
    <row r="56" spans="1:26" ht="13" x14ac:dyDescent="0.15">
      <c r="A56" s="1"/>
      <c r="C56" s="1"/>
      <c r="D56" s="20" t="s">
        <v>78</v>
      </c>
      <c r="E56" s="44">
        <f xml:space="preserve"> E44 + PocetZamest * E50 + PocetDulZamest * E51 + PocetKlicZamest * E52 + PocetObchod * E53 + PocetStratZamest * E54</f>
        <v>25500000</v>
      </c>
    </row>
    <row r="57" spans="1:26" ht="13" x14ac:dyDescent="0.15">
      <c r="A57" s="1"/>
      <c r="C57" s="1"/>
      <c r="D57" s="1"/>
    </row>
    <row r="58" spans="1:26" ht="13" x14ac:dyDescent="0.15">
      <c r="A58" s="7" t="s">
        <v>8</v>
      </c>
      <c r="C58" s="3"/>
      <c r="D58" s="4"/>
    </row>
    <row r="59" spans="1:26" ht="13" x14ac:dyDescent="0.15">
      <c r="A59" s="1" t="s">
        <v>4</v>
      </c>
      <c r="C59" s="5">
        <v>0.01</v>
      </c>
      <c r="D59" s="2">
        <f xml:space="preserve"> HospVysledek * ProcShareKlicZamest</f>
        <v>100000</v>
      </c>
      <c r="E59" s="6" t="s">
        <v>9</v>
      </c>
    </row>
    <row r="60" spans="1:26" ht="13" x14ac:dyDescent="0.15">
      <c r="A60" s="1" t="s">
        <v>10</v>
      </c>
      <c r="C60" s="4">
        <f xml:space="preserve"> ShareKlicZamest * VernDoba</f>
        <v>300000</v>
      </c>
    </row>
    <row r="61" spans="1:26" ht="13" x14ac:dyDescent="0.15">
      <c r="A61" s="1"/>
      <c r="C61" s="4"/>
      <c r="D61" s="1"/>
    </row>
    <row r="62" spans="1:26" ht="13" x14ac:dyDescent="0.15">
      <c r="A62" s="8" t="s">
        <v>11</v>
      </c>
      <c r="C62" s="10"/>
      <c r="D62" s="11"/>
      <c r="E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" x14ac:dyDescent="0.15">
      <c r="A63" s="12" t="s">
        <v>4</v>
      </c>
      <c r="B63" s="9"/>
      <c r="C63" s="13">
        <v>7.0000000000000001E-3</v>
      </c>
      <c r="D63" s="11">
        <f xml:space="preserve"> HospVysledek * ProcShareDulZamest</f>
        <v>70000</v>
      </c>
      <c r="E63" s="14" t="s">
        <v>9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" x14ac:dyDescent="0.15">
      <c r="A64" s="12" t="s">
        <v>10</v>
      </c>
      <c r="B64" s="9"/>
      <c r="C64" s="11">
        <f xml:space="preserve"> ShareDulZamest * VernDoba</f>
        <v>210000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" x14ac:dyDescent="0.15">
      <c r="A65" s="12"/>
      <c r="B65" s="9"/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" x14ac:dyDescent="0.15">
      <c r="A66" s="7" t="s">
        <v>31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" x14ac:dyDescent="0.15">
      <c r="A67" s="1" t="s">
        <v>32</v>
      </c>
      <c r="C67" s="3">
        <v>2.5000000000000001E-2</v>
      </c>
      <c r="D67" s="4">
        <f xml:space="preserve"> HospVysledek * ProcShareStartZamest</f>
        <v>250000</v>
      </c>
      <c r="E67" s="6" t="s">
        <v>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" x14ac:dyDescent="0.15">
      <c r="A68" s="1" t="s">
        <v>10</v>
      </c>
      <c r="C68">
        <f xml:space="preserve"> ShareStratZamest * VernDoba</f>
        <v>750000</v>
      </c>
      <c r="D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71" spans="1:26" ht="13" x14ac:dyDescent="0.15">
      <c r="A71" s="7" t="s">
        <v>22</v>
      </c>
    </row>
    <row r="72" spans="1:26" ht="13" x14ac:dyDescent="0.15">
      <c r="A72" s="1" t="s">
        <v>121</v>
      </c>
      <c r="C72" s="6"/>
      <c r="D72" s="2">
        <f xml:space="preserve"> ObchBenefitPrumer * (1 - RezieFirmy) * HospVysledek / PocetObchod</f>
        <v>200000.00000000003</v>
      </c>
      <c r="E72" t="s">
        <v>122</v>
      </c>
    </row>
    <row r="73" spans="1:26" ht="13" x14ac:dyDescent="0.15">
      <c r="A73" s="23" t="s">
        <v>71</v>
      </c>
      <c r="D73" s="16">
        <f xml:space="preserve"> D72 * VernDoba</f>
        <v>600000.00000000012</v>
      </c>
      <c r="E73" s="1" t="s">
        <v>30</v>
      </c>
      <c r="H73" s="27" t="s">
        <v>96</v>
      </c>
      <c r="I73" s="28">
        <f>HospVysledek</f>
        <v>10000000</v>
      </c>
      <c r="J73" s="29"/>
      <c r="K73" s="29"/>
    </row>
    <row r="74" spans="1:26" ht="15.75" customHeight="1" x14ac:dyDescent="0.15">
      <c r="H74" s="27" t="s">
        <v>89</v>
      </c>
      <c r="I74" s="28">
        <v>80000000</v>
      </c>
      <c r="J74" s="30"/>
      <c r="K74" s="30"/>
    </row>
    <row r="75" spans="1:26" ht="15.75" customHeight="1" x14ac:dyDescent="0.15">
      <c r="H75" s="31" t="s">
        <v>97</v>
      </c>
      <c r="I75" s="32">
        <v>0.8</v>
      </c>
      <c r="J75" s="33" t="s">
        <v>92</v>
      </c>
      <c r="K75" s="30"/>
    </row>
    <row r="76" spans="1:26" ht="13" x14ac:dyDescent="0.15">
      <c r="A76" s="7" t="s">
        <v>33</v>
      </c>
      <c r="H76" s="31" t="s">
        <v>90</v>
      </c>
      <c r="I76" s="34">
        <f>ObratFy*I75</f>
        <v>64000000</v>
      </c>
      <c r="J76" s="30"/>
      <c r="K76" s="30"/>
    </row>
    <row r="77" spans="1:26" ht="13" x14ac:dyDescent="0.15">
      <c r="A77" s="20" t="s">
        <v>35</v>
      </c>
      <c r="D77" s="2">
        <f xml:space="preserve"> CilMzdaZamest * ProcMzdaZamest</f>
        <v>252</v>
      </c>
      <c r="E77" s="21" t="s">
        <v>59</v>
      </c>
      <c r="H77" s="31" t="s">
        <v>91</v>
      </c>
      <c r="I77" s="30">
        <v>3</v>
      </c>
      <c r="J77" s="33" t="s">
        <v>93</v>
      </c>
      <c r="K77" s="30"/>
    </row>
    <row r="78" spans="1:26" ht="13" x14ac:dyDescent="0.15">
      <c r="A78" s="20" t="s">
        <v>36</v>
      </c>
      <c r="C78" s="1">
        <f xml:space="preserve"> VernDoba</f>
        <v>3</v>
      </c>
      <c r="D78" s="4">
        <f xml:space="preserve"> CilMzdaZamest + VernDoba * (VernDoba + 1) / 2 * NarustMzdaZamest</f>
        <v>18312</v>
      </c>
      <c r="E78">
        <f xml:space="preserve"> VernDoba * (VernDoba + 1)  * (VernDoba + 2) / 6 * NarustMzdaZamest * 12</f>
        <v>30240</v>
      </c>
      <c r="H78" s="31" t="s">
        <v>94</v>
      </c>
      <c r="I78" s="34">
        <f>ObratObchod/PocetObchodniku</f>
        <v>21333333.333333332</v>
      </c>
      <c r="J78" s="30"/>
      <c r="K78" s="30"/>
    </row>
    <row r="79" spans="1:26" ht="13" x14ac:dyDescent="0.15">
      <c r="C79" s="1">
        <f xml:space="preserve"> 2 * VernDoba</f>
        <v>6</v>
      </c>
      <c r="D79" s="4">
        <f xml:space="preserve"> CilMzdaZamest + 2 * VernDoba * (2 * VernDoba + 1) / 2 * NarustMzdaZamest</f>
        <v>22092</v>
      </c>
      <c r="H79" s="30"/>
      <c r="I79" s="31" t="s">
        <v>86</v>
      </c>
      <c r="J79" s="30"/>
      <c r="K79" s="30"/>
    </row>
    <row r="80" spans="1:26" ht="13" x14ac:dyDescent="0.15">
      <c r="C80" s="1"/>
      <c r="D80" s="4"/>
      <c r="H80" s="30"/>
      <c r="I80" s="27" t="s">
        <v>85</v>
      </c>
      <c r="J80" s="27" t="s">
        <v>87</v>
      </c>
      <c r="K80" s="33" t="s">
        <v>99</v>
      </c>
    </row>
    <row r="81" spans="1:11" ht="13" x14ac:dyDescent="0.15">
      <c r="A81" s="19" t="s">
        <v>57</v>
      </c>
      <c r="C81" s="1"/>
      <c r="D81" s="4"/>
      <c r="H81" s="31" t="s">
        <v>95</v>
      </c>
      <c r="I81" s="30">
        <v>0.3</v>
      </c>
      <c r="J81" s="30">
        <v>0.5</v>
      </c>
      <c r="K81" s="33" t="s">
        <v>98</v>
      </c>
    </row>
    <row r="82" spans="1:11" ht="15.75" customHeight="1" x14ac:dyDescent="0.15">
      <c r="A82" t="s">
        <v>35</v>
      </c>
      <c r="D82">
        <f xml:space="preserve"> CilMzdaDulZamest * ProcMzdaZamest</f>
        <v>472.5</v>
      </c>
      <c r="H82" s="31" t="s">
        <v>88</v>
      </c>
      <c r="I82" s="34">
        <f>PodilObratuObchodnika*KoefMotivace</f>
        <v>6399999.9999999991</v>
      </c>
      <c r="J82" s="34">
        <f>PodilObratuObchodnika*KoefMotivaceNad1mil</f>
        <v>10666666.666666666</v>
      </c>
      <c r="K82" s="30"/>
    </row>
    <row r="83" spans="1:11" ht="13" x14ac:dyDescent="0.15">
      <c r="A83" s="20" t="s">
        <v>36</v>
      </c>
      <c r="C83" s="1">
        <f xml:space="preserve"> VernDoba</f>
        <v>3</v>
      </c>
      <c r="D83" s="2">
        <f xml:space="preserve"> CilMzdaDulZamest + VernDoba * (VernDoba + 1) / 2 * NarustMzdaDulZamestZaklad</f>
        <v>34335</v>
      </c>
      <c r="E83">
        <f xml:space="preserve"> VernDoba * (VernDoba + 1)  * (VernDoba + 2) / 6 * NarustMzdaDulZamestZaklad * 12</f>
        <v>56700</v>
      </c>
      <c r="H83" s="31" t="s">
        <v>100</v>
      </c>
      <c r="I83" s="30">
        <v>12</v>
      </c>
      <c r="J83" s="30">
        <v>5</v>
      </c>
      <c r="K83" s="33" t="s">
        <v>101</v>
      </c>
    </row>
    <row r="84" spans="1:11" ht="13" x14ac:dyDescent="0.15">
      <c r="A84" s="1"/>
      <c r="C84" s="1">
        <f xml:space="preserve"> 2 * VernDoba</f>
        <v>6</v>
      </c>
      <c r="D84" s="2">
        <f xml:space="preserve"> CilMzdaDulZamest + 2 * VernDoba * (2 * VernDoba + 1) / 2 * NarustMzdaDulZamestZaklad</f>
        <v>41422.5</v>
      </c>
      <c r="H84" s="31"/>
      <c r="I84" s="30"/>
      <c r="J84" s="30"/>
      <c r="K84" s="33"/>
    </row>
    <row r="85" spans="1:11" ht="13" x14ac:dyDescent="0.15">
      <c r="A85" s="1"/>
      <c r="C85" s="1"/>
      <c r="D85" s="2"/>
      <c r="H85" s="31" t="s">
        <v>104</v>
      </c>
      <c r="I85" s="27" t="s">
        <v>105</v>
      </c>
      <c r="J85" s="27" t="s">
        <v>106</v>
      </c>
      <c r="K85" s="33" t="s">
        <v>107</v>
      </c>
    </row>
    <row r="86" spans="1:11" ht="13" x14ac:dyDescent="0.15">
      <c r="A86" s="19" t="s">
        <v>58</v>
      </c>
      <c r="C86" s="1"/>
      <c r="D86" s="2"/>
      <c r="H86" s="31"/>
      <c r="I86" s="34">
        <v>500000</v>
      </c>
      <c r="J86" s="34">
        <v>2500000</v>
      </c>
      <c r="K86" s="33"/>
    </row>
    <row r="87" spans="1:11" ht="13" x14ac:dyDescent="0.15">
      <c r="A87" s="20" t="s">
        <v>35</v>
      </c>
      <c r="C87" s="1"/>
      <c r="D87" s="2">
        <f xml:space="preserve"> CilMzdaKlicZamest * ProcMzdaZamest</f>
        <v>630</v>
      </c>
      <c r="H87" s="31" t="s">
        <v>108</v>
      </c>
      <c r="I87" s="34">
        <f>I86*PocetPlosin</f>
        <v>6000000</v>
      </c>
      <c r="J87" s="34">
        <f>J86*PocetAutovytahu</f>
        <v>12500000</v>
      </c>
      <c r="K87" s="33" t="s">
        <v>109</v>
      </c>
    </row>
    <row r="88" spans="1:11" ht="13" x14ac:dyDescent="0.15">
      <c r="A88" s="20" t="s">
        <v>36</v>
      </c>
      <c r="C88" s="1">
        <f xml:space="preserve"> VernDoba</f>
        <v>3</v>
      </c>
      <c r="D88" s="2">
        <f xml:space="preserve"> CilMzdaKlicZamest + VernDoba * (VernDoba + 1) / 2 * NarustMzdaKlicZamestZaklad</f>
        <v>45780</v>
      </c>
      <c r="E88">
        <f xml:space="preserve"> VernDoba * (VernDoba + 1)  * (VernDoba + 2) / 6 * NarustMzdaKlicZamestZaklad * 12</f>
        <v>75600</v>
      </c>
      <c r="H88" s="31"/>
      <c r="I88" s="30"/>
      <c r="J88" s="30"/>
      <c r="K88" s="33"/>
    </row>
    <row r="89" spans="1:11" ht="13" x14ac:dyDescent="0.15">
      <c r="A89" s="1"/>
      <c r="C89" s="1">
        <f xml:space="preserve"> 2 * VernDoba</f>
        <v>6</v>
      </c>
      <c r="D89" s="2">
        <f xml:space="preserve"> CilMzdaKlicZamest + 2 * VernDoba * (2 * VernDoba + 1) / 2 * NarustMzdaKlicZamestZaklad</f>
        <v>55230</v>
      </c>
      <c r="H89" s="31"/>
      <c r="I89" s="34"/>
      <c r="J89" s="30"/>
      <c r="K89" s="30"/>
    </row>
    <row r="90" spans="1:11" ht="13" x14ac:dyDescent="0.15">
      <c r="A90" s="1"/>
      <c r="C90" s="1"/>
      <c r="D90" s="2"/>
      <c r="H90" s="35" t="s">
        <v>23</v>
      </c>
      <c r="I90" s="30"/>
      <c r="J90" s="30"/>
      <c r="K90" s="30"/>
    </row>
    <row r="91" spans="1:11" ht="13" x14ac:dyDescent="0.15">
      <c r="A91" s="1"/>
      <c r="C91" s="1"/>
      <c r="D91" s="2"/>
      <c r="H91" s="35" t="s">
        <v>24</v>
      </c>
      <c r="I91" s="36" t="s">
        <v>25</v>
      </c>
      <c r="J91" s="34"/>
      <c r="K91" s="34">
        <v>200000</v>
      </c>
    </row>
    <row r="92" spans="1:11" ht="13" x14ac:dyDescent="0.15">
      <c r="A92" s="1"/>
      <c r="C92" s="1"/>
      <c r="D92" s="2"/>
      <c r="H92" s="30"/>
      <c r="I92" s="35" t="s">
        <v>102</v>
      </c>
      <c r="J92" s="32"/>
      <c r="K92">
        <f xml:space="preserve"> RezieFirmy</f>
        <v>0.2</v>
      </c>
    </row>
    <row r="93" spans="1:11" ht="15.75" customHeight="1" x14ac:dyDescent="0.15">
      <c r="H93" s="30"/>
      <c r="I93" s="36" t="s">
        <v>26</v>
      </c>
      <c r="J93" s="30"/>
      <c r="K93" s="34">
        <f>K91*(1-C17)</f>
        <v>160000</v>
      </c>
    </row>
    <row r="94" spans="1:11" ht="13" x14ac:dyDescent="0.15">
      <c r="H94" s="30"/>
      <c r="I94" s="36" t="s">
        <v>27</v>
      </c>
      <c r="J94" s="37"/>
      <c r="K94" s="37">
        <v>0.05</v>
      </c>
    </row>
    <row r="95" spans="1:11" ht="15.75" customHeight="1" x14ac:dyDescent="0.15">
      <c r="H95" s="30"/>
      <c r="I95" s="35" t="s">
        <v>28</v>
      </c>
      <c r="J95" s="38"/>
      <c r="K95" s="39">
        <f>K93*K94</f>
        <v>8000</v>
      </c>
    </row>
    <row r="96" spans="1:11" ht="13" x14ac:dyDescent="0.15">
      <c r="A96" s="6"/>
      <c r="D96" s="16"/>
      <c r="H96" s="30"/>
      <c r="I96" s="30"/>
      <c r="J96" s="30"/>
      <c r="K96" s="30"/>
    </row>
    <row r="97" spans="1:11" ht="13" x14ac:dyDescent="0.15">
      <c r="A97" s="6"/>
      <c r="D97" s="18"/>
      <c r="H97" s="30"/>
      <c r="I97" s="30"/>
      <c r="J97" s="38"/>
      <c r="K97" s="30"/>
    </row>
    <row r="98" spans="1:11" ht="15.75" customHeight="1" x14ac:dyDescent="0.15">
      <c r="H98" s="36" t="s">
        <v>29</v>
      </c>
      <c r="I98" s="30"/>
      <c r="J98" s="30"/>
      <c r="K98" s="39">
        <f>K95*PocetPlosin</f>
        <v>96000</v>
      </c>
    </row>
    <row r="99" spans="1:11" ht="15.75" customHeight="1" x14ac:dyDescent="0.15">
      <c r="H99" s="40" t="s">
        <v>71</v>
      </c>
      <c r="I99" s="30"/>
      <c r="J99" s="30"/>
      <c r="K99" s="41">
        <f xml:space="preserve"> K98 * VernDoba</f>
        <v>288000</v>
      </c>
    </row>
    <row r="100" spans="1:11" ht="15.75" customHeight="1" x14ac:dyDescent="0.15">
      <c r="H100" s="30"/>
      <c r="I100" s="30"/>
      <c r="J100" s="30"/>
      <c r="K100" s="30"/>
    </row>
    <row r="101" spans="1:11" ht="15.75" customHeight="1" x14ac:dyDescent="0.15">
      <c r="H101" s="30"/>
      <c r="I101" s="30"/>
      <c r="J101" s="30"/>
      <c r="K101" s="30"/>
    </row>
    <row r="102" spans="1:11" ht="15.75" customHeight="1" x14ac:dyDescent="0.15">
      <c r="H102" s="35" t="s">
        <v>103</v>
      </c>
      <c r="I102" s="36" t="s">
        <v>25</v>
      </c>
      <c r="J102" s="34"/>
      <c r="K102" s="34">
        <v>200000</v>
      </c>
    </row>
    <row r="103" spans="1:11" ht="15.75" customHeight="1" x14ac:dyDescent="0.15">
      <c r="H103" s="30"/>
      <c r="I103" s="35" t="s">
        <v>102</v>
      </c>
      <c r="J103" s="32"/>
      <c r="K103" s="32">
        <v>0.2</v>
      </c>
    </row>
    <row r="104" spans="1:11" ht="15.75" customHeight="1" x14ac:dyDescent="0.15">
      <c r="H104" s="30"/>
      <c r="I104" s="36" t="s">
        <v>26</v>
      </c>
      <c r="J104" s="30"/>
      <c r="K104" s="34">
        <f>K102*(1-K103)</f>
        <v>160000</v>
      </c>
    </row>
    <row r="105" spans="1:11" ht="15.75" customHeight="1" x14ac:dyDescent="0.15">
      <c r="H105" s="30"/>
      <c r="I105" s="36" t="s">
        <v>27</v>
      </c>
      <c r="J105" s="37"/>
      <c r="K105" s="37">
        <v>0.1</v>
      </c>
    </row>
    <row r="106" spans="1:11" ht="15.75" customHeight="1" x14ac:dyDescent="0.15">
      <c r="H106" s="30"/>
      <c r="I106" s="35" t="s">
        <v>28</v>
      </c>
      <c r="J106" s="38"/>
      <c r="K106" s="39">
        <f>K104*K105</f>
        <v>16000</v>
      </c>
    </row>
    <row r="107" spans="1:11" ht="15.75" customHeight="1" x14ac:dyDescent="0.15">
      <c r="H107" s="30"/>
      <c r="I107" s="30"/>
      <c r="J107" s="30"/>
      <c r="K107" s="30"/>
    </row>
    <row r="108" spans="1:11" ht="15.75" customHeight="1" x14ac:dyDescent="0.15">
      <c r="H108" s="30"/>
      <c r="I108" s="30"/>
      <c r="J108" s="38"/>
      <c r="K108" s="30"/>
    </row>
    <row r="109" spans="1:11" ht="15.75" customHeight="1" x14ac:dyDescent="0.15">
      <c r="H109" s="36" t="s">
        <v>29</v>
      </c>
      <c r="I109" s="30"/>
      <c r="J109" s="30"/>
      <c r="K109" s="39">
        <f>K106*PocetAutovytahu</f>
        <v>80000</v>
      </c>
    </row>
    <row r="110" spans="1:11" ht="15.75" customHeight="1" x14ac:dyDescent="0.15">
      <c r="H110" s="40" t="s">
        <v>71</v>
      </c>
      <c r="I110" s="30"/>
      <c r="J110" s="30"/>
      <c r="K110" s="41">
        <f xml:space="preserve"> K109 * VernDoba</f>
        <v>240000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0369-ECBF-4FBB-9BB0-E17A56F48A53}">
  <dimension ref="A2:D6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18.33203125" bestFit="1" customWidth="1"/>
    <col min="3" max="3" width="12.5" bestFit="1" customWidth="1"/>
    <col min="4" max="4" width="10.6640625" bestFit="1" customWidth="1"/>
  </cols>
  <sheetData>
    <row r="2" spans="1:4" x14ac:dyDescent="0.15">
      <c r="A2" t="s">
        <v>37</v>
      </c>
      <c r="B2" t="s">
        <v>38</v>
      </c>
      <c r="C2" t="s">
        <v>39</v>
      </c>
      <c r="D2" t="s">
        <v>40</v>
      </c>
    </row>
    <row r="3" spans="1:4" x14ac:dyDescent="0.15">
      <c r="A3" t="s">
        <v>41</v>
      </c>
      <c r="B3" t="s">
        <v>44</v>
      </c>
      <c r="C3" t="s">
        <v>48</v>
      </c>
      <c r="D3" t="s">
        <v>50</v>
      </c>
    </row>
    <row r="4" spans="1:4" x14ac:dyDescent="0.15">
      <c r="A4" t="s">
        <v>43</v>
      </c>
      <c r="B4" t="s">
        <v>45</v>
      </c>
      <c r="C4" t="s">
        <v>49</v>
      </c>
      <c r="D4" t="s">
        <v>51</v>
      </c>
    </row>
    <row r="5" spans="1:4" x14ac:dyDescent="0.15">
      <c r="A5" t="s">
        <v>47</v>
      </c>
      <c r="B5" t="s">
        <v>42</v>
      </c>
    </row>
    <row r="6" spans="1:4" x14ac:dyDescent="0.15">
      <c r="A6" t="s">
        <v>46</v>
      </c>
      <c r="B6" t="s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73</vt:i4>
      </vt:variant>
    </vt:vector>
  </HeadingPairs>
  <TitlesOfParts>
    <vt:vector size="75" baseType="lpstr">
      <vt:lpstr>Share_prog</vt:lpstr>
      <vt:lpstr>Seznam jmen</vt:lpstr>
      <vt:lpstr>CelkovyNakladNarustMzdaDulZamestVerDob</vt:lpstr>
      <vt:lpstr>CelkovyNakladNarustMzdaKlicZamestVerDob</vt:lpstr>
      <vt:lpstr>CelkovyNakladNarustMzdaObchodZamestVerDob</vt:lpstr>
      <vt:lpstr>CelkovyNakladNarustMzdaStratZamestVerDob</vt:lpstr>
      <vt:lpstr>CelkovyNakladNarustMzdaZamestVerDob</vt:lpstr>
      <vt:lpstr>CelyNakladShareDulZamest</vt:lpstr>
      <vt:lpstr>CelyNakladShareKlicZamest</vt:lpstr>
      <vt:lpstr>CelyNakladShareStratZamest</vt:lpstr>
      <vt:lpstr>CilMzdaDulZamest</vt:lpstr>
      <vt:lpstr>CilMzdaKlicZamest</vt:lpstr>
      <vt:lpstr>CilMzdaZamest</vt:lpstr>
      <vt:lpstr>HospInvestice</vt:lpstr>
      <vt:lpstr>HospProvoz</vt:lpstr>
      <vt:lpstr>HospVysledek</vt:lpstr>
      <vt:lpstr>HospVysledekProvoz</vt:lpstr>
      <vt:lpstr>KoefMotivace</vt:lpstr>
      <vt:lpstr>KoefMotivaceDo1mil</vt:lpstr>
      <vt:lpstr>KoefMotivaceNad1mil</vt:lpstr>
      <vt:lpstr>MzdaPrumerCR</vt:lpstr>
      <vt:lpstr>NakladNarustMzdaDulZamestVerDob</vt:lpstr>
      <vt:lpstr>NakladNarustMzdaKlicZamestVerDob</vt:lpstr>
      <vt:lpstr>NakladNarustMzdaZamestVerDob</vt:lpstr>
      <vt:lpstr>NakladNord</vt:lpstr>
      <vt:lpstr>NakladObchodVerDob</vt:lpstr>
      <vt:lpstr>NakladPlosina</vt:lpstr>
      <vt:lpstr>NakladRozvadec</vt:lpstr>
      <vt:lpstr>NakladShareDulZamest</vt:lpstr>
      <vt:lpstr>NakladShareKlicZamest</vt:lpstr>
      <vt:lpstr>NakladShareStratZamest</vt:lpstr>
      <vt:lpstr>NakladVytah</vt:lpstr>
      <vt:lpstr>NarustMzdaDulZamestZaklad</vt:lpstr>
      <vt:lpstr>NarustMzdaKlicZamestZaklad</vt:lpstr>
      <vt:lpstr>NarustMzdaZamest</vt:lpstr>
      <vt:lpstr>ObchBenefitNord</vt:lpstr>
      <vt:lpstr>ObchBenefitPlosina</vt:lpstr>
      <vt:lpstr>ObchBenefitPrumer</vt:lpstr>
      <vt:lpstr>ObchBenefitRozvadec</vt:lpstr>
      <vt:lpstr>ObchBenefitVytah</vt:lpstr>
      <vt:lpstr>ObratFy</vt:lpstr>
      <vt:lpstr>ObratObchod</vt:lpstr>
      <vt:lpstr>PlosinaObjem</vt:lpstr>
      <vt:lpstr>PocetAutovytahu</vt:lpstr>
      <vt:lpstr>PocetDulZamest</vt:lpstr>
      <vt:lpstr>PocetKlicZamest</vt:lpstr>
      <vt:lpstr>PocetObchod</vt:lpstr>
      <vt:lpstr>PocetObchodniku</vt:lpstr>
      <vt:lpstr>PocetPlosin</vt:lpstr>
      <vt:lpstr>PocetStratZamest</vt:lpstr>
      <vt:lpstr>PocetZamest</vt:lpstr>
      <vt:lpstr>PodilObchodu</vt:lpstr>
      <vt:lpstr>PodilObratuObchodnika</vt:lpstr>
      <vt:lpstr>PomerNord</vt:lpstr>
      <vt:lpstr>PomerPlosina</vt:lpstr>
      <vt:lpstr>PomerRozvadec</vt:lpstr>
      <vt:lpstr>PomerVytah</vt:lpstr>
      <vt:lpstr>PozadObratDo1mil</vt:lpstr>
      <vt:lpstr>PozadObratNad1mil</vt:lpstr>
      <vt:lpstr>ProcInvestice</vt:lpstr>
      <vt:lpstr>ProcMzdaZamest</vt:lpstr>
      <vt:lpstr>ProcShareDulZamest</vt:lpstr>
      <vt:lpstr>ProcShareKlicZamest</vt:lpstr>
      <vt:lpstr>ProcShareStartZamest</vt:lpstr>
      <vt:lpstr>RezieFirmy</vt:lpstr>
      <vt:lpstr>ShareDulZamest</vt:lpstr>
      <vt:lpstr>ShareKlicZamest</vt:lpstr>
      <vt:lpstr>ShareStratZamest</vt:lpstr>
      <vt:lpstr>VernDoba</vt:lpstr>
      <vt:lpstr>VysledekPlosiny</vt:lpstr>
      <vt:lpstr>ZiskaPlosina</vt:lpstr>
      <vt:lpstr>ZiskNord</vt:lpstr>
      <vt:lpstr>ZiskPlosina</vt:lpstr>
      <vt:lpstr>ZiskRozvadec</vt:lpstr>
      <vt:lpstr>ZiskVytah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2022-09-23T19:46:35Z</dcterms:created>
  <dcterms:modified xsi:type="dcterms:W3CDTF">2022-10-14T10:24:59Z</dcterms:modified>
</cp:coreProperties>
</file>