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lec1/Downloads/"/>
    </mc:Choice>
  </mc:AlternateContent>
  <xr:revisionPtr revIDLastSave="0" documentId="8_{B5751414-B29E-454D-BAED-04A6410DF9DE}" xr6:coauthVersionLast="47" xr6:coauthVersionMax="47" xr10:uidLastSave="{00000000-0000-0000-0000-000000000000}"/>
  <bookViews>
    <workbookView xWindow="0" yWindow="460" windowWidth="28800" windowHeight="15720" xr2:uid="{00000000-000D-0000-FFFF-FFFF00000000}"/>
  </bookViews>
  <sheets>
    <sheet name="Share_prog" sheetId="1" r:id="rId1"/>
    <sheet name="Seznam jmen" sheetId="2" r:id="rId2"/>
  </sheets>
  <definedNames>
    <definedName name="CilMzdaDulZamest">Share_prog!$D$13</definedName>
    <definedName name="CilMzdaKlicZamest">Share_prog!$D$14</definedName>
    <definedName name="CilMzdaZamest">Share_prog!$D$12</definedName>
    <definedName name="HospVysledek">Share_prog!$C$5</definedName>
    <definedName name="HospVysledekProvoz">Share_prog!$C$7</definedName>
    <definedName name="MzdaPrumerCR">Share_prog!$D$11</definedName>
    <definedName name="MzdaZamest">Share_prog!#REF!</definedName>
    <definedName name="NakladNarustMzdaDulZamestVerDob">Share_prog!$E$91</definedName>
    <definedName name="NakladNarustMzdaKlicZamestVerDob">Share_prog!$E$96</definedName>
    <definedName name="NakladNarustMzdaZamestVerDob">Share_prog!$E$86</definedName>
    <definedName name="NarustMzdaDulZamest">Share_prog!$D$44</definedName>
    <definedName name="NarustMzdaDulZamestZaklad">Share_prog!$D$90</definedName>
    <definedName name="NarustMzdaKlicZamest">Share_prog!$D$37</definedName>
    <definedName name="NarustMzdaKlicZamestZaklad">Share_prog!$D$95</definedName>
    <definedName name="NarustMzdaZamest">Share_prog!$D$85</definedName>
    <definedName name="ProcInvestice">Share_prog!$C$8</definedName>
    <definedName name="ProcMzdaDulZamest">Share_prog!$C$43</definedName>
    <definedName name="ProcMzdaKlicZamest">Share_prog!$C$36</definedName>
    <definedName name="ProcMzdaZamest">Share_prog!$D$15</definedName>
    <definedName name="ProcShareDulZamest">Share_prog!$C$42</definedName>
    <definedName name="ProcShareKlicZamest">Share_prog!$C$35</definedName>
    <definedName name="ProcShareStartZamest">Share_prog!$C$76</definedName>
    <definedName name="ShareDulZamest">Share_prog!$D$42</definedName>
    <definedName name="ShareKlicZamest">Share_prog!$D$35</definedName>
    <definedName name="ShareStratZamest">Share_prog!$D$76</definedName>
    <definedName name="VernDoba">Share_prog!$C$23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E91" i="1"/>
  <c r="D91" i="1"/>
  <c r="E96" i="1"/>
  <c r="D97" i="1"/>
  <c r="D96" i="1"/>
  <c r="C97" i="1"/>
  <c r="C96" i="1"/>
  <c r="C92" i="1"/>
  <c r="C91" i="1"/>
  <c r="D14" i="1"/>
  <c r="D95" i="1" s="1"/>
  <c r="D13" i="1"/>
  <c r="D90" i="1" s="1"/>
  <c r="D12" i="1"/>
  <c r="D85" i="1" s="1"/>
  <c r="C87" i="1"/>
  <c r="C86" i="1"/>
  <c r="C9" i="1"/>
  <c r="C51" i="1" s="1"/>
  <c r="D35" i="1"/>
  <c r="D76" i="1"/>
  <c r="D81" i="1" s="1"/>
  <c r="D44" i="1"/>
  <c r="D42" i="1"/>
  <c r="C45" i="1" s="1" a="1"/>
  <c r="C45" i="1" s="1"/>
  <c r="D37" i="1"/>
  <c r="D17" i="1"/>
  <c r="D18" i="1" s="1"/>
  <c r="D65" i="1"/>
  <c r="D67" i="1" s="1"/>
  <c r="D69" i="1" s="1"/>
  <c r="D72" i="1" s="1"/>
  <c r="D73" i="1" s="1"/>
  <c r="C20" i="1"/>
  <c r="C18" i="1"/>
  <c r="E86" i="1" l="1"/>
  <c r="D86" i="1"/>
  <c r="D87" i="1"/>
  <c r="C46" i="1"/>
  <c r="C39" i="1"/>
  <c r="D77" i="1"/>
  <c r="D82" i="1" s="1"/>
  <c r="C38" i="1"/>
  <c r="D19" i="1"/>
  <c r="C26" i="1"/>
  <c r="C28" i="1" s="1"/>
  <c r="D104" i="1" l="1"/>
  <c r="D105" i="1"/>
  <c r="D26" i="1" s="1"/>
  <c r="D20" i="1"/>
  <c r="D52" i="1" s="1"/>
  <c r="C29" i="1"/>
  <c r="C27" i="1"/>
  <c r="D51" i="1" l="1"/>
  <c r="E51" i="1" s="1"/>
  <c r="E52" i="1"/>
  <c r="D28" i="1"/>
  <c r="D27" i="1"/>
  <c r="E26" i="1"/>
  <c r="D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<sst xmlns="http://schemas.openxmlformats.org/spreadsheetml/2006/main" count="109" uniqueCount="84">
  <si>
    <t>Priklad realizace Shareholdingu se zamestnanci EL-VY</t>
  </si>
  <si>
    <t>Hopodarsky vysledek 2021</t>
  </si>
  <si>
    <t>Maximalni hodnota sharovani</t>
  </si>
  <si>
    <t>Částka na provoz firmy</t>
  </si>
  <si>
    <t>Část na investice</t>
  </si>
  <si>
    <t>a) vyplata za rok predchazejici</t>
  </si>
  <si>
    <t>b) narust mzdy</t>
  </si>
  <si>
    <t>Doba vernostni</t>
  </si>
  <si>
    <t>let</t>
  </si>
  <si>
    <t>Aktualizace napad na zaklade konzultace s otcem ze dne 7.9.2022</t>
  </si>
  <si>
    <t>předpokládaný share KLICOVYM zaměstnancům</t>
  </si>
  <si>
    <t>Jednorázová odměna</t>
  </si>
  <si>
    <t>Nárust ve mzdě od ledna roku následujícího (měsíců)</t>
  </si>
  <si>
    <t>Nárust v měsíční mzdě</t>
  </si>
  <si>
    <t>Výpalata po věrnostní době (dle hospodářského výkonu)</t>
  </si>
  <si>
    <t xml:space="preserve">Celkový zisk (sharing+mzda) po věrnostní době </t>
  </si>
  <si>
    <t>Pro ukazku zamestnanci</t>
  </si>
  <si>
    <t>předpokládaný share DULEZITYM zaměstnancům</t>
  </si>
  <si>
    <t>Celkový sharing náklad dle počtu KLICOVYCH zaměstnanců</t>
  </si>
  <si>
    <t>Pověrnostním období</t>
  </si>
  <si>
    <t>Po roce</t>
  </si>
  <si>
    <t>Celkový sharing náklad dle počtu DULEZITYCH zaměstnanců</t>
  </si>
  <si>
    <t>Předpokládaný zisk za celé věrnostní období</t>
  </si>
  <si>
    <t>Bez sharingu</t>
  </si>
  <si>
    <t>S sharingem</t>
  </si>
  <si>
    <t>Procentuální část vydana na share</t>
  </si>
  <si>
    <t>Majitelé celkově</t>
  </si>
  <si>
    <t>Jan Holec</t>
  </si>
  <si>
    <t>Jan Kolář</t>
  </si>
  <si>
    <t>Milan Holec</t>
  </si>
  <si>
    <t>Předpokládaný zisk za jeden rok</t>
  </si>
  <si>
    <t>Naklady share za rok</t>
  </si>
  <si>
    <t xml:space="preserve">procent ze zisku </t>
  </si>
  <si>
    <t>Doplneni dalsich skupin zamestnancu z 14.9. 2022 červené výsledky, čísla</t>
  </si>
  <si>
    <t>Obchodnik</t>
  </si>
  <si>
    <t>Doba vernostni U OBCHODNÍKŮ DÁVAT ODMĚNY??</t>
  </si>
  <si>
    <t>Pozadovany objem zakazek</t>
  </si>
  <si>
    <t>1. Ve vysi celkovych financi</t>
  </si>
  <si>
    <t xml:space="preserve">2. Pocet realizovanych zarizeni </t>
  </si>
  <si>
    <t>ks</t>
  </si>
  <si>
    <t>Jednotlive zakazky</t>
  </si>
  <si>
    <t>1. Plosina</t>
  </si>
  <si>
    <t>Vyhodnoceni zakazky v ucetnim programu</t>
  </si>
  <si>
    <t>Ponizeni vysledku o rezii</t>
  </si>
  <si>
    <t>Celkovy vysledek zakazky</t>
  </si>
  <si>
    <t>Procentuelni narok obchodnika</t>
  </si>
  <si>
    <t>Odmena za obchod</t>
  </si>
  <si>
    <t>Celkova odmena za rok vynosobena počtem zařízení (10 ks)</t>
  </si>
  <si>
    <t>Počet OBCHODNÍKŮ</t>
  </si>
  <si>
    <t>Celkový náklad za jeden rok</t>
  </si>
  <si>
    <t>Celkový náklad po věrnostní době</t>
  </si>
  <si>
    <t>Není započten věrnostní bonus</t>
  </si>
  <si>
    <t>Strategicka osoba</t>
  </si>
  <si>
    <t>předpokládaný share STRATEGICKÝM zaměstnancům</t>
  </si>
  <si>
    <t>Počet STRATEGICKÝCH zaměstnanců</t>
  </si>
  <si>
    <t>Řadový zaměstnanec a růst platu</t>
  </si>
  <si>
    <t>Vyhlášená průměrná mzda v ČR 31.12.</t>
  </si>
  <si>
    <t>Nárust měsíční mzdy k 1 lednu v roce</t>
  </si>
  <si>
    <t xml:space="preserve">Mzda po věrnostním období [roky] </t>
  </si>
  <si>
    <t>Počet ŘADOVÝCH zaměstnanců</t>
  </si>
  <si>
    <t>Klicovy zamestnanci</t>
  </si>
  <si>
    <t>Duleziti z.</t>
  </si>
  <si>
    <t>Strategicky z.</t>
  </si>
  <si>
    <t>Obchdonici</t>
  </si>
  <si>
    <t>Mareckova</t>
  </si>
  <si>
    <t>Kalny</t>
  </si>
  <si>
    <t>Rakusan</t>
  </si>
  <si>
    <t>Neruda</t>
  </si>
  <si>
    <t>Malek Vl.</t>
  </si>
  <si>
    <t xml:space="preserve">Soudek </t>
  </si>
  <si>
    <t>Lhotsky</t>
  </si>
  <si>
    <t>Denk</t>
  </si>
  <si>
    <t>Hochman</t>
  </si>
  <si>
    <t>Meduna T.</t>
  </si>
  <si>
    <t>Moucka ml.</t>
  </si>
  <si>
    <t>Drnec</t>
  </si>
  <si>
    <t>Procenta pro spolecniky z celkoveho zisku</t>
  </si>
  <si>
    <t>Roční nárust mzdy zaměstnance v procentech z průměrné mzdy</t>
  </si>
  <si>
    <t>Definice mzdy beznych zamestnancu vs prumerna CR</t>
  </si>
  <si>
    <t>Definice mzdy dulezitych zamestnancu vs prumerna CR</t>
  </si>
  <si>
    <t>Definice mzdy klicovych zamestnancu vs prumerna CR</t>
  </si>
  <si>
    <t>Dulezity zaměstnanec a růst platu</t>
  </si>
  <si>
    <t>Klicovy zaměstnanec a růst platu</t>
  </si>
  <si>
    <t>Naklad na narust pres vernostni 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</si>
</sst>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Kč-405]"/>
    <numFmt numFmtId="165" formatCode="0.0%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5"/>
      <name val="Arial"/>
      <scheme val="minor"/>
    </font>
    <font>
      <b/>
      <sz val="10"/>
      <color theme="5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0000"/>
      <name val="Arial"/>
      <scheme val="minor"/>
    </font>
    <font>
      <sz val="10"/>
      <color theme="5"/>
      <name val="Arial"/>
      <scheme val="minor"/>
    </font>
    <font>
      <sz val="11"/>
      <color theme="5"/>
      <name val="Inconsolata"/>
    </font>
    <font>
      <sz val="10"/>
      <color rgb="FFFF0000"/>
      <name val="Arial (Body)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/>
    <xf numFmtId="10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1" xfId="0" applyFont="1" applyBorder="1"/>
    <xf numFmtId="0" fontId="5" fillId="0" borderId="0" xfId="0" applyFont="1" applyAlignment="1">
      <alignment horizontal="right"/>
    </xf>
    <xf numFmtId="0" fontId="7" fillId="0" borderId="0" xfId="0" applyFont="1"/>
    <xf numFmtId="164" fontId="8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9" fillId="2" borderId="0" xfId="0" applyFont="1" applyFill="1"/>
    <xf numFmtId="9" fontId="1" fillId="0" borderId="0" xfId="0" applyNumberFormat="1" applyFont="1"/>
    <xf numFmtId="9" fontId="2" fillId="0" borderId="0" xfId="0" applyNumberFormat="1" applyFont="1"/>
    <xf numFmtId="164" fontId="9" fillId="2" borderId="0" xfId="0" applyNumberFormat="1" applyFont="1" applyFill="1"/>
    <xf numFmtId="164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"/>
  <sheetViews>
    <sheetView tabSelected="1" topLeftCell="A23" workbookViewId="0">
      <selection activeCell="E86" sqref="E86"/>
    </sheetView>
  </sheetViews>
  <sheetFormatPr baseColWidth="10" defaultColWidth="12.5" defaultRowHeight="15.75" customHeight="1" x14ac:dyDescent="0.15"/>
  <cols>
    <col min="2" max="2" width="43.1640625" customWidth="1"/>
    <col min="3" max="3" width="15" customWidth="1"/>
    <col min="4" max="4" width="22" bestFit="1" customWidth="1"/>
    <col min="5" max="5" width="14.5" customWidth="1"/>
  </cols>
  <sheetData>
    <row r="1" spans="1:4" ht="13" x14ac:dyDescent="0.15">
      <c r="A1" s="1" t="s">
        <v>0</v>
      </c>
    </row>
    <row r="3" spans="1:4" ht="13" x14ac:dyDescent="0.15">
      <c r="A3" s="6" t="s">
        <v>9</v>
      </c>
    </row>
    <row r="5" spans="1:4" ht="13" x14ac:dyDescent="0.15">
      <c r="A5" s="1" t="s">
        <v>1</v>
      </c>
      <c r="C5" s="2">
        <v>4000000</v>
      </c>
    </row>
    <row r="6" spans="1:4" ht="13" x14ac:dyDescent="0.15">
      <c r="A6" s="1" t="s">
        <v>2</v>
      </c>
      <c r="C6" s="3">
        <v>0.2</v>
      </c>
    </row>
    <row r="7" spans="1:4" ht="13" x14ac:dyDescent="0.15">
      <c r="A7" s="1" t="s">
        <v>3</v>
      </c>
      <c r="C7" s="2">
        <v>1000000</v>
      </c>
    </row>
    <row r="8" spans="1:4" ht="13" x14ac:dyDescent="0.15">
      <c r="A8" s="1" t="s">
        <v>4</v>
      </c>
      <c r="C8" s="3">
        <v>0.05</v>
      </c>
    </row>
    <row r="9" spans="1:4" ht="13" x14ac:dyDescent="0.15">
      <c r="C9" s="2">
        <f xml:space="preserve"> HospVysledek * ProcInvestice</f>
        <v>200000</v>
      </c>
    </row>
    <row r="10" spans="1:4" ht="13" x14ac:dyDescent="0.15">
      <c r="C10" s="2"/>
    </row>
    <row r="11" spans="1:4" ht="15.75" customHeight="1" x14ac:dyDescent="0.15">
      <c r="A11" s="1" t="s">
        <v>56</v>
      </c>
      <c r="D11" s="4">
        <v>42000</v>
      </c>
    </row>
    <row r="12" spans="1:4" ht="15.75" customHeight="1" x14ac:dyDescent="0.15">
      <c r="A12" s="1" t="s">
        <v>78</v>
      </c>
      <c r="C12">
        <v>0.6</v>
      </c>
      <c r="D12" s="4">
        <f xml:space="preserve"> C12 * MzdaPrumerCR</f>
        <v>25200</v>
      </c>
    </row>
    <row r="13" spans="1:4" ht="15.75" customHeight="1" x14ac:dyDescent="0.15">
      <c r="A13" s="1" t="s">
        <v>79</v>
      </c>
      <c r="C13">
        <v>0.75</v>
      </c>
      <c r="D13" s="4">
        <f xml:space="preserve"> C13 * MzdaPrumerCR</f>
        <v>31500</v>
      </c>
    </row>
    <row r="14" spans="1:4" ht="15.75" customHeight="1" x14ac:dyDescent="0.15">
      <c r="A14" s="1" t="s">
        <v>80</v>
      </c>
      <c r="C14">
        <v>1</v>
      </c>
      <c r="D14" s="4">
        <f xml:space="preserve"> C14 * MzdaPrumerCR</f>
        <v>42000</v>
      </c>
    </row>
    <row r="15" spans="1:4" ht="15.75" customHeight="1" x14ac:dyDescent="0.15">
      <c r="A15" s="1" t="s">
        <v>77</v>
      </c>
      <c r="D15" s="3">
        <v>0.02</v>
      </c>
    </row>
    <row r="16" spans="1:4" ht="15.75" customHeight="1" x14ac:dyDescent="0.15">
      <c r="D16" s="4"/>
    </row>
    <row r="17" spans="1:5" ht="15.75" customHeight="1" x14ac:dyDescent="0.15">
      <c r="A17" s="1" t="s">
        <v>18</v>
      </c>
      <c r="C17" s="17">
        <v>4</v>
      </c>
      <c r="D17" s="18" t="e">
        <f>C17*#REF!</f>
        <v>#REF!</v>
      </c>
      <c r="E17" s="1" t="s">
        <v>19</v>
      </c>
    </row>
    <row r="18" spans="1:5" ht="15.75" customHeight="1" x14ac:dyDescent="0.15">
      <c r="A18" s="1" t="s">
        <v>18</v>
      </c>
      <c r="C18" s="1">
        <f>C17</f>
        <v>4</v>
      </c>
      <c r="D18" s="18" t="e">
        <f>D17/C23</f>
        <v>#REF!</v>
      </c>
      <c r="E18" s="1" t="s">
        <v>20</v>
      </c>
    </row>
    <row r="19" spans="1:5" ht="15.75" customHeight="1" x14ac:dyDescent="0.15">
      <c r="A19" s="1" t="s">
        <v>21</v>
      </c>
      <c r="C19" s="17">
        <v>4</v>
      </c>
      <c r="D19" s="18" t="e">
        <f>C19*#REF!</f>
        <v>#REF!</v>
      </c>
      <c r="E19" s="1" t="s">
        <v>19</v>
      </c>
    </row>
    <row r="20" spans="1:5" ht="15.75" customHeight="1" x14ac:dyDescent="0.15">
      <c r="A20" s="1" t="s">
        <v>21</v>
      </c>
      <c r="C20" s="1">
        <f>C19</f>
        <v>4</v>
      </c>
      <c r="D20" s="18" t="e">
        <f>D19/C23</f>
        <v>#REF!</v>
      </c>
      <c r="E20" s="1" t="s">
        <v>20</v>
      </c>
    </row>
    <row r="21" spans="1:5" ht="15.75" customHeight="1" x14ac:dyDescent="0.15">
      <c r="D21" s="4"/>
    </row>
    <row r="22" spans="1:5" ht="15.75" customHeight="1" x14ac:dyDescent="0.15">
      <c r="D22" s="4"/>
    </row>
    <row r="23" spans="1:5" ht="13" x14ac:dyDescent="0.15">
      <c r="A23" s="1" t="s">
        <v>7</v>
      </c>
      <c r="C23" s="1">
        <v>5</v>
      </c>
      <c r="D23" s="1" t="s">
        <v>8</v>
      </c>
    </row>
    <row r="24" spans="1:5" ht="13" x14ac:dyDescent="0.15">
      <c r="A24" s="1"/>
      <c r="C24" s="1"/>
      <c r="D24" s="1"/>
    </row>
    <row r="25" spans="1:5" ht="13" x14ac:dyDescent="0.15">
      <c r="A25" s="1" t="s">
        <v>22</v>
      </c>
      <c r="C25" s="1" t="s">
        <v>23</v>
      </c>
      <c r="D25" s="1" t="s">
        <v>24</v>
      </c>
      <c r="E25" s="1" t="s">
        <v>25</v>
      </c>
    </row>
    <row r="26" spans="1:5" ht="13" x14ac:dyDescent="0.15">
      <c r="A26" s="1" t="s">
        <v>26</v>
      </c>
      <c r="C26" s="4">
        <f>C23*(C5-C7-C9)</f>
        <v>14000000</v>
      </c>
      <c r="D26" s="4" t="e">
        <f>C26-D17-D19-D73-D82-D105</f>
        <v>#REF!</v>
      </c>
      <c r="E26" s="19" t="e">
        <f>100-(100*D26/C26)</f>
        <v>#REF!</v>
      </c>
    </row>
    <row r="27" spans="1:5" ht="13" x14ac:dyDescent="0.15">
      <c r="A27" s="19" t="s">
        <v>27</v>
      </c>
      <c r="C27" s="4">
        <f t="shared" ref="C27:D27" si="0">0.6*C26</f>
        <v>8400000</v>
      </c>
      <c r="D27" s="4" t="e">
        <f t="shared" si="0"/>
        <v>#REF!</v>
      </c>
    </row>
    <row r="28" spans="1:5" ht="13" x14ac:dyDescent="0.15">
      <c r="A28" s="19" t="s">
        <v>28</v>
      </c>
      <c r="C28" s="4">
        <f t="shared" ref="C28:D28" si="1">0.2*C26</f>
        <v>2800000</v>
      </c>
      <c r="D28" s="4" t="e">
        <f t="shared" si="1"/>
        <v>#REF!</v>
      </c>
    </row>
    <row r="29" spans="1:5" ht="13" x14ac:dyDescent="0.15">
      <c r="A29" s="19" t="s">
        <v>29</v>
      </c>
      <c r="C29" s="4">
        <f t="shared" ref="C29:D29" si="2">0.2*C26</f>
        <v>2800000</v>
      </c>
      <c r="D29" s="4" t="e">
        <f t="shared" si="2"/>
        <v>#REF!</v>
      </c>
    </row>
    <row r="30" spans="1:5" ht="13" x14ac:dyDescent="0.15">
      <c r="A30" s="1"/>
      <c r="C30" s="1"/>
      <c r="D30" s="1"/>
    </row>
    <row r="31" spans="1:5" ht="13" x14ac:dyDescent="0.15">
      <c r="A31" s="1"/>
      <c r="C31" s="1"/>
      <c r="D31" s="1"/>
    </row>
    <row r="32" spans="1:5" ht="13" x14ac:dyDescent="0.15">
      <c r="A32" s="1"/>
      <c r="C32" s="1"/>
      <c r="D32" s="1"/>
    </row>
    <row r="33" spans="1:26" ht="13" x14ac:dyDescent="0.15">
      <c r="A33" s="1"/>
      <c r="C33" s="1"/>
      <c r="D33" s="1"/>
    </row>
    <row r="34" spans="1:26" ht="13" x14ac:dyDescent="0.15">
      <c r="A34" s="7" t="s">
        <v>10</v>
      </c>
      <c r="C34" s="3"/>
      <c r="D34" s="4"/>
    </row>
    <row r="35" spans="1:26" ht="13" x14ac:dyDescent="0.15">
      <c r="A35" s="1" t="s">
        <v>5</v>
      </c>
      <c r="C35" s="5">
        <v>0.01</v>
      </c>
      <c r="D35" s="2">
        <f xml:space="preserve"> HospVysledek * ProcShareKlicZamest</f>
        <v>40000</v>
      </c>
      <c r="E35" s="6" t="s">
        <v>11</v>
      </c>
    </row>
    <row r="36" spans="1:26" ht="13" x14ac:dyDescent="0.15">
      <c r="A36" s="1" t="s">
        <v>6</v>
      </c>
      <c r="C36" s="5">
        <v>5.0000000000000001E-3</v>
      </c>
      <c r="D36" s="4"/>
    </row>
    <row r="37" spans="1:26" ht="13" x14ac:dyDescent="0.15">
      <c r="A37" s="1" t="s">
        <v>12</v>
      </c>
      <c r="C37" s="1"/>
      <c r="D37" s="2">
        <f xml:space="preserve"> HospVysledek * ProcMzdaKlicZamest / 12</f>
        <v>1666.6666666666667</v>
      </c>
      <c r="E37" s="6" t="s">
        <v>13</v>
      </c>
    </row>
    <row r="38" spans="1:26" ht="13" x14ac:dyDescent="0.15">
      <c r="A38" s="1" t="s">
        <v>14</v>
      </c>
      <c r="C38" s="4">
        <f xml:space="preserve"> ShareKlicZamest * VernDoba</f>
        <v>200000</v>
      </c>
    </row>
    <row r="39" spans="1:26" ht="13" x14ac:dyDescent="0.15">
      <c r="A39" s="1" t="s">
        <v>15</v>
      </c>
      <c r="C39" s="4">
        <f xml:space="preserve"> VernDoba * ShareKlicZamest + VernDoba * (VernDoba + 1) * (VernDoba + 2) / 6 * NarustMzdaKlicZamest * 12</f>
        <v>900000</v>
      </c>
      <c r="D39" s="1" t="s">
        <v>16</v>
      </c>
    </row>
    <row r="40" spans="1:26" ht="13" x14ac:dyDescent="0.15">
      <c r="A40" s="1"/>
      <c r="C40" s="4"/>
      <c r="D40" s="1"/>
    </row>
    <row r="41" spans="1:26" ht="13" x14ac:dyDescent="0.15">
      <c r="A41" s="8" t="s">
        <v>17</v>
      </c>
      <c r="C41" s="10"/>
      <c r="D41" s="1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" x14ac:dyDescent="0.15">
      <c r="A42" s="12" t="s">
        <v>5</v>
      </c>
      <c r="B42" s="9"/>
      <c r="C42" s="13">
        <v>7.0000000000000001E-3</v>
      </c>
      <c r="D42" s="11">
        <f xml:space="preserve"> HospVysledek * ProcShareDulZamest</f>
        <v>28000</v>
      </c>
      <c r="E42" s="15" t="s">
        <v>11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" x14ac:dyDescent="0.15">
      <c r="A43" s="9" t="s">
        <v>6</v>
      </c>
      <c r="B43" s="9"/>
      <c r="C43" s="13">
        <v>3.0000000000000001E-3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" x14ac:dyDescent="0.15">
      <c r="A44" s="12" t="s">
        <v>12</v>
      </c>
      <c r="B44" s="9"/>
      <c r="C44" s="16"/>
      <c r="D44" s="14">
        <f xml:space="preserve"> HospVysledek * ProcMzdaDulZamest / 12</f>
        <v>1000</v>
      </c>
      <c r="E44" s="15" t="s">
        <v>13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" x14ac:dyDescent="0.15">
      <c r="A45" s="12" t="s">
        <v>14</v>
      </c>
      <c r="B45" s="9"/>
      <c r="C45" s="11" cm="1">
        <f t="array" ref="C45" xml:space="preserve"> ShareDulZamest * VernDoba</f>
        <v>140000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" x14ac:dyDescent="0.15">
      <c r="A46" s="12" t="s">
        <v>15</v>
      </c>
      <c r="B46" s="9"/>
      <c r="C46" s="11">
        <f xml:space="preserve"> VernDoba * ShareDulZamest + VernDoba * (VernDoba + 1)  * (VernDoba + 2) / 6 * NarustMzdaDulZamest * 12</f>
        <v>560000</v>
      </c>
      <c r="D46" s="1" t="s">
        <v>16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" x14ac:dyDescent="0.15">
      <c r="A47" s="1"/>
      <c r="C47" s="4"/>
      <c r="D47" s="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50" spans="1:6" ht="13" x14ac:dyDescent="0.15">
      <c r="A50" s="1" t="s">
        <v>30</v>
      </c>
      <c r="C50" s="1" t="s">
        <v>23</v>
      </c>
      <c r="D50" s="1" t="s">
        <v>24</v>
      </c>
      <c r="E50" s="1"/>
    </row>
    <row r="51" spans="1:6" ht="13" x14ac:dyDescent="0.15">
      <c r="A51" s="1" t="s">
        <v>26</v>
      </c>
      <c r="C51" s="4">
        <f>(C5-C7-C9)</f>
        <v>2800000</v>
      </c>
      <c r="D51" s="4" t="e">
        <f>C51-D52</f>
        <v>#REF!</v>
      </c>
      <c r="E51" s="20" t="e">
        <f>100-(100*D51/C5)</f>
        <v>#REF!</v>
      </c>
      <c r="F51" t="s">
        <v>76</v>
      </c>
    </row>
    <row r="52" spans="1:6" ht="15.75" customHeight="1" x14ac:dyDescent="0.2">
      <c r="A52" s="1" t="s">
        <v>31</v>
      </c>
      <c r="D52" s="4" t="e">
        <f>D18+D20+D81</f>
        <v>#REF!</v>
      </c>
      <c r="E52" s="21" t="e">
        <f>(100*D52/C5)</f>
        <v>#REF!</v>
      </c>
      <c r="F52" s="1" t="s">
        <v>32</v>
      </c>
    </row>
    <row r="53" spans="1:6" ht="15.75" customHeight="1" x14ac:dyDescent="0.15">
      <c r="D53" s="25"/>
    </row>
    <row r="54" spans="1:6" ht="13" x14ac:dyDescent="0.15">
      <c r="A54" s="1" t="s">
        <v>33</v>
      </c>
    </row>
    <row r="56" spans="1:6" ht="13" x14ac:dyDescent="0.15">
      <c r="A56" s="7" t="s">
        <v>34</v>
      </c>
    </row>
    <row r="57" spans="1:6" ht="13" x14ac:dyDescent="0.15">
      <c r="A57" s="1" t="s">
        <v>35</v>
      </c>
      <c r="C57" s="1"/>
    </row>
    <row r="58" spans="1:6" ht="13" x14ac:dyDescent="0.15">
      <c r="A58" s="1" t="s">
        <v>36</v>
      </c>
    </row>
    <row r="59" spans="1:6" ht="13" x14ac:dyDescent="0.15">
      <c r="A59" s="1" t="s">
        <v>37</v>
      </c>
      <c r="C59" s="4"/>
      <c r="D59" s="4">
        <v>5000000</v>
      </c>
    </row>
    <row r="60" spans="1:6" ht="13" x14ac:dyDescent="0.15">
      <c r="A60" s="1" t="s">
        <v>38</v>
      </c>
      <c r="C60" s="1"/>
      <c r="D60" s="1">
        <v>10</v>
      </c>
      <c r="E60" s="1" t="s">
        <v>39</v>
      </c>
    </row>
    <row r="62" spans="1:6" ht="13" x14ac:dyDescent="0.15">
      <c r="A62" s="1" t="s">
        <v>40</v>
      </c>
    </row>
    <row r="63" spans="1:6" ht="13" x14ac:dyDescent="0.15">
      <c r="A63" s="1" t="s">
        <v>41</v>
      </c>
      <c r="C63" s="4"/>
      <c r="D63" s="4">
        <v>200000</v>
      </c>
    </row>
    <row r="64" spans="1:6" ht="13" x14ac:dyDescent="0.15">
      <c r="B64" s="1" t="s">
        <v>42</v>
      </c>
      <c r="C64" s="22"/>
      <c r="D64" s="22">
        <v>0.2</v>
      </c>
    </row>
    <row r="65" spans="1:5" ht="13" x14ac:dyDescent="0.15">
      <c r="B65" s="1" t="s">
        <v>43</v>
      </c>
      <c r="D65" s="4">
        <f>D63*(1-D64)</f>
        <v>160000</v>
      </c>
    </row>
    <row r="66" spans="1:5" ht="13" x14ac:dyDescent="0.15">
      <c r="B66" s="1" t="s">
        <v>44</v>
      </c>
      <c r="C66" s="23"/>
      <c r="D66" s="23">
        <v>0.1</v>
      </c>
    </row>
    <row r="67" spans="1:5" ht="13" x14ac:dyDescent="0.15">
      <c r="B67" s="1" t="s">
        <v>45</v>
      </c>
      <c r="C67" s="6"/>
      <c r="D67" s="2">
        <f>D65*D66</f>
        <v>16000</v>
      </c>
    </row>
    <row r="68" spans="1:5" ht="15.75" customHeight="1" x14ac:dyDescent="0.15">
      <c r="B68" s="1" t="s">
        <v>46</v>
      </c>
    </row>
    <row r="69" spans="1:5" ht="13" x14ac:dyDescent="0.15">
      <c r="A69" s="1" t="s">
        <v>47</v>
      </c>
      <c r="C69" s="6"/>
      <c r="D69" s="2">
        <f>D67*D60</f>
        <v>160000</v>
      </c>
    </row>
    <row r="71" spans="1:5" ht="13" x14ac:dyDescent="0.15">
      <c r="A71" s="1" t="s">
        <v>48</v>
      </c>
      <c r="D71" s="1">
        <v>2</v>
      </c>
    </row>
    <row r="72" spans="1:5" ht="13" x14ac:dyDescent="0.15">
      <c r="A72" s="6" t="s">
        <v>49</v>
      </c>
      <c r="D72" s="18">
        <f>D69*D71</f>
        <v>320000</v>
      </c>
    </row>
    <row r="73" spans="1:5" ht="13" x14ac:dyDescent="0.15">
      <c r="A73" s="6" t="s">
        <v>50</v>
      </c>
      <c r="D73" s="18">
        <f>D72*C57</f>
        <v>0</v>
      </c>
      <c r="E73" s="1" t="s">
        <v>51</v>
      </c>
    </row>
    <row r="75" spans="1:5" ht="13" x14ac:dyDescent="0.15">
      <c r="A75" s="7" t="s">
        <v>52</v>
      </c>
    </row>
    <row r="76" spans="1:5" ht="13" x14ac:dyDescent="0.15">
      <c r="A76" s="1" t="s">
        <v>53</v>
      </c>
      <c r="C76" s="3">
        <v>1.4999999999999999E-2</v>
      </c>
      <c r="D76" s="4">
        <f xml:space="preserve"> HospVysledek * ProcShareStartZamest</f>
        <v>60000</v>
      </c>
      <c r="E76" s="6" t="s">
        <v>11</v>
      </c>
    </row>
    <row r="77" spans="1:5" ht="13" x14ac:dyDescent="0.15">
      <c r="A77" s="1" t="s">
        <v>14</v>
      </c>
      <c r="D77" s="4">
        <f xml:space="preserve"> ShareStratZamest * VernDoba</f>
        <v>300000</v>
      </c>
    </row>
    <row r="78" spans="1:5" ht="13" x14ac:dyDescent="0.15">
      <c r="A78" s="1"/>
      <c r="D78" s="4"/>
    </row>
    <row r="80" spans="1:5" ht="13" x14ac:dyDescent="0.15">
      <c r="A80" s="1" t="s">
        <v>54</v>
      </c>
      <c r="D80" s="1">
        <v>2</v>
      </c>
    </row>
    <row r="81" spans="1:5" ht="13" x14ac:dyDescent="0.15">
      <c r="A81" s="6" t="s">
        <v>49</v>
      </c>
      <c r="D81" s="18">
        <f>D76*D80</f>
        <v>120000</v>
      </c>
    </row>
    <row r="82" spans="1:5" ht="13" x14ac:dyDescent="0.15">
      <c r="A82" s="6" t="s">
        <v>50</v>
      </c>
      <c r="D82" s="18" t="e">
        <f>(D76*#REF!+D77)*D80</f>
        <v>#REF!</v>
      </c>
    </row>
    <row r="84" spans="1:5" ht="13" x14ac:dyDescent="0.15">
      <c r="A84" s="7" t="s">
        <v>55</v>
      </c>
    </row>
    <row r="85" spans="1:5" ht="13" x14ac:dyDescent="0.15">
      <c r="A85" s="27" t="s">
        <v>57</v>
      </c>
      <c r="D85" s="2">
        <f xml:space="preserve"> CilMzdaZamest * ProcMzdaZamest</f>
        <v>504</v>
      </c>
      <c r="E85" s="28" t="s">
        <v>83</v>
      </c>
    </row>
    <row r="86" spans="1:5" ht="13" x14ac:dyDescent="0.15">
      <c r="A86" s="27" t="s">
        <v>58</v>
      </c>
      <c r="C86" s="1">
        <f xml:space="preserve"> VernDoba</f>
        <v>5</v>
      </c>
      <c r="D86" s="4">
        <f xml:space="preserve"> CilMzdaZamest + VernDoba * (VernDoba + 1) / 2 * NarustMzdaZamest</f>
        <v>32760</v>
      </c>
      <c r="E86">
        <f xml:space="preserve"> VernDoba * (VernDoba + 1)  * (VernDoba + 2) / 6 * NarustMzdaZamest * 12</f>
        <v>211680</v>
      </c>
    </row>
    <row r="87" spans="1:5" ht="13" x14ac:dyDescent="0.15">
      <c r="C87" s="1">
        <f xml:space="preserve"> 2 * VernDoba</f>
        <v>10</v>
      </c>
      <c r="D87" s="4">
        <f xml:space="preserve"> CilMzdaZamest + 2 * VernDoba * (2 * VernDoba + 1) / 2 * NarustMzdaZamest</f>
        <v>52920</v>
      </c>
    </row>
    <row r="88" spans="1:5" ht="13" x14ac:dyDescent="0.15">
      <c r="C88" s="1"/>
      <c r="D88" s="4"/>
    </row>
    <row r="89" spans="1:5" ht="13" x14ac:dyDescent="0.15">
      <c r="A89" s="26" t="s">
        <v>81</v>
      </c>
      <c r="C89" s="1"/>
      <c r="D89" s="4"/>
    </row>
    <row r="90" spans="1:5" ht="15.75" customHeight="1" x14ac:dyDescent="0.15">
      <c r="A90" t="s">
        <v>57</v>
      </c>
      <c r="D90">
        <f xml:space="preserve"> CilMzdaDulZamest * ProcMzdaZamest</f>
        <v>630</v>
      </c>
    </row>
    <row r="91" spans="1:5" ht="13" x14ac:dyDescent="0.15">
      <c r="A91" s="27" t="s">
        <v>58</v>
      </c>
      <c r="C91" s="1">
        <f xml:space="preserve"> VernDoba</f>
        <v>5</v>
      </c>
      <c r="D91" s="2">
        <f xml:space="preserve"> CilMzdaDulZamest + VernDoba * (VernDoba + 1) / 2 * NarustMzdaDulZamestZaklad</f>
        <v>40950</v>
      </c>
      <c r="E91">
        <f xml:space="preserve"> VernDoba * (VernDoba + 1)  * (VernDoba + 2) / 6 * NarustMzdaDulZamestZaklad * 12</f>
        <v>264600</v>
      </c>
    </row>
    <row r="92" spans="1:5" ht="13" x14ac:dyDescent="0.15">
      <c r="A92" s="1"/>
      <c r="C92" s="1">
        <f xml:space="preserve"> 2 * VernDoba</f>
        <v>10</v>
      </c>
      <c r="D92" s="2">
        <f xml:space="preserve"> CilMzdaDulZamest + 2 * VernDoba * (2 * VernDoba + 1) / 2 * NarustMzdaDulZamestZaklad</f>
        <v>66150</v>
      </c>
    </row>
    <row r="93" spans="1:5" ht="13" x14ac:dyDescent="0.15">
      <c r="A93" s="1"/>
      <c r="C93" s="1"/>
      <c r="D93" s="2"/>
    </row>
    <row r="94" spans="1:5" ht="13" x14ac:dyDescent="0.15">
      <c r="A94" s="26" t="s">
        <v>82</v>
      </c>
      <c r="C94" s="1"/>
      <c r="D94" s="2"/>
    </row>
    <row r="95" spans="1:5" ht="13" x14ac:dyDescent="0.15">
      <c r="A95" s="27" t="s">
        <v>57</v>
      </c>
      <c r="C95" s="1"/>
      <c r="D95" s="2">
        <f xml:space="preserve"> CilMzdaKlicZamest * ProcMzdaZamest</f>
        <v>840</v>
      </c>
    </row>
    <row r="96" spans="1:5" ht="13" x14ac:dyDescent="0.15">
      <c r="A96" s="27" t="s">
        <v>58</v>
      </c>
      <c r="C96" s="1">
        <f xml:space="preserve"> VernDoba</f>
        <v>5</v>
      </c>
      <c r="D96" s="2">
        <f xml:space="preserve"> CilMzdaKlicZamest + VernDoba * (VernDoba + 1) / 2 * NarustMzdaKlicZamestZaklad</f>
        <v>54600</v>
      </c>
      <c r="E96">
        <f xml:space="preserve"> VernDoba * (VernDoba + 1)  * (VernDoba + 2) / 6 * NarustMzdaKlicZamestZaklad * 12</f>
        <v>352800</v>
      </c>
    </row>
    <row r="97" spans="1:4" ht="13" x14ac:dyDescent="0.15">
      <c r="A97" s="1"/>
      <c r="C97" s="1">
        <f xml:space="preserve"> 2 * VernDoba</f>
        <v>10</v>
      </c>
      <c r="D97" s="2">
        <f xml:space="preserve"> CilMzdaKlicZamest + 2 * VernDoba * (2 * VernDoba + 1) / 2 * NarustMzdaKlicZamestZaklad</f>
        <v>88200</v>
      </c>
    </row>
    <row r="98" spans="1:4" ht="13" x14ac:dyDescent="0.15">
      <c r="A98" s="1"/>
      <c r="C98" s="1"/>
      <c r="D98" s="2"/>
    </row>
    <row r="99" spans="1:4" ht="13" x14ac:dyDescent="0.15">
      <c r="A99" s="1"/>
      <c r="C99" s="1"/>
      <c r="D99" s="2"/>
    </row>
    <row r="100" spans="1:4" ht="13" x14ac:dyDescent="0.15">
      <c r="A100" s="1"/>
      <c r="C100" s="1"/>
      <c r="D100" s="2"/>
    </row>
    <row r="102" spans="1:4" ht="13" x14ac:dyDescent="0.15">
      <c r="A102" s="1" t="s">
        <v>59</v>
      </c>
      <c r="D102" s="1">
        <v>30</v>
      </c>
    </row>
    <row r="104" spans="1:4" ht="13" x14ac:dyDescent="0.15">
      <c r="A104" s="6" t="s">
        <v>49</v>
      </c>
      <c r="D104" s="18">
        <f>D102*C91*D85</f>
        <v>75600</v>
      </c>
    </row>
    <row r="105" spans="1:4" ht="14" x14ac:dyDescent="0.2">
      <c r="A105" s="6" t="s">
        <v>50</v>
      </c>
      <c r="D105" s="24" t="e">
        <f>D102*C91*D85*#REF!+D91*D102</f>
        <v>#REF!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0369-ECBF-4FBB-9BB0-E17A56F48A53}">
  <dimension ref="A2:D6"/>
  <sheetViews>
    <sheetView workbookViewId="0">
      <selection activeCell="A9" sqref="A9"/>
    </sheetView>
  </sheetViews>
  <sheetFormatPr baseColWidth="10" defaultColWidth="8.83203125" defaultRowHeight="13" x14ac:dyDescent="0.15"/>
  <cols>
    <col min="1" max="1" width="18.33203125" bestFit="1" customWidth="1"/>
    <col min="3" max="3" width="12.5" bestFit="1" customWidth="1"/>
    <col min="4" max="4" width="10.6640625" bestFit="1" customWidth="1"/>
  </cols>
  <sheetData>
    <row r="2" spans="1:4" x14ac:dyDescent="0.15">
      <c r="A2" t="s">
        <v>60</v>
      </c>
      <c r="B2" t="s">
        <v>61</v>
      </c>
      <c r="C2" t="s">
        <v>62</v>
      </c>
      <c r="D2" t="s">
        <v>63</v>
      </c>
    </row>
    <row r="3" spans="1:4" x14ac:dyDescent="0.15">
      <c r="A3" t="s">
        <v>64</v>
      </c>
      <c r="B3" t="s">
        <v>67</v>
      </c>
      <c r="C3" t="s">
        <v>71</v>
      </c>
      <c r="D3" t="s">
        <v>73</v>
      </c>
    </row>
    <row r="4" spans="1:4" x14ac:dyDescent="0.15">
      <c r="A4" t="s">
        <v>66</v>
      </c>
      <c r="B4" t="s">
        <v>68</v>
      </c>
      <c r="C4" t="s">
        <v>72</v>
      </c>
      <c r="D4" t="s">
        <v>74</v>
      </c>
    </row>
    <row r="5" spans="1:4" x14ac:dyDescent="0.15">
      <c r="A5" t="s">
        <v>70</v>
      </c>
      <c r="B5" t="s">
        <v>65</v>
      </c>
    </row>
    <row r="6" spans="1:4" x14ac:dyDescent="0.15">
      <c r="A6" t="s">
        <v>69</v>
      </c>
      <c r="B6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Share_prog</vt:lpstr>
      <vt:lpstr>Seznam jmen</vt:lpstr>
      <vt:lpstr>CilMzdaDulZamest</vt:lpstr>
      <vt:lpstr>CilMzdaKlicZamest</vt:lpstr>
      <vt:lpstr>CilMzdaZamest</vt:lpstr>
      <vt:lpstr>HospVysledek</vt:lpstr>
      <vt:lpstr>HospVysledekProvoz</vt:lpstr>
      <vt:lpstr>MzdaPrumerCR</vt:lpstr>
      <vt:lpstr>NakladNarustMzdaDulZamestVerDob</vt:lpstr>
      <vt:lpstr>NakladNarustMzdaKlicZamestVerDob</vt:lpstr>
      <vt:lpstr>NakladNarustMzdaZamestVerDob</vt:lpstr>
      <vt:lpstr>NarustMzdaDulZamest</vt:lpstr>
      <vt:lpstr>NarustMzdaDulZamestZaklad</vt:lpstr>
      <vt:lpstr>NarustMzdaKlicZamest</vt:lpstr>
      <vt:lpstr>NarustMzdaKlicZamestZaklad</vt:lpstr>
      <vt:lpstr>NarustMzdaZamest</vt:lpstr>
      <vt:lpstr>ProcInvestice</vt:lpstr>
      <vt:lpstr>ProcMzdaDulZamest</vt:lpstr>
      <vt:lpstr>ProcMzdaKlicZamest</vt:lpstr>
      <vt:lpstr>ProcMzdaZamest</vt:lpstr>
      <vt:lpstr>ProcShareDulZamest</vt:lpstr>
      <vt:lpstr>ProcShareKlicZamest</vt:lpstr>
      <vt:lpstr>ProcShareStartZamest</vt:lpstr>
      <vt:lpstr>ShareDulZamest</vt:lpstr>
      <vt:lpstr>ShareKlicZamest</vt:lpstr>
      <vt:lpstr>ShareStratZamest</vt:lpstr>
      <vt:lpstr>VernDoba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2022-09-23T19:46:35Z</dcterms:created>
  <dcterms:modified xsi:type="dcterms:W3CDTF">2022-09-24T04:43:06Z</dcterms:modified>
</cp:coreProperties>
</file>