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holec1/Downloads/"/>
    </mc:Choice>
  </mc:AlternateContent>
  <xr:revisionPtr revIDLastSave="0" documentId="13_ncr:1_{01E996D8-EAA6-834F-A7EE-B072834154A5}" xr6:coauthVersionLast="47" xr6:coauthVersionMax="47" xr10:uidLastSave="{00000000-0000-0000-0000-000000000000}"/>
  <bookViews>
    <workbookView xWindow="0" yWindow="460" windowWidth="28800" windowHeight="15720" xr2:uid="{00000000-000D-0000-FFFF-FFFF00000000}"/>
  </bookViews>
  <sheets>
    <sheet name="Share_prog" sheetId="1" r:id="rId1"/>
    <sheet name="Seznam jmen" sheetId="2" r:id="rId2"/>
  </sheets>
  <definedNames>
    <definedName name="CelkovyNakladNarustMzdaDulZamestVerDob">Share_prog!$D$26</definedName>
    <definedName name="CelkovyNakladNarustMzdaKlicZamestVerDob">Share_prog!$E$26</definedName>
    <definedName name="CelkovyNakladNarustMzdaObchodZamestVerDob">Share_prog!$G$26</definedName>
    <definedName name="CelkovyNakladNarustMzdaStratZamestVerDob">Share_prog!$F$26</definedName>
    <definedName name="CelkovyNakladNarustMzdaZamestVerDob">Share_prog!$C$26</definedName>
    <definedName name="CelyNakladShareDulZamest">Share_prog!$D$19</definedName>
    <definedName name="CelyNakladShareKlicZamest">Share_prog!$D$17</definedName>
    <definedName name="CelyNakladShareStratZamest">Share_prog!$D$21</definedName>
    <definedName name="CilMzdaDulZamest">Share_prog!$D$13</definedName>
    <definedName name="CilMzdaKlicZamest">Share_prog!$D$14</definedName>
    <definedName name="CilMzdaZamest">Share_prog!$D$12</definedName>
    <definedName name="HospInvestice">Share_prog!$C$9</definedName>
    <definedName name="HospProvoz">Share_prog!$C$7</definedName>
    <definedName name="HospVysledek">Share_prog!$C$5</definedName>
    <definedName name="HospVysledekProvoz">Share_prog!$C$7</definedName>
    <definedName name="MzdaPrumerCR">Share_prog!$D$11</definedName>
    <definedName name="MzdaZamest">Share_prog!#REF!</definedName>
    <definedName name="NakladNarustMzdaDulZamestVerDob">Share_prog!$E$82</definedName>
    <definedName name="NakladNarustMzdaKlicZamestVerDob">Share_prog!$E$87</definedName>
    <definedName name="NakladNarustMzdaZamestVerDob">Share_prog!$E$77</definedName>
    <definedName name="NakladObchodVerDob">Share_prog!$D$72</definedName>
    <definedName name="NakladShareDulZamest">Share_prog!$C$51</definedName>
    <definedName name="NakladShareKlicZamest">Share_prog!$C$47</definedName>
    <definedName name="NakladShareStratZamest">Share_prog!$C$55</definedName>
    <definedName name="NarustMzdaDulZamest">Share_prog!#REF!</definedName>
    <definedName name="NarustMzdaDulZamestZaklad">Share_prog!$D$81</definedName>
    <definedName name="NarustMzdaKlicZamest">Share_prog!#REF!</definedName>
    <definedName name="NarustMzdaKlicZamestZaklad">Share_prog!$D$86</definedName>
    <definedName name="NarustMzdaZamest">Share_prog!$D$76</definedName>
    <definedName name="PocetDulZamest">Share_prog!$C$19</definedName>
    <definedName name="PocetKlicZamest">Share_prog!$C$17</definedName>
    <definedName name="PocetObchod">Share_prog!$G$25</definedName>
    <definedName name="PocetStratZamest">Share_prog!$C$21</definedName>
    <definedName name="PocetZamest">Share_prog!$C$25</definedName>
    <definedName name="ProcInvestice">Share_prog!$C$8</definedName>
    <definedName name="ProcMzdaDulZamest">Share_prog!#REF!</definedName>
    <definedName name="ProcMzdaKlicZamest">Share_prog!#REF!</definedName>
    <definedName name="ProcMzdaZamest">Share_prog!$D$15</definedName>
    <definedName name="ProcShareDulZamest">Share_prog!$C$50</definedName>
    <definedName name="ProcShareKlicZamest">Share_prog!$C$46</definedName>
    <definedName name="ProcShareStartZamest">Share_prog!$C$54</definedName>
    <definedName name="ShareDulZamest">Share_prog!$D$50</definedName>
    <definedName name="ShareKlicZamest">Share_prog!$D$46</definedName>
    <definedName name="ShareStratZamest">Share_prog!$D$54</definedName>
    <definedName name="VernDoba">Share_prog!$C$28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F25" i="1"/>
  <c r="E25" i="1"/>
  <c r="D25" i="1"/>
  <c r="C88" i="1"/>
  <c r="C87" i="1"/>
  <c r="C83" i="1"/>
  <c r="C82" i="1"/>
  <c r="D14" i="1"/>
  <c r="D86" i="1" s="1"/>
  <c r="E87" i="1" s="1"/>
  <c r="E26" i="1" s="1"/>
  <c r="D13" i="1"/>
  <c r="D81" i="1" s="1"/>
  <c r="E82" i="1" s="1"/>
  <c r="D26" i="1" s="1"/>
  <c r="D12" i="1"/>
  <c r="D76" i="1" s="1"/>
  <c r="C78" i="1"/>
  <c r="C77" i="1"/>
  <c r="C9" i="1"/>
  <c r="D46" i="1"/>
  <c r="D54" i="1"/>
  <c r="D50" i="1"/>
  <c r="C51" i="1" s="1"/>
  <c r="D19" i="1" s="1"/>
  <c r="D20" i="1" s="1"/>
  <c r="D67" i="1"/>
  <c r="D69" i="1" s="1"/>
  <c r="D71" i="1" s="1"/>
  <c r="D72" i="1" s="1"/>
  <c r="H31" i="1" s="1"/>
  <c r="E38" i="1" l="1"/>
  <c r="C31" i="1"/>
  <c r="C33" i="1" s="1"/>
  <c r="C55" i="1"/>
  <c r="D21" i="1" s="1"/>
  <c r="D22" i="1" s="1"/>
  <c r="D87" i="1"/>
  <c r="D88" i="1"/>
  <c r="D82" i="1"/>
  <c r="D83" i="1"/>
  <c r="E77" i="1"/>
  <c r="D77" i="1"/>
  <c r="D78" i="1"/>
  <c r="C47" i="1"/>
  <c r="D17" i="1" s="1"/>
  <c r="E39" i="1" l="1"/>
  <c r="E40" i="1"/>
  <c r="E41" i="1"/>
  <c r="E37" i="1"/>
  <c r="F26" i="1"/>
  <c r="G26" i="1"/>
  <c r="C26" i="1"/>
  <c r="D18" i="1"/>
  <c r="F31" i="1"/>
  <c r="D31" i="1"/>
  <c r="C34" i="1"/>
  <c r="C32" i="1"/>
  <c r="E31" i="1" l="1"/>
  <c r="G31" i="1"/>
  <c r="D33" i="1"/>
  <c r="D32" i="1"/>
  <c r="D34" i="1"/>
  <c r="E33" i="1" l="1"/>
  <c r="E43" i="1"/>
  <c r="E34" i="1"/>
  <c r="E32" i="1"/>
</calcChain>
</file>

<file path=xl/sharedStrings.xml><?xml version="1.0" encoding="utf-8"?>
<sst xmlns="http://schemas.openxmlformats.org/spreadsheetml/2006/main" count="103" uniqueCount="89">
  <si>
    <t>Priklad realizace Shareholdingu se zamestnanci EL-VY</t>
  </si>
  <si>
    <t>Hopodarsky vysledek 2021</t>
  </si>
  <si>
    <t>Maximalni hodnota sharovani</t>
  </si>
  <si>
    <t>Částka na provoz firmy</t>
  </si>
  <si>
    <t>Část na investice</t>
  </si>
  <si>
    <t>a) vyplata za rok predchazejici</t>
  </si>
  <si>
    <t>Doba vernostni</t>
  </si>
  <si>
    <t>let</t>
  </si>
  <si>
    <t>Aktualizace napad na zaklade konzultace s otcem ze dne 7.9.2022</t>
  </si>
  <si>
    <t>předpokládaný share KLICOVYM zaměstnancům</t>
  </si>
  <si>
    <t>Jednorázová odměna</t>
  </si>
  <si>
    <t>Výpalata po věrnostní době (dle hospodářského výkonu)</t>
  </si>
  <si>
    <t>předpokládaný share DULEZITYM zaměstnancům</t>
  </si>
  <si>
    <t>Celkový sharing náklad dle počtu KLICOVYCH zaměstnanců</t>
  </si>
  <si>
    <t>Pověrnostním období</t>
  </si>
  <si>
    <t>Po roce</t>
  </si>
  <si>
    <t>Celkový sharing náklad dle počtu DULEZITYCH zaměstnanců</t>
  </si>
  <si>
    <t>Předpokládaný zisk za celé věrnostní období</t>
  </si>
  <si>
    <t>Bez sharingu</t>
  </si>
  <si>
    <t>S sharingem</t>
  </si>
  <si>
    <t>Majitelé celkově</t>
  </si>
  <si>
    <t>Jan Holec</t>
  </si>
  <si>
    <t>Jan Kolář</t>
  </si>
  <si>
    <t>Milan Holec</t>
  </si>
  <si>
    <t>Obchodnik</t>
  </si>
  <si>
    <t>Doba vernostni U OBCHODNÍKŮ DÁVAT ODMĚNY??</t>
  </si>
  <si>
    <t>Pozadovany objem zakazek</t>
  </si>
  <si>
    <t>1. Ve vysi celkovych financi</t>
  </si>
  <si>
    <t xml:space="preserve">2. Pocet realizovanych zarizeni </t>
  </si>
  <si>
    <t>ks</t>
  </si>
  <si>
    <t>Jednotlive zakazky</t>
  </si>
  <si>
    <t>1. Plosina</t>
  </si>
  <si>
    <t>Vyhodnoceni zakazky v ucetnim programu</t>
  </si>
  <si>
    <t>Ponizeni vysledku o rezii</t>
  </si>
  <si>
    <t>Celkovy vysledek zakazky</t>
  </si>
  <si>
    <t>Procentuelni narok obchodnika</t>
  </si>
  <si>
    <t>Odmena za obchod</t>
  </si>
  <si>
    <t>Celkova odmena za rok vynosobena počtem zařízení (10 ks)</t>
  </si>
  <si>
    <t>Není započten věrnostní bonus</t>
  </si>
  <si>
    <t>Strategicka osoba</t>
  </si>
  <si>
    <t>předpokládaný share STRATEGICKÝM zaměstnancům</t>
  </si>
  <si>
    <t>Řadový zaměstnanec a růst platu</t>
  </si>
  <si>
    <t>Vyhlášená průměrná mzda v ČR 31.12.</t>
  </si>
  <si>
    <t>Nárust měsíční mzdy k 1 lednu v roce</t>
  </si>
  <si>
    <t xml:space="preserve">Mzda po věrnostním období [roky] </t>
  </si>
  <si>
    <t>Klicovy zamestnanci</t>
  </si>
  <si>
    <t>Duleziti z.</t>
  </si>
  <si>
    <t>Strategicky z.</t>
  </si>
  <si>
    <t>Obchdonici</t>
  </si>
  <si>
    <t>Mareckova</t>
  </si>
  <si>
    <t>Kalny</t>
  </si>
  <si>
    <t>Rakusan</t>
  </si>
  <si>
    <t>Neruda</t>
  </si>
  <si>
    <t>Malek Vl.</t>
  </si>
  <si>
    <t xml:space="preserve">Soudek </t>
  </si>
  <si>
    <t>Lhotsky</t>
  </si>
  <si>
    <t>Denk</t>
  </si>
  <si>
    <t>Hochman</t>
  </si>
  <si>
    <t>Meduna T.</t>
  </si>
  <si>
    <t>Moucka ml.</t>
  </si>
  <si>
    <t>Drnec</t>
  </si>
  <si>
    <t>Roční nárust mzdy zaměstnance v procentech z průměrné mzdy</t>
  </si>
  <si>
    <t>Definice mzdy beznych zamestnancu vs prumerna CR</t>
  </si>
  <si>
    <t>Definice mzdy dulezitych zamestnancu vs prumerna CR</t>
  </si>
  <si>
    <t>Definice mzdy klicovych zamestnancu vs prumerna CR</t>
  </si>
  <si>
    <t>Dulezity zaměstnanec a růst platu</t>
  </si>
  <si>
    <t>Klicovy zaměstnanec a růst platu</t>
  </si>
  <si>
    <t>Naklad na narust pres vernostni obdobi</t>
  </si>
  <si>
    <t>Procenta share</t>
  </si>
  <si>
    <t>Procenta mzdy</t>
  </si>
  <si>
    <t>Celkový sharing náklad dle počtu STRATEGICKYCH zaměstnanců</t>
  </si>
  <si>
    <t>Počet</t>
  </si>
  <si>
    <t>Bezni</t>
  </si>
  <si>
    <t>Duleziti</t>
  </si>
  <si>
    <t>Klicovi</t>
  </si>
  <si>
    <t>Strategicti</t>
  </si>
  <si>
    <t>Naklad rust mezd vernostni obdobi</t>
  </si>
  <si>
    <t>S sharingme, rustem mezd a obchodem</t>
  </si>
  <si>
    <t>Obchodnici</t>
  </si>
  <si>
    <t>Celkový náklad na obchodnika po věrnostní době</t>
  </si>
  <si>
    <t>Procenta obchodnici</t>
  </si>
  <si>
    <t>Predpokladany zisk za vernostni  obdobi zamestnanci</t>
  </si>
  <si>
    <t>Bezny zamestnanec</t>
  </si>
  <si>
    <t>Dulezity zamestnanec</t>
  </si>
  <si>
    <t>Klicovy zamestnanec</t>
  </si>
  <si>
    <t>Strategicky zamestnanec</t>
  </si>
  <si>
    <t>Kontrola celku</t>
  </si>
  <si>
    <t>Zamestnatnci</t>
  </si>
  <si>
    <t>Procenta celkova investice do lidi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</si>
</sst>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Kč-405]"/>
    <numFmt numFmtId="165" formatCode="0.0%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5"/>
      <name val="Arial"/>
      <scheme val="minor"/>
    </font>
    <font>
      <b/>
      <sz val="10"/>
      <color theme="5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0000"/>
      <name val="Arial"/>
      <scheme val="minor"/>
    </font>
    <font>
      <sz val="10"/>
      <color theme="5"/>
      <name val="Arial"/>
      <scheme val="minor"/>
    </font>
    <font>
      <sz val="11"/>
      <color theme="5"/>
      <name val="Inconsolata"/>
    </font>
    <font>
      <sz val="10"/>
      <color rgb="FFFF0000"/>
      <name val="Arial (Body)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5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165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1" xfId="0" applyFont="1" applyBorder="1"/>
    <xf numFmtId="10" fontId="5" fillId="0" borderId="0" xfId="0" applyNumberFormat="1" applyFont="1" applyAlignment="1">
      <alignment horizontal="right"/>
    </xf>
    <xf numFmtId="0" fontId="6" fillId="0" borderId="1" xfId="0" applyFont="1" applyBorder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9" fontId="1" fillId="0" borderId="0" xfId="0" applyNumberFormat="1" applyFont="1"/>
    <xf numFmtId="9" fontId="2" fillId="0" borderId="0" xfId="0" applyNumberFormat="1" applyFont="1"/>
    <xf numFmtId="164" fontId="9" fillId="2" borderId="0" xfId="0" applyNumberFormat="1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6"/>
  <sheetViews>
    <sheetView tabSelected="1" workbookViewId="0">
      <selection activeCell="I31" sqref="I31"/>
    </sheetView>
  </sheetViews>
  <sheetFormatPr baseColWidth="10" defaultColWidth="12.5" defaultRowHeight="15.75" customHeight="1" x14ac:dyDescent="0.15"/>
  <cols>
    <col min="2" max="2" width="43.1640625" customWidth="1"/>
    <col min="3" max="3" width="15" customWidth="1"/>
    <col min="4" max="4" width="14.1640625" customWidth="1"/>
    <col min="5" max="5" width="32.33203125" customWidth="1"/>
    <col min="8" max="8" width="16.6640625" customWidth="1"/>
  </cols>
  <sheetData>
    <row r="1" spans="1:4" ht="13" x14ac:dyDescent="0.15">
      <c r="A1" s="1" t="s">
        <v>0</v>
      </c>
    </row>
    <row r="3" spans="1:4" ht="13" x14ac:dyDescent="0.15">
      <c r="A3" s="6" t="s">
        <v>8</v>
      </c>
    </row>
    <row r="5" spans="1:4" ht="13" x14ac:dyDescent="0.15">
      <c r="A5" s="1" t="s">
        <v>1</v>
      </c>
      <c r="C5" s="2">
        <v>4000000</v>
      </c>
    </row>
    <row r="6" spans="1:4" ht="13" x14ac:dyDescent="0.15">
      <c r="A6" s="1" t="s">
        <v>2</v>
      </c>
      <c r="C6" s="3">
        <v>0.2</v>
      </c>
    </row>
    <row r="7" spans="1:4" ht="13" x14ac:dyDescent="0.15">
      <c r="A7" s="1" t="s">
        <v>3</v>
      </c>
      <c r="C7" s="2">
        <v>1000000</v>
      </c>
    </row>
    <row r="8" spans="1:4" ht="13" x14ac:dyDescent="0.15">
      <c r="A8" s="1" t="s">
        <v>4</v>
      </c>
      <c r="C8" s="3">
        <v>0.05</v>
      </c>
    </row>
    <row r="9" spans="1:4" ht="13" x14ac:dyDescent="0.15">
      <c r="C9" s="2">
        <f xml:space="preserve"> HospVysledek * ProcInvestice</f>
        <v>200000</v>
      </c>
    </row>
    <row r="10" spans="1:4" ht="13" x14ac:dyDescent="0.15">
      <c r="C10" s="2"/>
    </row>
    <row r="11" spans="1:4" ht="15.75" customHeight="1" x14ac:dyDescent="0.15">
      <c r="A11" s="1" t="s">
        <v>42</v>
      </c>
      <c r="D11" s="4">
        <v>42000</v>
      </c>
    </row>
    <row r="12" spans="1:4" ht="15.75" customHeight="1" x14ac:dyDescent="0.15">
      <c r="A12" s="1" t="s">
        <v>62</v>
      </c>
      <c r="C12">
        <v>0.4</v>
      </c>
      <c r="D12" s="4">
        <f xml:space="preserve"> C12 * MzdaPrumerCR</f>
        <v>16800</v>
      </c>
    </row>
    <row r="13" spans="1:4" ht="15.75" customHeight="1" x14ac:dyDescent="0.15">
      <c r="A13" s="1" t="s">
        <v>63</v>
      </c>
      <c r="C13">
        <v>0.75</v>
      </c>
      <c r="D13" s="4">
        <f xml:space="preserve"> C13 * MzdaPrumerCR</f>
        <v>31500</v>
      </c>
    </row>
    <row r="14" spans="1:4" ht="15.75" customHeight="1" x14ac:dyDescent="0.15">
      <c r="A14" s="1" t="s">
        <v>64</v>
      </c>
      <c r="C14">
        <v>1</v>
      </c>
      <c r="D14" s="4">
        <f xml:space="preserve"> C14 * MzdaPrumerCR</f>
        <v>42000</v>
      </c>
    </row>
    <row r="15" spans="1:4" ht="15.75" customHeight="1" x14ac:dyDescent="0.15">
      <c r="A15" s="1" t="s">
        <v>61</v>
      </c>
      <c r="D15" s="3">
        <v>1.4999999999999999E-2</v>
      </c>
    </row>
    <row r="16" spans="1:4" ht="15.75" customHeight="1" x14ac:dyDescent="0.15">
      <c r="D16" s="4"/>
    </row>
    <row r="17" spans="1:9" ht="15.75" customHeight="1" x14ac:dyDescent="0.15">
      <c r="A17" s="1" t="s">
        <v>13</v>
      </c>
      <c r="C17" s="15">
        <v>4</v>
      </c>
      <c r="D17" s="16">
        <f xml:space="preserve"> PocetKlicZamest * NakladShareKlicZamest</f>
        <v>800000</v>
      </c>
      <c r="E17" s="22" t="s">
        <v>14</v>
      </c>
    </row>
    <row r="18" spans="1:9" ht="15.75" customHeight="1" x14ac:dyDescent="0.15">
      <c r="A18" s="1"/>
      <c r="C18" s="1"/>
      <c r="D18" s="16">
        <f>D17 / VernDoba</f>
        <v>160000</v>
      </c>
      <c r="E18" s="1" t="s">
        <v>15</v>
      </c>
    </row>
    <row r="19" spans="1:9" ht="15.75" customHeight="1" x14ac:dyDescent="0.15">
      <c r="A19" s="22" t="s">
        <v>16</v>
      </c>
      <c r="C19" s="15">
        <v>4</v>
      </c>
      <c r="D19" s="16">
        <f xml:space="preserve"> PocetDulZamest * NakladShareDulZamest</f>
        <v>560000</v>
      </c>
      <c r="E19" s="1" t="s">
        <v>14</v>
      </c>
    </row>
    <row r="20" spans="1:9" ht="15.75" customHeight="1" x14ac:dyDescent="0.15">
      <c r="A20" s="1"/>
      <c r="C20" s="1"/>
      <c r="D20" s="16">
        <f>D19 / VernDoba</f>
        <v>112000</v>
      </c>
      <c r="E20" s="22" t="s">
        <v>15</v>
      </c>
    </row>
    <row r="21" spans="1:9" ht="15.75" customHeight="1" x14ac:dyDescent="0.15">
      <c r="A21" s="22" t="s">
        <v>70</v>
      </c>
      <c r="C21" s="1">
        <v>2</v>
      </c>
      <c r="D21" s="16">
        <f xml:space="preserve"> PocetStratZamest * NakladShareStratZamest</f>
        <v>1000000</v>
      </c>
      <c r="E21" s="1" t="s">
        <v>14</v>
      </c>
    </row>
    <row r="22" spans="1:9" ht="15.75" customHeight="1" x14ac:dyDescent="0.15">
      <c r="A22" s="1"/>
      <c r="C22" s="1"/>
      <c r="D22" s="16">
        <f xml:space="preserve"> D21 / VernDoba</f>
        <v>200000</v>
      </c>
      <c r="E22" s="22" t="s">
        <v>15</v>
      </c>
    </row>
    <row r="23" spans="1:9" ht="15.75" customHeight="1" x14ac:dyDescent="0.15">
      <c r="A23" s="1"/>
      <c r="C23" s="1"/>
      <c r="D23" s="16"/>
      <c r="E23" s="22"/>
    </row>
    <row r="24" spans="1:9" ht="15.75" customHeight="1" x14ac:dyDescent="0.15">
      <c r="A24" s="22" t="s">
        <v>87</v>
      </c>
      <c r="C24" s="22" t="s">
        <v>72</v>
      </c>
      <c r="D24" s="24" t="s">
        <v>73</v>
      </c>
      <c r="E24" s="22" t="s">
        <v>74</v>
      </c>
      <c r="F24" s="22" t="s">
        <v>75</v>
      </c>
      <c r="G24" s="22" t="s">
        <v>78</v>
      </c>
    </row>
    <row r="25" spans="1:9" ht="15.75" customHeight="1" x14ac:dyDescent="0.15">
      <c r="A25" s="22" t="s">
        <v>71</v>
      </c>
      <c r="C25" s="1">
        <v>30</v>
      </c>
      <c r="D25">
        <f xml:space="preserve"> PocetDulZamest</f>
        <v>4</v>
      </c>
      <c r="E25">
        <f xml:space="preserve"> PocetKlicZamest</f>
        <v>4</v>
      </c>
      <c r="F25">
        <f xml:space="preserve"> PocetStratZamest</f>
        <v>2</v>
      </c>
      <c r="G25">
        <v>2</v>
      </c>
    </row>
    <row r="26" spans="1:9" ht="15.75" customHeight="1" x14ac:dyDescent="0.15">
      <c r="A26" s="23" t="s">
        <v>76</v>
      </c>
      <c r="C26">
        <f xml:space="preserve"> PocetZamest * NakladNarustMzdaZamestVerDob</f>
        <v>3175200</v>
      </c>
      <c r="D26" s="4">
        <f xml:space="preserve"> PocetDulZamest * NakladNarustMzdaDulZamestVerDob</f>
        <v>793800</v>
      </c>
      <c r="E26">
        <f xml:space="preserve"> PocetKlicZamest * NakladNarustMzdaKlicZamestVerDob</f>
        <v>1058400</v>
      </c>
      <c r="F26">
        <f xml:space="preserve"> PocetStratZamest * NakladNarustMzdaZamestVerDob</f>
        <v>211680</v>
      </c>
      <c r="G26">
        <f xml:space="preserve"> PocetObchod * NakladNarustMzdaZamestVerDob</f>
        <v>211680</v>
      </c>
    </row>
    <row r="27" spans="1:9" ht="15.75" customHeight="1" x14ac:dyDescent="0.15">
      <c r="D27" s="4"/>
    </row>
    <row r="28" spans="1:9" ht="13" x14ac:dyDescent="0.15">
      <c r="A28" s="1" t="s">
        <v>6</v>
      </c>
      <c r="C28" s="1">
        <v>5</v>
      </c>
      <c r="D28" s="1" t="s">
        <v>7</v>
      </c>
    </row>
    <row r="29" spans="1:9" ht="13" x14ac:dyDescent="0.15">
      <c r="A29" s="1"/>
      <c r="C29" s="1"/>
      <c r="D29" s="1"/>
    </row>
    <row r="30" spans="1:9" ht="13" x14ac:dyDescent="0.15">
      <c r="A30" s="1" t="s">
        <v>17</v>
      </c>
      <c r="C30" s="1" t="s">
        <v>18</v>
      </c>
      <c r="D30" s="1" t="s">
        <v>19</v>
      </c>
      <c r="E30" s="22" t="s">
        <v>77</v>
      </c>
      <c r="F30" s="23" t="s">
        <v>68</v>
      </c>
      <c r="G30" s="22" t="s">
        <v>69</v>
      </c>
      <c r="H30" s="22" t="s">
        <v>80</v>
      </c>
      <c r="I30" s="22" t="s">
        <v>88</v>
      </c>
    </row>
    <row r="31" spans="1:9" ht="13" x14ac:dyDescent="0.15">
      <c r="A31" s="1" t="s">
        <v>20</v>
      </c>
      <c r="C31" s="4">
        <f xml:space="preserve"> VernDoba * (HospVysledek - HospProvoz - HospInvestice)</f>
        <v>14000000</v>
      </c>
      <c r="D31" s="4">
        <f xml:space="preserve"> VernDoba * (HospVysledek - HospProvoz - HospInvestice) - CelyNakladShareKlicZamest - CelyNakladShareDulZamest - CelyNakladShareStratZamest</f>
        <v>11640000</v>
      </c>
      <c r="E31" s="17">
        <f xml:space="preserve"> VernDoba * (HospVysledek - HospProvoz - HospInvestice) - (CelyNakladShareKlicZamest + CelyNakladShareDulZamest + CelyNakladShareStratZamest) - (CelkovyNakladNarustMzdaZamestVerDob + CelkovyNakladNarustMzdaDulZamestVerDob + CelkovyNakladNarustMzdaKlicZamestVerDob + CelkovyNakladNarustMzdaStratZamestVerDob + CelkovyNakladNarustMzdaObchodZamestVerDob) - PocetObchod * NakladObchodVerDob</f>
        <v>5389240</v>
      </c>
      <c r="F31">
        <f xml:space="preserve"> (CelyNakladShareKlicZamest + CelyNakladShareDulZamest + CelyNakladShareStratZamest) / (HospVysledek * VernDoba) * 100</f>
        <v>11.799999999999999</v>
      </c>
      <c r="G31">
        <f xml:space="preserve"> (CelkovyNakladNarustMzdaZamestVerDob + CelkovyNakladNarustMzdaDulZamestVerDob + CelkovyNakladNarustMzdaKlicZamestVerDob + CelkovyNakladNarustMzdaStratZamestVerDob + CelkovyNakladNarustMzdaObchodZamestVerDob) / (HospVysledek * VernDoba) * 100</f>
        <v>27.253800000000002</v>
      </c>
      <c r="H31">
        <f xml:space="preserve"> PocetObchod * NakladObchodVerDob / (VernDoba * HospVysledek) * 100</f>
        <v>4</v>
      </c>
      <c r="I31">
        <f xml:space="preserve"> F31 + G31 + H31</f>
        <v>43.053800000000003</v>
      </c>
    </row>
    <row r="32" spans="1:9" ht="13" x14ac:dyDescent="0.15">
      <c r="A32" s="17" t="s">
        <v>21</v>
      </c>
      <c r="C32" s="4">
        <f t="shared" ref="C32" si="0">0.6*C31</f>
        <v>8400000</v>
      </c>
      <c r="D32" s="4">
        <f>0.6*D31</f>
        <v>6984000</v>
      </c>
      <c r="E32">
        <f>0.6*E31</f>
        <v>3233544</v>
      </c>
    </row>
    <row r="33" spans="1:5" ht="13" x14ac:dyDescent="0.15">
      <c r="A33" s="17" t="s">
        <v>22</v>
      </c>
      <c r="C33" s="4">
        <f t="shared" ref="C33" si="1">0.2*C31</f>
        <v>2800000</v>
      </c>
      <c r="D33" s="4">
        <f>0.2*D31</f>
        <v>2328000</v>
      </c>
      <c r="E33">
        <f>0.2*E31</f>
        <v>1077848</v>
      </c>
    </row>
    <row r="34" spans="1:5" ht="13" x14ac:dyDescent="0.15">
      <c r="A34" s="17" t="s">
        <v>23</v>
      </c>
      <c r="C34" s="4">
        <f t="shared" ref="C34:D34" si="2">0.2*C31</f>
        <v>2800000</v>
      </c>
      <c r="D34" s="4">
        <f t="shared" si="2"/>
        <v>2328000</v>
      </c>
      <c r="E34">
        <f>0.2*E31</f>
        <v>1077848</v>
      </c>
    </row>
    <row r="35" spans="1:5" ht="13" x14ac:dyDescent="0.15">
      <c r="A35" s="1"/>
      <c r="C35" s="1"/>
      <c r="D35" s="1"/>
    </row>
    <row r="36" spans="1:5" ht="13" x14ac:dyDescent="0.15">
      <c r="A36" s="1"/>
      <c r="C36" s="1"/>
      <c r="D36" s="1"/>
      <c r="E36" s="23" t="s">
        <v>81</v>
      </c>
    </row>
    <row r="37" spans="1:5" ht="13" x14ac:dyDescent="0.15">
      <c r="A37" s="22" t="s">
        <v>82</v>
      </c>
      <c r="C37" s="1"/>
      <c r="D37" s="1"/>
      <c r="E37">
        <f xml:space="preserve"> NakladNarustMzdaZamestVerDob</f>
        <v>105840</v>
      </c>
    </row>
    <row r="38" spans="1:5" ht="13" x14ac:dyDescent="0.15">
      <c r="A38" s="22" t="s">
        <v>83</v>
      </c>
      <c r="C38" s="1"/>
      <c r="D38" s="1"/>
      <c r="E38">
        <f xml:space="preserve"> NakladNarustMzdaDulZamestVerDob + NakladShareDulZamest</f>
        <v>338450</v>
      </c>
    </row>
    <row r="39" spans="1:5" ht="13" x14ac:dyDescent="0.15">
      <c r="A39" s="22" t="s">
        <v>84</v>
      </c>
      <c r="C39" s="1"/>
      <c r="D39" s="1"/>
      <c r="E39">
        <f xml:space="preserve"> NakladNarustMzdaKlicZamestVerDob + NakladShareKlicZamest</f>
        <v>464600</v>
      </c>
    </row>
    <row r="40" spans="1:5" ht="13" x14ac:dyDescent="0.15">
      <c r="A40" s="22" t="s">
        <v>24</v>
      </c>
      <c r="C40" s="1"/>
      <c r="D40" s="1"/>
      <c r="E40">
        <f xml:space="preserve"> NakladNarustMzdaZamestVerDob + NakladObchodVerDob</f>
        <v>505840</v>
      </c>
    </row>
    <row r="41" spans="1:5" ht="13" x14ac:dyDescent="0.15">
      <c r="A41" s="22" t="s">
        <v>85</v>
      </c>
      <c r="C41" s="1"/>
      <c r="D41" s="1"/>
      <c r="E41">
        <f xml:space="preserve"> NakladNarustMzdaZamestVerDob + NakladShareStratZamest</f>
        <v>605840</v>
      </c>
    </row>
    <row r="42" spans="1:5" ht="13" x14ac:dyDescent="0.15">
      <c r="A42" s="22"/>
      <c r="C42" s="1"/>
      <c r="D42" s="1"/>
    </row>
    <row r="43" spans="1:5" ht="13" x14ac:dyDescent="0.15">
      <c r="A43" s="1"/>
      <c r="C43" s="1"/>
      <c r="D43" s="22" t="s">
        <v>86</v>
      </c>
      <c r="E43">
        <f xml:space="preserve"> E31 + PocetZamest * E37 + PocetDulZamest * E38 + PocetKlicZamest * E39 + PocetObchod * E40 + PocetStratZamest * E41</f>
        <v>14000000</v>
      </c>
    </row>
    <row r="44" spans="1:5" ht="13" x14ac:dyDescent="0.15">
      <c r="A44" s="1"/>
      <c r="C44" s="1"/>
      <c r="D44" s="1"/>
    </row>
    <row r="45" spans="1:5" ht="13" x14ac:dyDescent="0.15">
      <c r="A45" s="7" t="s">
        <v>9</v>
      </c>
      <c r="C45" s="3"/>
      <c r="D45" s="4"/>
    </row>
    <row r="46" spans="1:5" ht="13" x14ac:dyDescent="0.15">
      <c r="A46" s="1" t="s">
        <v>5</v>
      </c>
      <c r="C46" s="5">
        <v>0.01</v>
      </c>
      <c r="D46" s="2">
        <f xml:space="preserve"> HospVysledek * ProcShareKlicZamest</f>
        <v>40000</v>
      </c>
      <c r="E46" s="6" t="s">
        <v>10</v>
      </c>
    </row>
    <row r="47" spans="1:5" ht="13" x14ac:dyDescent="0.15">
      <c r="A47" s="1" t="s">
        <v>11</v>
      </c>
      <c r="C47" s="4">
        <f xml:space="preserve"> ShareKlicZamest * VernDoba</f>
        <v>200000</v>
      </c>
    </row>
    <row r="48" spans="1:5" ht="13" x14ac:dyDescent="0.15">
      <c r="A48" s="1"/>
      <c r="C48" s="4"/>
      <c r="D48" s="1"/>
    </row>
    <row r="49" spans="1:26" ht="13" x14ac:dyDescent="0.15">
      <c r="A49" s="8" t="s">
        <v>12</v>
      </c>
      <c r="C49" s="10"/>
      <c r="D49" s="11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" x14ac:dyDescent="0.15">
      <c r="A50" s="12" t="s">
        <v>5</v>
      </c>
      <c r="B50" s="9"/>
      <c r="C50" s="13">
        <v>7.0000000000000001E-3</v>
      </c>
      <c r="D50" s="11">
        <f xml:space="preserve"> HospVysledek * ProcShareDulZamest</f>
        <v>28000</v>
      </c>
      <c r="E50" s="14" t="s">
        <v>10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" x14ac:dyDescent="0.15">
      <c r="A51" s="12" t="s">
        <v>11</v>
      </c>
      <c r="B51" s="9"/>
      <c r="C51" s="11">
        <f xml:space="preserve"> ShareDulZamest * VernDoba</f>
        <v>140000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" x14ac:dyDescent="0.15">
      <c r="A52" s="12"/>
      <c r="B52" s="9"/>
      <c r="C52" s="11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" x14ac:dyDescent="0.15">
      <c r="A53" s="7" t="s">
        <v>39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" x14ac:dyDescent="0.15">
      <c r="A54" s="1" t="s">
        <v>40</v>
      </c>
      <c r="C54" s="3">
        <v>2.5000000000000001E-2</v>
      </c>
      <c r="D54" s="4">
        <f xml:space="preserve"> HospVysledek * ProcShareStartZamest</f>
        <v>100000</v>
      </c>
      <c r="E54" s="6" t="s">
        <v>10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" x14ac:dyDescent="0.15">
      <c r="A55" s="1" t="s">
        <v>11</v>
      </c>
      <c r="C55">
        <f xml:space="preserve"> ShareStratZamest * VernDoba</f>
        <v>500000</v>
      </c>
      <c r="D55" s="4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8" spans="1:26" ht="13" x14ac:dyDescent="0.15">
      <c r="A58" s="7" t="s">
        <v>24</v>
      </c>
    </row>
    <row r="59" spans="1:26" ht="13" x14ac:dyDescent="0.15">
      <c r="A59" s="1" t="s">
        <v>25</v>
      </c>
      <c r="C59" s="1"/>
    </row>
    <row r="60" spans="1:26" ht="13" x14ac:dyDescent="0.15">
      <c r="A60" s="1" t="s">
        <v>26</v>
      </c>
    </row>
    <row r="61" spans="1:26" ht="13" x14ac:dyDescent="0.15">
      <c r="A61" s="1" t="s">
        <v>27</v>
      </c>
      <c r="C61" s="4"/>
      <c r="D61" s="4">
        <v>5000000</v>
      </c>
    </row>
    <row r="62" spans="1:26" ht="13" x14ac:dyDescent="0.15">
      <c r="A62" s="1" t="s">
        <v>28</v>
      </c>
      <c r="C62" s="1"/>
      <c r="D62" s="1">
        <v>10</v>
      </c>
      <c r="E62" s="1" t="s">
        <v>29</v>
      </c>
    </row>
    <row r="64" spans="1:26" ht="13" x14ac:dyDescent="0.15">
      <c r="A64" s="1" t="s">
        <v>30</v>
      </c>
    </row>
    <row r="65" spans="1:5" ht="13" x14ac:dyDescent="0.15">
      <c r="A65" s="1" t="s">
        <v>31</v>
      </c>
      <c r="C65" s="4"/>
      <c r="D65" s="4">
        <v>200000</v>
      </c>
    </row>
    <row r="66" spans="1:5" ht="13" x14ac:dyDescent="0.15">
      <c r="B66" s="1" t="s">
        <v>32</v>
      </c>
      <c r="C66" s="18"/>
      <c r="D66" s="18">
        <v>0.2</v>
      </c>
    </row>
    <row r="67" spans="1:5" ht="13" x14ac:dyDescent="0.15">
      <c r="B67" s="1" t="s">
        <v>33</v>
      </c>
      <c r="D67" s="4">
        <f>D65*(1-D66)</f>
        <v>160000</v>
      </c>
    </row>
    <row r="68" spans="1:5" ht="13" x14ac:dyDescent="0.15">
      <c r="B68" s="1" t="s">
        <v>34</v>
      </c>
      <c r="C68" s="19"/>
      <c r="D68" s="19">
        <v>0.05</v>
      </c>
    </row>
    <row r="69" spans="1:5" ht="13" x14ac:dyDescent="0.15">
      <c r="B69" s="1" t="s">
        <v>35</v>
      </c>
      <c r="C69" s="6"/>
      <c r="D69" s="2">
        <f>D67*D68</f>
        <v>8000</v>
      </c>
    </row>
    <row r="70" spans="1:5" ht="15.75" customHeight="1" x14ac:dyDescent="0.15">
      <c r="B70" s="1" t="s">
        <v>36</v>
      </c>
    </row>
    <row r="71" spans="1:5" ht="13" x14ac:dyDescent="0.15">
      <c r="A71" s="1" t="s">
        <v>37</v>
      </c>
      <c r="C71" s="6"/>
      <c r="D71" s="2">
        <f>D69*D62</f>
        <v>80000</v>
      </c>
    </row>
    <row r="72" spans="1:5" ht="13" x14ac:dyDescent="0.15">
      <c r="A72" s="25" t="s">
        <v>79</v>
      </c>
      <c r="D72" s="16">
        <f xml:space="preserve"> D71 * VernDoba</f>
        <v>400000</v>
      </c>
      <c r="E72" s="1" t="s">
        <v>38</v>
      </c>
    </row>
    <row r="75" spans="1:5" ht="13" x14ac:dyDescent="0.15">
      <c r="A75" s="7" t="s">
        <v>41</v>
      </c>
    </row>
    <row r="76" spans="1:5" ht="13" x14ac:dyDescent="0.15">
      <c r="A76" s="22" t="s">
        <v>43</v>
      </c>
      <c r="D76" s="2">
        <f xml:space="preserve"> CilMzdaZamest * ProcMzdaZamest</f>
        <v>252</v>
      </c>
      <c r="E76" s="23" t="s">
        <v>67</v>
      </c>
    </row>
    <row r="77" spans="1:5" ht="13" x14ac:dyDescent="0.15">
      <c r="A77" s="22" t="s">
        <v>44</v>
      </c>
      <c r="C77" s="1">
        <f xml:space="preserve"> VernDoba</f>
        <v>5</v>
      </c>
      <c r="D77" s="4">
        <f xml:space="preserve"> CilMzdaZamest + VernDoba * (VernDoba + 1) / 2 * NarustMzdaZamest</f>
        <v>20580</v>
      </c>
      <c r="E77">
        <f xml:space="preserve"> VernDoba * (VernDoba + 1)  * (VernDoba + 2) / 6 * NarustMzdaZamest * 12</f>
        <v>105840</v>
      </c>
    </row>
    <row r="78" spans="1:5" ht="13" x14ac:dyDescent="0.15">
      <c r="C78" s="1">
        <f xml:space="preserve"> 2 * VernDoba</f>
        <v>10</v>
      </c>
      <c r="D78" s="4">
        <f xml:space="preserve"> CilMzdaZamest + 2 * VernDoba * (2 * VernDoba + 1) / 2 * NarustMzdaZamest</f>
        <v>30660</v>
      </c>
    </row>
    <row r="79" spans="1:5" ht="13" x14ac:dyDescent="0.15">
      <c r="C79" s="1"/>
      <c r="D79" s="4"/>
    </row>
    <row r="80" spans="1:5" ht="13" x14ac:dyDescent="0.15">
      <c r="A80" s="21" t="s">
        <v>65</v>
      </c>
      <c r="C80" s="1"/>
      <c r="D80" s="4"/>
    </row>
    <row r="81" spans="1:5" ht="15.75" customHeight="1" x14ac:dyDescent="0.15">
      <c r="A81" t="s">
        <v>43</v>
      </c>
      <c r="D81">
        <f xml:space="preserve"> CilMzdaDulZamest * ProcMzdaZamest</f>
        <v>472.5</v>
      </c>
    </row>
    <row r="82" spans="1:5" ht="13" x14ac:dyDescent="0.15">
      <c r="A82" s="22" t="s">
        <v>44</v>
      </c>
      <c r="C82" s="1">
        <f xml:space="preserve"> VernDoba</f>
        <v>5</v>
      </c>
      <c r="D82" s="2">
        <f xml:space="preserve"> CilMzdaDulZamest + VernDoba * (VernDoba + 1) / 2 * NarustMzdaDulZamestZaklad</f>
        <v>38587.5</v>
      </c>
      <c r="E82">
        <f xml:space="preserve"> VernDoba * (VernDoba + 1)  * (VernDoba + 2) / 6 * NarustMzdaDulZamestZaklad * 12</f>
        <v>198450</v>
      </c>
    </row>
    <row r="83" spans="1:5" ht="13" x14ac:dyDescent="0.15">
      <c r="A83" s="1"/>
      <c r="C83" s="1">
        <f xml:space="preserve"> 2 * VernDoba</f>
        <v>10</v>
      </c>
      <c r="D83" s="2">
        <f xml:space="preserve"> CilMzdaDulZamest + 2 * VernDoba * (2 * VernDoba + 1) / 2 * NarustMzdaDulZamestZaklad</f>
        <v>57487.5</v>
      </c>
    </row>
    <row r="84" spans="1:5" ht="13" x14ac:dyDescent="0.15">
      <c r="A84" s="1"/>
      <c r="C84" s="1"/>
      <c r="D84" s="2"/>
    </row>
    <row r="85" spans="1:5" ht="13" x14ac:dyDescent="0.15">
      <c r="A85" s="21" t="s">
        <v>66</v>
      </c>
      <c r="C85" s="1"/>
      <c r="D85" s="2"/>
    </row>
    <row r="86" spans="1:5" ht="13" x14ac:dyDescent="0.15">
      <c r="A86" s="22" t="s">
        <v>43</v>
      </c>
      <c r="C86" s="1"/>
      <c r="D86" s="2">
        <f xml:space="preserve"> CilMzdaKlicZamest * ProcMzdaZamest</f>
        <v>630</v>
      </c>
    </row>
    <row r="87" spans="1:5" ht="13" x14ac:dyDescent="0.15">
      <c r="A87" s="22" t="s">
        <v>44</v>
      </c>
      <c r="C87" s="1">
        <f xml:space="preserve"> VernDoba</f>
        <v>5</v>
      </c>
      <c r="D87" s="2">
        <f xml:space="preserve"> CilMzdaKlicZamest + VernDoba * (VernDoba + 1) / 2 * NarustMzdaKlicZamestZaklad</f>
        <v>51450</v>
      </c>
      <c r="E87">
        <f xml:space="preserve"> VernDoba * (VernDoba + 1)  * (VernDoba + 2) / 6 * NarustMzdaKlicZamestZaklad * 12</f>
        <v>264600</v>
      </c>
    </row>
    <row r="88" spans="1:5" ht="13" x14ac:dyDescent="0.15">
      <c r="A88" s="1"/>
      <c r="C88" s="1">
        <f xml:space="preserve"> 2 * VernDoba</f>
        <v>10</v>
      </c>
      <c r="D88" s="2">
        <f xml:space="preserve"> CilMzdaKlicZamest + 2 * VernDoba * (2 * VernDoba + 1) / 2 * NarustMzdaKlicZamestZaklad</f>
        <v>76650</v>
      </c>
    </row>
    <row r="89" spans="1:5" ht="13" x14ac:dyDescent="0.15">
      <c r="A89" s="1"/>
      <c r="C89" s="1"/>
      <c r="D89" s="2"/>
    </row>
    <row r="90" spans="1:5" ht="13" x14ac:dyDescent="0.15">
      <c r="A90" s="1"/>
      <c r="C90" s="1"/>
      <c r="D90" s="2"/>
    </row>
    <row r="91" spans="1:5" ht="13" x14ac:dyDescent="0.15">
      <c r="A91" s="1"/>
      <c r="C91" s="1"/>
      <c r="D91" s="2"/>
    </row>
    <row r="93" spans="1:5" ht="13" x14ac:dyDescent="0.15"/>
    <row r="95" spans="1:5" ht="13" x14ac:dyDescent="0.15">
      <c r="A95" s="6"/>
      <c r="D95" s="16"/>
    </row>
    <row r="96" spans="1:5" ht="14" x14ac:dyDescent="0.2">
      <c r="A96" s="6"/>
      <c r="D96" s="2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0369-ECBF-4FBB-9BB0-E17A56F48A53}">
  <dimension ref="A2:D6"/>
  <sheetViews>
    <sheetView workbookViewId="0">
      <selection activeCell="A9" sqref="A9"/>
    </sheetView>
  </sheetViews>
  <sheetFormatPr baseColWidth="10" defaultColWidth="8.83203125" defaultRowHeight="13" x14ac:dyDescent="0.15"/>
  <cols>
    <col min="1" max="1" width="18.33203125" bestFit="1" customWidth="1"/>
    <col min="3" max="3" width="12.5" bestFit="1" customWidth="1"/>
    <col min="4" max="4" width="10.6640625" bestFit="1" customWidth="1"/>
  </cols>
  <sheetData>
    <row r="2" spans="1:4" x14ac:dyDescent="0.15">
      <c r="A2" t="s">
        <v>45</v>
      </c>
      <c r="B2" t="s">
        <v>46</v>
      </c>
      <c r="C2" t="s">
        <v>47</v>
      </c>
      <c r="D2" t="s">
        <v>48</v>
      </c>
    </row>
    <row r="3" spans="1:4" x14ac:dyDescent="0.15">
      <c r="A3" t="s">
        <v>49</v>
      </c>
      <c r="B3" t="s">
        <v>52</v>
      </c>
      <c r="C3" t="s">
        <v>56</v>
      </c>
      <c r="D3" t="s">
        <v>58</v>
      </c>
    </row>
    <row r="4" spans="1:4" x14ac:dyDescent="0.15">
      <c r="A4" t="s">
        <v>51</v>
      </c>
      <c r="B4" t="s">
        <v>53</v>
      </c>
      <c r="C4" t="s">
        <v>57</v>
      </c>
      <c r="D4" t="s">
        <v>59</v>
      </c>
    </row>
    <row r="5" spans="1:4" x14ac:dyDescent="0.15">
      <c r="A5" t="s">
        <v>55</v>
      </c>
      <c r="B5" t="s">
        <v>50</v>
      </c>
    </row>
    <row r="6" spans="1:4" x14ac:dyDescent="0.15">
      <c r="A6" t="s">
        <v>54</v>
      </c>
      <c r="B6" t="s">
        <v>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40</vt:i4>
      </vt:variant>
    </vt:vector>
  </HeadingPairs>
  <TitlesOfParts>
    <vt:vector size="42" baseType="lpstr">
      <vt:lpstr>Share_prog</vt:lpstr>
      <vt:lpstr>Seznam jmen</vt:lpstr>
      <vt:lpstr>CelkovyNakladNarustMzdaDulZamestVerDob</vt:lpstr>
      <vt:lpstr>CelkovyNakladNarustMzdaKlicZamestVerDob</vt:lpstr>
      <vt:lpstr>CelkovyNakladNarustMzdaObchodZamestVerDob</vt:lpstr>
      <vt:lpstr>CelkovyNakladNarustMzdaStratZamestVerDob</vt:lpstr>
      <vt:lpstr>CelkovyNakladNarustMzdaZamestVerDob</vt:lpstr>
      <vt:lpstr>CelyNakladShareDulZamest</vt:lpstr>
      <vt:lpstr>CelyNakladShareKlicZamest</vt:lpstr>
      <vt:lpstr>CelyNakladShareStratZamest</vt:lpstr>
      <vt:lpstr>CilMzdaDulZamest</vt:lpstr>
      <vt:lpstr>CilMzdaKlicZamest</vt:lpstr>
      <vt:lpstr>CilMzdaZamest</vt:lpstr>
      <vt:lpstr>HospInvestice</vt:lpstr>
      <vt:lpstr>HospProvoz</vt:lpstr>
      <vt:lpstr>HospVysledek</vt:lpstr>
      <vt:lpstr>HospVysledekProvoz</vt:lpstr>
      <vt:lpstr>MzdaPrumerCR</vt:lpstr>
      <vt:lpstr>NakladNarustMzdaDulZamestVerDob</vt:lpstr>
      <vt:lpstr>NakladNarustMzdaKlicZamestVerDob</vt:lpstr>
      <vt:lpstr>NakladNarustMzdaZamestVerDob</vt:lpstr>
      <vt:lpstr>NakladObchodVerDob</vt:lpstr>
      <vt:lpstr>NakladShareDulZamest</vt:lpstr>
      <vt:lpstr>NakladShareKlicZamest</vt:lpstr>
      <vt:lpstr>NakladShareStratZamest</vt:lpstr>
      <vt:lpstr>NarustMzdaDulZamestZaklad</vt:lpstr>
      <vt:lpstr>NarustMzdaKlicZamestZaklad</vt:lpstr>
      <vt:lpstr>NarustMzdaZamest</vt:lpstr>
      <vt:lpstr>PocetDulZamest</vt:lpstr>
      <vt:lpstr>PocetKlicZamest</vt:lpstr>
      <vt:lpstr>PocetObchod</vt:lpstr>
      <vt:lpstr>PocetStratZamest</vt:lpstr>
      <vt:lpstr>PocetZamest</vt:lpstr>
      <vt:lpstr>ProcInvestice</vt:lpstr>
      <vt:lpstr>ProcMzdaZamest</vt:lpstr>
      <vt:lpstr>ProcShareDulZamest</vt:lpstr>
      <vt:lpstr>ProcShareKlicZamest</vt:lpstr>
      <vt:lpstr>ProcShareStartZamest</vt:lpstr>
      <vt:lpstr>ShareDulZamest</vt:lpstr>
      <vt:lpstr>ShareKlicZamest</vt:lpstr>
      <vt:lpstr>ShareStratZamest</vt:lpstr>
      <vt:lpstr>VernDoba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2022-09-23T19:46:35Z</dcterms:created>
  <dcterms:modified xsi:type="dcterms:W3CDTF">2022-09-24T06:11:27Z</dcterms:modified>
</cp:coreProperties>
</file>